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xr:revisionPtr revIDLastSave="0" documentId="8_{8D591E86-8F7B-40B7-8C40-341728B162C6}" xr6:coauthVersionLast="40" xr6:coauthVersionMax="40" xr10:uidLastSave="{00000000-0000-0000-0000-000000000000}"/>
  <bookViews>
    <workbookView xWindow="0" yWindow="0" windowWidth="19200" windowHeight="6912" xr2:uid="{13F53A97-7B92-4FC4-AB8B-A3B7AD4060F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35" i="1" l="1"/>
  <c r="I1935" i="1"/>
  <c r="J1935" i="1" s="1"/>
  <c r="H1935" i="1"/>
  <c r="G1935" i="1"/>
  <c r="F1935" i="1"/>
  <c r="E1935" i="1"/>
  <c r="K1934" i="1"/>
  <c r="J1934" i="1"/>
  <c r="I1934" i="1"/>
  <c r="H1934" i="1"/>
  <c r="G1934" i="1"/>
  <c r="F1934" i="1"/>
  <c r="E1934" i="1"/>
  <c r="K1933" i="1"/>
  <c r="I1933" i="1"/>
  <c r="J1933" i="1" s="1"/>
  <c r="H1933" i="1"/>
  <c r="G1933" i="1"/>
  <c r="F1933" i="1"/>
  <c r="E1933" i="1"/>
  <c r="K1932" i="1"/>
  <c r="I1932" i="1"/>
  <c r="H1932" i="1"/>
  <c r="J1932" i="1" s="1"/>
  <c r="G1932" i="1"/>
  <c r="F1932" i="1"/>
  <c r="E1932" i="1"/>
  <c r="K1931" i="1"/>
  <c r="I1931" i="1"/>
  <c r="J1931" i="1" s="1"/>
  <c r="H1931" i="1"/>
  <c r="G1931" i="1"/>
  <c r="F1931" i="1"/>
  <c r="E1931" i="1"/>
  <c r="K1930" i="1"/>
  <c r="J1930" i="1"/>
  <c r="I1930" i="1"/>
  <c r="H1930" i="1"/>
  <c r="G1930" i="1"/>
  <c r="F1930" i="1"/>
  <c r="E1930" i="1"/>
  <c r="K1929" i="1"/>
  <c r="I1929" i="1"/>
  <c r="J1929" i="1" s="1"/>
  <c r="H1929" i="1"/>
  <c r="G1929" i="1"/>
  <c r="F1929" i="1"/>
  <c r="E1929" i="1"/>
  <c r="K1928" i="1"/>
  <c r="I1928" i="1"/>
  <c r="H1928" i="1"/>
  <c r="J1928" i="1" s="1"/>
  <c r="G1928" i="1"/>
  <c r="F1928" i="1"/>
  <c r="E1928" i="1"/>
  <c r="K1927" i="1"/>
  <c r="I1927" i="1"/>
  <c r="J1927" i="1" s="1"/>
  <c r="H1927" i="1"/>
  <c r="G1927" i="1"/>
  <c r="F1927" i="1"/>
  <c r="E1927" i="1"/>
  <c r="K1926" i="1"/>
  <c r="J1926" i="1"/>
  <c r="I1926" i="1"/>
  <c r="H1926" i="1"/>
  <c r="G1926" i="1"/>
  <c r="F1926" i="1"/>
  <c r="E1926" i="1"/>
  <c r="K1925" i="1"/>
  <c r="I1925" i="1"/>
  <c r="J1925" i="1" s="1"/>
  <c r="H1925" i="1"/>
  <c r="G1925" i="1"/>
  <c r="F1925" i="1"/>
  <c r="E1925" i="1"/>
  <c r="K1924" i="1"/>
  <c r="J1924" i="1"/>
  <c r="I1924" i="1"/>
  <c r="H1924" i="1"/>
  <c r="G1924" i="1"/>
  <c r="F1924" i="1"/>
  <c r="E1924" i="1"/>
  <c r="K1923" i="1"/>
  <c r="I1923" i="1"/>
  <c r="J1923" i="1" s="1"/>
  <c r="H1923" i="1"/>
  <c r="G1923" i="1"/>
  <c r="F1923" i="1"/>
  <c r="E1923" i="1"/>
  <c r="K1922" i="1"/>
  <c r="J1922" i="1"/>
  <c r="I1922" i="1"/>
  <c r="H1922" i="1"/>
  <c r="G1922" i="1"/>
  <c r="F1922" i="1"/>
  <c r="E1922" i="1"/>
  <c r="K1921" i="1"/>
  <c r="I1921" i="1"/>
  <c r="J1921" i="1" s="1"/>
  <c r="H1921" i="1"/>
  <c r="G1921" i="1"/>
  <c r="F1921" i="1"/>
  <c r="E1921" i="1"/>
  <c r="K1920" i="1"/>
  <c r="J1920" i="1"/>
  <c r="I1920" i="1"/>
  <c r="H1920" i="1"/>
  <c r="G1920" i="1"/>
  <c r="F1920" i="1"/>
  <c r="E1920" i="1"/>
  <c r="K1919" i="1"/>
  <c r="I1919" i="1"/>
  <c r="J1919" i="1" s="1"/>
  <c r="H1919" i="1"/>
  <c r="G1919" i="1"/>
  <c r="F1919" i="1"/>
  <c r="E1919" i="1"/>
  <c r="K1918" i="1"/>
  <c r="J1918" i="1"/>
  <c r="I1918" i="1"/>
  <c r="H1918" i="1"/>
  <c r="G1918" i="1"/>
  <c r="F1918" i="1"/>
  <c r="E1918" i="1"/>
  <c r="K1917" i="1"/>
  <c r="I1917" i="1"/>
  <c r="J1917" i="1" s="1"/>
  <c r="H1917" i="1"/>
  <c r="G1917" i="1"/>
  <c r="F1917" i="1"/>
  <c r="E1917" i="1"/>
  <c r="K1916" i="1"/>
  <c r="I1916" i="1"/>
  <c r="H1916" i="1"/>
  <c r="J1916" i="1" s="1"/>
  <c r="G1916" i="1"/>
  <c r="F1916" i="1"/>
  <c r="E1916" i="1"/>
  <c r="K1915" i="1"/>
  <c r="I1915" i="1"/>
  <c r="J1915" i="1" s="1"/>
  <c r="H1915" i="1"/>
  <c r="G1915" i="1"/>
  <c r="F1915" i="1"/>
  <c r="E1915" i="1"/>
  <c r="K1914" i="1"/>
  <c r="J1914" i="1"/>
  <c r="I1914" i="1"/>
  <c r="H1914" i="1"/>
  <c r="G1914" i="1"/>
  <c r="F1914" i="1"/>
  <c r="E1914" i="1"/>
  <c r="K1913" i="1"/>
  <c r="I1913" i="1"/>
  <c r="J1913" i="1" s="1"/>
  <c r="H1913" i="1"/>
  <c r="G1913" i="1"/>
  <c r="F1913" i="1"/>
  <c r="E1913" i="1"/>
  <c r="K1912" i="1"/>
  <c r="I1912" i="1"/>
  <c r="H1912" i="1"/>
  <c r="J1912" i="1" s="1"/>
  <c r="G1912" i="1"/>
  <c r="F1912" i="1"/>
  <c r="E1912" i="1"/>
  <c r="K1911" i="1"/>
  <c r="I1911" i="1"/>
  <c r="J1911" i="1" s="1"/>
  <c r="H1911" i="1"/>
  <c r="G1911" i="1"/>
  <c r="F1911" i="1"/>
  <c r="E1911" i="1"/>
  <c r="K1910" i="1"/>
  <c r="J1910" i="1"/>
  <c r="I1910" i="1"/>
  <c r="H1910" i="1"/>
  <c r="G1910" i="1"/>
  <c r="F1910" i="1"/>
  <c r="E1910" i="1"/>
  <c r="K1909" i="1"/>
  <c r="I1909" i="1"/>
  <c r="J1909" i="1" s="1"/>
  <c r="H1909" i="1"/>
  <c r="G1909" i="1"/>
  <c r="F1909" i="1"/>
  <c r="E1909" i="1"/>
  <c r="K1908" i="1"/>
  <c r="I1908" i="1"/>
  <c r="H1908" i="1"/>
  <c r="J1908" i="1" s="1"/>
  <c r="G1908" i="1"/>
  <c r="F1908" i="1"/>
  <c r="E1908" i="1"/>
  <c r="K1907" i="1"/>
  <c r="I1907" i="1"/>
  <c r="J1907" i="1" s="1"/>
  <c r="H1907" i="1"/>
  <c r="G1907" i="1"/>
  <c r="F1907" i="1"/>
  <c r="E1907" i="1"/>
  <c r="K1906" i="1"/>
  <c r="J1906" i="1"/>
  <c r="I1906" i="1"/>
  <c r="H1906" i="1"/>
  <c r="G1906" i="1"/>
  <c r="F1906" i="1"/>
  <c r="E1906" i="1"/>
  <c r="K1905" i="1"/>
  <c r="I1905" i="1"/>
  <c r="J1905" i="1" s="1"/>
  <c r="H1905" i="1"/>
  <c r="G1905" i="1"/>
  <c r="F1905" i="1"/>
  <c r="E1905" i="1"/>
  <c r="K1904" i="1"/>
  <c r="I1904" i="1"/>
  <c r="H1904" i="1"/>
  <c r="J1904" i="1" s="1"/>
  <c r="G1904" i="1"/>
  <c r="F1904" i="1"/>
  <c r="E1904" i="1"/>
  <c r="K1903" i="1"/>
  <c r="I1903" i="1"/>
  <c r="J1903" i="1" s="1"/>
  <c r="H1903" i="1"/>
  <c r="G1903" i="1"/>
  <c r="F1903" i="1"/>
  <c r="E1903" i="1"/>
  <c r="K1902" i="1"/>
  <c r="J1902" i="1"/>
  <c r="I1902" i="1"/>
  <c r="H1902" i="1"/>
  <c r="G1902" i="1"/>
  <c r="F1902" i="1"/>
  <c r="E1902" i="1"/>
  <c r="K1901" i="1"/>
  <c r="I1901" i="1"/>
  <c r="J1901" i="1" s="1"/>
  <c r="H1901" i="1"/>
  <c r="G1901" i="1"/>
  <c r="F1901" i="1"/>
  <c r="E1901" i="1"/>
  <c r="K1900" i="1"/>
  <c r="I1900" i="1"/>
  <c r="H1900" i="1"/>
  <c r="J1900" i="1" s="1"/>
  <c r="G1900" i="1"/>
  <c r="F1900" i="1"/>
  <c r="E1900" i="1"/>
  <c r="K1899" i="1"/>
  <c r="I1899" i="1"/>
  <c r="J1899" i="1" s="1"/>
  <c r="H1899" i="1"/>
  <c r="G1899" i="1"/>
  <c r="F1899" i="1"/>
  <c r="E1899" i="1"/>
  <c r="K1898" i="1"/>
  <c r="J1898" i="1"/>
  <c r="I1898" i="1"/>
  <c r="H1898" i="1"/>
  <c r="G1898" i="1"/>
  <c r="F1898" i="1"/>
  <c r="E1898" i="1"/>
  <c r="K1897" i="1"/>
  <c r="I1897" i="1"/>
  <c r="J1897" i="1" s="1"/>
  <c r="H1897" i="1"/>
  <c r="G1897" i="1"/>
  <c r="F1897" i="1"/>
  <c r="E1897" i="1"/>
  <c r="K1896" i="1"/>
  <c r="J1896" i="1"/>
  <c r="I1896" i="1"/>
  <c r="H1896" i="1"/>
  <c r="G1896" i="1"/>
  <c r="F1896" i="1"/>
  <c r="E1896" i="1"/>
  <c r="K1895" i="1"/>
  <c r="I1895" i="1"/>
  <c r="J1895" i="1" s="1"/>
  <c r="H1895" i="1"/>
  <c r="G1895" i="1"/>
  <c r="F1895" i="1"/>
  <c r="E1895" i="1"/>
  <c r="K1894" i="1"/>
  <c r="J1894" i="1"/>
  <c r="I1894" i="1"/>
  <c r="H1894" i="1"/>
  <c r="G1894" i="1"/>
  <c r="F1894" i="1"/>
  <c r="E1894" i="1"/>
  <c r="K1893" i="1"/>
  <c r="I1893" i="1"/>
  <c r="J1893" i="1" s="1"/>
  <c r="H1893" i="1"/>
  <c r="G1893" i="1"/>
  <c r="F1893" i="1"/>
  <c r="E1893" i="1"/>
  <c r="K1892" i="1"/>
  <c r="J1892" i="1"/>
  <c r="I1892" i="1"/>
  <c r="H1892" i="1"/>
  <c r="G1892" i="1"/>
  <c r="F1892" i="1"/>
  <c r="E1892" i="1"/>
  <c r="K1891" i="1"/>
  <c r="I1891" i="1"/>
  <c r="J1891" i="1" s="1"/>
  <c r="H1891" i="1"/>
  <c r="G1891" i="1"/>
  <c r="F1891" i="1"/>
  <c r="E1891" i="1"/>
  <c r="K1890" i="1"/>
  <c r="J1890" i="1"/>
  <c r="I1890" i="1"/>
  <c r="H1890" i="1"/>
  <c r="G1890" i="1"/>
  <c r="F1890" i="1"/>
  <c r="E1890" i="1"/>
  <c r="K1889" i="1"/>
  <c r="I1889" i="1"/>
  <c r="J1889" i="1" s="1"/>
  <c r="H1889" i="1"/>
  <c r="G1889" i="1"/>
  <c r="F1889" i="1"/>
  <c r="E1889" i="1"/>
  <c r="K1888" i="1"/>
  <c r="J1888" i="1"/>
  <c r="I1888" i="1"/>
  <c r="H1888" i="1"/>
  <c r="G1888" i="1"/>
  <c r="F1888" i="1"/>
  <c r="E1888" i="1"/>
  <c r="K1887" i="1"/>
  <c r="I1887" i="1"/>
  <c r="J1887" i="1" s="1"/>
  <c r="H1887" i="1"/>
  <c r="G1887" i="1"/>
  <c r="F1887" i="1"/>
  <c r="E1887" i="1"/>
  <c r="K1886" i="1"/>
  <c r="J1886" i="1"/>
  <c r="I1886" i="1"/>
  <c r="H1886" i="1"/>
  <c r="G1886" i="1"/>
  <c r="F1886" i="1"/>
  <c r="E1886" i="1"/>
  <c r="K1885" i="1"/>
  <c r="I1885" i="1"/>
  <c r="J1885" i="1" s="1"/>
  <c r="H1885" i="1"/>
  <c r="G1885" i="1"/>
  <c r="F1885" i="1"/>
  <c r="E1885" i="1"/>
  <c r="K1884" i="1"/>
  <c r="I1884" i="1"/>
  <c r="H1884" i="1"/>
  <c r="J1884" i="1" s="1"/>
  <c r="G1884" i="1"/>
  <c r="F1884" i="1"/>
  <c r="E1884" i="1"/>
  <c r="K1883" i="1"/>
  <c r="I1883" i="1"/>
  <c r="J1883" i="1" s="1"/>
  <c r="H1883" i="1"/>
  <c r="G1883" i="1"/>
  <c r="F1883" i="1"/>
  <c r="E1883" i="1"/>
  <c r="K1882" i="1"/>
  <c r="J1882" i="1"/>
  <c r="I1882" i="1"/>
  <c r="H1882" i="1"/>
  <c r="G1882" i="1"/>
  <c r="F1882" i="1"/>
  <c r="E1882" i="1"/>
  <c r="K1881" i="1"/>
  <c r="I1881" i="1"/>
  <c r="J1881" i="1" s="1"/>
  <c r="H1881" i="1"/>
  <c r="G1881" i="1"/>
  <c r="F1881" i="1"/>
  <c r="E1881" i="1"/>
  <c r="K1880" i="1"/>
  <c r="I1880" i="1"/>
  <c r="H1880" i="1"/>
  <c r="J1880" i="1" s="1"/>
  <c r="G1880" i="1"/>
  <c r="F1880" i="1"/>
  <c r="E1880" i="1"/>
  <c r="K1879" i="1"/>
  <c r="I1879" i="1"/>
  <c r="J1879" i="1" s="1"/>
  <c r="H1879" i="1"/>
  <c r="G1879" i="1"/>
  <c r="F1879" i="1"/>
  <c r="E1879" i="1"/>
  <c r="K1878" i="1"/>
  <c r="J1878" i="1"/>
  <c r="I1878" i="1"/>
  <c r="H1878" i="1"/>
  <c r="G1878" i="1"/>
  <c r="F1878" i="1"/>
  <c r="E1878" i="1"/>
  <c r="K1877" i="1"/>
  <c r="I1877" i="1"/>
  <c r="J1877" i="1" s="1"/>
  <c r="H1877" i="1"/>
  <c r="G1877" i="1"/>
  <c r="F1877" i="1"/>
  <c r="E1877" i="1"/>
  <c r="K1876" i="1"/>
  <c r="I1876" i="1"/>
  <c r="H1876" i="1"/>
  <c r="J1876" i="1" s="1"/>
  <c r="G1876" i="1"/>
  <c r="F1876" i="1"/>
  <c r="E1876" i="1"/>
  <c r="K1875" i="1"/>
  <c r="I1875" i="1"/>
  <c r="J1875" i="1" s="1"/>
  <c r="H1875" i="1"/>
  <c r="G1875" i="1"/>
  <c r="F1875" i="1"/>
  <c r="E1875" i="1"/>
  <c r="K1874" i="1"/>
  <c r="J1874" i="1"/>
  <c r="I1874" i="1"/>
  <c r="H1874" i="1"/>
  <c r="G1874" i="1"/>
  <c r="F1874" i="1"/>
  <c r="E1874" i="1"/>
  <c r="K1873" i="1"/>
  <c r="I1873" i="1"/>
  <c r="J1873" i="1" s="1"/>
  <c r="H1873" i="1"/>
  <c r="G1873" i="1"/>
  <c r="F1873" i="1"/>
  <c r="E1873" i="1"/>
  <c r="K1872" i="1"/>
  <c r="I1872" i="1"/>
  <c r="H1872" i="1"/>
  <c r="J1872" i="1" s="1"/>
  <c r="G1872" i="1"/>
  <c r="F1872" i="1"/>
  <c r="E1872" i="1"/>
  <c r="K1871" i="1"/>
  <c r="I1871" i="1"/>
  <c r="J1871" i="1" s="1"/>
  <c r="H1871" i="1"/>
  <c r="G1871" i="1"/>
  <c r="F1871" i="1"/>
  <c r="E1871" i="1"/>
  <c r="K1870" i="1"/>
  <c r="J1870" i="1"/>
  <c r="I1870" i="1"/>
  <c r="H1870" i="1"/>
  <c r="G1870" i="1"/>
  <c r="F1870" i="1"/>
  <c r="E1870" i="1"/>
  <c r="K1869" i="1"/>
  <c r="I1869" i="1"/>
  <c r="J1869" i="1" s="1"/>
  <c r="H1869" i="1"/>
  <c r="G1869" i="1"/>
  <c r="F1869" i="1"/>
  <c r="E1869" i="1"/>
  <c r="K1868" i="1"/>
  <c r="I1868" i="1"/>
  <c r="H1868" i="1"/>
  <c r="J1868" i="1" s="1"/>
  <c r="G1868" i="1"/>
  <c r="F1868" i="1"/>
  <c r="E1868" i="1"/>
  <c r="K1867" i="1"/>
  <c r="I1867" i="1"/>
  <c r="J1867" i="1" s="1"/>
  <c r="H1867" i="1"/>
  <c r="G1867" i="1"/>
  <c r="F1867" i="1"/>
  <c r="E1867" i="1"/>
  <c r="K1866" i="1"/>
  <c r="J1866" i="1"/>
  <c r="I1866" i="1"/>
  <c r="H1866" i="1"/>
  <c r="G1866" i="1"/>
  <c r="F1866" i="1"/>
  <c r="E1866" i="1"/>
  <c r="K1865" i="1"/>
  <c r="I1865" i="1"/>
  <c r="J1865" i="1" s="1"/>
  <c r="H1865" i="1"/>
  <c r="G1865" i="1"/>
  <c r="F1865" i="1"/>
  <c r="E1865" i="1"/>
  <c r="K1864" i="1"/>
  <c r="I1864" i="1"/>
  <c r="H1864" i="1"/>
  <c r="J1864" i="1" s="1"/>
  <c r="G1864" i="1"/>
  <c r="F1864" i="1"/>
  <c r="E1864" i="1"/>
  <c r="K1863" i="1"/>
  <c r="I1863" i="1"/>
  <c r="J1863" i="1" s="1"/>
  <c r="H1863" i="1"/>
  <c r="G1863" i="1"/>
  <c r="F1863" i="1"/>
  <c r="E1863" i="1"/>
  <c r="K1862" i="1"/>
  <c r="J1862" i="1"/>
  <c r="I1862" i="1"/>
  <c r="H1862" i="1"/>
  <c r="G1862" i="1"/>
  <c r="F1862" i="1"/>
  <c r="E1862" i="1"/>
  <c r="K1861" i="1"/>
  <c r="I1861" i="1"/>
  <c r="J1861" i="1" s="1"/>
  <c r="H1861" i="1"/>
  <c r="G1861" i="1"/>
  <c r="F1861" i="1"/>
  <c r="E1861" i="1"/>
  <c r="K1860" i="1"/>
  <c r="I1860" i="1"/>
  <c r="H1860" i="1"/>
  <c r="J1860" i="1" s="1"/>
  <c r="G1860" i="1"/>
  <c r="F1860" i="1"/>
  <c r="E1860" i="1"/>
  <c r="K1859" i="1"/>
  <c r="I1859" i="1"/>
  <c r="J1859" i="1" s="1"/>
  <c r="H1859" i="1"/>
  <c r="G1859" i="1"/>
  <c r="F1859" i="1"/>
  <c r="E1859" i="1"/>
  <c r="K1858" i="1"/>
  <c r="J1858" i="1"/>
  <c r="I1858" i="1"/>
  <c r="H1858" i="1"/>
  <c r="G1858" i="1"/>
  <c r="F1858" i="1"/>
  <c r="E1858" i="1"/>
  <c r="K1857" i="1"/>
  <c r="I1857" i="1"/>
  <c r="J1857" i="1" s="1"/>
  <c r="H1857" i="1"/>
  <c r="G1857" i="1"/>
  <c r="F1857" i="1"/>
  <c r="E1857" i="1"/>
  <c r="K1856" i="1"/>
  <c r="I1856" i="1"/>
  <c r="H1856" i="1"/>
  <c r="J1856" i="1" s="1"/>
  <c r="G1856" i="1"/>
  <c r="F1856" i="1"/>
  <c r="E1856" i="1"/>
  <c r="K1855" i="1"/>
  <c r="I1855" i="1"/>
  <c r="J1855" i="1" s="1"/>
  <c r="H1855" i="1"/>
  <c r="G1855" i="1"/>
  <c r="F1855" i="1"/>
  <c r="E1855" i="1"/>
  <c r="K1854" i="1"/>
  <c r="J1854" i="1"/>
  <c r="I1854" i="1"/>
  <c r="H1854" i="1"/>
  <c r="G1854" i="1"/>
  <c r="F1854" i="1"/>
  <c r="E1854" i="1"/>
  <c r="K1853" i="1"/>
  <c r="I1853" i="1"/>
  <c r="J1853" i="1" s="1"/>
  <c r="H1853" i="1"/>
  <c r="G1853" i="1"/>
  <c r="F1853" i="1"/>
  <c r="E1853" i="1"/>
  <c r="K1852" i="1"/>
  <c r="I1852" i="1"/>
  <c r="H1852" i="1"/>
  <c r="J1852" i="1" s="1"/>
  <c r="G1852" i="1"/>
  <c r="F1852" i="1"/>
  <c r="E1852" i="1"/>
  <c r="K1851" i="1"/>
  <c r="I1851" i="1"/>
  <c r="J1851" i="1" s="1"/>
  <c r="H1851" i="1"/>
  <c r="G1851" i="1"/>
  <c r="F1851" i="1"/>
  <c r="E1851" i="1"/>
  <c r="K1850" i="1"/>
  <c r="J1850" i="1"/>
  <c r="I1850" i="1"/>
  <c r="H1850" i="1"/>
  <c r="G1850" i="1"/>
  <c r="F1850" i="1"/>
  <c r="E1850" i="1"/>
  <c r="K1849" i="1"/>
  <c r="I1849" i="1"/>
  <c r="J1849" i="1" s="1"/>
  <c r="H1849" i="1"/>
  <c r="G1849" i="1"/>
  <c r="F1849" i="1"/>
  <c r="E1849" i="1"/>
  <c r="K1848" i="1"/>
  <c r="I1848" i="1"/>
  <c r="H1848" i="1"/>
  <c r="J1848" i="1" s="1"/>
  <c r="G1848" i="1"/>
  <c r="F1848" i="1"/>
  <c r="E1848" i="1"/>
  <c r="K1847" i="1"/>
  <c r="I1847" i="1"/>
  <c r="J1847" i="1" s="1"/>
  <c r="H1847" i="1"/>
  <c r="G1847" i="1"/>
  <c r="F1847" i="1"/>
  <c r="E1847" i="1"/>
  <c r="K1846" i="1"/>
  <c r="J1846" i="1"/>
  <c r="I1846" i="1"/>
  <c r="H1846" i="1"/>
  <c r="G1846" i="1"/>
  <c r="F1846" i="1"/>
  <c r="E1846" i="1"/>
  <c r="K1845" i="1"/>
  <c r="I1845" i="1"/>
  <c r="J1845" i="1" s="1"/>
  <c r="H1845" i="1"/>
  <c r="G1845" i="1"/>
  <c r="F1845" i="1"/>
  <c r="E1845" i="1"/>
  <c r="K1844" i="1"/>
  <c r="I1844" i="1"/>
  <c r="H1844" i="1"/>
  <c r="J1844" i="1" s="1"/>
  <c r="G1844" i="1"/>
  <c r="F1844" i="1"/>
  <c r="E1844" i="1"/>
  <c r="K1843" i="1"/>
  <c r="I1843" i="1"/>
  <c r="J1843" i="1" s="1"/>
  <c r="H1843" i="1"/>
  <c r="G1843" i="1"/>
  <c r="F1843" i="1"/>
  <c r="E1843" i="1"/>
  <c r="K1842" i="1"/>
  <c r="J1842" i="1"/>
  <c r="I1842" i="1"/>
  <c r="H1842" i="1"/>
  <c r="G1842" i="1"/>
  <c r="F1842" i="1"/>
  <c r="E1842" i="1"/>
  <c r="K1841" i="1"/>
  <c r="I1841" i="1"/>
  <c r="J1841" i="1" s="1"/>
  <c r="H1841" i="1"/>
  <c r="G1841" i="1"/>
  <c r="F1841" i="1"/>
  <c r="E1841" i="1"/>
  <c r="K1840" i="1"/>
  <c r="I1840" i="1"/>
  <c r="H1840" i="1"/>
  <c r="J1840" i="1" s="1"/>
  <c r="G1840" i="1"/>
  <c r="F1840" i="1"/>
  <c r="E1840" i="1"/>
  <c r="K1839" i="1"/>
  <c r="I1839" i="1"/>
  <c r="J1839" i="1" s="1"/>
  <c r="H1839" i="1"/>
  <c r="G1839" i="1"/>
  <c r="F1839" i="1"/>
  <c r="E1839" i="1"/>
  <c r="K1838" i="1"/>
  <c r="J1838" i="1"/>
  <c r="I1838" i="1"/>
  <c r="H1838" i="1"/>
  <c r="G1838" i="1"/>
  <c r="F1838" i="1"/>
  <c r="E1838" i="1"/>
  <c r="K1837" i="1"/>
  <c r="I1837" i="1"/>
  <c r="J1837" i="1" s="1"/>
  <c r="H1837" i="1"/>
  <c r="G1837" i="1"/>
  <c r="F1837" i="1"/>
  <c r="E1837" i="1"/>
  <c r="K1836" i="1"/>
  <c r="I1836" i="1"/>
  <c r="H1836" i="1"/>
  <c r="J1836" i="1" s="1"/>
  <c r="G1836" i="1"/>
  <c r="F1836" i="1"/>
  <c r="E1836" i="1"/>
  <c r="K1835" i="1"/>
  <c r="I1835" i="1"/>
  <c r="J1835" i="1" s="1"/>
  <c r="H1835" i="1"/>
  <c r="G1835" i="1"/>
  <c r="F1835" i="1"/>
  <c r="E1835" i="1"/>
  <c r="K1834" i="1"/>
  <c r="J1834" i="1"/>
  <c r="I1834" i="1"/>
  <c r="H1834" i="1"/>
  <c r="G1834" i="1"/>
  <c r="F1834" i="1"/>
  <c r="E1834" i="1"/>
  <c r="K1833" i="1"/>
  <c r="I1833" i="1"/>
  <c r="J1833" i="1" s="1"/>
  <c r="H1833" i="1"/>
  <c r="G1833" i="1"/>
  <c r="F1833" i="1"/>
  <c r="E1833" i="1"/>
  <c r="K1832" i="1"/>
  <c r="I1832" i="1"/>
  <c r="H1832" i="1"/>
  <c r="J1832" i="1" s="1"/>
  <c r="G1832" i="1"/>
  <c r="F1832" i="1"/>
  <c r="E1832" i="1"/>
  <c r="K1831" i="1"/>
  <c r="I1831" i="1"/>
  <c r="J1831" i="1" s="1"/>
  <c r="H1831" i="1"/>
  <c r="G1831" i="1"/>
  <c r="F1831" i="1"/>
  <c r="E1831" i="1"/>
  <c r="K1830" i="1"/>
  <c r="J1830" i="1"/>
  <c r="I1830" i="1"/>
  <c r="H1830" i="1"/>
  <c r="G1830" i="1"/>
  <c r="F1830" i="1"/>
  <c r="E1830" i="1"/>
  <c r="K1829" i="1"/>
  <c r="I1829" i="1"/>
  <c r="J1829" i="1" s="1"/>
  <c r="H1829" i="1"/>
  <c r="G1829" i="1"/>
  <c r="F1829" i="1"/>
  <c r="E1829" i="1"/>
  <c r="K1828" i="1"/>
  <c r="I1828" i="1"/>
  <c r="H1828" i="1"/>
  <c r="J1828" i="1" s="1"/>
  <c r="G1828" i="1"/>
  <c r="F1828" i="1"/>
  <c r="E1828" i="1"/>
  <c r="K1827" i="1"/>
  <c r="I1827" i="1"/>
  <c r="J1827" i="1" s="1"/>
  <c r="H1827" i="1"/>
  <c r="G1827" i="1"/>
  <c r="F1827" i="1"/>
  <c r="E1827" i="1"/>
  <c r="K1826" i="1"/>
  <c r="J1826" i="1"/>
  <c r="I1826" i="1"/>
  <c r="H1826" i="1"/>
  <c r="G1826" i="1"/>
  <c r="F1826" i="1"/>
  <c r="E1826" i="1"/>
  <c r="K1825" i="1"/>
  <c r="I1825" i="1"/>
  <c r="J1825" i="1" s="1"/>
  <c r="H1825" i="1"/>
  <c r="G1825" i="1"/>
  <c r="F1825" i="1"/>
  <c r="E1825" i="1"/>
  <c r="K1824" i="1"/>
  <c r="I1824" i="1"/>
  <c r="H1824" i="1"/>
  <c r="J1824" i="1" s="1"/>
  <c r="G1824" i="1"/>
  <c r="F1824" i="1"/>
  <c r="E1824" i="1"/>
  <c r="K1823" i="1"/>
  <c r="I1823" i="1"/>
  <c r="J1823" i="1" s="1"/>
  <c r="H1823" i="1"/>
  <c r="G1823" i="1"/>
  <c r="F1823" i="1"/>
  <c r="E1823" i="1"/>
  <c r="K1822" i="1"/>
  <c r="J1822" i="1"/>
  <c r="I1822" i="1"/>
  <c r="H1822" i="1"/>
  <c r="G1822" i="1"/>
  <c r="F1822" i="1"/>
  <c r="E1822" i="1"/>
  <c r="K1821" i="1"/>
  <c r="I1821" i="1"/>
  <c r="J1821" i="1" s="1"/>
  <c r="H1821" i="1"/>
  <c r="G1821" i="1"/>
  <c r="F1821" i="1"/>
  <c r="E1821" i="1"/>
  <c r="K1820" i="1"/>
  <c r="I1820" i="1"/>
  <c r="H1820" i="1"/>
  <c r="J1820" i="1" s="1"/>
  <c r="G1820" i="1"/>
  <c r="F1820" i="1"/>
  <c r="E1820" i="1"/>
  <c r="K1819" i="1"/>
  <c r="I1819" i="1"/>
  <c r="J1819" i="1" s="1"/>
  <c r="H1819" i="1"/>
  <c r="G1819" i="1"/>
  <c r="F1819" i="1"/>
  <c r="E1819" i="1"/>
  <c r="K1818" i="1"/>
  <c r="J1818" i="1"/>
  <c r="I1818" i="1"/>
  <c r="H1818" i="1"/>
  <c r="G1818" i="1"/>
  <c r="F1818" i="1"/>
  <c r="E1818" i="1"/>
  <c r="K1817" i="1"/>
  <c r="I1817" i="1"/>
  <c r="J1817" i="1" s="1"/>
  <c r="H1817" i="1"/>
  <c r="G1817" i="1"/>
  <c r="F1817" i="1"/>
  <c r="E1817" i="1"/>
  <c r="K1816" i="1"/>
  <c r="I1816" i="1"/>
  <c r="H1816" i="1"/>
  <c r="J1816" i="1" s="1"/>
  <c r="G1816" i="1"/>
  <c r="F1816" i="1"/>
  <c r="E1816" i="1"/>
  <c r="K1815" i="1"/>
  <c r="I1815" i="1"/>
  <c r="J1815" i="1" s="1"/>
  <c r="H1815" i="1"/>
  <c r="G1815" i="1"/>
  <c r="F1815" i="1"/>
  <c r="E1815" i="1"/>
  <c r="K1814" i="1"/>
  <c r="J1814" i="1"/>
  <c r="I1814" i="1"/>
  <c r="H1814" i="1"/>
  <c r="G1814" i="1"/>
  <c r="F1814" i="1"/>
  <c r="E1814" i="1"/>
  <c r="K1813" i="1"/>
  <c r="I1813" i="1"/>
  <c r="J1813" i="1" s="1"/>
  <c r="H1813" i="1"/>
  <c r="G1813" i="1"/>
  <c r="F1813" i="1"/>
  <c r="E1813" i="1"/>
  <c r="K1812" i="1"/>
  <c r="J1812" i="1"/>
  <c r="I1812" i="1"/>
  <c r="H1812" i="1"/>
  <c r="G1812" i="1"/>
  <c r="F1812" i="1"/>
  <c r="E1812" i="1"/>
  <c r="K1811" i="1"/>
  <c r="I1811" i="1"/>
  <c r="J1811" i="1" s="1"/>
  <c r="H1811" i="1"/>
  <c r="G1811" i="1"/>
  <c r="F1811" i="1"/>
  <c r="E1811" i="1"/>
  <c r="K1810" i="1"/>
  <c r="J1810" i="1"/>
  <c r="I1810" i="1"/>
  <c r="H1810" i="1"/>
  <c r="G1810" i="1"/>
  <c r="F1810" i="1"/>
  <c r="E1810" i="1"/>
  <c r="K1809" i="1"/>
  <c r="I1809" i="1"/>
  <c r="J1809" i="1" s="1"/>
  <c r="H1809" i="1"/>
  <c r="G1809" i="1"/>
  <c r="F1809" i="1"/>
  <c r="E1809" i="1"/>
  <c r="K1808" i="1"/>
  <c r="I1808" i="1"/>
  <c r="H1808" i="1"/>
  <c r="J1808" i="1" s="1"/>
  <c r="G1808" i="1"/>
  <c r="F1808" i="1"/>
  <c r="E1808" i="1"/>
  <c r="K1807" i="1"/>
  <c r="I1807" i="1"/>
  <c r="J1807" i="1" s="1"/>
  <c r="H1807" i="1"/>
  <c r="G1807" i="1"/>
  <c r="F1807" i="1"/>
  <c r="E1807" i="1"/>
  <c r="K1806" i="1"/>
  <c r="J1806" i="1"/>
  <c r="I1806" i="1"/>
  <c r="H1806" i="1"/>
  <c r="G1806" i="1"/>
  <c r="F1806" i="1"/>
  <c r="E1806" i="1"/>
  <c r="K1805" i="1"/>
  <c r="I1805" i="1"/>
  <c r="J1805" i="1" s="1"/>
  <c r="H1805" i="1"/>
  <c r="G1805" i="1"/>
  <c r="F1805" i="1"/>
  <c r="E1805" i="1"/>
  <c r="K1804" i="1"/>
  <c r="I1804" i="1"/>
  <c r="H1804" i="1"/>
  <c r="J1804" i="1" s="1"/>
  <c r="G1804" i="1"/>
  <c r="F1804" i="1"/>
  <c r="E1804" i="1"/>
  <c r="K1803" i="1"/>
  <c r="I1803" i="1"/>
  <c r="J1803" i="1" s="1"/>
  <c r="H1803" i="1"/>
  <c r="G1803" i="1"/>
  <c r="F1803" i="1"/>
  <c r="E1803" i="1"/>
  <c r="K1802" i="1"/>
  <c r="I1802" i="1"/>
  <c r="H1802" i="1"/>
  <c r="J1802" i="1" s="1"/>
  <c r="G1802" i="1"/>
  <c r="F1802" i="1"/>
  <c r="E1802" i="1"/>
  <c r="K1801" i="1"/>
  <c r="I1801" i="1"/>
  <c r="J1801" i="1" s="1"/>
  <c r="H1801" i="1"/>
  <c r="G1801" i="1"/>
  <c r="F1801" i="1"/>
  <c r="E1801" i="1"/>
  <c r="K1800" i="1"/>
  <c r="I1800" i="1"/>
  <c r="H1800" i="1"/>
  <c r="J1800" i="1" s="1"/>
  <c r="G1800" i="1"/>
  <c r="F1800" i="1"/>
  <c r="E1800" i="1"/>
  <c r="K1799" i="1"/>
  <c r="I1799" i="1"/>
  <c r="J1799" i="1" s="1"/>
  <c r="H1799" i="1"/>
  <c r="G1799" i="1"/>
  <c r="F1799" i="1"/>
  <c r="E1799" i="1"/>
  <c r="K1798" i="1"/>
  <c r="J1798" i="1"/>
  <c r="I1798" i="1"/>
  <c r="H1798" i="1"/>
  <c r="G1798" i="1"/>
  <c r="F1798" i="1"/>
  <c r="E1798" i="1"/>
  <c r="K1797" i="1"/>
  <c r="I1797" i="1"/>
  <c r="J1797" i="1" s="1"/>
  <c r="H1797" i="1"/>
  <c r="G1797" i="1"/>
  <c r="F1797" i="1"/>
  <c r="E1797" i="1"/>
  <c r="K1796" i="1"/>
  <c r="I1796" i="1"/>
  <c r="H1796" i="1"/>
  <c r="J1796" i="1" s="1"/>
  <c r="G1796" i="1"/>
  <c r="F1796" i="1"/>
  <c r="E1796" i="1"/>
  <c r="K1795" i="1"/>
  <c r="I1795" i="1"/>
  <c r="J1795" i="1" s="1"/>
  <c r="H1795" i="1"/>
  <c r="G1795" i="1"/>
  <c r="F1795" i="1"/>
  <c r="E1795" i="1"/>
  <c r="K1794" i="1"/>
  <c r="J1794" i="1"/>
  <c r="I1794" i="1"/>
  <c r="H1794" i="1"/>
  <c r="G1794" i="1"/>
  <c r="F1794" i="1"/>
  <c r="E1794" i="1"/>
  <c r="K1793" i="1"/>
  <c r="I1793" i="1"/>
  <c r="J1793" i="1" s="1"/>
  <c r="H1793" i="1"/>
  <c r="G1793" i="1"/>
  <c r="F1793" i="1"/>
  <c r="E1793" i="1"/>
  <c r="K1792" i="1"/>
  <c r="I1792" i="1"/>
  <c r="H1792" i="1"/>
  <c r="J1792" i="1" s="1"/>
  <c r="G1792" i="1"/>
  <c r="F1792" i="1"/>
  <c r="E1792" i="1"/>
  <c r="K1791" i="1"/>
  <c r="I1791" i="1"/>
  <c r="J1791" i="1" s="1"/>
  <c r="H1791" i="1"/>
  <c r="G1791" i="1"/>
  <c r="F1791" i="1"/>
  <c r="E1791" i="1"/>
  <c r="K1790" i="1"/>
  <c r="J1790" i="1"/>
  <c r="I1790" i="1"/>
  <c r="H1790" i="1"/>
  <c r="G1790" i="1"/>
  <c r="F1790" i="1"/>
  <c r="E1790" i="1"/>
  <c r="K1789" i="1"/>
  <c r="I1789" i="1"/>
  <c r="J1789" i="1" s="1"/>
  <c r="H1789" i="1"/>
  <c r="G1789" i="1"/>
  <c r="F1789" i="1"/>
  <c r="E1789" i="1"/>
  <c r="K1788" i="1"/>
  <c r="I1788" i="1"/>
  <c r="H1788" i="1"/>
  <c r="J1788" i="1" s="1"/>
  <c r="G1788" i="1"/>
  <c r="F1788" i="1"/>
  <c r="E1788" i="1"/>
  <c r="K1787" i="1"/>
  <c r="I1787" i="1"/>
  <c r="J1787" i="1" s="1"/>
  <c r="H1787" i="1"/>
  <c r="G1787" i="1"/>
  <c r="F1787" i="1"/>
  <c r="E1787" i="1"/>
  <c r="K1786" i="1"/>
  <c r="J1786" i="1"/>
  <c r="I1786" i="1"/>
  <c r="H1786" i="1"/>
  <c r="G1786" i="1"/>
  <c r="F1786" i="1"/>
  <c r="E1786" i="1"/>
  <c r="K1785" i="1"/>
  <c r="I1785" i="1"/>
  <c r="J1785" i="1" s="1"/>
  <c r="H1785" i="1"/>
  <c r="G1785" i="1"/>
  <c r="F1785" i="1"/>
  <c r="E1785" i="1"/>
  <c r="K1784" i="1"/>
  <c r="J1784" i="1"/>
  <c r="I1784" i="1"/>
  <c r="H1784" i="1"/>
  <c r="G1784" i="1"/>
  <c r="F1784" i="1"/>
  <c r="E1784" i="1"/>
  <c r="K1783" i="1"/>
  <c r="I1783" i="1"/>
  <c r="J1783" i="1" s="1"/>
  <c r="H1783" i="1"/>
  <c r="G1783" i="1"/>
  <c r="F1783" i="1"/>
  <c r="E1783" i="1"/>
  <c r="K1782" i="1"/>
  <c r="J1782" i="1"/>
  <c r="I1782" i="1"/>
  <c r="H1782" i="1"/>
  <c r="G1782" i="1"/>
  <c r="F1782" i="1"/>
  <c r="E1782" i="1"/>
  <c r="K1781" i="1"/>
  <c r="I1781" i="1"/>
  <c r="J1781" i="1" s="1"/>
  <c r="H1781" i="1"/>
  <c r="G1781" i="1"/>
  <c r="F1781" i="1"/>
  <c r="E1781" i="1"/>
  <c r="K1780" i="1"/>
  <c r="I1780" i="1"/>
  <c r="H1780" i="1"/>
  <c r="J1780" i="1" s="1"/>
  <c r="G1780" i="1"/>
  <c r="F1780" i="1"/>
  <c r="E1780" i="1"/>
  <c r="K1779" i="1"/>
  <c r="I1779" i="1"/>
  <c r="J1779" i="1" s="1"/>
  <c r="H1779" i="1"/>
  <c r="G1779" i="1"/>
  <c r="F1779" i="1"/>
  <c r="E1779" i="1"/>
  <c r="K1778" i="1"/>
  <c r="J1778" i="1"/>
  <c r="I1778" i="1"/>
  <c r="H1778" i="1"/>
  <c r="G1778" i="1"/>
  <c r="F1778" i="1"/>
  <c r="E1778" i="1"/>
  <c r="K1777" i="1"/>
  <c r="I1777" i="1"/>
  <c r="J1777" i="1" s="1"/>
  <c r="H1777" i="1"/>
  <c r="G1777" i="1"/>
  <c r="F1777" i="1"/>
  <c r="E1777" i="1"/>
  <c r="K1776" i="1"/>
  <c r="I1776" i="1"/>
  <c r="H1776" i="1"/>
  <c r="J1776" i="1" s="1"/>
  <c r="G1776" i="1"/>
  <c r="F1776" i="1"/>
  <c r="E1776" i="1"/>
  <c r="K1775" i="1"/>
  <c r="I1775" i="1"/>
  <c r="J1775" i="1" s="1"/>
  <c r="H1775" i="1"/>
  <c r="G1775" i="1"/>
  <c r="F1775" i="1"/>
  <c r="E1775" i="1"/>
  <c r="K1774" i="1"/>
  <c r="J1774" i="1"/>
  <c r="I1774" i="1"/>
  <c r="H1774" i="1"/>
  <c r="G1774" i="1"/>
  <c r="F1774" i="1"/>
  <c r="E1774" i="1"/>
  <c r="K1773" i="1"/>
  <c r="I1773" i="1"/>
  <c r="J1773" i="1" s="1"/>
  <c r="H1773" i="1"/>
  <c r="G1773" i="1"/>
  <c r="F1773" i="1"/>
  <c r="E1773" i="1"/>
  <c r="K1772" i="1"/>
  <c r="I1772" i="1"/>
  <c r="H1772" i="1"/>
  <c r="J1772" i="1" s="1"/>
  <c r="G1772" i="1"/>
  <c r="F1772" i="1"/>
  <c r="E1772" i="1"/>
  <c r="K1771" i="1"/>
  <c r="I1771" i="1"/>
  <c r="J1771" i="1" s="1"/>
  <c r="H1771" i="1"/>
  <c r="G1771" i="1"/>
  <c r="F1771" i="1"/>
  <c r="E1771" i="1"/>
  <c r="K1770" i="1"/>
  <c r="J1770" i="1"/>
  <c r="I1770" i="1"/>
  <c r="H1770" i="1"/>
  <c r="G1770" i="1"/>
  <c r="F1770" i="1"/>
  <c r="E1770" i="1"/>
  <c r="K1769" i="1"/>
  <c r="I1769" i="1"/>
  <c r="J1769" i="1" s="1"/>
  <c r="H1769" i="1"/>
  <c r="G1769" i="1"/>
  <c r="F1769" i="1"/>
  <c r="E1769" i="1"/>
  <c r="K1768" i="1"/>
  <c r="I1768" i="1"/>
  <c r="H1768" i="1"/>
  <c r="J1768" i="1" s="1"/>
  <c r="G1768" i="1"/>
  <c r="F1768" i="1"/>
  <c r="E1768" i="1"/>
  <c r="K1767" i="1"/>
  <c r="I1767" i="1"/>
  <c r="J1767" i="1" s="1"/>
  <c r="H1767" i="1"/>
  <c r="G1767" i="1"/>
  <c r="F1767" i="1"/>
  <c r="E1767" i="1"/>
  <c r="K1766" i="1"/>
  <c r="J1766" i="1"/>
  <c r="I1766" i="1"/>
  <c r="H1766" i="1"/>
  <c r="G1766" i="1"/>
  <c r="F1766" i="1"/>
  <c r="E1766" i="1"/>
  <c r="K1765" i="1"/>
  <c r="I1765" i="1"/>
  <c r="J1765" i="1" s="1"/>
  <c r="H1765" i="1"/>
  <c r="G1765" i="1"/>
  <c r="F1765" i="1"/>
  <c r="E1765" i="1"/>
  <c r="K1764" i="1"/>
  <c r="I1764" i="1"/>
  <c r="H1764" i="1"/>
  <c r="J1764" i="1" s="1"/>
  <c r="G1764" i="1"/>
  <c r="F1764" i="1"/>
  <c r="E1764" i="1"/>
  <c r="K1763" i="1"/>
  <c r="I1763" i="1"/>
  <c r="J1763" i="1" s="1"/>
  <c r="H1763" i="1"/>
  <c r="G1763" i="1"/>
  <c r="F1763" i="1"/>
  <c r="E1763" i="1"/>
  <c r="K1762" i="1"/>
  <c r="J1762" i="1"/>
  <c r="I1762" i="1"/>
  <c r="H1762" i="1"/>
  <c r="G1762" i="1"/>
  <c r="F1762" i="1"/>
  <c r="E1762" i="1"/>
  <c r="K1761" i="1"/>
  <c r="I1761" i="1"/>
  <c r="J1761" i="1" s="1"/>
  <c r="H1761" i="1"/>
  <c r="G1761" i="1"/>
  <c r="F1761" i="1"/>
  <c r="E1761" i="1"/>
  <c r="K1760" i="1"/>
  <c r="I1760" i="1"/>
  <c r="H1760" i="1"/>
  <c r="J1760" i="1" s="1"/>
  <c r="G1760" i="1"/>
  <c r="F1760" i="1"/>
  <c r="E1760" i="1"/>
  <c r="K1759" i="1"/>
  <c r="I1759" i="1"/>
  <c r="J1759" i="1" s="1"/>
  <c r="H1759" i="1"/>
  <c r="G1759" i="1"/>
  <c r="F1759" i="1"/>
  <c r="E1759" i="1"/>
  <c r="K1758" i="1"/>
  <c r="J1758" i="1"/>
  <c r="I1758" i="1"/>
  <c r="H1758" i="1"/>
  <c r="G1758" i="1"/>
  <c r="F1758" i="1"/>
  <c r="E1758" i="1"/>
  <c r="K1757" i="1"/>
  <c r="I1757" i="1"/>
  <c r="J1757" i="1" s="1"/>
  <c r="H1757" i="1"/>
  <c r="G1757" i="1"/>
  <c r="F1757" i="1"/>
  <c r="E1757" i="1"/>
  <c r="K1756" i="1"/>
  <c r="I1756" i="1"/>
  <c r="H1756" i="1"/>
  <c r="J1756" i="1" s="1"/>
  <c r="G1756" i="1"/>
  <c r="F1756" i="1"/>
  <c r="E1756" i="1"/>
  <c r="K1755" i="1"/>
  <c r="I1755" i="1"/>
  <c r="J1755" i="1" s="1"/>
  <c r="H1755" i="1"/>
  <c r="G1755" i="1"/>
  <c r="F1755" i="1"/>
  <c r="E1755" i="1"/>
  <c r="K1754" i="1"/>
  <c r="J1754" i="1"/>
  <c r="I1754" i="1"/>
  <c r="H1754" i="1"/>
  <c r="G1754" i="1"/>
  <c r="F1754" i="1"/>
  <c r="E1754" i="1"/>
  <c r="K1753" i="1"/>
  <c r="I1753" i="1"/>
  <c r="J1753" i="1" s="1"/>
  <c r="H1753" i="1"/>
  <c r="G1753" i="1"/>
  <c r="F1753" i="1"/>
  <c r="E1753" i="1"/>
  <c r="K1752" i="1"/>
  <c r="I1752" i="1"/>
  <c r="H1752" i="1"/>
  <c r="J1752" i="1" s="1"/>
  <c r="G1752" i="1"/>
  <c r="F1752" i="1"/>
  <c r="E1752" i="1"/>
  <c r="K1751" i="1"/>
  <c r="I1751" i="1"/>
  <c r="J1751" i="1" s="1"/>
  <c r="H1751" i="1"/>
  <c r="G1751" i="1"/>
  <c r="F1751" i="1"/>
  <c r="E1751" i="1"/>
  <c r="K1750" i="1"/>
  <c r="J1750" i="1"/>
  <c r="I1750" i="1"/>
  <c r="H1750" i="1"/>
  <c r="G1750" i="1"/>
  <c r="F1750" i="1"/>
  <c r="E1750" i="1"/>
  <c r="K1749" i="1"/>
  <c r="I1749" i="1"/>
  <c r="J1749" i="1" s="1"/>
  <c r="H1749" i="1"/>
  <c r="G1749" i="1"/>
  <c r="F1749" i="1"/>
  <c r="E1749" i="1"/>
  <c r="K1748" i="1"/>
  <c r="I1748" i="1"/>
  <c r="H1748" i="1"/>
  <c r="J1748" i="1" s="1"/>
  <c r="G1748" i="1"/>
  <c r="F1748" i="1"/>
  <c r="E1748" i="1"/>
  <c r="K1747" i="1"/>
  <c r="I1747" i="1"/>
  <c r="J1747" i="1" s="1"/>
  <c r="H1747" i="1"/>
  <c r="G1747" i="1"/>
  <c r="F1747" i="1"/>
  <c r="E1747" i="1"/>
  <c r="K1746" i="1"/>
  <c r="J1746" i="1"/>
  <c r="I1746" i="1"/>
  <c r="H1746" i="1"/>
  <c r="G1746" i="1"/>
  <c r="F1746" i="1"/>
  <c r="E1746" i="1"/>
  <c r="K1745" i="1"/>
  <c r="I1745" i="1"/>
  <c r="J1745" i="1" s="1"/>
  <c r="H1745" i="1"/>
  <c r="G1745" i="1"/>
  <c r="F1745" i="1"/>
  <c r="E1745" i="1"/>
  <c r="K1744" i="1"/>
  <c r="I1744" i="1"/>
  <c r="H1744" i="1"/>
  <c r="J1744" i="1" s="1"/>
  <c r="G1744" i="1"/>
  <c r="F1744" i="1"/>
  <c r="E1744" i="1"/>
  <c r="K1743" i="1"/>
  <c r="I1743" i="1"/>
  <c r="J1743" i="1" s="1"/>
  <c r="H1743" i="1"/>
  <c r="G1743" i="1"/>
  <c r="F1743" i="1"/>
  <c r="E1743" i="1"/>
  <c r="K1742" i="1"/>
  <c r="J1742" i="1"/>
  <c r="I1742" i="1"/>
  <c r="H1742" i="1"/>
  <c r="G1742" i="1"/>
  <c r="F1742" i="1"/>
  <c r="E1742" i="1"/>
  <c r="K1741" i="1"/>
  <c r="I1741" i="1"/>
  <c r="J1741" i="1" s="1"/>
  <c r="H1741" i="1"/>
  <c r="G1741" i="1"/>
  <c r="F1741" i="1"/>
  <c r="E1741" i="1"/>
  <c r="K1740" i="1"/>
  <c r="I1740" i="1"/>
  <c r="H1740" i="1"/>
  <c r="J1740" i="1" s="1"/>
  <c r="G1740" i="1"/>
  <c r="F1740" i="1"/>
  <c r="E1740" i="1"/>
  <c r="K1739" i="1"/>
  <c r="I1739" i="1"/>
  <c r="J1739" i="1" s="1"/>
  <c r="H1739" i="1"/>
  <c r="G1739" i="1"/>
  <c r="F1739" i="1"/>
  <c r="E1739" i="1"/>
  <c r="K1738" i="1"/>
  <c r="J1738" i="1"/>
  <c r="I1738" i="1"/>
  <c r="H1738" i="1"/>
  <c r="G1738" i="1"/>
  <c r="F1738" i="1"/>
  <c r="E1738" i="1"/>
  <c r="K1737" i="1"/>
  <c r="I1737" i="1"/>
  <c r="J1737" i="1" s="1"/>
  <c r="H1737" i="1"/>
  <c r="G1737" i="1"/>
  <c r="F1737" i="1"/>
  <c r="E1737" i="1"/>
  <c r="K1736" i="1"/>
  <c r="I1736" i="1"/>
  <c r="H1736" i="1"/>
  <c r="J1736" i="1" s="1"/>
  <c r="G1736" i="1"/>
  <c r="F1736" i="1"/>
  <c r="E1736" i="1"/>
  <c r="K1735" i="1"/>
  <c r="I1735" i="1"/>
  <c r="J1735" i="1" s="1"/>
  <c r="H1735" i="1"/>
  <c r="G1735" i="1"/>
  <c r="F1735" i="1"/>
  <c r="E1735" i="1"/>
  <c r="K1734" i="1"/>
  <c r="J1734" i="1"/>
  <c r="I1734" i="1"/>
  <c r="H1734" i="1"/>
  <c r="G1734" i="1"/>
  <c r="F1734" i="1"/>
  <c r="E1734" i="1"/>
  <c r="K1733" i="1"/>
  <c r="I1733" i="1"/>
  <c r="J1733" i="1" s="1"/>
  <c r="H1733" i="1"/>
  <c r="G1733" i="1"/>
  <c r="F1733" i="1"/>
  <c r="E1733" i="1"/>
  <c r="K1732" i="1"/>
  <c r="J1732" i="1"/>
  <c r="I1732" i="1"/>
  <c r="H1732" i="1"/>
  <c r="G1732" i="1"/>
  <c r="F1732" i="1"/>
  <c r="E1732" i="1"/>
  <c r="K1731" i="1"/>
  <c r="I1731" i="1"/>
  <c r="J1731" i="1" s="1"/>
  <c r="H1731" i="1"/>
  <c r="G1731" i="1"/>
  <c r="F1731" i="1"/>
  <c r="E1731" i="1"/>
  <c r="K1730" i="1"/>
  <c r="I1730" i="1"/>
  <c r="H1730" i="1"/>
  <c r="J1730" i="1" s="1"/>
  <c r="G1730" i="1"/>
  <c r="F1730" i="1"/>
  <c r="E1730" i="1"/>
  <c r="K1729" i="1"/>
  <c r="I1729" i="1"/>
  <c r="J1729" i="1" s="1"/>
  <c r="H1729" i="1"/>
  <c r="G1729" i="1"/>
  <c r="F1729" i="1"/>
  <c r="E1729" i="1"/>
  <c r="K1728" i="1"/>
  <c r="I1728" i="1"/>
  <c r="H1728" i="1"/>
  <c r="J1728" i="1" s="1"/>
  <c r="G1728" i="1"/>
  <c r="F1728" i="1"/>
  <c r="E1728" i="1"/>
  <c r="K1727" i="1"/>
  <c r="I1727" i="1"/>
  <c r="J1727" i="1" s="1"/>
  <c r="H1727" i="1"/>
  <c r="G1727" i="1"/>
  <c r="F1727" i="1"/>
  <c r="E1727" i="1"/>
  <c r="K1726" i="1"/>
  <c r="J1726" i="1"/>
  <c r="I1726" i="1"/>
  <c r="H1726" i="1"/>
  <c r="G1726" i="1"/>
  <c r="F1726" i="1"/>
  <c r="E1726" i="1"/>
  <c r="K1725" i="1"/>
  <c r="I1725" i="1"/>
  <c r="J1725" i="1" s="1"/>
  <c r="H1725" i="1"/>
  <c r="G1725" i="1"/>
  <c r="F1725" i="1"/>
  <c r="E1725" i="1"/>
  <c r="K1724" i="1"/>
  <c r="I1724" i="1"/>
  <c r="H1724" i="1"/>
  <c r="J1724" i="1" s="1"/>
  <c r="G1724" i="1"/>
  <c r="F1724" i="1"/>
  <c r="E1724" i="1"/>
  <c r="K1723" i="1"/>
  <c r="I1723" i="1"/>
  <c r="J1723" i="1" s="1"/>
  <c r="H1723" i="1"/>
  <c r="G1723" i="1"/>
  <c r="F1723" i="1"/>
  <c r="E1723" i="1"/>
  <c r="K1722" i="1"/>
  <c r="J1722" i="1"/>
  <c r="I1722" i="1"/>
  <c r="H1722" i="1"/>
  <c r="G1722" i="1"/>
  <c r="F1722" i="1"/>
  <c r="E1722" i="1"/>
  <c r="K1721" i="1"/>
  <c r="I1721" i="1"/>
  <c r="J1721" i="1" s="1"/>
  <c r="H1721" i="1"/>
  <c r="G1721" i="1"/>
  <c r="F1721" i="1"/>
  <c r="E1721" i="1"/>
  <c r="K1720" i="1"/>
  <c r="I1720" i="1"/>
  <c r="H1720" i="1"/>
  <c r="J1720" i="1" s="1"/>
  <c r="G1720" i="1"/>
  <c r="F1720" i="1"/>
  <c r="E1720" i="1"/>
  <c r="K1719" i="1"/>
  <c r="I1719" i="1"/>
  <c r="J1719" i="1" s="1"/>
  <c r="H1719" i="1"/>
  <c r="G1719" i="1"/>
  <c r="F1719" i="1"/>
  <c r="E1719" i="1"/>
  <c r="K1718" i="1"/>
  <c r="J1718" i="1"/>
  <c r="I1718" i="1"/>
  <c r="H1718" i="1"/>
  <c r="G1718" i="1"/>
  <c r="F1718" i="1"/>
  <c r="E1718" i="1"/>
  <c r="K1717" i="1"/>
  <c r="I1717" i="1"/>
  <c r="J1717" i="1" s="1"/>
  <c r="H1717" i="1"/>
  <c r="G1717" i="1"/>
  <c r="F1717" i="1"/>
  <c r="E1717" i="1"/>
  <c r="K1716" i="1"/>
  <c r="J1716" i="1"/>
  <c r="I1716" i="1"/>
  <c r="H1716" i="1"/>
  <c r="G1716" i="1"/>
  <c r="F1716" i="1"/>
  <c r="E1716" i="1"/>
  <c r="K1715" i="1"/>
  <c r="I1715" i="1"/>
  <c r="J1715" i="1" s="1"/>
  <c r="H1715" i="1"/>
  <c r="G1715" i="1"/>
  <c r="F1715" i="1"/>
  <c r="E1715" i="1"/>
  <c r="K1714" i="1"/>
  <c r="I1714" i="1"/>
  <c r="H1714" i="1"/>
  <c r="J1714" i="1" s="1"/>
  <c r="G1714" i="1"/>
  <c r="F1714" i="1"/>
  <c r="E1714" i="1"/>
  <c r="K1713" i="1"/>
  <c r="I1713" i="1"/>
  <c r="J1713" i="1" s="1"/>
  <c r="H1713" i="1"/>
  <c r="G1713" i="1"/>
  <c r="F1713" i="1"/>
  <c r="E1713" i="1"/>
  <c r="K1712" i="1"/>
  <c r="I1712" i="1"/>
  <c r="H1712" i="1"/>
  <c r="J1712" i="1" s="1"/>
  <c r="G1712" i="1"/>
  <c r="F1712" i="1"/>
  <c r="E1712" i="1"/>
  <c r="K1711" i="1"/>
  <c r="I1711" i="1"/>
  <c r="J1711" i="1" s="1"/>
  <c r="H1711" i="1"/>
  <c r="G1711" i="1"/>
  <c r="F1711" i="1"/>
  <c r="E1711" i="1"/>
  <c r="K1710" i="1"/>
  <c r="J1710" i="1"/>
  <c r="I1710" i="1"/>
  <c r="H1710" i="1"/>
  <c r="G1710" i="1"/>
  <c r="F1710" i="1"/>
  <c r="E1710" i="1"/>
  <c r="K1709" i="1"/>
  <c r="I1709" i="1"/>
  <c r="J1709" i="1" s="1"/>
  <c r="H1709" i="1"/>
  <c r="G1709" i="1"/>
  <c r="F1709" i="1"/>
  <c r="E1709" i="1"/>
  <c r="K1708" i="1"/>
  <c r="J1708" i="1"/>
  <c r="I1708" i="1"/>
  <c r="H1708" i="1"/>
  <c r="G1708" i="1"/>
  <c r="F1708" i="1"/>
  <c r="E1708" i="1"/>
  <c r="K1707" i="1"/>
  <c r="I1707" i="1"/>
  <c r="J1707" i="1" s="1"/>
  <c r="H1707" i="1"/>
  <c r="G1707" i="1"/>
  <c r="F1707" i="1"/>
  <c r="E1707" i="1"/>
  <c r="K1706" i="1"/>
  <c r="J1706" i="1"/>
  <c r="I1706" i="1"/>
  <c r="H1706" i="1"/>
  <c r="G1706" i="1"/>
  <c r="F1706" i="1"/>
  <c r="E1706" i="1"/>
  <c r="K1705" i="1"/>
  <c r="I1705" i="1"/>
  <c r="J1705" i="1" s="1"/>
  <c r="H1705" i="1"/>
  <c r="G1705" i="1"/>
  <c r="F1705" i="1"/>
  <c r="E1705" i="1"/>
  <c r="K1704" i="1"/>
  <c r="I1704" i="1"/>
  <c r="H1704" i="1"/>
  <c r="J1704" i="1" s="1"/>
  <c r="G1704" i="1"/>
  <c r="F1704" i="1"/>
  <c r="E1704" i="1"/>
  <c r="K1703" i="1"/>
  <c r="I1703" i="1"/>
  <c r="J1703" i="1" s="1"/>
  <c r="H1703" i="1"/>
  <c r="G1703" i="1"/>
  <c r="F1703" i="1"/>
  <c r="E1703" i="1"/>
  <c r="K1702" i="1"/>
  <c r="J1702" i="1"/>
  <c r="I1702" i="1"/>
  <c r="H1702" i="1"/>
  <c r="G1702" i="1"/>
  <c r="F1702" i="1"/>
  <c r="E1702" i="1"/>
  <c r="K1701" i="1"/>
  <c r="I1701" i="1"/>
  <c r="J1701" i="1" s="1"/>
  <c r="H1701" i="1"/>
  <c r="G1701" i="1"/>
  <c r="F1701" i="1"/>
  <c r="E1701" i="1"/>
  <c r="K1700" i="1"/>
  <c r="I1700" i="1"/>
  <c r="H1700" i="1"/>
  <c r="J1700" i="1" s="1"/>
  <c r="G1700" i="1"/>
  <c r="F1700" i="1"/>
  <c r="E1700" i="1"/>
  <c r="K1699" i="1"/>
  <c r="I1699" i="1"/>
  <c r="J1699" i="1" s="1"/>
  <c r="H1699" i="1"/>
  <c r="G1699" i="1"/>
  <c r="F1699" i="1"/>
  <c r="E1699" i="1"/>
  <c r="K1698" i="1"/>
  <c r="J1698" i="1"/>
  <c r="I1698" i="1"/>
  <c r="H1698" i="1"/>
  <c r="G1698" i="1"/>
  <c r="F1698" i="1"/>
  <c r="E1698" i="1"/>
  <c r="K1697" i="1"/>
  <c r="I1697" i="1"/>
  <c r="J1697" i="1" s="1"/>
  <c r="H1697" i="1"/>
  <c r="G1697" i="1"/>
  <c r="F1697" i="1"/>
  <c r="E1697" i="1"/>
  <c r="K1696" i="1"/>
  <c r="J1696" i="1"/>
  <c r="I1696" i="1"/>
  <c r="H1696" i="1"/>
  <c r="G1696" i="1"/>
  <c r="F1696" i="1"/>
  <c r="E1696" i="1"/>
  <c r="K1695" i="1"/>
  <c r="I1695" i="1"/>
  <c r="J1695" i="1" s="1"/>
  <c r="H1695" i="1"/>
  <c r="G1695" i="1"/>
  <c r="F1695" i="1"/>
  <c r="E1695" i="1"/>
  <c r="K1694" i="1"/>
  <c r="J1694" i="1"/>
  <c r="I1694" i="1"/>
  <c r="H1694" i="1"/>
  <c r="G1694" i="1"/>
  <c r="F1694" i="1"/>
  <c r="E1694" i="1"/>
  <c r="K1693" i="1"/>
  <c r="I1693" i="1"/>
  <c r="J1693" i="1" s="1"/>
  <c r="H1693" i="1"/>
  <c r="G1693" i="1"/>
  <c r="F1693" i="1"/>
  <c r="E1693" i="1"/>
  <c r="K1692" i="1"/>
  <c r="I1692" i="1"/>
  <c r="H1692" i="1"/>
  <c r="J1692" i="1" s="1"/>
  <c r="G1692" i="1"/>
  <c r="F1692" i="1"/>
  <c r="E1692" i="1"/>
  <c r="K1691" i="1"/>
  <c r="I1691" i="1"/>
  <c r="J1691" i="1" s="1"/>
  <c r="H1691" i="1"/>
  <c r="G1691" i="1"/>
  <c r="F1691" i="1"/>
  <c r="E1691" i="1"/>
  <c r="K1690" i="1"/>
  <c r="J1690" i="1"/>
  <c r="I1690" i="1"/>
  <c r="H1690" i="1"/>
  <c r="G1690" i="1"/>
  <c r="F1690" i="1"/>
  <c r="E1690" i="1"/>
  <c r="K1689" i="1"/>
  <c r="I1689" i="1"/>
  <c r="J1689" i="1" s="1"/>
  <c r="H1689" i="1"/>
  <c r="G1689" i="1"/>
  <c r="F1689" i="1"/>
  <c r="E1689" i="1"/>
  <c r="K1688" i="1"/>
  <c r="I1688" i="1"/>
  <c r="H1688" i="1"/>
  <c r="J1688" i="1" s="1"/>
  <c r="G1688" i="1"/>
  <c r="F1688" i="1"/>
  <c r="E1688" i="1"/>
  <c r="K1687" i="1"/>
  <c r="I1687" i="1"/>
  <c r="J1687" i="1" s="1"/>
  <c r="H1687" i="1"/>
  <c r="G1687" i="1"/>
  <c r="F1687" i="1"/>
  <c r="E1687" i="1"/>
  <c r="K1686" i="1"/>
  <c r="J1686" i="1"/>
  <c r="I1686" i="1"/>
  <c r="H1686" i="1"/>
  <c r="G1686" i="1"/>
  <c r="F1686" i="1"/>
  <c r="E1686" i="1"/>
  <c r="K1685" i="1"/>
  <c r="I1685" i="1"/>
  <c r="J1685" i="1" s="1"/>
  <c r="H1685" i="1"/>
  <c r="G1685" i="1"/>
  <c r="F1685" i="1"/>
  <c r="E1685" i="1"/>
  <c r="K1684" i="1"/>
  <c r="I1684" i="1"/>
  <c r="H1684" i="1"/>
  <c r="J1684" i="1" s="1"/>
  <c r="G1684" i="1"/>
  <c r="F1684" i="1"/>
  <c r="E1684" i="1"/>
  <c r="K1683" i="1"/>
  <c r="I1683" i="1"/>
  <c r="J1683" i="1" s="1"/>
  <c r="H1683" i="1"/>
  <c r="G1683" i="1"/>
  <c r="F1683" i="1"/>
  <c r="E1683" i="1"/>
  <c r="K1682" i="1"/>
  <c r="J1682" i="1"/>
  <c r="I1682" i="1"/>
  <c r="H1682" i="1"/>
  <c r="G1682" i="1"/>
  <c r="F1682" i="1"/>
  <c r="E1682" i="1"/>
  <c r="K1681" i="1"/>
  <c r="I1681" i="1"/>
  <c r="J1681" i="1" s="1"/>
  <c r="H1681" i="1"/>
  <c r="G1681" i="1"/>
  <c r="F1681" i="1"/>
  <c r="E1681" i="1"/>
  <c r="K1680" i="1"/>
  <c r="I1680" i="1"/>
  <c r="H1680" i="1"/>
  <c r="J1680" i="1" s="1"/>
  <c r="G1680" i="1"/>
  <c r="F1680" i="1"/>
  <c r="E1680" i="1"/>
  <c r="K1679" i="1"/>
  <c r="I1679" i="1"/>
  <c r="J1679" i="1" s="1"/>
  <c r="H1679" i="1"/>
  <c r="G1679" i="1"/>
  <c r="F1679" i="1"/>
  <c r="E1679" i="1"/>
  <c r="K1678" i="1"/>
  <c r="J1678" i="1"/>
  <c r="I1678" i="1"/>
  <c r="H1678" i="1"/>
  <c r="G1678" i="1"/>
  <c r="F1678" i="1"/>
  <c r="E1678" i="1"/>
  <c r="K1677" i="1"/>
  <c r="I1677" i="1"/>
  <c r="J1677" i="1" s="1"/>
  <c r="H1677" i="1"/>
  <c r="G1677" i="1"/>
  <c r="F1677" i="1"/>
  <c r="E1677" i="1"/>
  <c r="K1676" i="1"/>
  <c r="I1676" i="1"/>
  <c r="H1676" i="1"/>
  <c r="J1676" i="1" s="1"/>
  <c r="G1676" i="1"/>
  <c r="F1676" i="1"/>
  <c r="E1676" i="1"/>
  <c r="K1675" i="1"/>
  <c r="I1675" i="1"/>
  <c r="J1675" i="1" s="1"/>
  <c r="H1675" i="1"/>
  <c r="G1675" i="1"/>
  <c r="F1675" i="1"/>
  <c r="E1675" i="1"/>
  <c r="K1674" i="1"/>
  <c r="I1674" i="1"/>
  <c r="H1674" i="1"/>
  <c r="J1674" i="1" s="1"/>
  <c r="G1674" i="1"/>
  <c r="F1674" i="1"/>
  <c r="E1674" i="1"/>
  <c r="K1673" i="1"/>
  <c r="I1673" i="1"/>
  <c r="J1673" i="1" s="1"/>
  <c r="H1673" i="1"/>
  <c r="G1673" i="1"/>
  <c r="F1673" i="1"/>
  <c r="E1673" i="1"/>
  <c r="K1672" i="1"/>
  <c r="J1672" i="1"/>
  <c r="I1672" i="1"/>
  <c r="H1672" i="1"/>
  <c r="G1672" i="1"/>
  <c r="F1672" i="1"/>
  <c r="E1672" i="1"/>
  <c r="K1671" i="1"/>
  <c r="I1671" i="1"/>
  <c r="J1671" i="1" s="1"/>
  <c r="H1671" i="1"/>
  <c r="G1671" i="1"/>
  <c r="F1671" i="1"/>
  <c r="E1671" i="1"/>
  <c r="K1670" i="1"/>
  <c r="J1670" i="1"/>
  <c r="I1670" i="1"/>
  <c r="H1670" i="1"/>
  <c r="G1670" i="1"/>
  <c r="F1670" i="1"/>
  <c r="E1670" i="1"/>
  <c r="K1669" i="1"/>
  <c r="I1669" i="1"/>
  <c r="J1669" i="1" s="1"/>
  <c r="H1669" i="1"/>
  <c r="G1669" i="1"/>
  <c r="F1669" i="1"/>
  <c r="E1669" i="1"/>
  <c r="K1668" i="1"/>
  <c r="J1668" i="1"/>
  <c r="I1668" i="1"/>
  <c r="H1668" i="1"/>
  <c r="G1668" i="1"/>
  <c r="F1668" i="1"/>
  <c r="E1668" i="1"/>
  <c r="K1667" i="1"/>
  <c r="I1667" i="1"/>
  <c r="J1667" i="1" s="1"/>
  <c r="H1667" i="1"/>
  <c r="G1667" i="1"/>
  <c r="F1667" i="1"/>
  <c r="E1667" i="1"/>
  <c r="K1666" i="1"/>
  <c r="I1666" i="1"/>
  <c r="H1666" i="1"/>
  <c r="J1666" i="1" s="1"/>
  <c r="G1666" i="1"/>
  <c r="F1666" i="1"/>
  <c r="E1666" i="1"/>
  <c r="K1665" i="1"/>
  <c r="I1665" i="1"/>
  <c r="J1665" i="1" s="1"/>
  <c r="H1665" i="1"/>
  <c r="G1665" i="1"/>
  <c r="F1665" i="1"/>
  <c r="E1665" i="1"/>
  <c r="K1664" i="1"/>
  <c r="I1664" i="1"/>
  <c r="H1664" i="1"/>
  <c r="J1664" i="1" s="1"/>
  <c r="G1664" i="1"/>
  <c r="F1664" i="1"/>
  <c r="E1664" i="1"/>
  <c r="K1663" i="1"/>
  <c r="I1663" i="1"/>
  <c r="J1663" i="1" s="1"/>
  <c r="H1663" i="1"/>
  <c r="G1663" i="1"/>
  <c r="F1663" i="1"/>
  <c r="E1663" i="1"/>
  <c r="K1662" i="1"/>
  <c r="J1662" i="1"/>
  <c r="I1662" i="1"/>
  <c r="H1662" i="1"/>
  <c r="G1662" i="1"/>
  <c r="F1662" i="1"/>
  <c r="E1662" i="1"/>
  <c r="K1661" i="1"/>
  <c r="I1661" i="1"/>
  <c r="J1661" i="1" s="1"/>
  <c r="H1661" i="1"/>
  <c r="G1661" i="1"/>
  <c r="F1661" i="1"/>
  <c r="E1661" i="1"/>
  <c r="K1660" i="1"/>
  <c r="J1660" i="1"/>
  <c r="I1660" i="1"/>
  <c r="H1660" i="1"/>
  <c r="G1660" i="1"/>
  <c r="F1660" i="1"/>
  <c r="E1660" i="1"/>
  <c r="K1659" i="1"/>
  <c r="I1659" i="1"/>
  <c r="J1659" i="1" s="1"/>
  <c r="H1659" i="1"/>
  <c r="G1659" i="1"/>
  <c r="F1659" i="1"/>
  <c r="E1659" i="1"/>
  <c r="K1658" i="1"/>
  <c r="I1658" i="1"/>
  <c r="H1658" i="1"/>
  <c r="J1658" i="1" s="1"/>
  <c r="G1658" i="1"/>
  <c r="F1658" i="1"/>
  <c r="E1658" i="1"/>
  <c r="K1657" i="1"/>
  <c r="I1657" i="1"/>
  <c r="J1657" i="1" s="1"/>
  <c r="H1657" i="1"/>
  <c r="G1657" i="1"/>
  <c r="F1657" i="1"/>
  <c r="E1657" i="1"/>
  <c r="K1656" i="1"/>
  <c r="J1656" i="1"/>
  <c r="I1656" i="1"/>
  <c r="H1656" i="1"/>
  <c r="G1656" i="1"/>
  <c r="F1656" i="1"/>
  <c r="E1656" i="1"/>
  <c r="K1655" i="1"/>
  <c r="I1655" i="1"/>
  <c r="J1655" i="1" s="1"/>
  <c r="H1655" i="1"/>
  <c r="G1655" i="1"/>
  <c r="F1655" i="1"/>
  <c r="E1655" i="1"/>
  <c r="K1654" i="1"/>
  <c r="J1654" i="1"/>
  <c r="I1654" i="1"/>
  <c r="H1654" i="1"/>
  <c r="G1654" i="1"/>
  <c r="F1654" i="1"/>
  <c r="E1654" i="1"/>
  <c r="K1653" i="1"/>
  <c r="I1653" i="1"/>
  <c r="J1653" i="1" s="1"/>
  <c r="H1653" i="1"/>
  <c r="G1653" i="1"/>
  <c r="F1653" i="1"/>
  <c r="E1653" i="1"/>
  <c r="K1652" i="1"/>
  <c r="J1652" i="1"/>
  <c r="I1652" i="1"/>
  <c r="H1652" i="1"/>
  <c r="G1652" i="1"/>
  <c r="F1652" i="1"/>
  <c r="E1652" i="1"/>
  <c r="K1651" i="1"/>
  <c r="I1651" i="1"/>
  <c r="J1651" i="1" s="1"/>
  <c r="H1651" i="1"/>
  <c r="G1651" i="1"/>
  <c r="F1651" i="1"/>
  <c r="E1651" i="1"/>
  <c r="K1650" i="1"/>
  <c r="I1650" i="1"/>
  <c r="H1650" i="1"/>
  <c r="J1650" i="1" s="1"/>
  <c r="G1650" i="1"/>
  <c r="F1650" i="1"/>
  <c r="E1650" i="1"/>
  <c r="K1649" i="1"/>
  <c r="I1649" i="1"/>
  <c r="J1649" i="1" s="1"/>
  <c r="H1649" i="1"/>
  <c r="G1649" i="1"/>
  <c r="F1649" i="1"/>
  <c r="E1649" i="1"/>
  <c r="K1648" i="1"/>
  <c r="I1648" i="1"/>
  <c r="H1648" i="1"/>
  <c r="J1648" i="1" s="1"/>
  <c r="G1648" i="1"/>
  <c r="F1648" i="1"/>
  <c r="E1648" i="1"/>
  <c r="K1647" i="1"/>
  <c r="I1647" i="1"/>
  <c r="J1647" i="1" s="1"/>
  <c r="H1647" i="1"/>
  <c r="G1647" i="1"/>
  <c r="F1647" i="1"/>
  <c r="E1647" i="1"/>
  <c r="K1646" i="1"/>
  <c r="J1646" i="1"/>
  <c r="I1646" i="1"/>
  <c r="H1646" i="1"/>
  <c r="G1646" i="1"/>
  <c r="F1646" i="1"/>
  <c r="E1646" i="1"/>
  <c r="K1645" i="1"/>
  <c r="I1645" i="1"/>
  <c r="J1645" i="1" s="1"/>
  <c r="H1645" i="1"/>
  <c r="G1645" i="1"/>
  <c r="F1645" i="1"/>
  <c r="E1645" i="1"/>
  <c r="K1644" i="1"/>
  <c r="J1644" i="1"/>
  <c r="I1644" i="1"/>
  <c r="H1644" i="1"/>
  <c r="G1644" i="1"/>
  <c r="F1644" i="1"/>
  <c r="E1644" i="1"/>
  <c r="K1643" i="1"/>
  <c r="I1643" i="1"/>
  <c r="J1643" i="1" s="1"/>
  <c r="H1643" i="1"/>
  <c r="G1643" i="1"/>
  <c r="F1643" i="1"/>
  <c r="E1643" i="1"/>
  <c r="K1642" i="1"/>
  <c r="I1642" i="1"/>
  <c r="H1642" i="1"/>
  <c r="J1642" i="1" s="1"/>
  <c r="G1642" i="1"/>
  <c r="F1642" i="1"/>
  <c r="E1642" i="1"/>
  <c r="K1641" i="1"/>
  <c r="I1641" i="1"/>
  <c r="J1641" i="1" s="1"/>
  <c r="H1641" i="1"/>
  <c r="G1641" i="1"/>
  <c r="F1641" i="1"/>
  <c r="E1641" i="1"/>
  <c r="K1640" i="1"/>
  <c r="I1640" i="1"/>
  <c r="H1640" i="1"/>
  <c r="J1640" i="1" s="1"/>
  <c r="G1640" i="1"/>
  <c r="F1640" i="1"/>
  <c r="E1640" i="1"/>
  <c r="K1639" i="1"/>
  <c r="I1639" i="1"/>
  <c r="J1639" i="1" s="1"/>
  <c r="H1639" i="1"/>
  <c r="G1639" i="1"/>
  <c r="F1639" i="1"/>
  <c r="E1639" i="1"/>
  <c r="K1638" i="1"/>
  <c r="J1638" i="1"/>
  <c r="I1638" i="1"/>
  <c r="H1638" i="1"/>
  <c r="G1638" i="1"/>
  <c r="F1638" i="1"/>
  <c r="E1638" i="1"/>
  <c r="K1637" i="1"/>
  <c r="I1637" i="1"/>
  <c r="J1637" i="1" s="1"/>
  <c r="H1637" i="1"/>
  <c r="G1637" i="1"/>
  <c r="F1637" i="1"/>
  <c r="E1637" i="1"/>
  <c r="K1636" i="1"/>
  <c r="J1636" i="1"/>
  <c r="I1636" i="1"/>
  <c r="H1636" i="1"/>
  <c r="G1636" i="1"/>
  <c r="F1636" i="1"/>
  <c r="E1636" i="1"/>
  <c r="K1635" i="1"/>
  <c r="I1635" i="1"/>
  <c r="J1635" i="1" s="1"/>
  <c r="H1635" i="1"/>
  <c r="G1635" i="1"/>
  <c r="F1635" i="1"/>
  <c r="E1635" i="1"/>
  <c r="K1634" i="1"/>
  <c r="I1634" i="1"/>
  <c r="H1634" i="1"/>
  <c r="J1634" i="1" s="1"/>
  <c r="G1634" i="1"/>
  <c r="F1634" i="1"/>
  <c r="E1634" i="1"/>
  <c r="K1633" i="1"/>
  <c r="I1633" i="1"/>
  <c r="J1633" i="1" s="1"/>
  <c r="H1633" i="1"/>
  <c r="G1633" i="1"/>
  <c r="F1633" i="1"/>
  <c r="E1633" i="1"/>
  <c r="K1632" i="1"/>
  <c r="I1632" i="1"/>
  <c r="H1632" i="1"/>
  <c r="J1632" i="1" s="1"/>
  <c r="G1632" i="1"/>
  <c r="F1632" i="1"/>
  <c r="E1632" i="1"/>
  <c r="K1631" i="1"/>
  <c r="I1631" i="1"/>
  <c r="J1631" i="1" s="1"/>
  <c r="H1631" i="1"/>
  <c r="G1631" i="1"/>
  <c r="F1631" i="1"/>
  <c r="E1631" i="1"/>
  <c r="K1630" i="1"/>
  <c r="J1630" i="1"/>
  <c r="I1630" i="1"/>
  <c r="H1630" i="1"/>
  <c r="G1630" i="1"/>
  <c r="F1630" i="1"/>
  <c r="E1630" i="1"/>
  <c r="K1629" i="1"/>
  <c r="I1629" i="1"/>
  <c r="J1629" i="1" s="1"/>
  <c r="H1629" i="1"/>
  <c r="G1629" i="1"/>
  <c r="F1629" i="1"/>
  <c r="E1629" i="1"/>
  <c r="K1628" i="1"/>
  <c r="J1628" i="1"/>
  <c r="I1628" i="1"/>
  <c r="H1628" i="1"/>
  <c r="G1628" i="1"/>
  <c r="F1628" i="1"/>
  <c r="E1628" i="1"/>
  <c r="K1627" i="1"/>
  <c r="I1627" i="1"/>
  <c r="J1627" i="1" s="1"/>
  <c r="H1627" i="1"/>
  <c r="G1627" i="1"/>
  <c r="F1627" i="1"/>
  <c r="E1627" i="1"/>
  <c r="K1626" i="1"/>
  <c r="I1626" i="1"/>
  <c r="H1626" i="1"/>
  <c r="J1626" i="1" s="1"/>
  <c r="G1626" i="1"/>
  <c r="F1626" i="1"/>
  <c r="E1626" i="1"/>
  <c r="K1625" i="1"/>
  <c r="I1625" i="1"/>
  <c r="J1625" i="1" s="1"/>
  <c r="H1625" i="1"/>
  <c r="G1625" i="1"/>
  <c r="F1625" i="1"/>
  <c r="E1625" i="1"/>
  <c r="K1624" i="1"/>
  <c r="I1624" i="1"/>
  <c r="H1624" i="1"/>
  <c r="J1624" i="1" s="1"/>
  <c r="G1624" i="1"/>
  <c r="F1624" i="1"/>
  <c r="E1624" i="1"/>
  <c r="K1623" i="1"/>
  <c r="I1623" i="1"/>
  <c r="J1623" i="1" s="1"/>
  <c r="H1623" i="1"/>
  <c r="G1623" i="1"/>
  <c r="F1623" i="1"/>
  <c r="E1623" i="1"/>
  <c r="K1622" i="1"/>
  <c r="J1622" i="1"/>
  <c r="I1622" i="1"/>
  <c r="H1622" i="1"/>
  <c r="G1622" i="1"/>
  <c r="F1622" i="1"/>
  <c r="E1622" i="1"/>
  <c r="K1621" i="1"/>
  <c r="I1621" i="1"/>
  <c r="J1621" i="1" s="1"/>
  <c r="H1621" i="1"/>
  <c r="G1621" i="1"/>
  <c r="F1621" i="1"/>
  <c r="E1621" i="1"/>
  <c r="K1620" i="1"/>
  <c r="J1620" i="1"/>
  <c r="I1620" i="1"/>
  <c r="H1620" i="1"/>
  <c r="G1620" i="1"/>
  <c r="F1620" i="1"/>
  <c r="E1620" i="1"/>
  <c r="K1619" i="1"/>
  <c r="I1619" i="1"/>
  <c r="J1619" i="1" s="1"/>
  <c r="H1619" i="1"/>
  <c r="G1619" i="1"/>
  <c r="F1619" i="1"/>
  <c r="E1619" i="1"/>
  <c r="K1618" i="1"/>
  <c r="I1618" i="1"/>
  <c r="H1618" i="1"/>
  <c r="J1618" i="1" s="1"/>
  <c r="G1618" i="1"/>
  <c r="F1618" i="1"/>
  <c r="E1618" i="1"/>
  <c r="K1617" i="1"/>
  <c r="I1617" i="1"/>
  <c r="J1617" i="1" s="1"/>
  <c r="H1617" i="1"/>
  <c r="G1617" i="1"/>
  <c r="F1617" i="1"/>
  <c r="E1617" i="1"/>
  <c r="K1616" i="1"/>
  <c r="I1616" i="1"/>
  <c r="H1616" i="1"/>
  <c r="J1616" i="1" s="1"/>
  <c r="G1616" i="1"/>
  <c r="F1616" i="1"/>
  <c r="E1616" i="1"/>
  <c r="K1615" i="1"/>
  <c r="I1615" i="1"/>
  <c r="J1615" i="1" s="1"/>
  <c r="H1615" i="1"/>
  <c r="G1615" i="1"/>
  <c r="F1615" i="1"/>
  <c r="E1615" i="1"/>
  <c r="K1614" i="1"/>
  <c r="J1614" i="1"/>
  <c r="I1614" i="1"/>
  <c r="H1614" i="1"/>
  <c r="G1614" i="1"/>
  <c r="F1614" i="1"/>
  <c r="E1614" i="1"/>
  <c r="K1613" i="1"/>
  <c r="I1613" i="1"/>
  <c r="J1613" i="1" s="1"/>
  <c r="H1613" i="1"/>
  <c r="G1613" i="1"/>
  <c r="F1613" i="1"/>
  <c r="E1613" i="1"/>
  <c r="K1612" i="1"/>
  <c r="J1612" i="1"/>
  <c r="I1612" i="1"/>
  <c r="H1612" i="1"/>
  <c r="G1612" i="1"/>
  <c r="F1612" i="1"/>
  <c r="E1612" i="1"/>
  <c r="K1611" i="1"/>
  <c r="I1611" i="1"/>
  <c r="J1611" i="1" s="1"/>
  <c r="H1611" i="1"/>
  <c r="G1611" i="1"/>
  <c r="F1611" i="1"/>
  <c r="E1611" i="1"/>
  <c r="K1610" i="1"/>
  <c r="I1610" i="1"/>
  <c r="H1610" i="1"/>
  <c r="J1610" i="1" s="1"/>
  <c r="G1610" i="1"/>
  <c r="F1610" i="1"/>
  <c r="E1610" i="1"/>
  <c r="K1609" i="1"/>
  <c r="I1609" i="1"/>
  <c r="J1609" i="1" s="1"/>
  <c r="H1609" i="1"/>
  <c r="G1609" i="1"/>
  <c r="F1609" i="1"/>
  <c r="E1609" i="1"/>
  <c r="K1608" i="1"/>
  <c r="I1608" i="1"/>
  <c r="H1608" i="1"/>
  <c r="J1608" i="1" s="1"/>
  <c r="G1608" i="1"/>
  <c r="F1608" i="1"/>
  <c r="E1608" i="1"/>
  <c r="K1607" i="1"/>
  <c r="I1607" i="1"/>
  <c r="J1607" i="1" s="1"/>
  <c r="H1607" i="1"/>
  <c r="G1607" i="1"/>
  <c r="F1607" i="1"/>
  <c r="E1607" i="1"/>
  <c r="K1606" i="1"/>
  <c r="J1606" i="1"/>
  <c r="I1606" i="1"/>
  <c r="H1606" i="1"/>
  <c r="G1606" i="1"/>
  <c r="F1606" i="1"/>
  <c r="E1606" i="1"/>
  <c r="K1605" i="1"/>
  <c r="I1605" i="1"/>
  <c r="J1605" i="1" s="1"/>
  <c r="H1605" i="1"/>
  <c r="G1605" i="1"/>
  <c r="F1605" i="1"/>
  <c r="E1605" i="1"/>
  <c r="K1604" i="1"/>
  <c r="J1604" i="1"/>
  <c r="I1604" i="1"/>
  <c r="H1604" i="1"/>
  <c r="G1604" i="1"/>
  <c r="F1604" i="1"/>
  <c r="E1604" i="1"/>
  <c r="K1603" i="1"/>
  <c r="I1603" i="1"/>
  <c r="J1603" i="1" s="1"/>
  <c r="H1603" i="1"/>
  <c r="G1603" i="1"/>
  <c r="F1603" i="1"/>
  <c r="E1603" i="1"/>
  <c r="K1602" i="1"/>
  <c r="J1602" i="1"/>
  <c r="I1602" i="1"/>
  <c r="H1602" i="1"/>
  <c r="G1602" i="1"/>
  <c r="F1602" i="1"/>
  <c r="E1602" i="1"/>
  <c r="K1601" i="1"/>
  <c r="I1601" i="1"/>
  <c r="J1601" i="1" s="1"/>
  <c r="H1601" i="1"/>
  <c r="G1601" i="1"/>
  <c r="F1601" i="1"/>
  <c r="E1601" i="1"/>
  <c r="K1600" i="1"/>
  <c r="I1600" i="1"/>
  <c r="H1600" i="1"/>
  <c r="J1600" i="1" s="1"/>
  <c r="G1600" i="1"/>
  <c r="F1600" i="1"/>
  <c r="E1600" i="1"/>
  <c r="K1599" i="1"/>
  <c r="I1599" i="1"/>
  <c r="J1599" i="1" s="1"/>
  <c r="H1599" i="1"/>
  <c r="G1599" i="1"/>
  <c r="F1599" i="1"/>
  <c r="E1599" i="1"/>
  <c r="K1598" i="1"/>
  <c r="I1598" i="1"/>
  <c r="J1598" i="1" s="1"/>
  <c r="H1598" i="1"/>
  <c r="G1598" i="1"/>
  <c r="F1598" i="1"/>
  <c r="E1598" i="1"/>
  <c r="K1597" i="1"/>
  <c r="I1597" i="1"/>
  <c r="J1597" i="1" s="1"/>
  <c r="H1597" i="1"/>
  <c r="G1597" i="1"/>
  <c r="F1597" i="1"/>
  <c r="E1597" i="1"/>
  <c r="K1596" i="1"/>
  <c r="I1596" i="1"/>
  <c r="J1596" i="1" s="1"/>
  <c r="H1596" i="1"/>
  <c r="G1596" i="1"/>
  <c r="F1596" i="1"/>
  <c r="E1596" i="1"/>
  <c r="K1595" i="1"/>
  <c r="J1595" i="1"/>
  <c r="I1595" i="1"/>
  <c r="H1595" i="1"/>
  <c r="G1595" i="1"/>
  <c r="F1595" i="1"/>
  <c r="E1595" i="1"/>
  <c r="K1594" i="1"/>
  <c r="I1594" i="1"/>
  <c r="J1594" i="1" s="1"/>
  <c r="H1594" i="1"/>
  <c r="G1594" i="1"/>
  <c r="F1594" i="1"/>
  <c r="E1594" i="1"/>
  <c r="K1593" i="1"/>
  <c r="I1593" i="1"/>
  <c r="J1593" i="1" s="1"/>
  <c r="H1593" i="1"/>
  <c r="G1593" i="1"/>
  <c r="F1593" i="1"/>
  <c r="E1593" i="1"/>
  <c r="K1592" i="1"/>
  <c r="I1592" i="1"/>
  <c r="J1592" i="1" s="1"/>
  <c r="H1592" i="1"/>
  <c r="G1592" i="1"/>
  <c r="F1592" i="1"/>
  <c r="E1592" i="1"/>
  <c r="K1591" i="1"/>
  <c r="J1591" i="1"/>
  <c r="I1591" i="1"/>
  <c r="H1591" i="1"/>
  <c r="G1591" i="1"/>
  <c r="F1591" i="1"/>
  <c r="E1591" i="1"/>
  <c r="K1590" i="1"/>
  <c r="J1590" i="1"/>
  <c r="I1590" i="1"/>
  <c r="H1590" i="1"/>
  <c r="G1590" i="1"/>
  <c r="F1590" i="1"/>
  <c r="E1590" i="1"/>
  <c r="K1589" i="1"/>
  <c r="I1589" i="1"/>
  <c r="J1589" i="1" s="1"/>
  <c r="H1589" i="1"/>
  <c r="G1589" i="1"/>
  <c r="F1589" i="1"/>
  <c r="E1589" i="1"/>
  <c r="K1588" i="1"/>
  <c r="I1588" i="1"/>
  <c r="J1588" i="1" s="1"/>
  <c r="H1588" i="1"/>
  <c r="G1588" i="1"/>
  <c r="F1588" i="1"/>
  <c r="E1588" i="1"/>
  <c r="K1587" i="1"/>
  <c r="J1587" i="1"/>
  <c r="I1587" i="1"/>
  <c r="H1587" i="1"/>
  <c r="G1587" i="1"/>
  <c r="F1587" i="1"/>
  <c r="E1587" i="1"/>
  <c r="K1586" i="1"/>
  <c r="I1586" i="1"/>
  <c r="J1586" i="1" s="1"/>
  <c r="H1586" i="1"/>
  <c r="G1586" i="1"/>
  <c r="F1586" i="1"/>
  <c r="E1586" i="1"/>
  <c r="K1585" i="1"/>
  <c r="I1585" i="1"/>
  <c r="J1585" i="1" s="1"/>
  <c r="H1585" i="1"/>
  <c r="G1585" i="1"/>
  <c r="F1585" i="1"/>
  <c r="E1585" i="1"/>
  <c r="K1584" i="1"/>
  <c r="I1584" i="1"/>
  <c r="J1584" i="1" s="1"/>
  <c r="H1584" i="1"/>
  <c r="G1584" i="1"/>
  <c r="F1584" i="1"/>
  <c r="E1584" i="1"/>
  <c r="K1583" i="1"/>
  <c r="J1583" i="1"/>
  <c r="I1583" i="1"/>
  <c r="H1583" i="1"/>
  <c r="G1583" i="1"/>
  <c r="F1583" i="1"/>
  <c r="E1583" i="1"/>
  <c r="K1582" i="1"/>
  <c r="I1582" i="1"/>
  <c r="J1582" i="1" s="1"/>
  <c r="H1582" i="1"/>
  <c r="G1582" i="1"/>
  <c r="F1582" i="1"/>
  <c r="E1582" i="1"/>
  <c r="K1581" i="1"/>
  <c r="I1581" i="1"/>
  <c r="J1581" i="1" s="1"/>
  <c r="H1581" i="1"/>
  <c r="G1581" i="1"/>
  <c r="F1581" i="1"/>
  <c r="E1581" i="1"/>
  <c r="K1580" i="1"/>
  <c r="I1580" i="1"/>
  <c r="J1580" i="1" s="1"/>
  <c r="H1580" i="1"/>
  <c r="G1580" i="1"/>
  <c r="F1580" i="1"/>
  <c r="E1580" i="1"/>
  <c r="K1579" i="1"/>
  <c r="J1579" i="1"/>
  <c r="I1579" i="1"/>
  <c r="H1579" i="1"/>
  <c r="G1579" i="1"/>
  <c r="F1579" i="1"/>
  <c r="E1579" i="1"/>
  <c r="K1578" i="1"/>
  <c r="I1578" i="1"/>
  <c r="J1578" i="1" s="1"/>
  <c r="H1578" i="1"/>
  <c r="G1578" i="1"/>
  <c r="F1578" i="1"/>
  <c r="E1578" i="1"/>
  <c r="K1577" i="1"/>
  <c r="I1577" i="1"/>
  <c r="J1577" i="1" s="1"/>
  <c r="H1577" i="1"/>
  <c r="G1577" i="1"/>
  <c r="F1577" i="1"/>
  <c r="E1577" i="1"/>
  <c r="K1576" i="1"/>
  <c r="I1576" i="1"/>
  <c r="J1576" i="1" s="1"/>
  <c r="H1576" i="1"/>
  <c r="G1576" i="1"/>
  <c r="F1576" i="1"/>
  <c r="E1576" i="1"/>
  <c r="K1575" i="1"/>
  <c r="J1575" i="1"/>
  <c r="I1575" i="1"/>
  <c r="H1575" i="1"/>
  <c r="G1575" i="1"/>
  <c r="F1575" i="1"/>
  <c r="E1575" i="1"/>
  <c r="K1574" i="1"/>
  <c r="I1574" i="1"/>
  <c r="J1574" i="1" s="1"/>
  <c r="H1574" i="1"/>
  <c r="G1574" i="1"/>
  <c r="F1574" i="1"/>
  <c r="E1574" i="1"/>
  <c r="K1573" i="1"/>
  <c r="I1573" i="1"/>
  <c r="J1573" i="1" s="1"/>
  <c r="H1573" i="1"/>
  <c r="G1573" i="1"/>
  <c r="F1573" i="1"/>
  <c r="E1573" i="1"/>
  <c r="K1572" i="1"/>
  <c r="I1572" i="1"/>
  <c r="J1572" i="1" s="1"/>
  <c r="H1572" i="1"/>
  <c r="G1572" i="1"/>
  <c r="F1572" i="1"/>
  <c r="E1572" i="1"/>
  <c r="K1571" i="1"/>
  <c r="J1571" i="1"/>
  <c r="I1571" i="1"/>
  <c r="H1571" i="1"/>
  <c r="G1571" i="1"/>
  <c r="F1571" i="1"/>
  <c r="E1571" i="1"/>
  <c r="K1570" i="1"/>
  <c r="I1570" i="1"/>
  <c r="J1570" i="1" s="1"/>
  <c r="H1570" i="1"/>
  <c r="G1570" i="1"/>
  <c r="F1570" i="1"/>
  <c r="E1570" i="1"/>
  <c r="K1569" i="1"/>
  <c r="I1569" i="1"/>
  <c r="J1569" i="1" s="1"/>
  <c r="H1569" i="1"/>
  <c r="G1569" i="1"/>
  <c r="F1569" i="1"/>
  <c r="E1569" i="1"/>
  <c r="K1568" i="1"/>
  <c r="I1568" i="1"/>
  <c r="J1568" i="1" s="1"/>
  <c r="H1568" i="1"/>
  <c r="G1568" i="1"/>
  <c r="F1568" i="1"/>
  <c r="E1568" i="1"/>
  <c r="K1567" i="1"/>
  <c r="J1567" i="1"/>
  <c r="I1567" i="1"/>
  <c r="H1567" i="1"/>
  <c r="G1567" i="1"/>
  <c r="F1567" i="1"/>
  <c r="E1567" i="1"/>
  <c r="K1566" i="1"/>
  <c r="I1566" i="1"/>
  <c r="J1566" i="1" s="1"/>
  <c r="H1566" i="1"/>
  <c r="G1566" i="1"/>
  <c r="F1566" i="1"/>
  <c r="E1566" i="1"/>
  <c r="K1565" i="1"/>
  <c r="I1565" i="1"/>
  <c r="J1565" i="1" s="1"/>
  <c r="H1565" i="1"/>
  <c r="G1565" i="1"/>
  <c r="F1565" i="1"/>
  <c r="E1565" i="1"/>
  <c r="K1564" i="1"/>
  <c r="I1564" i="1"/>
  <c r="J1564" i="1" s="1"/>
  <c r="H1564" i="1"/>
  <c r="G1564" i="1"/>
  <c r="F1564" i="1"/>
  <c r="E1564" i="1"/>
  <c r="K1563" i="1"/>
  <c r="J1563" i="1"/>
  <c r="I1563" i="1"/>
  <c r="H1563" i="1"/>
  <c r="G1563" i="1"/>
  <c r="F1563" i="1"/>
  <c r="E1563" i="1"/>
  <c r="K1562" i="1"/>
  <c r="I1562" i="1"/>
  <c r="J1562" i="1" s="1"/>
  <c r="H1562" i="1"/>
  <c r="G1562" i="1"/>
  <c r="F1562" i="1"/>
  <c r="E1562" i="1"/>
  <c r="K1561" i="1"/>
  <c r="I1561" i="1"/>
  <c r="J1561" i="1" s="1"/>
  <c r="H1561" i="1"/>
  <c r="G1561" i="1"/>
  <c r="F1561" i="1"/>
  <c r="E1561" i="1"/>
  <c r="K1560" i="1"/>
  <c r="I1560" i="1"/>
  <c r="J1560" i="1" s="1"/>
  <c r="H1560" i="1"/>
  <c r="G1560" i="1"/>
  <c r="F1560" i="1"/>
  <c r="E1560" i="1"/>
  <c r="K1559" i="1"/>
  <c r="J1559" i="1"/>
  <c r="I1559" i="1"/>
  <c r="H1559" i="1"/>
  <c r="G1559" i="1"/>
  <c r="F1559" i="1"/>
  <c r="E1559" i="1"/>
  <c r="K1558" i="1"/>
  <c r="I1558" i="1"/>
  <c r="J1558" i="1" s="1"/>
  <c r="H1558" i="1"/>
  <c r="G1558" i="1"/>
  <c r="F1558" i="1"/>
  <c r="E1558" i="1"/>
  <c r="K1557" i="1"/>
  <c r="I1557" i="1"/>
  <c r="J1557" i="1" s="1"/>
  <c r="H1557" i="1"/>
  <c r="G1557" i="1"/>
  <c r="F1557" i="1"/>
  <c r="E1557" i="1"/>
  <c r="K1556" i="1"/>
  <c r="I1556" i="1"/>
  <c r="J1556" i="1" s="1"/>
  <c r="H1556" i="1"/>
  <c r="G1556" i="1"/>
  <c r="F1556" i="1"/>
  <c r="E1556" i="1"/>
  <c r="K1555" i="1"/>
  <c r="J1555" i="1"/>
  <c r="I1555" i="1"/>
  <c r="H1555" i="1"/>
  <c r="G1555" i="1"/>
  <c r="F1555" i="1"/>
  <c r="E1555" i="1"/>
  <c r="K1554" i="1"/>
  <c r="I1554" i="1"/>
  <c r="J1554" i="1" s="1"/>
  <c r="H1554" i="1"/>
  <c r="G1554" i="1"/>
  <c r="F1554" i="1"/>
  <c r="E1554" i="1"/>
  <c r="K1553" i="1"/>
  <c r="I1553" i="1"/>
  <c r="J1553" i="1" s="1"/>
  <c r="H1553" i="1"/>
  <c r="G1553" i="1"/>
  <c r="F1553" i="1"/>
  <c r="E1553" i="1"/>
  <c r="K1552" i="1"/>
  <c r="I1552" i="1"/>
  <c r="J1552" i="1" s="1"/>
  <c r="H1552" i="1"/>
  <c r="G1552" i="1"/>
  <c r="F1552" i="1"/>
  <c r="E1552" i="1"/>
  <c r="K1551" i="1"/>
  <c r="J1551" i="1"/>
  <c r="I1551" i="1"/>
  <c r="H1551" i="1"/>
  <c r="G1551" i="1"/>
  <c r="F1551" i="1"/>
  <c r="E1551" i="1"/>
  <c r="K1550" i="1"/>
  <c r="I1550" i="1"/>
  <c r="J1550" i="1" s="1"/>
  <c r="H1550" i="1"/>
  <c r="G1550" i="1"/>
  <c r="F1550" i="1"/>
  <c r="E1550" i="1"/>
  <c r="K1549" i="1"/>
  <c r="I1549" i="1"/>
  <c r="J1549" i="1" s="1"/>
  <c r="H1549" i="1"/>
  <c r="G1549" i="1"/>
  <c r="F1549" i="1"/>
  <c r="E1549" i="1"/>
  <c r="K1548" i="1"/>
  <c r="I1548" i="1"/>
  <c r="J1548" i="1" s="1"/>
  <c r="H1548" i="1"/>
  <c r="G1548" i="1"/>
  <c r="F1548" i="1"/>
  <c r="E1548" i="1"/>
  <c r="K1547" i="1"/>
  <c r="J1547" i="1"/>
  <c r="I1547" i="1"/>
  <c r="H1547" i="1"/>
  <c r="G1547" i="1"/>
  <c r="F1547" i="1"/>
  <c r="E1547" i="1"/>
  <c r="K1546" i="1"/>
  <c r="I1546" i="1"/>
  <c r="J1546" i="1" s="1"/>
  <c r="H1546" i="1"/>
  <c r="G1546" i="1"/>
  <c r="F1546" i="1"/>
  <c r="E1546" i="1"/>
  <c r="K1545" i="1"/>
  <c r="I1545" i="1"/>
  <c r="J1545" i="1" s="1"/>
  <c r="H1545" i="1"/>
  <c r="G1545" i="1"/>
  <c r="F1545" i="1"/>
  <c r="E1545" i="1"/>
  <c r="K1544" i="1"/>
  <c r="I1544" i="1"/>
  <c r="J1544" i="1" s="1"/>
  <c r="H1544" i="1"/>
  <c r="G1544" i="1"/>
  <c r="F1544" i="1"/>
  <c r="E1544" i="1"/>
  <c r="K1543" i="1"/>
  <c r="J1543" i="1"/>
  <c r="I1543" i="1"/>
  <c r="H1543" i="1"/>
  <c r="G1543" i="1"/>
  <c r="F1543" i="1"/>
  <c r="E1543" i="1"/>
  <c r="K1542" i="1"/>
  <c r="I1542" i="1"/>
  <c r="J1542" i="1" s="1"/>
  <c r="H1542" i="1"/>
  <c r="G1542" i="1"/>
  <c r="F1542" i="1"/>
  <c r="E1542" i="1"/>
  <c r="K1541" i="1"/>
  <c r="I1541" i="1"/>
  <c r="J1541" i="1" s="1"/>
  <c r="H1541" i="1"/>
  <c r="G1541" i="1"/>
  <c r="F1541" i="1"/>
  <c r="E1541" i="1"/>
  <c r="K1540" i="1"/>
  <c r="I1540" i="1"/>
  <c r="J1540" i="1" s="1"/>
  <c r="H1540" i="1"/>
  <c r="G1540" i="1"/>
  <c r="F1540" i="1"/>
  <c r="E1540" i="1"/>
  <c r="K1539" i="1"/>
  <c r="J1539" i="1"/>
  <c r="I1539" i="1"/>
  <c r="H1539" i="1"/>
  <c r="G1539" i="1"/>
  <c r="F1539" i="1"/>
  <c r="E1539" i="1"/>
  <c r="K1538" i="1"/>
  <c r="I1538" i="1"/>
  <c r="J1538" i="1" s="1"/>
  <c r="H1538" i="1"/>
  <c r="G1538" i="1"/>
  <c r="F1538" i="1"/>
  <c r="E1538" i="1"/>
  <c r="K1537" i="1"/>
  <c r="I1537" i="1"/>
  <c r="J1537" i="1" s="1"/>
  <c r="H1537" i="1"/>
  <c r="G1537" i="1"/>
  <c r="F1537" i="1"/>
  <c r="E1537" i="1"/>
  <c r="K1536" i="1"/>
  <c r="I1536" i="1"/>
  <c r="J1536" i="1" s="1"/>
  <c r="H1536" i="1"/>
  <c r="G1536" i="1"/>
  <c r="F1536" i="1"/>
  <c r="E1536" i="1"/>
  <c r="K1535" i="1"/>
  <c r="J1535" i="1"/>
  <c r="I1535" i="1"/>
  <c r="H1535" i="1"/>
  <c r="G1535" i="1"/>
  <c r="F1535" i="1"/>
  <c r="E1535" i="1"/>
  <c r="K1534" i="1"/>
  <c r="I1534" i="1"/>
  <c r="J1534" i="1" s="1"/>
  <c r="H1534" i="1"/>
  <c r="G1534" i="1"/>
  <c r="F1534" i="1"/>
  <c r="E1534" i="1"/>
  <c r="K1533" i="1"/>
  <c r="I1533" i="1"/>
  <c r="J1533" i="1" s="1"/>
  <c r="H1533" i="1"/>
  <c r="G1533" i="1"/>
  <c r="F1533" i="1"/>
  <c r="E1533" i="1"/>
  <c r="K1532" i="1"/>
  <c r="I1532" i="1"/>
  <c r="J1532" i="1" s="1"/>
  <c r="H1532" i="1"/>
  <c r="G1532" i="1"/>
  <c r="F1532" i="1"/>
  <c r="E1532" i="1"/>
  <c r="K1531" i="1"/>
  <c r="J1531" i="1"/>
  <c r="I1531" i="1"/>
  <c r="H1531" i="1"/>
  <c r="G1531" i="1"/>
  <c r="F1531" i="1"/>
  <c r="E1531" i="1"/>
  <c r="K1530" i="1"/>
  <c r="I1530" i="1"/>
  <c r="J1530" i="1" s="1"/>
  <c r="H1530" i="1"/>
  <c r="G1530" i="1"/>
  <c r="F1530" i="1"/>
  <c r="E1530" i="1"/>
  <c r="K1529" i="1"/>
  <c r="I1529" i="1"/>
  <c r="J1529" i="1" s="1"/>
  <c r="H1529" i="1"/>
  <c r="G1529" i="1"/>
  <c r="F1529" i="1"/>
  <c r="E1529" i="1"/>
  <c r="K1528" i="1"/>
  <c r="I1528" i="1"/>
  <c r="J1528" i="1" s="1"/>
  <c r="H1528" i="1"/>
  <c r="G1528" i="1"/>
  <c r="F1528" i="1"/>
  <c r="E1528" i="1"/>
  <c r="K1527" i="1"/>
  <c r="J1527" i="1"/>
  <c r="I1527" i="1"/>
  <c r="H1527" i="1"/>
  <c r="G1527" i="1"/>
  <c r="F1527" i="1"/>
  <c r="E1527" i="1"/>
  <c r="K1526" i="1"/>
  <c r="I1526" i="1"/>
  <c r="J1526" i="1" s="1"/>
  <c r="H1526" i="1"/>
  <c r="G1526" i="1"/>
  <c r="F1526" i="1"/>
  <c r="E1526" i="1"/>
  <c r="K1525" i="1"/>
  <c r="I1525" i="1"/>
  <c r="J1525" i="1" s="1"/>
  <c r="H1525" i="1"/>
  <c r="G1525" i="1"/>
  <c r="F1525" i="1"/>
  <c r="E1525" i="1"/>
  <c r="K1524" i="1"/>
  <c r="I1524" i="1"/>
  <c r="J1524" i="1" s="1"/>
  <c r="H1524" i="1"/>
  <c r="G1524" i="1"/>
  <c r="F1524" i="1"/>
  <c r="E1524" i="1"/>
  <c r="K1523" i="1"/>
  <c r="J1523" i="1"/>
  <c r="I1523" i="1"/>
  <c r="H1523" i="1"/>
  <c r="G1523" i="1"/>
  <c r="F1523" i="1"/>
  <c r="E1523" i="1"/>
  <c r="K1522" i="1"/>
  <c r="I1522" i="1"/>
  <c r="J1522" i="1" s="1"/>
  <c r="H1522" i="1"/>
  <c r="G1522" i="1"/>
  <c r="F1522" i="1"/>
  <c r="E1522" i="1"/>
  <c r="K1521" i="1"/>
  <c r="I1521" i="1"/>
  <c r="J1521" i="1" s="1"/>
  <c r="H1521" i="1"/>
  <c r="G1521" i="1"/>
  <c r="F1521" i="1"/>
  <c r="E1521" i="1"/>
  <c r="K1520" i="1"/>
  <c r="I1520" i="1"/>
  <c r="J1520" i="1" s="1"/>
  <c r="H1520" i="1"/>
  <c r="G1520" i="1"/>
  <c r="F1520" i="1"/>
  <c r="E1520" i="1"/>
  <c r="K1519" i="1"/>
  <c r="J1519" i="1"/>
  <c r="I1519" i="1"/>
  <c r="H1519" i="1"/>
  <c r="G1519" i="1"/>
  <c r="F1519" i="1"/>
  <c r="E1519" i="1"/>
  <c r="K1518" i="1"/>
  <c r="I1518" i="1"/>
  <c r="J1518" i="1" s="1"/>
  <c r="H1518" i="1"/>
  <c r="G1518" i="1"/>
  <c r="F1518" i="1"/>
  <c r="E1518" i="1"/>
  <c r="K1517" i="1"/>
  <c r="I1517" i="1"/>
  <c r="J1517" i="1" s="1"/>
  <c r="H1517" i="1"/>
  <c r="G1517" i="1"/>
  <c r="F1517" i="1"/>
  <c r="E1517" i="1"/>
  <c r="K1516" i="1"/>
  <c r="I1516" i="1"/>
  <c r="J1516" i="1" s="1"/>
  <c r="H1516" i="1"/>
  <c r="G1516" i="1"/>
  <c r="F1516" i="1"/>
  <c r="E1516" i="1"/>
  <c r="K1515" i="1"/>
  <c r="J1515" i="1"/>
  <c r="I1515" i="1"/>
  <c r="H1515" i="1"/>
  <c r="G1515" i="1"/>
  <c r="F1515" i="1"/>
  <c r="E1515" i="1"/>
  <c r="K1514" i="1"/>
  <c r="I1514" i="1"/>
  <c r="J1514" i="1" s="1"/>
  <c r="H1514" i="1"/>
  <c r="G1514" i="1"/>
  <c r="F1514" i="1"/>
  <c r="E1514" i="1"/>
  <c r="K1513" i="1"/>
  <c r="I1513" i="1"/>
  <c r="J1513" i="1" s="1"/>
  <c r="H1513" i="1"/>
  <c r="G1513" i="1"/>
  <c r="F1513" i="1"/>
  <c r="E1513" i="1"/>
  <c r="K1512" i="1"/>
  <c r="I1512" i="1"/>
  <c r="J1512" i="1" s="1"/>
  <c r="H1512" i="1"/>
  <c r="G1512" i="1"/>
  <c r="F1512" i="1"/>
  <c r="E1512" i="1"/>
  <c r="K1511" i="1"/>
  <c r="J1511" i="1"/>
  <c r="I1511" i="1"/>
  <c r="H1511" i="1"/>
  <c r="G1511" i="1"/>
  <c r="F1511" i="1"/>
  <c r="E1511" i="1"/>
  <c r="K1510" i="1"/>
  <c r="I1510" i="1"/>
  <c r="J1510" i="1" s="1"/>
  <c r="H1510" i="1"/>
  <c r="G1510" i="1"/>
  <c r="F1510" i="1"/>
  <c r="E1510" i="1"/>
  <c r="K1509" i="1"/>
  <c r="I1509" i="1"/>
  <c r="J1509" i="1" s="1"/>
  <c r="H1509" i="1"/>
  <c r="G1509" i="1"/>
  <c r="F1509" i="1"/>
  <c r="E1509" i="1"/>
  <c r="K1508" i="1"/>
  <c r="I1508" i="1"/>
  <c r="J1508" i="1" s="1"/>
  <c r="H1508" i="1"/>
  <c r="G1508" i="1"/>
  <c r="F1508" i="1"/>
  <c r="E1508" i="1"/>
  <c r="K1507" i="1"/>
  <c r="J1507" i="1"/>
  <c r="I1507" i="1"/>
  <c r="H1507" i="1"/>
  <c r="G1507" i="1"/>
  <c r="F1507" i="1"/>
  <c r="E1507" i="1"/>
  <c r="K1506" i="1"/>
  <c r="I1506" i="1"/>
  <c r="J1506" i="1" s="1"/>
  <c r="H1506" i="1"/>
  <c r="G1506" i="1"/>
  <c r="F1506" i="1"/>
  <c r="E1506" i="1"/>
  <c r="K1505" i="1"/>
  <c r="I1505" i="1"/>
  <c r="J1505" i="1" s="1"/>
  <c r="H1505" i="1"/>
  <c r="G1505" i="1"/>
  <c r="F1505" i="1"/>
  <c r="E1505" i="1"/>
  <c r="K1504" i="1"/>
  <c r="I1504" i="1"/>
  <c r="J1504" i="1" s="1"/>
  <c r="H1504" i="1"/>
  <c r="G1504" i="1"/>
  <c r="F1504" i="1"/>
  <c r="E1504" i="1"/>
  <c r="K1503" i="1"/>
  <c r="J1503" i="1"/>
  <c r="I1503" i="1"/>
  <c r="H1503" i="1"/>
  <c r="G1503" i="1"/>
  <c r="F1503" i="1"/>
  <c r="E1503" i="1"/>
  <c r="K1502" i="1"/>
  <c r="I1502" i="1"/>
  <c r="J1502" i="1" s="1"/>
  <c r="H1502" i="1"/>
  <c r="G1502" i="1"/>
  <c r="F1502" i="1"/>
  <c r="E1502" i="1"/>
  <c r="K1501" i="1"/>
  <c r="I1501" i="1"/>
  <c r="J1501" i="1" s="1"/>
  <c r="H1501" i="1"/>
  <c r="G1501" i="1"/>
  <c r="F1501" i="1"/>
  <c r="E1501" i="1"/>
  <c r="K1500" i="1"/>
  <c r="I1500" i="1"/>
  <c r="J1500" i="1" s="1"/>
  <c r="H1500" i="1"/>
  <c r="G1500" i="1"/>
  <c r="F1500" i="1"/>
  <c r="E1500" i="1"/>
  <c r="K1499" i="1"/>
  <c r="J1499" i="1"/>
  <c r="I1499" i="1"/>
  <c r="H1499" i="1"/>
  <c r="G1499" i="1"/>
  <c r="F1499" i="1"/>
  <c r="E1499" i="1"/>
  <c r="K1498" i="1"/>
  <c r="I1498" i="1"/>
  <c r="J1498" i="1" s="1"/>
  <c r="H1498" i="1"/>
  <c r="G1498" i="1"/>
  <c r="F1498" i="1"/>
  <c r="E1498" i="1"/>
  <c r="K1497" i="1"/>
  <c r="I1497" i="1"/>
  <c r="J1497" i="1" s="1"/>
  <c r="H1497" i="1"/>
  <c r="G1497" i="1"/>
  <c r="F1497" i="1"/>
  <c r="E1497" i="1"/>
  <c r="K1496" i="1"/>
  <c r="I1496" i="1"/>
  <c r="J1496" i="1" s="1"/>
  <c r="H1496" i="1"/>
  <c r="G1496" i="1"/>
  <c r="F1496" i="1"/>
  <c r="E1496" i="1"/>
  <c r="K1495" i="1"/>
  <c r="J1495" i="1"/>
  <c r="I1495" i="1"/>
  <c r="H1495" i="1"/>
  <c r="G1495" i="1"/>
  <c r="F1495" i="1"/>
  <c r="E1495" i="1"/>
  <c r="K1494" i="1"/>
  <c r="I1494" i="1"/>
  <c r="J1494" i="1" s="1"/>
  <c r="H1494" i="1"/>
  <c r="G1494" i="1"/>
  <c r="F1494" i="1"/>
  <c r="E1494" i="1"/>
  <c r="K1493" i="1"/>
  <c r="I1493" i="1"/>
  <c r="J1493" i="1" s="1"/>
  <c r="H1493" i="1"/>
  <c r="G1493" i="1"/>
  <c r="F1493" i="1"/>
  <c r="E1493" i="1"/>
  <c r="K1492" i="1"/>
  <c r="I1492" i="1"/>
  <c r="J1492" i="1" s="1"/>
  <c r="H1492" i="1"/>
  <c r="G1492" i="1"/>
  <c r="F1492" i="1"/>
  <c r="E1492" i="1"/>
  <c r="K1491" i="1"/>
  <c r="J1491" i="1"/>
  <c r="I1491" i="1"/>
  <c r="H1491" i="1"/>
  <c r="G1491" i="1"/>
  <c r="F1491" i="1"/>
  <c r="E1491" i="1"/>
  <c r="K1490" i="1"/>
  <c r="I1490" i="1"/>
  <c r="J1490" i="1" s="1"/>
  <c r="H1490" i="1"/>
  <c r="G1490" i="1"/>
  <c r="F1490" i="1"/>
  <c r="E1490" i="1"/>
  <c r="K1489" i="1"/>
  <c r="I1489" i="1"/>
  <c r="J1489" i="1" s="1"/>
  <c r="H1489" i="1"/>
  <c r="G1489" i="1"/>
  <c r="F1489" i="1"/>
  <c r="E1489" i="1"/>
  <c r="K1488" i="1"/>
  <c r="I1488" i="1"/>
  <c r="J1488" i="1" s="1"/>
  <c r="H1488" i="1"/>
  <c r="G1488" i="1"/>
  <c r="F1488" i="1"/>
  <c r="E1488" i="1"/>
  <c r="K1487" i="1"/>
  <c r="J1487" i="1"/>
  <c r="I1487" i="1"/>
  <c r="H1487" i="1"/>
  <c r="G1487" i="1"/>
  <c r="F1487" i="1"/>
  <c r="E1487" i="1"/>
  <c r="K1486" i="1"/>
  <c r="I1486" i="1"/>
  <c r="J1486" i="1" s="1"/>
  <c r="H1486" i="1"/>
  <c r="G1486" i="1"/>
  <c r="F1486" i="1"/>
  <c r="E1486" i="1"/>
  <c r="K1485" i="1"/>
  <c r="I1485" i="1"/>
  <c r="J1485" i="1" s="1"/>
  <c r="H1485" i="1"/>
  <c r="G1485" i="1"/>
  <c r="F1485" i="1"/>
  <c r="E1485" i="1"/>
  <c r="K1484" i="1"/>
  <c r="I1484" i="1"/>
  <c r="J1484" i="1" s="1"/>
  <c r="H1484" i="1"/>
  <c r="G1484" i="1"/>
  <c r="F1484" i="1"/>
  <c r="E1484" i="1"/>
  <c r="K1483" i="1"/>
  <c r="J1483" i="1"/>
  <c r="I1483" i="1"/>
  <c r="H1483" i="1"/>
  <c r="G1483" i="1"/>
  <c r="F1483" i="1"/>
  <c r="E1483" i="1"/>
  <c r="K1482" i="1"/>
  <c r="I1482" i="1"/>
  <c r="J1482" i="1" s="1"/>
  <c r="H1482" i="1"/>
  <c r="G1482" i="1"/>
  <c r="F1482" i="1"/>
  <c r="E1482" i="1"/>
  <c r="K1481" i="1"/>
  <c r="I1481" i="1"/>
  <c r="J1481" i="1" s="1"/>
  <c r="H1481" i="1"/>
  <c r="G1481" i="1"/>
  <c r="F1481" i="1"/>
  <c r="E1481" i="1"/>
  <c r="K1480" i="1"/>
  <c r="I1480" i="1"/>
  <c r="J1480" i="1" s="1"/>
  <c r="H1480" i="1"/>
  <c r="G1480" i="1"/>
  <c r="F1480" i="1"/>
  <c r="E1480" i="1"/>
  <c r="K1479" i="1"/>
  <c r="J1479" i="1"/>
  <c r="I1479" i="1"/>
  <c r="H1479" i="1"/>
  <c r="G1479" i="1"/>
  <c r="F1479" i="1"/>
  <c r="E1479" i="1"/>
  <c r="K1478" i="1"/>
  <c r="I1478" i="1"/>
  <c r="J1478" i="1" s="1"/>
  <c r="H1478" i="1"/>
  <c r="G1478" i="1"/>
  <c r="F1478" i="1"/>
  <c r="E1478" i="1"/>
  <c r="K1477" i="1"/>
  <c r="I1477" i="1"/>
  <c r="J1477" i="1" s="1"/>
  <c r="H1477" i="1"/>
  <c r="G1477" i="1"/>
  <c r="F1477" i="1"/>
  <c r="E1477" i="1"/>
  <c r="K1476" i="1"/>
  <c r="I1476" i="1"/>
  <c r="J1476" i="1" s="1"/>
  <c r="H1476" i="1"/>
  <c r="G1476" i="1"/>
  <c r="F1476" i="1"/>
  <c r="E1476" i="1"/>
  <c r="K1475" i="1"/>
  <c r="J1475" i="1"/>
  <c r="I1475" i="1"/>
  <c r="H1475" i="1"/>
  <c r="G1475" i="1"/>
  <c r="F1475" i="1"/>
  <c r="E1475" i="1"/>
  <c r="K1474" i="1"/>
  <c r="I1474" i="1"/>
  <c r="J1474" i="1" s="1"/>
  <c r="H1474" i="1"/>
  <c r="G1474" i="1"/>
  <c r="F1474" i="1"/>
  <c r="E1474" i="1"/>
  <c r="K1473" i="1"/>
  <c r="I1473" i="1"/>
  <c r="J1473" i="1" s="1"/>
  <c r="H1473" i="1"/>
  <c r="G1473" i="1"/>
  <c r="F1473" i="1"/>
  <c r="E1473" i="1"/>
  <c r="K1472" i="1"/>
  <c r="I1472" i="1"/>
  <c r="J1472" i="1" s="1"/>
  <c r="H1472" i="1"/>
  <c r="G1472" i="1"/>
  <c r="F1472" i="1"/>
  <c r="E1472" i="1"/>
  <c r="K1471" i="1"/>
  <c r="J1471" i="1"/>
  <c r="I1471" i="1"/>
  <c r="H1471" i="1"/>
  <c r="G1471" i="1"/>
  <c r="F1471" i="1"/>
  <c r="E1471" i="1"/>
  <c r="K1470" i="1"/>
  <c r="I1470" i="1"/>
  <c r="J1470" i="1" s="1"/>
  <c r="H1470" i="1"/>
  <c r="G1470" i="1"/>
  <c r="F1470" i="1"/>
  <c r="E1470" i="1"/>
  <c r="K1469" i="1"/>
  <c r="I1469" i="1"/>
  <c r="J1469" i="1" s="1"/>
  <c r="H1469" i="1"/>
  <c r="G1469" i="1"/>
  <c r="F1469" i="1"/>
  <c r="E1469" i="1"/>
  <c r="K1468" i="1"/>
  <c r="I1468" i="1"/>
  <c r="J1468" i="1" s="1"/>
  <c r="H1468" i="1"/>
  <c r="G1468" i="1"/>
  <c r="F1468" i="1"/>
  <c r="E1468" i="1"/>
  <c r="K1467" i="1"/>
  <c r="J1467" i="1"/>
  <c r="I1467" i="1"/>
  <c r="H1467" i="1"/>
  <c r="G1467" i="1"/>
  <c r="F1467" i="1"/>
  <c r="E1467" i="1"/>
  <c r="K1466" i="1"/>
  <c r="I1466" i="1"/>
  <c r="J1466" i="1" s="1"/>
  <c r="H1466" i="1"/>
  <c r="G1466" i="1"/>
  <c r="F1466" i="1"/>
  <c r="E1466" i="1"/>
  <c r="K1465" i="1"/>
  <c r="I1465" i="1"/>
  <c r="J1465" i="1" s="1"/>
  <c r="H1465" i="1"/>
  <c r="G1465" i="1"/>
  <c r="F1465" i="1"/>
  <c r="E1465" i="1"/>
  <c r="K1464" i="1"/>
  <c r="I1464" i="1"/>
  <c r="J1464" i="1" s="1"/>
  <c r="H1464" i="1"/>
  <c r="G1464" i="1"/>
  <c r="F1464" i="1"/>
  <c r="E1464" i="1"/>
  <c r="K1463" i="1"/>
  <c r="J1463" i="1"/>
  <c r="I1463" i="1"/>
  <c r="H1463" i="1"/>
  <c r="G1463" i="1"/>
  <c r="F1463" i="1"/>
  <c r="E1463" i="1"/>
  <c r="K1462" i="1"/>
  <c r="I1462" i="1"/>
  <c r="J1462" i="1" s="1"/>
  <c r="H1462" i="1"/>
  <c r="G1462" i="1"/>
  <c r="F1462" i="1"/>
  <c r="E1462" i="1"/>
  <c r="K1461" i="1"/>
  <c r="I1461" i="1"/>
  <c r="J1461" i="1" s="1"/>
  <c r="H1461" i="1"/>
  <c r="G1461" i="1"/>
  <c r="F1461" i="1"/>
  <c r="E1461" i="1"/>
  <c r="K1460" i="1"/>
  <c r="I1460" i="1"/>
  <c r="J1460" i="1" s="1"/>
  <c r="H1460" i="1"/>
  <c r="G1460" i="1"/>
  <c r="F1460" i="1"/>
  <c r="E1460" i="1"/>
  <c r="K1459" i="1"/>
  <c r="J1459" i="1"/>
  <c r="I1459" i="1"/>
  <c r="H1459" i="1"/>
  <c r="G1459" i="1"/>
  <c r="F1459" i="1"/>
  <c r="E1459" i="1"/>
  <c r="K1458" i="1"/>
  <c r="I1458" i="1"/>
  <c r="J1458" i="1" s="1"/>
  <c r="H1458" i="1"/>
  <c r="G1458" i="1"/>
  <c r="F1458" i="1"/>
  <c r="E1458" i="1"/>
  <c r="K1457" i="1"/>
  <c r="I1457" i="1"/>
  <c r="J1457" i="1" s="1"/>
  <c r="H1457" i="1"/>
  <c r="G1457" i="1"/>
  <c r="F1457" i="1"/>
  <c r="E1457" i="1"/>
  <c r="K1456" i="1"/>
  <c r="I1456" i="1"/>
  <c r="J1456" i="1" s="1"/>
  <c r="H1456" i="1"/>
  <c r="G1456" i="1"/>
  <c r="F1456" i="1"/>
  <c r="E1456" i="1"/>
  <c r="K1455" i="1"/>
  <c r="J1455" i="1"/>
  <c r="I1455" i="1"/>
  <c r="H1455" i="1"/>
  <c r="G1455" i="1"/>
  <c r="F1455" i="1"/>
  <c r="E1455" i="1"/>
  <c r="K1454" i="1"/>
  <c r="I1454" i="1"/>
  <c r="J1454" i="1" s="1"/>
  <c r="H1454" i="1"/>
  <c r="G1454" i="1"/>
  <c r="F1454" i="1"/>
  <c r="E1454" i="1"/>
  <c r="K1453" i="1"/>
  <c r="I1453" i="1"/>
  <c r="J1453" i="1" s="1"/>
  <c r="H1453" i="1"/>
  <c r="G1453" i="1"/>
  <c r="F1453" i="1"/>
  <c r="E1453" i="1"/>
  <c r="K1452" i="1"/>
  <c r="I1452" i="1"/>
  <c r="J1452" i="1" s="1"/>
  <c r="H1452" i="1"/>
  <c r="G1452" i="1"/>
  <c r="F1452" i="1"/>
  <c r="E1452" i="1"/>
  <c r="K1451" i="1"/>
  <c r="J1451" i="1"/>
  <c r="I1451" i="1"/>
  <c r="H1451" i="1"/>
  <c r="G1451" i="1"/>
  <c r="F1451" i="1"/>
  <c r="E1451" i="1"/>
  <c r="K1450" i="1"/>
  <c r="I1450" i="1"/>
  <c r="J1450" i="1" s="1"/>
  <c r="H1450" i="1"/>
  <c r="G1450" i="1"/>
  <c r="F1450" i="1"/>
  <c r="E1450" i="1"/>
  <c r="K1449" i="1"/>
  <c r="I1449" i="1"/>
  <c r="J1449" i="1" s="1"/>
  <c r="H1449" i="1"/>
  <c r="G1449" i="1"/>
  <c r="F1449" i="1"/>
  <c r="E1449" i="1"/>
  <c r="K1448" i="1"/>
  <c r="I1448" i="1"/>
  <c r="J1448" i="1" s="1"/>
  <c r="H1448" i="1"/>
  <c r="G1448" i="1"/>
  <c r="F1448" i="1"/>
  <c r="E1448" i="1"/>
  <c r="K1447" i="1"/>
  <c r="J1447" i="1"/>
  <c r="I1447" i="1"/>
  <c r="H1447" i="1"/>
  <c r="G1447" i="1"/>
  <c r="F1447" i="1"/>
  <c r="E1447" i="1"/>
  <c r="K1446" i="1"/>
  <c r="I1446" i="1"/>
  <c r="J1446" i="1" s="1"/>
  <c r="H1446" i="1"/>
  <c r="G1446" i="1"/>
  <c r="F1446" i="1"/>
  <c r="E1446" i="1"/>
  <c r="K1445" i="1"/>
  <c r="I1445" i="1"/>
  <c r="J1445" i="1" s="1"/>
  <c r="H1445" i="1"/>
  <c r="G1445" i="1"/>
  <c r="F1445" i="1"/>
  <c r="E1445" i="1"/>
  <c r="K1444" i="1"/>
  <c r="I1444" i="1"/>
  <c r="J1444" i="1" s="1"/>
  <c r="H1444" i="1"/>
  <c r="G1444" i="1"/>
  <c r="F1444" i="1"/>
  <c r="E1444" i="1"/>
  <c r="K1443" i="1"/>
  <c r="J1443" i="1"/>
  <c r="I1443" i="1"/>
  <c r="H1443" i="1"/>
  <c r="G1443" i="1"/>
  <c r="F1443" i="1"/>
  <c r="E1443" i="1"/>
  <c r="K1442" i="1"/>
  <c r="I1442" i="1"/>
  <c r="J1442" i="1" s="1"/>
  <c r="H1442" i="1"/>
  <c r="G1442" i="1"/>
  <c r="F1442" i="1"/>
  <c r="E1442" i="1"/>
  <c r="K1441" i="1"/>
  <c r="I1441" i="1"/>
  <c r="J1441" i="1" s="1"/>
  <c r="H1441" i="1"/>
  <c r="G1441" i="1"/>
  <c r="F1441" i="1"/>
  <c r="E1441" i="1"/>
  <c r="K1440" i="1"/>
  <c r="I1440" i="1"/>
  <c r="J1440" i="1" s="1"/>
  <c r="H1440" i="1"/>
  <c r="G1440" i="1"/>
  <c r="F1440" i="1"/>
  <c r="E1440" i="1"/>
  <c r="K1439" i="1"/>
  <c r="J1439" i="1"/>
  <c r="I1439" i="1"/>
  <c r="H1439" i="1"/>
  <c r="G1439" i="1"/>
  <c r="F1439" i="1"/>
  <c r="E1439" i="1"/>
  <c r="K1438" i="1"/>
  <c r="I1438" i="1"/>
  <c r="J1438" i="1" s="1"/>
  <c r="H1438" i="1"/>
  <c r="G1438" i="1"/>
  <c r="F1438" i="1"/>
  <c r="E1438" i="1"/>
  <c r="K1437" i="1"/>
  <c r="I1437" i="1"/>
  <c r="J1437" i="1" s="1"/>
  <c r="H1437" i="1"/>
  <c r="G1437" i="1"/>
  <c r="F1437" i="1"/>
  <c r="E1437" i="1"/>
  <c r="K1436" i="1"/>
  <c r="I1436" i="1"/>
  <c r="J1436" i="1" s="1"/>
  <c r="H1436" i="1"/>
  <c r="G1436" i="1"/>
  <c r="F1436" i="1"/>
  <c r="E1436" i="1"/>
  <c r="K1435" i="1"/>
  <c r="J1435" i="1"/>
  <c r="I1435" i="1"/>
  <c r="H1435" i="1"/>
  <c r="G1435" i="1"/>
  <c r="F1435" i="1"/>
  <c r="E1435" i="1"/>
  <c r="K1434" i="1"/>
  <c r="I1434" i="1"/>
  <c r="J1434" i="1" s="1"/>
  <c r="H1434" i="1"/>
  <c r="G1434" i="1"/>
  <c r="F1434" i="1"/>
  <c r="E1434" i="1"/>
  <c r="K1433" i="1"/>
  <c r="I1433" i="1"/>
  <c r="J1433" i="1" s="1"/>
  <c r="H1433" i="1"/>
  <c r="G1433" i="1"/>
  <c r="F1433" i="1"/>
  <c r="E1433" i="1"/>
  <c r="K1432" i="1"/>
  <c r="I1432" i="1"/>
  <c r="J1432" i="1" s="1"/>
  <c r="H1432" i="1"/>
  <c r="G1432" i="1"/>
  <c r="F1432" i="1"/>
  <c r="E1432" i="1"/>
  <c r="K1431" i="1"/>
  <c r="J1431" i="1"/>
  <c r="I1431" i="1"/>
  <c r="H1431" i="1"/>
  <c r="G1431" i="1"/>
  <c r="F1431" i="1"/>
  <c r="E1431" i="1"/>
  <c r="K1430" i="1"/>
  <c r="I1430" i="1"/>
  <c r="J1430" i="1" s="1"/>
  <c r="H1430" i="1"/>
  <c r="G1430" i="1"/>
  <c r="F1430" i="1"/>
  <c r="E1430" i="1"/>
  <c r="K1429" i="1"/>
  <c r="I1429" i="1"/>
  <c r="J1429" i="1" s="1"/>
  <c r="H1429" i="1"/>
  <c r="G1429" i="1"/>
  <c r="F1429" i="1"/>
  <c r="E1429" i="1"/>
  <c r="K1428" i="1"/>
  <c r="I1428" i="1"/>
  <c r="J1428" i="1" s="1"/>
  <c r="H1428" i="1"/>
  <c r="G1428" i="1"/>
  <c r="F1428" i="1"/>
  <c r="E1428" i="1"/>
  <c r="K1427" i="1"/>
  <c r="J1427" i="1"/>
  <c r="I1427" i="1"/>
  <c r="H1427" i="1"/>
  <c r="G1427" i="1"/>
  <c r="F1427" i="1"/>
  <c r="E1427" i="1"/>
  <c r="K1426" i="1"/>
  <c r="I1426" i="1"/>
  <c r="J1426" i="1" s="1"/>
  <c r="H1426" i="1"/>
  <c r="G1426" i="1"/>
  <c r="F1426" i="1"/>
  <c r="E1426" i="1"/>
  <c r="K1425" i="1"/>
  <c r="I1425" i="1"/>
  <c r="J1425" i="1" s="1"/>
  <c r="H1425" i="1"/>
  <c r="G1425" i="1"/>
  <c r="F1425" i="1"/>
  <c r="E1425" i="1"/>
  <c r="K1424" i="1"/>
  <c r="J1424" i="1"/>
  <c r="I1424" i="1"/>
  <c r="H1424" i="1"/>
  <c r="G1424" i="1"/>
  <c r="F1424" i="1"/>
  <c r="E1424" i="1"/>
  <c r="K1423" i="1"/>
  <c r="J1423" i="1"/>
  <c r="I1423" i="1"/>
  <c r="H1423" i="1"/>
  <c r="G1423" i="1"/>
  <c r="F1423" i="1"/>
  <c r="E1423" i="1"/>
  <c r="K1422" i="1"/>
  <c r="I1422" i="1"/>
  <c r="J1422" i="1" s="1"/>
  <c r="H1422" i="1"/>
  <c r="G1422" i="1"/>
  <c r="F1422" i="1"/>
  <c r="E1422" i="1"/>
  <c r="K1421" i="1"/>
  <c r="I1421" i="1"/>
  <c r="J1421" i="1" s="1"/>
  <c r="H1421" i="1"/>
  <c r="G1421" i="1"/>
  <c r="F1421" i="1"/>
  <c r="E1421" i="1"/>
  <c r="K1420" i="1"/>
  <c r="I1420" i="1"/>
  <c r="H1420" i="1"/>
  <c r="J1420" i="1" s="1"/>
  <c r="G1420" i="1"/>
  <c r="F1420" i="1"/>
  <c r="E1420" i="1"/>
  <c r="K1419" i="1"/>
  <c r="J1419" i="1"/>
  <c r="I1419" i="1"/>
  <c r="H1419" i="1"/>
  <c r="G1419" i="1"/>
  <c r="F1419" i="1"/>
  <c r="E1419" i="1"/>
  <c r="K1418" i="1"/>
  <c r="I1418" i="1"/>
  <c r="J1418" i="1" s="1"/>
  <c r="H1418" i="1"/>
  <c r="G1418" i="1"/>
  <c r="F1418" i="1"/>
  <c r="E1418" i="1"/>
  <c r="K1417" i="1"/>
  <c r="I1417" i="1"/>
  <c r="J1417" i="1" s="1"/>
  <c r="H1417" i="1"/>
  <c r="G1417" i="1"/>
  <c r="F1417" i="1"/>
  <c r="E1417" i="1"/>
  <c r="K1416" i="1"/>
  <c r="I1416" i="1"/>
  <c r="H1416" i="1"/>
  <c r="J1416" i="1" s="1"/>
  <c r="G1416" i="1"/>
  <c r="F1416" i="1"/>
  <c r="E1416" i="1"/>
  <c r="K1415" i="1"/>
  <c r="J1415" i="1"/>
  <c r="I1415" i="1"/>
  <c r="H1415" i="1"/>
  <c r="G1415" i="1"/>
  <c r="F1415" i="1"/>
  <c r="E1415" i="1"/>
  <c r="K1414" i="1"/>
  <c r="I1414" i="1"/>
  <c r="J1414" i="1" s="1"/>
  <c r="H1414" i="1"/>
  <c r="G1414" i="1"/>
  <c r="F1414" i="1"/>
  <c r="E1414" i="1"/>
  <c r="K1413" i="1"/>
  <c r="I1413" i="1"/>
  <c r="J1413" i="1" s="1"/>
  <c r="H1413" i="1"/>
  <c r="G1413" i="1"/>
  <c r="F1413" i="1"/>
  <c r="E1413" i="1"/>
  <c r="K1412" i="1"/>
  <c r="I1412" i="1"/>
  <c r="H1412" i="1"/>
  <c r="J1412" i="1" s="1"/>
  <c r="G1412" i="1"/>
  <c r="F1412" i="1"/>
  <c r="E1412" i="1"/>
  <c r="K1411" i="1"/>
  <c r="J1411" i="1"/>
  <c r="I1411" i="1"/>
  <c r="H1411" i="1"/>
  <c r="G1411" i="1"/>
  <c r="F1411" i="1"/>
  <c r="E1411" i="1"/>
  <c r="K1410" i="1"/>
  <c r="I1410" i="1"/>
  <c r="J1410" i="1" s="1"/>
  <c r="H1410" i="1"/>
  <c r="G1410" i="1"/>
  <c r="F1410" i="1"/>
  <c r="E1410" i="1"/>
  <c r="K1409" i="1"/>
  <c r="I1409" i="1"/>
  <c r="J1409" i="1" s="1"/>
  <c r="H1409" i="1"/>
  <c r="G1409" i="1"/>
  <c r="F1409" i="1"/>
  <c r="E1409" i="1"/>
  <c r="K1408" i="1"/>
  <c r="I1408" i="1"/>
  <c r="H1408" i="1"/>
  <c r="J1408" i="1" s="1"/>
  <c r="G1408" i="1"/>
  <c r="F1408" i="1"/>
  <c r="E1408" i="1"/>
  <c r="K1407" i="1"/>
  <c r="J1407" i="1"/>
  <c r="I1407" i="1"/>
  <c r="H1407" i="1"/>
  <c r="G1407" i="1"/>
  <c r="F1407" i="1"/>
  <c r="E1407" i="1"/>
  <c r="K1406" i="1"/>
  <c r="I1406" i="1"/>
  <c r="J1406" i="1" s="1"/>
  <c r="H1406" i="1"/>
  <c r="G1406" i="1"/>
  <c r="F1406" i="1"/>
  <c r="E1406" i="1"/>
  <c r="K1405" i="1"/>
  <c r="I1405" i="1"/>
  <c r="J1405" i="1" s="1"/>
  <c r="H1405" i="1"/>
  <c r="G1405" i="1"/>
  <c r="F1405" i="1"/>
  <c r="E1405" i="1"/>
  <c r="K1404" i="1"/>
  <c r="I1404" i="1"/>
  <c r="H1404" i="1"/>
  <c r="J1404" i="1" s="1"/>
  <c r="G1404" i="1"/>
  <c r="F1404" i="1"/>
  <c r="E1404" i="1"/>
  <c r="K1403" i="1"/>
  <c r="J1403" i="1"/>
  <c r="I1403" i="1"/>
  <c r="H1403" i="1"/>
  <c r="G1403" i="1"/>
  <c r="F1403" i="1"/>
  <c r="E1403" i="1"/>
  <c r="K1402" i="1"/>
  <c r="I1402" i="1"/>
  <c r="J1402" i="1" s="1"/>
  <c r="H1402" i="1"/>
  <c r="G1402" i="1"/>
  <c r="F1402" i="1"/>
  <c r="E1402" i="1"/>
  <c r="K1401" i="1"/>
  <c r="I1401" i="1"/>
  <c r="J1401" i="1" s="1"/>
  <c r="H1401" i="1"/>
  <c r="G1401" i="1"/>
  <c r="F1401" i="1"/>
  <c r="E1401" i="1"/>
  <c r="K1400" i="1"/>
  <c r="I1400" i="1"/>
  <c r="H1400" i="1"/>
  <c r="J1400" i="1" s="1"/>
  <c r="G1400" i="1"/>
  <c r="F1400" i="1"/>
  <c r="E1400" i="1"/>
  <c r="K1399" i="1"/>
  <c r="J1399" i="1"/>
  <c r="I1399" i="1"/>
  <c r="H1399" i="1"/>
  <c r="G1399" i="1"/>
  <c r="F1399" i="1"/>
  <c r="E1399" i="1"/>
  <c r="K1398" i="1"/>
  <c r="I1398" i="1"/>
  <c r="J1398" i="1" s="1"/>
  <c r="H1398" i="1"/>
  <c r="G1398" i="1"/>
  <c r="F1398" i="1"/>
  <c r="E1398" i="1"/>
  <c r="K1397" i="1"/>
  <c r="I1397" i="1"/>
  <c r="J1397" i="1" s="1"/>
  <c r="H1397" i="1"/>
  <c r="G1397" i="1"/>
  <c r="F1397" i="1"/>
  <c r="E1397" i="1"/>
  <c r="K1396" i="1"/>
  <c r="I1396" i="1"/>
  <c r="H1396" i="1"/>
  <c r="J1396" i="1" s="1"/>
  <c r="G1396" i="1"/>
  <c r="F1396" i="1"/>
  <c r="E1396" i="1"/>
  <c r="K1395" i="1"/>
  <c r="J1395" i="1"/>
  <c r="I1395" i="1"/>
  <c r="H1395" i="1"/>
  <c r="G1395" i="1"/>
  <c r="F1395" i="1"/>
  <c r="E1395" i="1"/>
  <c r="K1394" i="1"/>
  <c r="I1394" i="1"/>
  <c r="J1394" i="1" s="1"/>
  <c r="H1394" i="1"/>
  <c r="G1394" i="1"/>
  <c r="F1394" i="1"/>
  <c r="E1394" i="1"/>
  <c r="K1393" i="1"/>
  <c r="I1393" i="1"/>
  <c r="J1393" i="1" s="1"/>
  <c r="H1393" i="1"/>
  <c r="G1393" i="1"/>
  <c r="F1393" i="1"/>
  <c r="E1393" i="1"/>
  <c r="K1392" i="1"/>
  <c r="J1392" i="1"/>
  <c r="I1392" i="1"/>
  <c r="H1392" i="1"/>
  <c r="G1392" i="1"/>
  <c r="F1392" i="1"/>
  <c r="E1392" i="1"/>
  <c r="K1391" i="1"/>
  <c r="J1391" i="1"/>
  <c r="I1391" i="1"/>
  <c r="H1391" i="1"/>
  <c r="G1391" i="1"/>
  <c r="F1391" i="1"/>
  <c r="E1391" i="1"/>
  <c r="K1390" i="1"/>
  <c r="I1390" i="1"/>
  <c r="J1390" i="1" s="1"/>
  <c r="H1390" i="1"/>
  <c r="G1390" i="1"/>
  <c r="F1390" i="1"/>
  <c r="E1390" i="1"/>
  <c r="K1389" i="1"/>
  <c r="I1389" i="1"/>
  <c r="J1389" i="1" s="1"/>
  <c r="H1389" i="1"/>
  <c r="G1389" i="1"/>
  <c r="F1389" i="1"/>
  <c r="E1389" i="1"/>
  <c r="K1388" i="1"/>
  <c r="I1388" i="1"/>
  <c r="H1388" i="1"/>
  <c r="J1388" i="1" s="1"/>
  <c r="G1388" i="1"/>
  <c r="F1388" i="1"/>
  <c r="E1388" i="1"/>
  <c r="K1387" i="1"/>
  <c r="J1387" i="1"/>
  <c r="I1387" i="1"/>
  <c r="H1387" i="1"/>
  <c r="G1387" i="1"/>
  <c r="F1387" i="1"/>
  <c r="E1387" i="1"/>
  <c r="K1386" i="1"/>
  <c r="I1386" i="1"/>
  <c r="J1386" i="1" s="1"/>
  <c r="H1386" i="1"/>
  <c r="G1386" i="1"/>
  <c r="F1386" i="1"/>
  <c r="E1386" i="1"/>
  <c r="K1385" i="1"/>
  <c r="I1385" i="1"/>
  <c r="J1385" i="1" s="1"/>
  <c r="H1385" i="1"/>
  <c r="G1385" i="1"/>
  <c r="F1385" i="1"/>
  <c r="E1385" i="1"/>
  <c r="K1384" i="1"/>
  <c r="J1384" i="1"/>
  <c r="I1384" i="1"/>
  <c r="H1384" i="1"/>
  <c r="G1384" i="1"/>
  <c r="F1384" i="1"/>
  <c r="E1384" i="1"/>
  <c r="K1383" i="1"/>
  <c r="J1383" i="1"/>
  <c r="I1383" i="1"/>
  <c r="H1383" i="1"/>
  <c r="G1383" i="1"/>
  <c r="F1383" i="1"/>
  <c r="E1383" i="1"/>
  <c r="K1382" i="1"/>
  <c r="I1382" i="1"/>
  <c r="J1382" i="1" s="1"/>
  <c r="H1382" i="1"/>
  <c r="G1382" i="1"/>
  <c r="F1382" i="1"/>
  <c r="E1382" i="1"/>
  <c r="K1381" i="1"/>
  <c r="I1381" i="1"/>
  <c r="J1381" i="1" s="1"/>
  <c r="H1381" i="1"/>
  <c r="G1381" i="1"/>
  <c r="F1381" i="1"/>
  <c r="E1381" i="1"/>
  <c r="K1380" i="1"/>
  <c r="I1380" i="1"/>
  <c r="H1380" i="1"/>
  <c r="J1380" i="1" s="1"/>
  <c r="G1380" i="1"/>
  <c r="F1380" i="1"/>
  <c r="E1380" i="1"/>
  <c r="K1379" i="1"/>
  <c r="J1379" i="1"/>
  <c r="I1379" i="1"/>
  <c r="H1379" i="1"/>
  <c r="G1379" i="1"/>
  <c r="F1379" i="1"/>
  <c r="E1379" i="1"/>
  <c r="K1378" i="1"/>
  <c r="I1378" i="1"/>
  <c r="J1378" i="1" s="1"/>
  <c r="H1378" i="1"/>
  <c r="G1378" i="1"/>
  <c r="F1378" i="1"/>
  <c r="E1378" i="1"/>
  <c r="K1377" i="1"/>
  <c r="I1377" i="1"/>
  <c r="J1377" i="1" s="1"/>
  <c r="H1377" i="1"/>
  <c r="G1377" i="1"/>
  <c r="F1377" i="1"/>
  <c r="E1377" i="1"/>
  <c r="K1376" i="1"/>
  <c r="I1376" i="1"/>
  <c r="H1376" i="1"/>
  <c r="J1376" i="1" s="1"/>
  <c r="G1376" i="1"/>
  <c r="F1376" i="1"/>
  <c r="E1376" i="1"/>
  <c r="K1375" i="1"/>
  <c r="J1375" i="1"/>
  <c r="I1375" i="1"/>
  <c r="H1375" i="1"/>
  <c r="G1375" i="1"/>
  <c r="F1375" i="1"/>
  <c r="E1375" i="1"/>
  <c r="K1374" i="1"/>
  <c r="I1374" i="1"/>
  <c r="J1374" i="1" s="1"/>
  <c r="H1374" i="1"/>
  <c r="G1374" i="1"/>
  <c r="F1374" i="1"/>
  <c r="E1374" i="1"/>
  <c r="K1373" i="1"/>
  <c r="I1373" i="1"/>
  <c r="J1373" i="1" s="1"/>
  <c r="H1373" i="1"/>
  <c r="G1373" i="1"/>
  <c r="F1373" i="1"/>
  <c r="E1373" i="1"/>
  <c r="K1372" i="1"/>
  <c r="J1372" i="1"/>
  <c r="I1372" i="1"/>
  <c r="H1372" i="1"/>
  <c r="G1372" i="1"/>
  <c r="F1372" i="1"/>
  <c r="E1372" i="1"/>
  <c r="K1371" i="1"/>
  <c r="J1371" i="1"/>
  <c r="I1371" i="1"/>
  <c r="H1371" i="1"/>
  <c r="G1371" i="1"/>
  <c r="F1371" i="1"/>
  <c r="E1371" i="1"/>
  <c r="K1370" i="1"/>
  <c r="I1370" i="1"/>
  <c r="J1370" i="1" s="1"/>
  <c r="H1370" i="1"/>
  <c r="G1370" i="1"/>
  <c r="F1370" i="1"/>
  <c r="E1370" i="1"/>
  <c r="K1369" i="1"/>
  <c r="I1369" i="1"/>
  <c r="J1369" i="1" s="1"/>
  <c r="H1369" i="1"/>
  <c r="G1369" i="1"/>
  <c r="F1369" i="1"/>
  <c r="E1369" i="1"/>
  <c r="K1368" i="1"/>
  <c r="I1368" i="1"/>
  <c r="H1368" i="1"/>
  <c r="J1368" i="1" s="1"/>
  <c r="G1368" i="1"/>
  <c r="F1368" i="1"/>
  <c r="E1368" i="1"/>
  <c r="K1367" i="1"/>
  <c r="J1367" i="1"/>
  <c r="I1367" i="1"/>
  <c r="H1367" i="1"/>
  <c r="G1367" i="1"/>
  <c r="F1367" i="1"/>
  <c r="E1367" i="1"/>
  <c r="K1366" i="1"/>
  <c r="I1366" i="1"/>
  <c r="J1366" i="1" s="1"/>
  <c r="H1366" i="1"/>
  <c r="G1366" i="1"/>
  <c r="F1366" i="1"/>
  <c r="E1366" i="1"/>
  <c r="K1365" i="1"/>
  <c r="I1365" i="1"/>
  <c r="J1365" i="1" s="1"/>
  <c r="H1365" i="1"/>
  <c r="G1365" i="1"/>
  <c r="F1365" i="1"/>
  <c r="E1365" i="1"/>
  <c r="K1364" i="1"/>
  <c r="I1364" i="1"/>
  <c r="H1364" i="1"/>
  <c r="J1364" i="1" s="1"/>
  <c r="G1364" i="1"/>
  <c r="F1364" i="1"/>
  <c r="E1364" i="1"/>
  <c r="K1363" i="1"/>
  <c r="J1363" i="1"/>
  <c r="I1363" i="1"/>
  <c r="H1363" i="1"/>
  <c r="G1363" i="1"/>
  <c r="F1363" i="1"/>
  <c r="E1363" i="1"/>
  <c r="K1362" i="1"/>
  <c r="I1362" i="1"/>
  <c r="J1362" i="1" s="1"/>
  <c r="H1362" i="1"/>
  <c r="G1362" i="1"/>
  <c r="F1362" i="1"/>
  <c r="E1362" i="1"/>
  <c r="K1361" i="1"/>
  <c r="I1361" i="1"/>
  <c r="J1361" i="1" s="1"/>
  <c r="H1361" i="1"/>
  <c r="G1361" i="1"/>
  <c r="F1361" i="1"/>
  <c r="E1361" i="1"/>
  <c r="K1360" i="1"/>
  <c r="J1360" i="1"/>
  <c r="I1360" i="1"/>
  <c r="H1360" i="1"/>
  <c r="G1360" i="1"/>
  <c r="F1360" i="1"/>
  <c r="E1360" i="1"/>
  <c r="K1359" i="1"/>
  <c r="J1359" i="1"/>
  <c r="I1359" i="1"/>
  <c r="H1359" i="1"/>
  <c r="G1359" i="1"/>
  <c r="F1359" i="1"/>
  <c r="E1359" i="1"/>
  <c r="K1358" i="1"/>
  <c r="I1358" i="1"/>
  <c r="J1358" i="1" s="1"/>
  <c r="H1358" i="1"/>
  <c r="G1358" i="1"/>
  <c r="F1358" i="1"/>
  <c r="E1358" i="1"/>
  <c r="K1357" i="1"/>
  <c r="I1357" i="1"/>
  <c r="J1357" i="1" s="1"/>
  <c r="H1357" i="1"/>
  <c r="G1357" i="1"/>
  <c r="F1357" i="1"/>
  <c r="E1357" i="1"/>
  <c r="K1356" i="1"/>
  <c r="J1356" i="1"/>
  <c r="I1356" i="1"/>
  <c r="H1356" i="1"/>
  <c r="G1356" i="1"/>
  <c r="F1356" i="1"/>
  <c r="E1356" i="1"/>
  <c r="K1355" i="1"/>
  <c r="J1355" i="1"/>
  <c r="I1355" i="1"/>
  <c r="H1355" i="1"/>
  <c r="G1355" i="1"/>
  <c r="F1355" i="1"/>
  <c r="E1355" i="1"/>
  <c r="K1354" i="1"/>
  <c r="I1354" i="1"/>
  <c r="J1354" i="1" s="1"/>
  <c r="H1354" i="1"/>
  <c r="G1354" i="1"/>
  <c r="F1354" i="1"/>
  <c r="E1354" i="1"/>
  <c r="K1353" i="1"/>
  <c r="I1353" i="1"/>
  <c r="J1353" i="1" s="1"/>
  <c r="H1353" i="1"/>
  <c r="G1353" i="1"/>
  <c r="F1353" i="1"/>
  <c r="E1353" i="1"/>
  <c r="K1352" i="1"/>
  <c r="I1352" i="1"/>
  <c r="H1352" i="1"/>
  <c r="J1352" i="1" s="1"/>
  <c r="G1352" i="1"/>
  <c r="F1352" i="1"/>
  <c r="E1352" i="1"/>
  <c r="K1351" i="1"/>
  <c r="J1351" i="1"/>
  <c r="I1351" i="1"/>
  <c r="H1351" i="1"/>
  <c r="G1351" i="1"/>
  <c r="F1351" i="1"/>
  <c r="E1351" i="1"/>
  <c r="K1350" i="1"/>
  <c r="I1350" i="1"/>
  <c r="J1350" i="1" s="1"/>
  <c r="H1350" i="1"/>
  <c r="G1350" i="1"/>
  <c r="F1350" i="1"/>
  <c r="E1350" i="1"/>
  <c r="K1349" i="1"/>
  <c r="I1349" i="1"/>
  <c r="J1349" i="1" s="1"/>
  <c r="H1349" i="1"/>
  <c r="G1349" i="1"/>
  <c r="F1349" i="1"/>
  <c r="E1349" i="1"/>
  <c r="K1348" i="1"/>
  <c r="J1348" i="1"/>
  <c r="I1348" i="1"/>
  <c r="H1348" i="1"/>
  <c r="G1348" i="1"/>
  <c r="F1348" i="1"/>
  <c r="E1348" i="1"/>
  <c r="K1347" i="1"/>
  <c r="J1347" i="1"/>
  <c r="I1347" i="1"/>
  <c r="H1347" i="1"/>
  <c r="G1347" i="1"/>
  <c r="F1347" i="1"/>
  <c r="E1347" i="1"/>
  <c r="K1346" i="1"/>
  <c r="I1346" i="1"/>
  <c r="J1346" i="1" s="1"/>
  <c r="H1346" i="1"/>
  <c r="G1346" i="1"/>
  <c r="F1346" i="1"/>
  <c r="E1346" i="1"/>
  <c r="K1345" i="1"/>
  <c r="I1345" i="1"/>
  <c r="J1345" i="1" s="1"/>
  <c r="H1345" i="1"/>
  <c r="G1345" i="1"/>
  <c r="F1345" i="1"/>
  <c r="E1345" i="1"/>
  <c r="K1344" i="1"/>
  <c r="I1344" i="1"/>
  <c r="H1344" i="1"/>
  <c r="J1344" i="1" s="1"/>
  <c r="G1344" i="1"/>
  <c r="F1344" i="1"/>
  <c r="E1344" i="1"/>
  <c r="K1343" i="1"/>
  <c r="J1343" i="1"/>
  <c r="I1343" i="1"/>
  <c r="H1343" i="1"/>
  <c r="G1343" i="1"/>
  <c r="F1343" i="1"/>
  <c r="E1343" i="1"/>
  <c r="K1342" i="1"/>
  <c r="I1342" i="1"/>
  <c r="J1342" i="1" s="1"/>
  <c r="H1342" i="1"/>
  <c r="G1342" i="1"/>
  <c r="F1342" i="1"/>
  <c r="E1342" i="1"/>
  <c r="K1341" i="1"/>
  <c r="I1341" i="1"/>
  <c r="J1341" i="1" s="1"/>
  <c r="H1341" i="1"/>
  <c r="G1341" i="1"/>
  <c r="F1341" i="1"/>
  <c r="E1341" i="1"/>
  <c r="K1340" i="1"/>
  <c r="I1340" i="1"/>
  <c r="H1340" i="1"/>
  <c r="J1340" i="1" s="1"/>
  <c r="G1340" i="1"/>
  <c r="F1340" i="1"/>
  <c r="E1340" i="1"/>
  <c r="K1339" i="1"/>
  <c r="J1339" i="1"/>
  <c r="I1339" i="1"/>
  <c r="H1339" i="1"/>
  <c r="G1339" i="1"/>
  <c r="F1339" i="1"/>
  <c r="E1339" i="1"/>
  <c r="K1338" i="1"/>
  <c r="I1338" i="1"/>
  <c r="J1338" i="1" s="1"/>
  <c r="H1338" i="1"/>
  <c r="G1338" i="1"/>
  <c r="F1338" i="1"/>
  <c r="E1338" i="1"/>
  <c r="K1337" i="1"/>
  <c r="I1337" i="1"/>
  <c r="J1337" i="1" s="1"/>
  <c r="H1337" i="1"/>
  <c r="G1337" i="1"/>
  <c r="F1337" i="1"/>
  <c r="E1337" i="1"/>
  <c r="K1336" i="1"/>
  <c r="I1336" i="1"/>
  <c r="H1336" i="1"/>
  <c r="J1336" i="1" s="1"/>
  <c r="G1336" i="1"/>
  <c r="F1336" i="1"/>
  <c r="E1336" i="1"/>
  <c r="K1335" i="1"/>
  <c r="J1335" i="1"/>
  <c r="I1335" i="1"/>
  <c r="H1335" i="1"/>
  <c r="G1335" i="1"/>
  <c r="F1335" i="1"/>
  <c r="E1335" i="1"/>
  <c r="K1334" i="1"/>
  <c r="I1334" i="1"/>
  <c r="J1334" i="1" s="1"/>
  <c r="H1334" i="1"/>
  <c r="G1334" i="1"/>
  <c r="F1334" i="1"/>
  <c r="E1334" i="1"/>
  <c r="K1333" i="1"/>
  <c r="I1333" i="1"/>
  <c r="J1333" i="1" s="1"/>
  <c r="H1333" i="1"/>
  <c r="G1333" i="1"/>
  <c r="F1333" i="1"/>
  <c r="E1333" i="1"/>
  <c r="K1332" i="1"/>
  <c r="I1332" i="1"/>
  <c r="H1332" i="1"/>
  <c r="J1332" i="1" s="1"/>
  <c r="G1332" i="1"/>
  <c r="F1332" i="1"/>
  <c r="E1332" i="1"/>
  <c r="K1331" i="1"/>
  <c r="J1331" i="1"/>
  <c r="I1331" i="1"/>
  <c r="H1331" i="1"/>
  <c r="G1331" i="1"/>
  <c r="F1331" i="1"/>
  <c r="E1331" i="1"/>
  <c r="K1330" i="1"/>
  <c r="I1330" i="1"/>
  <c r="J1330" i="1" s="1"/>
  <c r="H1330" i="1"/>
  <c r="G1330" i="1"/>
  <c r="F1330" i="1"/>
  <c r="E1330" i="1"/>
  <c r="K1329" i="1"/>
  <c r="I1329" i="1"/>
  <c r="H1329" i="1"/>
  <c r="G1329" i="1"/>
  <c r="F1329" i="1"/>
  <c r="E1329" i="1"/>
  <c r="K1328" i="1"/>
  <c r="I1328" i="1"/>
  <c r="H1328" i="1"/>
  <c r="J1328" i="1" s="1"/>
  <c r="G1328" i="1"/>
  <c r="F1328" i="1"/>
  <c r="E1328" i="1"/>
  <c r="K1327" i="1"/>
  <c r="J1327" i="1"/>
  <c r="I1327" i="1"/>
  <c r="H1327" i="1"/>
  <c r="G1327" i="1"/>
  <c r="F1327" i="1"/>
  <c r="E1327" i="1"/>
  <c r="K1326" i="1"/>
  <c r="I1326" i="1"/>
  <c r="J1326" i="1" s="1"/>
  <c r="H1326" i="1"/>
  <c r="G1326" i="1"/>
  <c r="F1326" i="1"/>
  <c r="E1326" i="1"/>
  <c r="K1325" i="1"/>
  <c r="I1325" i="1"/>
  <c r="J1325" i="1" s="1"/>
  <c r="H1325" i="1"/>
  <c r="G1325" i="1"/>
  <c r="F1325" i="1"/>
  <c r="E1325" i="1"/>
  <c r="K1324" i="1"/>
  <c r="I1324" i="1"/>
  <c r="H1324" i="1"/>
  <c r="J1324" i="1" s="1"/>
  <c r="G1324" i="1"/>
  <c r="F1324" i="1"/>
  <c r="E1324" i="1"/>
  <c r="K1323" i="1"/>
  <c r="J1323" i="1"/>
  <c r="I1323" i="1"/>
  <c r="H1323" i="1"/>
  <c r="G1323" i="1"/>
  <c r="F1323" i="1"/>
  <c r="E1323" i="1"/>
  <c r="K1322" i="1"/>
  <c r="I1322" i="1"/>
  <c r="J1322" i="1" s="1"/>
  <c r="H1322" i="1"/>
  <c r="G1322" i="1"/>
  <c r="F1322" i="1"/>
  <c r="E1322" i="1"/>
  <c r="K1321" i="1"/>
  <c r="I1321" i="1"/>
  <c r="J1321" i="1" s="1"/>
  <c r="H1321" i="1"/>
  <c r="G1321" i="1"/>
  <c r="F1321" i="1"/>
  <c r="E1321" i="1"/>
  <c r="K1320" i="1"/>
  <c r="J1320" i="1"/>
  <c r="I1320" i="1"/>
  <c r="H1320" i="1"/>
  <c r="G1320" i="1"/>
  <c r="F1320" i="1"/>
  <c r="E1320" i="1"/>
  <c r="K1319" i="1"/>
  <c r="J1319" i="1"/>
  <c r="I1319" i="1"/>
  <c r="H1319" i="1"/>
  <c r="G1319" i="1"/>
  <c r="F1319" i="1"/>
  <c r="E1319" i="1"/>
  <c r="K1318" i="1"/>
  <c r="I1318" i="1"/>
  <c r="J1318" i="1" s="1"/>
  <c r="H1318" i="1"/>
  <c r="G1318" i="1"/>
  <c r="F1318" i="1"/>
  <c r="E1318" i="1"/>
  <c r="K1317" i="1"/>
  <c r="I1317" i="1"/>
  <c r="H1317" i="1"/>
  <c r="G1317" i="1"/>
  <c r="F1317" i="1"/>
  <c r="E1317" i="1"/>
  <c r="K1316" i="1"/>
  <c r="J1316" i="1"/>
  <c r="I1316" i="1"/>
  <c r="H1316" i="1"/>
  <c r="G1316" i="1"/>
  <c r="F1316" i="1"/>
  <c r="E1316" i="1"/>
  <c r="K1315" i="1"/>
  <c r="J1315" i="1"/>
  <c r="I1315" i="1"/>
  <c r="H1315" i="1"/>
  <c r="G1315" i="1"/>
  <c r="F1315" i="1"/>
  <c r="E1315" i="1"/>
  <c r="K1314" i="1"/>
  <c r="I1314" i="1"/>
  <c r="J1314" i="1" s="1"/>
  <c r="H1314" i="1"/>
  <c r="G1314" i="1"/>
  <c r="F1314" i="1"/>
  <c r="E1314" i="1"/>
  <c r="K1313" i="1"/>
  <c r="I1313" i="1"/>
  <c r="J1313" i="1" s="1"/>
  <c r="H1313" i="1"/>
  <c r="G1313" i="1"/>
  <c r="F1313" i="1"/>
  <c r="E1313" i="1"/>
  <c r="K1312" i="1"/>
  <c r="J1312" i="1"/>
  <c r="I1312" i="1"/>
  <c r="H1312" i="1"/>
  <c r="G1312" i="1"/>
  <c r="F1312" i="1"/>
  <c r="E1312" i="1"/>
  <c r="K1311" i="1"/>
  <c r="J1311" i="1"/>
  <c r="I1311" i="1"/>
  <c r="H1311" i="1"/>
  <c r="G1311" i="1"/>
  <c r="F1311" i="1"/>
  <c r="E1311" i="1"/>
  <c r="K1310" i="1"/>
  <c r="I1310" i="1"/>
  <c r="J1310" i="1" s="1"/>
  <c r="H1310" i="1"/>
  <c r="G1310" i="1"/>
  <c r="F1310" i="1"/>
  <c r="E1310" i="1"/>
  <c r="K1309" i="1"/>
  <c r="I1309" i="1"/>
  <c r="H1309" i="1"/>
  <c r="G1309" i="1"/>
  <c r="F1309" i="1"/>
  <c r="E1309" i="1"/>
  <c r="K1308" i="1"/>
  <c r="I1308" i="1"/>
  <c r="H1308" i="1"/>
  <c r="J1308" i="1" s="1"/>
  <c r="G1308" i="1"/>
  <c r="F1308" i="1"/>
  <c r="E1308" i="1"/>
  <c r="K1307" i="1"/>
  <c r="J1307" i="1"/>
  <c r="I1307" i="1"/>
  <c r="H1307" i="1"/>
  <c r="G1307" i="1"/>
  <c r="F1307" i="1"/>
  <c r="E1307" i="1"/>
  <c r="K1306" i="1"/>
  <c r="J1306" i="1"/>
  <c r="I1306" i="1"/>
  <c r="H1306" i="1"/>
  <c r="G1306" i="1"/>
  <c r="F1306" i="1"/>
  <c r="E1306" i="1"/>
  <c r="K1305" i="1"/>
  <c r="I1305" i="1"/>
  <c r="H1305" i="1"/>
  <c r="G1305" i="1"/>
  <c r="F1305" i="1"/>
  <c r="E1305" i="1"/>
  <c r="K1304" i="1"/>
  <c r="J1304" i="1"/>
  <c r="I1304" i="1"/>
  <c r="H1304" i="1"/>
  <c r="G1304" i="1"/>
  <c r="F1304" i="1"/>
  <c r="E1304" i="1"/>
  <c r="K1303" i="1"/>
  <c r="J1303" i="1"/>
  <c r="I1303" i="1"/>
  <c r="H1303" i="1"/>
  <c r="G1303" i="1"/>
  <c r="F1303" i="1"/>
  <c r="E1303" i="1"/>
  <c r="K1302" i="1"/>
  <c r="I1302" i="1"/>
  <c r="J1302" i="1" s="1"/>
  <c r="H1302" i="1"/>
  <c r="G1302" i="1"/>
  <c r="F1302" i="1"/>
  <c r="E1302" i="1"/>
  <c r="K1301" i="1"/>
  <c r="I1301" i="1"/>
  <c r="J1301" i="1" s="1"/>
  <c r="H1301" i="1"/>
  <c r="G1301" i="1"/>
  <c r="F1301" i="1"/>
  <c r="E1301" i="1"/>
  <c r="K1300" i="1"/>
  <c r="J1300" i="1"/>
  <c r="I1300" i="1"/>
  <c r="H1300" i="1"/>
  <c r="G1300" i="1"/>
  <c r="F1300" i="1"/>
  <c r="E1300" i="1"/>
  <c r="K1299" i="1"/>
  <c r="I1299" i="1"/>
  <c r="J1299" i="1" s="1"/>
  <c r="H1299" i="1"/>
  <c r="G1299" i="1"/>
  <c r="F1299" i="1"/>
  <c r="E1299" i="1"/>
  <c r="K1298" i="1"/>
  <c r="I1298" i="1"/>
  <c r="H1298" i="1"/>
  <c r="J1298" i="1" s="1"/>
  <c r="G1298" i="1"/>
  <c r="F1298" i="1"/>
  <c r="E1298" i="1"/>
  <c r="K1297" i="1"/>
  <c r="I1297" i="1"/>
  <c r="H1297" i="1"/>
  <c r="G1297" i="1"/>
  <c r="F1297" i="1"/>
  <c r="E1297" i="1"/>
  <c r="K1296" i="1"/>
  <c r="J1296" i="1"/>
  <c r="I1296" i="1"/>
  <c r="H1296" i="1"/>
  <c r="G1296" i="1"/>
  <c r="F1296" i="1"/>
  <c r="E1296" i="1"/>
  <c r="K1295" i="1"/>
  <c r="J1295" i="1"/>
  <c r="I1295" i="1"/>
  <c r="H1295" i="1"/>
  <c r="G1295" i="1"/>
  <c r="F1295" i="1"/>
  <c r="E1295" i="1"/>
  <c r="K1294" i="1"/>
  <c r="I1294" i="1"/>
  <c r="J1294" i="1" s="1"/>
  <c r="H1294" i="1"/>
  <c r="G1294" i="1"/>
  <c r="F1294" i="1"/>
  <c r="E1294" i="1"/>
  <c r="K1293" i="1"/>
  <c r="I1293" i="1"/>
  <c r="J1293" i="1" s="1"/>
  <c r="H1293" i="1"/>
  <c r="G1293" i="1"/>
  <c r="F1293" i="1"/>
  <c r="E1293" i="1"/>
  <c r="K1292" i="1"/>
  <c r="I1292" i="1"/>
  <c r="H1292" i="1"/>
  <c r="J1292" i="1" s="1"/>
  <c r="G1292" i="1"/>
  <c r="F1292" i="1"/>
  <c r="E1292" i="1"/>
  <c r="K1291" i="1"/>
  <c r="I1291" i="1"/>
  <c r="J1291" i="1" s="1"/>
  <c r="H1291" i="1"/>
  <c r="G1291" i="1"/>
  <c r="F1291" i="1"/>
  <c r="E1291" i="1"/>
  <c r="K1290" i="1"/>
  <c r="J1290" i="1"/>
  <c r="I1290" i="1"/>
  <c r="H1290" i="1"/>
  <c r="G1290" i="1"/>
  <c r="F1290" i="1"/>
  <c r="E1290" i="1"/>
  <c r="K1289" i="1"/>
  <c r="I1289" i="1"/>
  <c r="J1289" i="1" s="1"/>
  <c r="H1289" i="1"/>
  <c r="G1289" i="1"/>
  <c r="F1289" i="1"/>
  <c r="E1289" i="1"/>
  <c r="K1288" i="1"/>
  <c r="I1288" i="1"/>
  <c r="H1288" i="1"/>
  <c r="J1288" i="1" s="1"/>
  <c r="G1288" i="1"/>
  <c r="F1288" i="1"/>
  <c r="E1288" i="1"/>
  <c r="K1287" i="1"/>
  <c r="I1287" i="1"/>
  <c r="J1287" i="1" s="1"/>
  <c r="H1287" i="1"/>
  <c r="G1287" i="1"/>
  <c r="F1287" i="1"/>
  <c r="E1287" i="1"/>
  <c r="K1286" i="1"/>
  <c r="J1286" i="1"/>
  <c r="I1286" i="1"/>
  <c r="H1286" i="1"/>
  <c r="G1286" i="1"/>
  <c r="F1286" i="1"/>
  <c r="E1286" i="1"/>
  <c r="K1285" i="1"/>
  <c r="I1285" i="1"/>
  <c r="J1285" i="1" s="1"/>
  <c r="H1285" i="1"/>
  <c r="G1285" i="1"/>
  <c r="F1285" i="1"/>
  <c r="E1285" i="1"/>
  <c r="K1284" i="1"/>
  <c r="I1284" i="1"/>
  <c r="H1284" i="1"/>
  <c r="J1284" i="1" s="1"/>
  <c r="G1284" i="1"/>
  <c r="F1284" i="1"/>
  <c r="E1284" i="1"/>
  <c r="K1283" i="1"/>
  <c r="I1283" i="1"/>
  <c r="J1283" i="1" s="1"/>
  <c r="H1283" i="1"/>
  <c r="G1283" i="1"/>
  <c r="F1283" i="1"/>
  <c r="E1283" i="1"/>
  <c r="K1282" i="1"/>
  <c r="J1282" i="1"/>
  <c r="I1282" i="1"/>
  <c r="H1282" i="1"/>
  <c r="G1282" i="1"/>
  <c r="F1282" i="1"/>
  <c r="E1282" i="1"/>
  <c r="K1281" i="1"/>
  <c r="I1281" i="1"/>
  <c r="J1281" i="1" s="1"/>
  <c r="H1281" i="1"/>
  <c r="G1281" i="1"/>
  <c r="F1281" i="1"/>
  <c r="E1281" i="1"/>
  <c r="K1280" i="1"/>
  <c r="I1280" i="1"/>
  <c r="H1280" i="1"/>
  <c r="J1280" i="1" s="1"/>
  <c r="G1280" i="1"/>
  <c r="F1280" i="1"/>
  <c r="E1280" i="1"/>
  <c r="K1279" i="1"/>
  <c r="I1279" i="1"/>
  <c r="J1279" i="1" s="1"/>
  <c r="H1279" i="1"/>
  <c r="G1279" i="1"/>
  <c r="F1279" i="1"/>
  <c r="E1279" i="1"/>
  <c r="K1278" i="1"/>
  <c r="J1278" i="1"/>
  <c r="I1278" i="1"/>
  <c r="H1278" i="1"/>
  <c r="G1278" i="1"/>
  <c r="F1278" i="1"/>
  <c r="E1278" i="1"/>
  <c r="K1277" i="1"/>
  <c r="I1277" i="1"/>
  <c r="J1277" i="1" s="1"/>
  <c r="H1277" i="1"/>
  <c r="G1277" i="1"/>
  <c r="F1277" i="1"/>
  <c r="E1277" i="1"/>
  <c r="K1276" i="1"/>
  <c r="J1276" i="1"/>
  <c r="I1276" i="1"/>
  <c r="H1276" i="1"/>
  <c r="G1276" i="1"/>
  <c r="F1276" i="1"/>
  <c r="E1276" i="1"/>
  <c r="K1275" i="1"/>
  <c r="I1275" i="1"/>
  <c r="J1275" i="1" s="1"/>
  <c r="H1275" i="1"/>
  <c r="G1275" i="1"/>
  <c r="F1275" i="1"/>
  <c r="E1275" i="1"/>
  <c r="K1274" i="1"/>
  <c r="J1274" i="1"/>
  <c r="I1274" i="1"/>
  <c r="H1274" i="1"/>
  <c r="G1274" i="1"/>
  <c r="F1274" i="1"/>
  <c r="E1274" i="1"/>
  <c r="K1273" i="1"/>
  <c r="I1273" i="1"/>
  <c r="J1273" i="1" s="1"/>
  <c r="H1273" i="1"/>
  <c r="G1273" i="1"/>
  <c r="F1273" i="1"/>
  <c r="E1273" i="1"/>
  <c r="K1272" i="1"/>
  <c r="I1272" i="1"/>
  <c r="H1272" i="1"/>
  <c r="J1272" i="1" s="1"/>
  <c r="G1272" i="1"/>
  <c r="F1272" i="1"/>
  <c r="E1272" i="1"/>
  <c r="K1271" i="1"/>
  <c r="I1271" i="1"/>
  <c r="J1271" i="1" s="1"/>
  <c r="H1271" i="1"/>
  <c r="G1271" i="1"/>
  <c r="F1271" i="1"/>
  <c r="E1271" i="1"/>
  <c r="K1270" i="1"/>
  <c r="J1270" i="1"/>
  <c r="I1270" i="1"/>
  <c r="H1270" i="1"/>
  <c r="G1270" i="1"/>
  <c r="F1270" i="1"/>
  <c r="E1270" i="1"/>
  <c r="K1269" i="1"/>
  <c r="I1269" i="1"/>
  <c r="J1269" i="1" s="1"/>
  <c r="H1269" i="1"/>
  <c r="G1269" i="1"/>
  <c r="F1269" i="1"/>
  <c r="E1269" i="1"/>
  <c r="K1268" i="1"/>
  <c r="I1268" i="1"/>
  <c r="H1268" i="1"/>
  <c r="J1268" i="1" s="1"/>
  <c r="G1268" i="1"/>
  <c r="F1268" i="1"/>
  <c r="E1268" i="1"/>
  <c r="K1267" i="1"/>
  <c r="I1267" i="1"/>
  <c r="J1267" i="1" s="1"/>
  <c r="H1267" i="1"/>
  <c r="G1267" i="1"/>
  <c r="F1267" i="1"/>
  <c r="E1267" i="1"/>
  <c r="K1266" i="1"/>
  <c r="J1266" i="1"/>
  <c r="I1266" i="1"/>
  <c r="H1266" i="1"/>
  <c r="G1266" i="1"/>
  <c r="F1266" i="1"/>
  <c r="E1266" i="1"/>
  <c r="K1265" i="1"/>
  <c r="I1265" i="1"/>
  <c r="J1265" i="1" s="1"/>
  <c r="H1265" i="1"/>
  <c r="G1265" i="1"/>
  <c r="F1265" i="1"/>
  <c r="E1265" i="1"/>
  <c r="K1264" i="1"/>
  <c r="I1264" i="1"/>
  <c r="H1264" i="1"/>
  <c r="J1264" i="1" s="1"/>
  <c r="G1264" i="1"/>
  <c r="F1264" i="1"/>
  <c r="E1264" i="1"/>
  <c r="K1263" i="1"/>
  <c r="I1263" i="1"/>
  <c r="J1263" i="1" s="1"/>
  <c r="H1263" i="1"/>
  <c r="G1263" i="1"/>
  <c r="F1263" i="1"/>
  <c r="E1263" i="1"/>
  <c r="K1262" i="1"/>
  <c r="J1262" i="1"/>
  <c r="I1262" i="1"/>
  <c r="H1262" i="1"/>
  <c r="G1262" i="1"/>
  <c r="F1262" i="1"/>
  <c r="E1262" i="1"/>
  <c r="K1261" i="1"/>
  <c r="I1261" i="1"/>
  <c r="J1261" i="1" s="1"/>
  <c r="H1261" i="1"/>
  <c r="G1261" i="1"/>
  <c r="F1261" i="1"/>
  <c r="E1261" i="1"/>
  <c r="K1260" i="1"/>
  <c r="I1260" i="1"/>
  <c r="H1260" i="1"/>
  <c r="J1260" i="1" s="1"/>
  <c r="G1260" i="1"/>
  <c r="F1260" i="1"/>
  <c r="E1260" i="1"/>
  <c r="K1259" i="1"/>
  <c r="I1259" i="1"/>
  <c r="J1259" i="1" s="1"/>
  <c r="H1259" i="1"/>
  <c r="G1259" i="1"/>
  <c r="F1259" i="1"/>
  <c r="E1259" i="1"/>
  <c r="K1258" i="1"/>
  <c r="J1258" i="1"/>
  <c r="I1258" i="1"/>
  <c r="H1258" i="1"/>
  <c r="G1258" i="1"/>
  <c r="F1258" i="1"/>
  <c r="E1258" i="1"/>
  <c r="K1257" i="1"/>
  <c r="I1257" i="1"/>
  <c r="J1257" i="1" s="1"/>
  <c r="H1257" i="1"/>
  <c r="G1257" i="1"/>
  <c r="F1257" i="1"/>
  <c r="E1257" i="1"/>
  <c r="K1256" i="1"/>
  <c r="J1256" i="1"/>
  <c r="I1256" i="1"/>
  <c r="H1256" i="1"/>
  <c r="G1256" i="1"/>
  <c r="F1256" i="1"/>
  <c r="E1256" i="1"/>
  <c r="K1255" i="1"/>
  <c r="I1255" i="1"/>
  <c r="J1255" i="1" s="1"/>
  <c r="H1255" i="1"/>
  <c r="G1255" i="1"/>
  <c r="F1255" i="1"/>
  <c r="E1255" i="1"/>
  <c r="K1254" i="1"/>
  <c r="J1254" i="1"/>
  <c r="I1254" i="1"/>
  <c r="H1254" i="1"/>
  <c r="G1254" i="1"/>
  <c r="F1254" i="1"/>
  <c r="E1254" i="1"/>
  <c r="K1253" i="1"/>
  <c r="I1253" i="1"/>
  <c r="J1253" i="1" s="1"/>
  <c r="H1253" i="1"/>
  <c r="G1253" i="1"/>
  <c r="F1253" i="1"/>
  <c r="E1253" i="1"/>
  <c r="K1252" i="1"/>
  <c r="I1252" i="1"/>
  <c r="H1252" i="1"/>
  <c r="J1252" i="1" s="1"/>
  <c r="G1252" i="1"/>
  <c r="F1252" i="1"/>
  <c r="E1252" i="1"/>
  <c r="K1251" i="1"/>
  <c r="I1251" i="1"/>
  <c r="J1251" i="1" s="1"/>
  <c r="H1251" i="1"/>
  <c r="G1251" i="1"/>
  <c r="F1251" i="1"/>
  <c r="E1251" i="1"/>
  <c r="K1250" i="1"/>
  <c r="J1250" i="1"/>
  <c r="I1250" i="1"/>
  <c r="H1250" i="1"/>
  <c r="G1250" i="1"/>
  <c r="F1250" i="1"/>
  <c r="E1250" i="1"/>
  <c r="K1249" i="1"/>
  <c r="I1249" i="1"/>
  <c r="J1249" i="1" s="1"/>
  <c r="H1249" i="1"/>
  <c r="G1249" i="1"/>
  <c r="F1249" i="1"/>
  <c r="E1249" i="1"/>
  <c r="K1248" i="1"/>
  <c r="I1248" i="1"/>
  <c r="H1248" i="1"/>
  <c r="J1248" i="1" s="1"/>
  <c r="G1248" i="1"/>
  <c r="F1248" i="1"/>
  <c r="E1248" i="1"/>
  <c r="K1247" i="1"/>
  <c r="I1247" i="1"/>
  <c r="J1247" i="1" s="1"/>
  <c r="H1247" i="1"/>
  <c r="G1247" i="1"/>
  <c r="F1247" i="1"/>
  <c r="E1247" i="1"/>
  <c r="K1246" i="1"/>
  <c r="J1246" i="1"/>
  <c r="I1246" i="1"/>
  <c r="H1246" i="1"/>
  <c r="G1246" i="1"/>
  <c r="F1246" i="1"/>
  <c r="E1246" i="1"/>
  <c r="K1245" i="1"/>
  <c r="I1245" i="1"/>
  <c r="J1245" i="1" s="1"/>
  <c r="H1245" i="1"/>
  <c r="G1245" i="1"/>
  <c r="F1245" i="1"/>
  <c r="E1245" i="1"/>
  <c r="K1244" i="1"/>
  <c r="I1244" i="1"/>
  <c r="H1244" i="1"/>
  <c r="J1244" i="1" s="1"/>
  <c r="G1244" i="1"/>
  <c r="F1244" i="1"/>
  <c r="E1244" i="1"/>
  <c r="K1243" i="1"/>
  <c r="I1243" i="1"/>
  <c r="J1243" i="1" s="1"/>
  <c r="H1243" i="1"/>
  <c r="G1243" i="1"/>
  <c r="F1243" i="1"/>
  <c r="E1243" i="1"/>
  <c r="K1242" i="1"/>
  <c r="J1242" i="1"/>
  <c r="I1242" i="1"/>
  <c r="H1242" i="1"/>
  <c r="G1242" i="1"/>
  <c r="F1242" i="1"/>
  <c r="E1242" i="1"/>
  <c r="K1241" i="1"/>
  <c r="I1241" i="1"/>
  <c r="J1241" i="1" s="1"/>
  <c r="H1241" i="1"/>
  <c r="G1241" i="1"/>
  <c r="F1241" i="1"/>
  <c r="E1241" i="1"/>
  <c r="K1240" i="1"/>
  <c r="I1240" i="1"/>
  <c r="H1240" i="1"/>
  <c r="J1240" i="1" s="1"/>
  <c r="G1240" i="1"/>
  <c r="F1240" i="1"/>
  <c r="E1240" i="1"/>
  <c r="K1239" i="1"/>
  <c r="I1239" i="1"/>
  <c r="J1239" i="1" s="1"/>
  <c r="H1239" i="1"/>
  <c r="G1239" i="1"/>
  <c r="F1239" i="1"/>
  <c r="E1239" i="1"/>
  <c r="K1238" i="1"/>
  <c r="J1238" i="1"/>
  <c r="I1238" i="1"/>
  <c r="H1238" i="1"/>
  <c r="G1238" i="1"/>
  <c r="F1238" i="1"/>
  <c r="E1238" i="1"/>
  <c r="K1237" i="1"/>
  <c r="I1237" i="1"/>
  <c r="J1237" i="1" s="1"/>
  <c r="H1237" i="1"/>
  <c r="G1237" i="1"/>
  <c r="F1237" i="1"/>
  <c r="E1237" i="1"/>
  <c r="K1236" i="1"/>
  <c r="J1236" i="1"/>
  <c r="I1236" i="1"/>
  <c r="H1236" i="1"/>
  <c r="G1236" i="1"/>
  <c r="F1236" i="1"/>
  <c r="E1236" i="1"/>
  <c r="K1235" i="1"/>
  <c r="I1235" i="1"/>
  <c r="J1235" i="1" s="1"/>
  <c r="H1235" i="1"/>
  <c r="G1235" i="1"/>
  <c r="F1235" i="1"/>
  <c r="E1235" i="1"/>
  <c r="K1234" i="1"/>
  <c r="J1234" i="1"/>
  <c r="I1234" i="1"/>
  <c r="H1234" i="1"/>
  <c r="G1234" i="1"/>
  <c r="F1234" i="1"/>
  <c r="E1234" i="1"/>
  <c r="K1233" i="1"/>
  <c r="I1233" i="1"/>
  <c r="J1233" i="1" s="1"/>
  <c r="H1233" i="1"/>
  <c r="G1233" i="1"/>
  <c r="F1233" i="1"/>
  <c r="E1233" i="1"/>
  <c r="K1232" i="1"/>
  <c r="I1232" i="1"/>
  <c r="H1232" i="1"/>
  <c r="J1232" i="1" s="1"/>
  <c r="G1232" i="1"/>
  <c r="F1232" i="1"/>
  <c r="E1232" i="1"/>
  <c r="K1231" i="1"/>
  <c r="I1231" i="1"/>
  <c r="J1231" i="1" s="1"/>
  <c r="H1231" i="1"/>
  <c r="G1231" i="1"/>
  <c r="F1231" i="1"/>
  <c r="E1231" i="1"/>
  <c r="K1230" i="1"/>
  <c r="J1230" i="1"/>
  <c r="I1230" i="1"/>
  <c r="H1230" i="1"/>
  <c r="G1230" i="1"/>
  <c r="F1230" i="1"/>
  <c r="E1230" i="1"/>
  <c r="K1229" i="1"/>
  <c r="I1229" i="1"/>
  <c r="J1229" i="1" s="1"/>
  <c r="H1229" i="1"/>
  <c r="G1229" i="1"/>
  <c r="F1229" i="1"/>
  <c r="E1229" i="1"/>
  <c r="K1228" i="1"/>
  <c r="I1228" i="1"/>
  <c r="H1228" i="1"/>
  <c r="J1228" i="1" s="1"/>
  <c r="G1228" i="1"/>
  <c r="F1228" i="1"/>
  <c r="E1228" i="1"/>
  <c r="K1227" i="1"/>
  <c r="I1227" i="1"/>
  <c r="J1227" i="1" s="1"/>
  <c r="H1227" i="1"/>
  <c r="G1227" i="1"/>
  <c r="F1227" i="1"/>
  <c r="E1227" i="1"/>
  <c r="K1226" i="1"/>
  <c r="J1226" i="1"/>
  <c r="I1226" i="1"/>
  <c r="H1226" i="1"/>
  <c r="G1226" i="1"/>
  <c r="F1226" i="1"/>
  <c r="E1226" i="1"/>
  <c r="K1225" i="1"/>
  <c r="I1225" i="1"/>
  <c r="J1225" i="1" s="1"/>
  <c r="H1225" i="1"/>
  <c r="G1225" i="1"/>
  <c r="F1225" i="1"/>
  <c r="E1225" i="1"/>
  <c r="K1224" i="1"/>
  <c r="J1224" i="1"/>
  <c r="I1224" i="1"/>
  <c r="H1224" i="1"/>
  <c r="G1224" i="1"/>
  <c r="F1224" i="1"/>
  <c r="E1224" i="1"/>
  <c r="K1223" i="1"/>
  <c r="I1223" i="1"/>
  <c r="J1223" i="1" s="1"/>
  <c r="H1223" i="1"/>
  <c r="G1223" i="1"/>
  <c r="F1223" i="1"/>
  <c r="E1223" i="1"/>
  <c r="K1222" i="1"/>
  <c r="J1222" i="1"/>
  <c r="I1222" i="1"/>
  <c r="H1222" i="1"/>
  <c r="G1222" i="1"/>
  <c r="F1222" i="1"/>
  <c r="E1222" i="1"/>
  <c r="K1221" i="1"/>
  <c r="I1221" i="1"/>
  <c r="J1221" i="1" s="1"/>
  <c r="H1221" i="1"/>
  <c r="G1221" i="1"/>
  <c r="F1221" i="1"/>
  <c r="E1221" i="1"/>
  <c r="K1220" i="1"/>
  <c r="I1220" i="1"/>
  <c r="H1220" i="1"/>
  <c r="J1220" i="1" s="1"/>
  <c r="G1220" i="1"/>
  <c r="F1220" i="1"/>
  <c r="E1220" i="1"/>
  <c r="K1219" i="1"/>
  <c r="I1219" i="1"/>
  <c r="J1219" i="1" s="1"/>
  <c r="H1219" i="1"/>
  <c r="G1219" i="1"/>
  <c r="F1219" i="1"/>
  <c r="E1219" i="1"/>
  <c r="K1218" i="1"/>
  <c r="J1218" i="1"/>
  <c r="I1218" i="1"/>
  <c r="H1218" i="1"/>
  <c r="G1218" i="1"/>
  <c r="F1218" i="1"/>
  <c r="E1218" i="1"/>
  <c r="K1217" i="1"/>
  <c r="I1217" i="1"/>
  <c r="J1217" i="1" s="1"/>
  <c r="H1217" i="1"/>
  <c r="G1217" i="1"/>
  <c r="F1217" i="1"/>
  <c r="E1217" i="1"/>
  <c r="K1216" i="1"/>
  <c r="I1216" i="1"/>
  <c r="H1216" i="1"/>
  <c r="J1216" i="1" s="1"/>
  <c r="G1216" i="1"/>
  <c r="F1216" i="1"/>
  <c r="E1216" i="1"/>
  <c r="K1215" i="1"/>
  <c r="I1215" i="1"/>
  <c r="J1215" i="1" s="1"/>
  <c r="H1215" i="1"/>
  <c r="G1215" i="1"/>
  <c r="F1215" i="1"/>
  <c r="E1215" i="1"/>
  <c r="K1214" i="1"/>
  <c r="J1214" i="1"/>
  <c r="I1214" i="1"/>
  <c r="H1214" i="1"/>
  <c r="G1214" i="1"/>
  <c r="F1214" i="1"/>
  <c r="E1214" i="1"/>
  <c r="K1213" i="1"/>
  <c r="I1213" i="1"/>
  <c r="J1213" i="1" s="1"/>
  <c r="H1213" i="1"/>
  <c r="G1213" i="1"/>
  <c r="F1213" i="1"/>
  <c r="E1213" i="1"/>
  <c r="K1212" i="1"/>
  <c r="I1212" i="1"/>
  <c r="H1212" i="1"/>
  <c r="J1212" i="1" s="1"/>
  <c r="G1212" i="1"/>
  <c r="F1212" i="1"/>
  <c r="E1212" i="1"/>
  <c r="K1211" i="1"/>
  <c r="I1211" i="1"/>
  <c r="J1211" i="1" s="1"/>
  <c r="H1211" i="1"/>
  <c r="G1211" i="1"/>
  <c r="F1211" i="1"/>
  <c r="E1211" i="1"/>
  <c r="K1210" i="1"/>
  <c r="J1210" i="1"/>
  <c r="I1210" i="1"/>
  <c r="H1210" i="1"/>
  <c r="G1210" i="1"/>
  <c r="F1210" i="1"/>
  <c r="E1210" i="1"/>
  <c r="K1209" i="1"/>
  <c r="I1209" i="1"/>
  <c r="J1209" i="1" s="1"/>
  <c r="H1209" i="1"/>
  <c r="G1209" i="1"/>
  <c r="F1209" i="1"/>
  <c r="E1209" i="1"/>
  <c r="K1208" i="1"/>
  <c r="I1208" i="1"/>
  <c r="H1208" i="1"/>
  <c r="J1208" i="1" s="1"/>
  <c r="G1208" i="1"/>
  <c r="F1208" i="1"/>
  <c r="E1208" i="1"/>
  <c r="K1207" i="1"/>
  <c r="I1207" i="1"/>
  <c r="J1207" i="1" s="1"/>
  <c r="H1207" i="1"/>
  <c r="G1207" i="1"/>
  <c r="F1207" i="1"/>
  <c r="E1207" i="1"/>
  <c r="K1206" i="1"/>
  <c r="J1206" i="1"/>
  <c r="I1206" i="1"/>
  <c r="H1206" i="1"/>
  <c r="G1206" i="1"/>
  <c r="F1206" i="1"/>
  <c r="E1206" i="1"/>
  <c r="K1205" i="1"/>
  <c r="I1205" i="1"/>
  <c r="J1205" i="1" s="1"/>
  <c r="H1205" i="1"/>
  <c r="G1205" i="1"/>
  <c r="F1205" i="1"/>
  <c r="E1205" i="1"/>
  <c r="K1204" i="1"/>
  <c r="I1204" i="1"/>
  <c r="H1204" i="1"/>
  <c r="J1204" i="1" s="1"/>
  <c r="G1204" i="1"/>
  <c r="F1204" i="1"/>
  <c r="E1204" i="1"/>
  <c r="K1203" i="1"/>
  <c r="I1203" i="1"/>
  <c r="J1203" i="1" s="1"/>
  <c r="H1203" i="1"/>
  <c r="G1203" i="1"/>
  <c r="F1203" i="1"/>
  <c r="E1203" i="1"/>
  <c r="K1202" i="1"/>
  <c r="J1202" i="1"/>
  <c r="I1202" i="1"/>
  <c r="H1202" i="1"/>
  <c r="G1202" i="1"/>
  <c r="F1202" i="1"/>
  <c r="E1202" i="1"/>
  <c r="K1201" i="1"/>
  <c r="I1201" i="1"/>
  <c r="J1201" i="1" s="1"/>
  <c r="H1201" i="1"/>
  <c r="G1201" i="1"/>
  <c r="F1201" i="1"/>
  <c r="E1201" i="1"/>
  <c r="K1200" i="1"/>
  <c r="I1200" i="1"/>
  <c r="H1200" i="1"/>
  <c r="J1200" i="1" s="1"/>
  <c r="G1200" i="1"/>
  <c r="F1200" i="1"/>
  <c r="E1200" i="1"/>
  <c r="K1199" i="1"/>
  <c r="I1199" i="1"/>
  <c r="J1199" i="1" s="1"/>
  <c r="H1199" i="1"/>
  <c r="G1199" i="1"/>
  <c r="F1199" i="1"/>
  <c r="E1199" i="1"/>
  <c r="K1198" i="1"/>
  <c r="J1198" i="1"/>
  <c r="I1198" i="1"/>
  <c r="H1198" i="1"/>
  <c r="G1198" i="1"/>
  <c r="F1198" i="1"/>
  <c r="E1198" i="1"/>
  <c r="K1197" i="1"/>
  <c r="I1197" i="1"/>
  <c r="J1197" i="1" s="1"/>
  <c r="H1197" i="1"/>
  <c r="G1197" i="1"/>
  <c r="F1197" i="1"/>
  <c r="E1197" i="1"/>
  <c r="K1196" i="1"/>
  <c r="I1196" i="1"/>
  <c r="H1196" i="1"/>
  <c r="J1196" i="1" s="1"/>
  <c r="G1196" i="1"/>
  <c r="F1196" i="1"/>
  <c r="E1196" i="1"/>
  <c r="K1195" i="1"/>
  <c r="I1195" i="1"/>
  <c r="J1195" i="1" s="1"/>
  <c r="H1195" i="1"/>
  <c r="G1195" i="1"/>
  <c r="F1195" i="1"/>
  <c r="E1195" i="1"/>
  <c r="K1194" i="1"/>
  <c r="J1194" i="1"/>
  <c r="I1194" i="1"/>
  <c r="H1194" i="1"/>
  <c r="G1194" i="1"/>
  <c r="F1194" i="1"/>
  <c r="E1194" i="1"/>
  <c r="K1193" i="1"/>
  <c r="I1193" i="1"/>
  <c r="J1193" i="1" s="1"/>
  <c r="H1193" i="1"/>
  <c r="G1193" i="1"/>
  <c r="F1193" i="1"/>
  <c r="E1193" i="1"/>
  <c r="K1192" i="1"/>
  <c r="J1192" i="1"/>
  <c r="I1192" i="1"/>
  <c r="H1192" i="1"/>
  <c r="G1192" i="1"/>
  <c r="F1192" i="1"/>
  <c r="E1192" i="1"/>
  <c r="K1191" i="1"/>
  <c r="I1191" i="1"/>
  <c r="J1191" i="1" s="1"/>
  <c r="H1191" i="1"/>
  <c r="G1191" i="1"/>
  <c r="F1191" i="1"/>
  <c r="E1191" i="1"/>
  <c r="K1190" i="1"/>
  <c r="J1190" i="1"/>
  <c r="I1190" i="1"/>
  <c r="H1190" i="1"/>
  <c r="G1190" i="1"/>
  <c r="F1190" i="1"/>
  <c r="E1190" i="1"/>
  <c r="K1189" i="1"/>
  <c r="I1189" i="1"/>
  <c r="J1189" i="1" s="1"/>
  <c r="H1189" i="1"/>
  <c r="G1189" i="1"/>
  <c r="F1189" i="1"/>
  <c r="E1189" i="1"/>
  <c r="K1188" i="1"/>
  <c r="J1188" i="1"/>
  <c r="I1188" i="1"/>
  <c r="H1188" i="1"/>
  <c r="G1188" i="1"/>
  <c r="F1188" i="1"/>
  <c r="E1188" i="1"/>
  <c r="K1187" i="1"/>
  <c r="I1187" i="1"/>
  <c r="J1187" i="1" s="1"/>
  <c r="H1187" i="1"/>
  <c r="G1187" i="1"/>
  <c r="F1187" i="1"/>
  <c r="E1187" i="1"/>
  <c r="K1186" i="1"/>
  <c r="J1186" i="1"/>
  <c r="I1186" i="1"/>
  <c r="H1186" i="1"/>
  <c r="G1186" i="1"/>
  <c r="F1186" i="1"/>
  <c r="E1186" i="1"/>
  <c r="K1185" i="1"/>
  <c r="I1185" i="1"/>
  <c r="J1185" i="1" s="1"/>
  <c r="H1185" i="1"/>
  <c r="G1185" i="1"/>
  <c r="F1185" i="1"/>
  <c r="E1185" i="1"/>
  <c r="K1184" i="1"/>
  <c r="I1184" i="1"/>
  <c r="H1184" i="1"/>
  <c r="J1184" i="1" s="1"/>
  <c r="G1184" i="1"/>
  <c r="F1184" i="1"/>
  <c r="E1184" i="1"/>
  <c r="K1183" i="1"/>
  <c r="I1183" i="1"/>
  <c r="J1183" i="1" s="1"/>
  <c r="H1183" i="1"/>
  <c r="G1183" i="1"/>
  <c r="F1183" i="1"/>
  <c r="E1183" i="1"/>
  <c r="K1182" i="1"/>
  <c r="J1182" i="1"/>
  <c r="I1182" i="1"/>
  <c r="H1182" i="1"/>
  <c r="G1182" i="1"/>
  <c r="F1182" i="1"/>
  <c r="E1182" i="1"/>
  <c r="K1181" i="1"/>
  <c r="I1181" i="1"/>
  <c r="J1181" i="1" s="1"/>
  <c r="H1181" i="1"/>
  <c r="G1181" i="1"/>
  <c r="F1181" i="1"/>
  <c r="E1181" i="1"/>
  <c r="K1180" i="1"/>
  <c r="I1180" i="1"/>
  <c r="H1180" i="1"/>
  <c r="J1180" i="1" s="1"/>
  <c r="G1180" i="1"/>
  <c r="F1180" i="1"/>
  <c r="E1180" i="1"/>
  <c r="K1179" i="1"/>
  <c r="I1179" i="1"/>
  <c r="J1179" i="1" s="1"/>
  <c r="H1179" i="1"/>
  <c r="G1179" i="1"/>
  <c r="F1179" i="1"/>
  <c r="E1179" i="1"/>
  <c r="K1178" i="1"/>
  <c r="J1178" i="1"/>
  <c r="I1178" i="1"/>
  <c r="H1178" i="1"/>
  <c r="G1178" i="1"/>
  <c r="F1178" i="1"/>
  <c r="E1178" i="1"/>
  <c r="K1177" i="1"/>
  <c r="I1177" i="1"/>
  <c r="J1177" i="1" s="1"/>
  <c r="H1177" i="1"/>
  <c r="G1177" i="1"/>
  <c r="F1177" i="1"/>
  <c r="E1177" i="1"/>
  <c r="K1176" i="1"/>
  <c r="I1176" i="1"/>
  <c r="H1176" i="1"/>
  <c r="J1176" i="1" s="1"/>
  <c r="G1176" i="1"/>
  <c r="F1176" i="1"/>
  <c r="E1176" i="1"/>
  <c r="K1175" i="1"/>
  <c r="I1175" i="1"/>
  <c r="J1175" i="1" s="1"/>
  <c r="H1175" i="1"/>
  <c r="G1175" i="1"/>
  <c r="F1175" i="1"/>
  <c r="E1175" i="1"/>
  <c r="K1174" i="1"/>
  <c r="J1174" i="1"/>
  <c r="I1174" i="1"/>
  <c r="H1174" i="1"/>
  <c r="G1174" i="1"/>
  <c r="F1174" i="1"/>
  <c r="E1174" i="1"/>
  <c r="K1173" i="1"/>
  <c r="I1173" i="1"/>
  <c r="J1173" i="1" s="1"/>
  <c r="H1173" i="1"/>
  <c r="G1173" i="1"/>
  <c r="F1173" i="1"/>
  <c r="E1173" i="1"/>
  <c r="K1172" i="1"/>
  <c r="J1172" i="1"/>
  <c r="I1172" i="1"/>
  <c r="H1172" i="1"/>
  <c r="G1172" i="1"/>
  <c r="F1172" i="1"/>
  <c r="E1172" i="1"/>
  <c r="K1171" i="1"/>
  <c r="I1171" i="1"/>
  <c r="J1171" i="1" s="1"/>
  <c r="H1171" i="1"/>
  <c r="G1171" i="1"/>
  <c r="F1171" i="1"/>
  <c r="E1171" i="1"/>
  <c r="K1170" i="1"/>
  <c r="J1170" i="1"/>
  <c r="I1170" i="1"/>
  <c r="H1170" i="1"/>
  <c r="G1170" i="1"/>
  <c r="F1170" i="1"/>
  <c r="E1170" i="1"/>
  <c r="K1169" i="1"/>
  <c r="I1169" i="1"/>
  <c r="J1169" i="1" s="1"/>
  <c r="H1169" i="1"/>
  <c r="G1169" i="1"/>
  <c r="F1169" i="1"/>
  <c r="E1169" i="1"/>
  <c r="K1168" i="1"/>
  <c r="I1168" i="1"/>
  <c r="H1168" i="1"/>
  <c r="J1168" i="1" s="1"/>
  <c r="G1168" i="1"/>
  <c r="F1168" i="1"/>
  <c r="E1168" i="1"/>
  <c r="K1167" i="1"/>
  <c r="I1167" i="1"/>
  <c r="J1167" i="1" s="1"/>
  <c r="H1167" i="1"/>
  <c r="G1167" i="1"/>
  <c r="F1167" i="1"/>
  <c r="E1167" i="1"/>
  <c r="K1166" i="1"/>
  <c r="J1166" i="1"/>
  <c r="I1166" i="1"/>
  <c r="H1166" i="1"/>
  <c r="G1166" i="1"/>
  <c r="F1166" i="1"/>
  <c r="E1166" i="1"/>
  <c r="K1165" i="1"/>
  <c r="I1165" i="1"/>
  <c r="J1165" i="1" s="1"/>
  <c r="H1165" i="1"/>
  <c r="G1165" i="1"/>
  <c r="F1165" i="1"/>
  <c r="E1165" i="1"/>
  <c r="K1164" i="1"/>
  <c r="J1164" i="1"/>
  <c r="I1164" i="1"/>
  <c r="H1164" i="1"/>
  <c r="G1164" i="1"/>
  <c r="F1164" i="1"/>
  <c r="E1164" i="1"/>
  <c r="K1163" i="1"/>
  <c r="I1163" i="1"/>
  <c r="J1163" i="1" s="1"/>
  <c r="H1163" i="1"/>
  <c r="G1163" i="1"/>
  <c r="F1163" i="1"/>
  <c r="E1163" i="1"/>
  <c r="K1162" i="1"/>
  <c r="J1162" i="1"/>
  <c r="I1162" i="1"/>
  <c r="H1162" i="1"/>
  <c r="G1162" i="1"/>
  <c r="F1162" i="1"/>
  <c r="E1162" i="1"/>
  <c r="K1161" i="1"/>
  <c r="I1161" i="1"/>
  <c r="J1161" i="1" s="1"/>
  <c r="H1161" i="1"/>
  <c r="G1161" i="1"/>
  <c r="F1161" i="1"/>
  <c r="E1161" i="1"/>
  <c r="K1160" i="1"/>
  <c r="I1160" i="1"/>
  <c r="H1160" i="1"/>
  <c r="J1160" i="1" s="1"/>
  <c r="G1160" i="1"/>
  <c r="F1160" i="1"/>
  <c r="E1160" i="1"/>
  <c r="K1159" i="1"/>
  <c r="I1159" i="1"/>
  <c r="J1159" i="1" s="1"/>
  <c r="H1159" i="1"/>
  <c r="G1159" i="1"/>
  <c r="F1159" i="1"/>
  <c r="E1159" i="1"/>
  <c r="K1158" i="1"/>
  <c r="J1158" i="1"/>
  <c r="I1158" i="1"/>
  <c r="H1158" i="1"/>
  <c r="G1158" i="1"/>
  <c r="F1158" i="1"/>
  <c r="E1158" i="1"/>
  <c r="K1157" i="1"/>
  <c r="I1157" i="1"/>
  <c r="J1157" i="1" s="1"/>
  <c r="H1157" i="1"/>
  <c r="G1157" i="1"/>
  <c r="F1157" i="1"/>
  <c r="E1157" i="1"/>
  <c r="K1156" i="1"/>
  <c r="I1156" i="1"/>
  <c r="H1156" i="1"/>
  <c r="J1156" i="1" s="1"/>
  <c r="G1156" i="1"/>
  <c r="F1156" i="1"/>
  <c r="E1156" i="1"/>
  <c r="K1155" i="1"/>
  <c r="I1155" i="1"/>
  <c r="J1155" i="1" s="1"/>
  <c r="H1155" i="1"/>
  <c r="G1155" i="1"/>
  <c r="F1155" i="1"/>
  <c r="E1155" i="1"/>
  <c r="K1154" i="1"/>
  <c r="J1154" i="1"/>
  <c r="I1154" i="1"/>
  <c r="H1154" i="1"/>
  <c r="G1154" i="1"/>
  <c r="F1154" i="1"/>
  <c r="E1154" i="1"/>
  <c r="K1153" i="1"/>
  <c r="I1153" i="1"/>
  <c r="J1153" i="1" s="1"/>
  <c r="H1153" i="1"/>
  <c r="G1153" i="1"/>
  <c r="F1153" i="1"/>
  <c r="E1153" i="1"/>
  <c r="K1152" i="1"/>
  <c r="I1152" i="1"/>
  <c r="H1152" i="1"/>
  <c r="J1152" i="1" s="1"/>
  <c r="G1152" i="1"/>
  <c r="F1152" i="1"/>
  <c r="E1152" i="1"/>
  <c r="K1151" i="1"/>
  <c r="I1151" i="1"/>
  <c r="J1151" i="1" s="1"/>
  <c r="H1151" i="1"/>
  <c r="G1151" i="1"/>
  <c r="F1151" i="1"/>
  <c r="E1151" i="1"/>
  <c r="K1150" i="1"/>
  <c r="J1150" i="1"/>
  <c r="I1150" i="1"/>
  <c r="H1150" i="1"/>
  <c r="G1150" i="1"/>
  <c r="F1150" i="1"/>
  <c r="E1150" i="1"/>
  <c r="K1149" i="1"/>
  <c r="I1149" i="1"/>
  <c r="J1149" i="1" s="1"/>
  <c r="H1149" i="1"/>
  <c r="G1149" i="1"/>
  <c r="F1149" i="1"/>
  <c r="E1149" i="1"/>
  <c r="K1148" i="1"/>
  <c r="I1148" i="1"/>
  <c r="H1148" i="1"/>
  <c r="J1148" i="1" s="1"/>
  <c r="G1148" i="1"/>
  <c r="F1148" i="1"/>
  <c r="E1148" i="1"/>
  <c r="K1147" i="1"/>
  <c r="I1147" i="1"/>
  <c r="J1147" i="1" s="1"/>
  <c r="H1147" i="1"/>
  <c r="G1147" i="1"/>
  <c r="F1147" i="1"/>
  <c r="E1147" i="1"/>
  <c r="K1146" i="1"/>
  <c r="J1146" i="1"/>
  <c r="I1146" i="1"/>
  <c r="H1146" i="1"/>
  <c r="G1146" i="1"/>
  <c r="F1146" i="1"/>
  <c r="E1146" i="1"/>
  <c r="K1145" i="1"/>
  <c r="I1145" i="1"/>
  <c r="J1145" i="1" s="1"/>
  <c r="H1145" i="1"/>
  <c r="G1145" i="1"/>
  <c r="F1145" i="1"/>
  <c r="E1145" i="1"/>
  <c r="K1144" i="1"/>
  <c r="I1144" i="1"/>
  <c r="H1144" i="1"/>
  <c r="J1144" i="1" s="1"/>
  <c r="G1144" i="1"/>
  <c r="F1144" i="1"/>
  <c r="E1144" i="1"/>
  <c r="K1143" i="1"/>
  <c r="I1143" i="1"/>
  <c r="J1143" i="1" s="1"/>
  <c r="H1143" i="1"/>
  <c r="G1143" i="1"/>
  <c r="F1143" i="1"/>
  <c r="E1143" i="1"/>
  <c r="K1142" i="1"/>
  <c r="J1142" i="1"/>
  <c r="I1142" i="1"/>
  <c r="H1142" i="1"/>
  <c r="G1142" i="1"/>
  <c r="F1142" i="1"/>
  <c r="E1142" i="1"/>
  <c r="K1141" i="1"/>
  <c r="I1141" i="1"/>
  <c r="J1141" i="1" s="1"/>
  <c r="H1141" i="1"/>
  <c r="G1141" i="1"/>
  <c r="F1141" i="1"/>
  <c r="E1141" i="1"/>
  <c r="K1140" i="1"/>
  <c r="I1140" i="1"/>
  <c r="H1140" i="1"/>
  <c r="J1140" i="1" s="1"/>
  <c r="G1140" i="1"/>
  <c r="F1140" i="1"/>
  <c r="E1140" i="1"/>
  <c r="K1139" i="1"/>
  <c r="I1139" i="1"/>
  <c r="J1139" i="1" s="1"/>
  <c r="H1139" i="1"/>
  <c r="G1139" i="1"/>
  <c r="F1139" i="1"/>
  <c r="E1139" i="1"/>
  <c r="K1138" i="1"/>
  <c r="J1138" i="1"/>
  <c r="I1138" i="1"/>
  <c r="H1138" i="1"/>
  <c r="G1138" i="1"/>
  <c r="F1138" i="1"/>
  <c r="E1138" i="1"/>
  <c r="K1137" i="1"/>
  <c r="I1137" i="1"/>
  <c r="J1137" i="1" s="1"/>
  <c r="H1137" i="1"/>
  <c r="G1137" i="1"/>
  <c r="F1137" i="1"/>
  <c r="E1137" i="1"/>
  <c r="K1136" i="1"/>
  <c r="I1136" i="1"/>
  <c r="H1136" i="1"/>
  <c r="J1136" i="1" s="1"/>
  <c r="G1136" i="1"/>
  <c r="F1136" i="1"/>
  <c r="E1136" i="1"/>
  <c r="K1135" i="1"/>
  <c r="I1135" i="1"/>
  <c r="J1135" i="1" s="1"/>
  <c r="H1135" i="1"/>
  <c r="G1135" i="1"/>
  <c r="F1135" i="1"/>
  <c r="E1135" i="1"/>
  <c r="K1134" i="1"/>
  <c r="J1134" i="1"/>
  <c r="I1134" i="1"/>
  <c r="H1134" i="1"/>
  <c r="G1134" i="1"/>
  <c r="F1134" i="1"/>
  <c r="E1134" i="1"/>
  <c r="K1133" i="1"/>
  <c r="I1133" i="1"/>
  <c r="J1133" i="1" s="1"/>
  <c r="H1133" i="1"/>
  <c r="G1133" i="1"/>
  <c r="F1133" i="1"/>
  <c r="E1133" i="1"/>
  <c r="K1132" i="1"/>
  <c r="I1132" i="1"/>
  <c r="H1132" i="1"/>
  <c r="J1132" i="1" s="1"/>
  <c r="G1132" i="1"/>
  <c r="F1132" i="1"/>
  <c r="E1132" i="1"/>
  <c r="K1131" i="1"/>
  <c r="I1131" i="1"/>
  <c r="J1131" i="1" s="1"/>
  <c r="H1131" i="1"/>
  <c r="G1131" i="1"/>
  <c r="F1131" i="1"/>
  <c r="E1131" i="1"/>
  <c r="K1130" i="1"/>
  <c r="J1130" i="1"/>
  <c r="I1130" i="1"/>
  <c r="H1130" i="1"/>
  <c r="G1130" i="1"/>
  <c r="F1130" i="1"/>
  <c r="E1130" i="1"/>
  <c r="K1129" i="1"/>
  <c r="I1129" i="1"/>
  <c r="J1129" i="1" s="1"/>
  <c r="H1129" i="1"/>
  <c r="G1129" i="1"/>
  <c r="F1129" i="1"/>
  <c r="E1129" i="1"/>
  <c r="K1128" i="1"/>
  <c r="I1128" i="1"/>
  <c r="H1128" i="1"/>
  <c r="J1128" i="1" s="1"/>
  <c r="G1128" i="1"/>
  <c r="F1128" i="1"/>
  <c r="E1128" i="1"/>
  <c r="K1127" i="1"/>
  <c r="I1127" i="1"/>
  <c r="J1127" i="1" s="1"/>
  <c r="H1127" i="1"/>
  <c r="G1127" i="1"/>
  <c r="F1127" i="1"/>
  <c r="E1127" i="1"/>
  <c r="K1126" i="1"/>
  <c r="J1126" i="1"/>
  <c r="I1126" i="1"/>
  <c r="H1126" i="1"/>
  <c r="G1126" i="1"/>
  <c r="F1126" i="1"/>
  <c r="E1126" i="1"/>
  <c r="K1125" i="1"/>
  <c r="I1125" i="1"/>
  <c r="J1125" i="1" s="1"/>
  <c r="H1125" i="1"/>
  <c r="G1125" i="1"/>
  <c r="F1125" i="1"/>
  <c r="E1125" i="1"/>
  <c r="K1124" i="1"/>
  <c r="I1124" i="1"/>
  <c r="H1124" i="1"/>
  <c r="J1124" i="1" s="1"/>
  <c r="G1124" i="1"/>
  <c r="F1124" i="1"/>
  <c r="E1124" i="1"/>
  <c r="K1123" i="1"/>
  <c r="I1123" i="1"/>
  <c r="J1123" i="1" s="1"/>
  <c r="H1123" i="1"/>
  <c r="G1123" i="1"/>
  <c r="F1123" i="1"/>
  <c r="E1123" i="1"/>
  <c r="K1122" i="1"/>
  <c r="J1122" i="1"/>
  <c r="I1122" i="1"/>
  <c r="H1122" i="1"/>
  <c r="G1122" i="1"/>
  <c r="F1122" i="1"/>
  <c r="E1122" i="1"/>
  <c r="K1121" i="1"/>
  <c r="I1121" i="1"/>
  <c r="J1121" i="1" s="1"/>
  <c r="H1121" i="1"/>
  <c r="G1121" i="1"/>
  <c r="F1121" i="1"/>
  <c r="E1121" i="1"/>
  <c r="K1120" i="1"/>
  <c r="I1120" i="1"/>
  <c r="H1120" i="1"/>
  <c r="J1120" i="1" s="1"/>
  <c r="G1120" i="1"/>
  <c r="F1120" i="1"/>
  <c r="E1120" i="1"/>
  <c r="K1119" i="1"/>
  <c r="I1119" i="1"/>
  <c r="J1119" i="1" s="1"/>
  <c r="H1119" i="1"/>
  <c r="G1119" i="1"/>
  <c r="F1119" i="1"/>
  <c r="E1119" i="1"/>
  <c r="K1118" i="1"/>
  <c r="J1118" i="1"/>
  <c r="I1118" i="1"/>
  <c r="H1118" i="1"/>
  <c r="G1118" i="1"/>
  <c r="F1118" i="1"/>
  <c r="E1118" i="1"/>
  <c r="K1117" i="1"/>
  <c r="I1117" i="1"/>
  <c r="J1117" i="1" s="1"/>
  <c r="H1117" i="1"/>
  <c r="G1117" i="1"/>
  <c r="F1117" i="1"/>
  <c r="E1117" i="1"/>
  <c r="K1116" i="1"/>
  <c r="I1116" i="1"/>
  <c r="H1116" i="1"/>
  <c r="J1116" i="1" s="1"/>
  <c r="G1116" i="1"/>
  <c r="F1116" i="1"/>
  <c r="E1116" i="1"/>
  <c r="K1115" i="1"/>
  <c r="I1115" i="1"/>
  <c r="J1115" i="1" s="1"/>
  <c r="H1115" i="1"/>
  <c r="G1115" i="1"/>
  <c r="F1115" i="1"/>
  <c r="E1115" i="1"/>
  <c r="K1114" i="1"/>
  <c r="J1114" i="1"/>
  <c r="I1114" i="1"/>
  <c r="H1114" i="1"/>
  <c r="G1114" i="1"/>
  <c r="F1114" i="1"/>
  <c r="E1114" i="1"/>
  <c r="K1113" i="1"/>
  <c r="I1113" i="1"/>
  <c r="J1113" i="1" s="1"/>
  <c r="H1113" i="1"/>
  <c r="G1113" i="1"/>
  <c r="F1113" i="1"/>
  <c r="E1113" i="1"/>
  <c r="K1112" i="1"/>
  <c r="I1112" i="1"/>
  <c r="H1112" i="1"/>
  <c r="J1112" i="1" s="1"/>
  <c r="G1112" i="1"/>
  <c r="F1112" i="1"/>
  <c r="E1112" i="1"/>
  <c r="K1111" i="1"/>
  <c r="I1111" i="1"/>
  <c r="J1111" i="1" s="1"/>
  <c r="H1111" i="1"/>
  <c r="G1111" i="1"/>
  <c r="F1111" i="1"/>
  <c r="E1111" i="1"/>
  <c r="K1110" i="1"/>
  <c r="J1110" i="1"/>
  <c r="I1110" i="1"/>
  <c r="H1110" i="1"/>
  <c r="G1110" i="1"/>
  <c r="F1110" i="1"/>
  <c r="E1110" i="1"/>
  <c r="K1109" i="1"/>
  <c r="I1109" i="1"/>
  <c r="J1109" i="1" s="1"/>
  <c r="H1109" i="1"/>
  <c r="G1109" i="1"/>
  <c r="F1109" i="1"/>
  <c r="E1109" i="1"/>
  <c r="K1108" i="1"/>
  <c r="I1108" i="1"/>
  <c r="H1108" i="1"/>
  <c r="J1108" i="1" s="1"/>
  <c r="G1108" i="1"/>
  <c r="F1108" i="1"/>
  <c r="E1108" i="1"/>
  <c r="K1107" i="1"/>
  <c r="I1107" i="1"/>
  <c r="J1107" i="1" s="1"/>
  <c r="H1107" i="1"/>
  <c r="G1107" i="1"/>
  <c r="F1107" i="1"/>
  <c r="E1107" i="1"/>
  <c r="K1106" i="1"/>
  <c r="I1106" i="1"/>
  <c r="H1106" i="1"/>
  <c r="J1106" i="1" s="1"/>
  <c r="G1106" i="1"/>
  <c r="F1106" i="1"/>
  <c r="E1106" i="1"/>
  <c r="K1105" i="1"/>
  <c r="I1105" i="1"/>
  <c r="J1105" i="1" s="1"/>
  <c r="H1105" i="1"/>
  <c r="G1105" i="1"/>
  <c r="F1105" i="1"/>
  <c r="E1105" i="1"/>
  <c r="K1104" i="1"/>
  <c r="J1104" i="1"/>
  <c r="I1104" i="1"/>
  <c r="H1104" i="1"/>
  <c r="G1104" i="1"/>
  <c r="F1104" i="1"/>
  <c r="E1104" i="1"/>
  <c r="K1103" i="1"/>
  <c r="I1103" i="1"/>
  <c r="J1103" i="1" s="1"/>
  <c r="H1103" i="1"/>
  <c r="G1103" i="1"/>
  <c r="F1103" i="1"/>
  <c r="E1103" i="1"/>
  <c r="K1102" i="1"/>
  <c r="I1102" i="1"/>
  <c r="H1102" i="1"/>
  <c r="J1102" i="1" s="1"/>
  <c r="G1102" i="1"/>
  <c r="F1102" i="1"/>
  <c r="E1102" i="1"/>
  <c r="K1101" i="1"/>
  <c r="J1101" i="1"/>
  <c r="I1101" i="1"/>
  <c r="H1101" i="1"/>
  <c r="G1101" i="1"/>
  <c r="F1101" i="1"/>
  <c r="E1101" i="1"/>
  <c r="K1100" i="1"/>
  <c r="J1100" i="1"/>
  <c r="I1100" i="1"/>
  <c r="H1100" i="1"/>
  <c r="G1100" i="1"/>
  <c r="F1100" i="1"/>
  <c r="E1100" i="1"/>
  <c r="K1099" i="1"/>
  <c r="I1099" i="1"/>
  <c r="J1099" i="1" s="1"/>
  <c r="H1099" i="1"/>
  <c r="G1099" i="1"/>
  <c r="F1099" i="1"/>
  <c r="E1099" i="1"/>
  <c r="K1098" i="1"/>
  <c r="I1098" i="1"/>
  <c r="H1098" i="1"/>
  <c r="J1098" i="1" s="1"/>
  <c r="G1098" i="1"/>
  <c r="F1098" i="1"/>
  <c r="E1098" i="1"/>
  <c r="K1097" i="1"/>
  <c r="J1097" i="1"/>
  <c r="I1097" i="1"/>
  <c r="H1097" i="1"/>
  <c r="G1097" i="1"/>
  <c r="F1097" i="1"/>
  <c r="E1097" i="1"/>
  <c r="K1096" i="1"/>
  <c r="J1096" i="1"/>
  <c r="I1096" i="1"/>
  <c r="H1096" i="1"/>
  <c r="G1096" i="1"/>
  <c r="F1096" i="1"/>
  <c r="E1096" i="1"/>
  <c r="K1095" i="1"/>
  <c r="I1095" i="1"/>
  <c r="J1095" i="1" s="1"/>
  <c r="H1095" i="1"/>
  <c r="G1095" i="1"/>
  <c r="F1095" i="1"/>
  <c r="E1095" i="1"/>
  <c r="K1094" i="1"/>
  <c r="I1094" i="1"/>
  <c r="H1094" i="1"/>
  <c r="J1094" i="1" s="1"/>
  <c r="G1094" i="1"/>
  <c r="F1094" i="1"/>
  <c r="E1094" i="1"/>
  <c r="K1093" i="1"/>
  <c r="J1093" i="1"/>
  <c r="I1093" i="1"/>
  <c r="H1093" i="1"/>
  <c r="G1093" i="1"/>
  <c r="F1093" i="1"/>
  <c r="E1093" i="1"/>
  <c r="K1092" i="1"/>
  <c r="J1092" i="1"/>
  <c r="I1092" i="1"/>
  <c r="H1092" i="1"/>
  <c r="G1092" i="1"/>
  <c r="F1092" i="1"/>
  <c r="E1092" i="1"/>
  <c r="K1091" i="1"/>
  <c r="I1091" i="1"/>
  <c r="J1091" i="1" s="1"/>
  <c r="H1091" i="1"/>
  <c r="G1091" i="1"/>
  <c r="F1091" i="1"/>
  <c r="E1091" i="1"/>
  <c r="K1090" i="1"/>
  <c r="I1090" i="1"/>
  <c r="H1090" i="1"/>
  <c r="J1090" i="1" s="1"/>
  <c r="G1090" i="1"/>
  <c r="F1090" i="1"/>
  <c r="E1090" i="1"/>
  <c r="K1089" i="1"/>
  <c r="J1089" i="1"/>
  <c r="I1089" i="1"/>
  <c r="H1089" i="1"/>
  <c r="G1089" i="1"/>
  <c r="F1089" i="1"/>
  <c r="E1089" i="1"/>
  <c r="K1088" i="1"/>
  <c r="J1088" i="1"/>
  <c r="I1088" i="1"/>
  <c r="H1088" i="1"/>
  <c r="G1088" i="1"/>
  <c r="F1088" i="1"/>
  <c r="E1088" i="1"/>
  <c r="K1087" i="1"/>
  <c r="I1087" i="1"/>
  <c r="J1087" i="1" s="1"/>
  <c r="H1087" i="1"/>
  <c r="G1087" i="1"/>
  <c r="F1087" i="1"/>
  <c r="E1087" i="1"/>
  <c r="K1086" i="1"/>
  <c r="J1086" i="1"/>
  <c r="I1086" i="1"/>
  <c r="H1086" i="1"/>
  <c r="G1086" i="1"/>
  <c r="F1086" i="1"/>
  <c r="E1086" i="1"/>
  <c r="K1085" i="1"/>
  <c r="J1085" i="1"/>
  <c r="I1085" i="1"/>
  <c r="H1085" i="1"/>
  <c r="G1085" i="1"/>
  <c r="F1085" i="1"/>
  <c r="E1085" i="1"/>
  <c r="K1084" i="1"/>
  <c r="J1084" i="1"/>
  <c r="I1084" i="1"/>
  <c r="H1084" i="1"/>
  <c r="G1084" i="1"/>
  <c r="F1084" i="1"/>
  <c r="E1084" i="1"/>
  <c r="K1083" i="1"/>
  <c r="I1083" i="1"/>
  <c r="J1083" i="1" s="1"/>
  <c r="H1083" i="1"/>
  <c r="G1083" i="1"/>
  <c r="F1083" i="1"/>
  <c r="E1083" i="1"/>
  <c r="K1082" i="1"/>
  <c r="I1082" i="1"/>
  <c r="H1082" i="1"/>
  <c r="J1082" i="1" s="1"/>
  <c r="G1082" i="1"/>
  <c r="F1082" i="1"/>
  <c r="E1082" i="1"/>
  <c r="K1081" i="1"/>
  <c r="J1081" i="1"/>
  <c r="I1081" i="1"/>
  <c r="H1081" i="1"/>
  <c r="G1081" i="1"/>
  <c r="F1081" i="1"/>
  <c r="E1081" i="1"/>
  <c r="K1080" i="1"/>
  <c r="J1080" i="1"/>
  <c r="I1080" i="1"/>
  <c r="H1080" i="1"/>
  <c r="G1080" i="1"/>
  <c r="F1080" i="1"/>
  <c r="E1080" i="1"/>
  <c r="K1079" i="1"/>
  <c r="I1079" i="1"/>
  <c r="J1079" i="1" s="1"/>
  <c r="H1079" i="1"/>
  <c r="G1079" i="1"/>
  <c r="F1079" i="1"/>
  <c r="E1079" i="1"/>
  <c r="K1078" i="1"/>
  <c r="I1078" i="1"/>
  <c r="H1078" i="1"/>
  <c r="J1078" i="1" s="1"/>
  <c r="G1078" i="1"/>
  <c r="F1078" i="1"/>
  <c r="E1078" i="1"/>
  <c r="K1077" i="1"/>
  <c r="J1077" i="1"/>
  <c r="I1077" i="1"/>
  <c r="H1077" i="1"/>
  <c r="G1077" i="1"/>
  <c r="F1077" i="1"/>
  <c r="E1077" i="1"/>
  <c r="K1076" i="1"/>
  <c r="J1076" i="1"/>
  <c r="I1076" i="1"/>
  <c r="H1076" i="1"/>
  <c r="G1076" i="1"/>
  <c r="F1076" i="1"/>
  <c r="E1076" i="1"/>
  <c r="K1075" i="1"/>
  <c r="I1075" i="1"/>
  <c r="J1075" i="1" s="1"/>
  <c r="H1075" i="1"/>
  <c r="G1075" i="1"/>
  <c r="F1075" i="1"/>
  <c r="E1075" i="1"/>
  <c r="K1074" i="1"/>
  <c r="I1074" i="1"/>
  <c r="H1074" i="1"/>
  <c r="J1074" i="1" s="1"/>
  <c r="G1074" i="1"/>
  <c r="F1074" i="1"/>
  <c r="E1074" i="1"/>
  <c r="K1073" i="1"/>
  <c r="J1073" i="1"/>
  <c r="I1073" i="1"/>
  <c r="H1073" i="1"/>
  <c r="G1073" i="1"/>
  <c r="F1073" i="1"/>
  <c r="E1073" i="1"/>
  <c r="K1072" i="1"/>
  <c r="J1072" i="1"/>
  <c r="I1072" i="1"/>
  <c r="H1072" i="1"/>
  <c r="G1072" i="1"/>
  <c r="F1072" i="1"/>
  <c r="E1072" i="1"/>
  <c r="K1071" i="1"/>
  <c r="I1071" i="1"/>
  <c r="J1071" i="1" s="1"/>
  <c r="H1071" i="1"/>
  <c r="G1071" i="1"/>
  <c r="F1071" i="1"/>
  <c r="E1071" i="1"/>
  <c r="K1070" i="1"/>
  <c r="I1070" i="1"/>
  <c r="H1070" i="1"/>
  <c r="J1070" i="1" s="1"/>
  <c r="G1070" i="1"/>
  <c r="F1070" i="1"/>
  <c r="E1070" i="1"/>
  <c r="K1069" i="1"/>
  <c r="J1069" i="1"/>
  <c r="I1069" i="1"/>
  <c r="H1069" i="1"/>
  <c r="G1069" i="1"/>
  <c r="F1069" i="1"/>
  <c r="E1069" i="1"/>
  <c r="K1068" i="1"/>
  <c r="J1068" i="1"/>
  <c r="I1068" i="1"/>
  <c r="H1068" i="1"/>
  <c r="G1068" i="1"/>
  <c r="F1068" i="1"/>
  <c r="E1068" i="1"/>
  <c r="K1067" i="1"/>
  <c r="I1067" i="1"/>
  <c r="J1067" i="1" s="1"/>
  <c r="H1067" i="1"/>
  <c r="G1067" i="1"/>
  <c r="F1067" i="1"/>
  <c r="E1067" i="1"/>
  <c r="K1066" i="1"/>
  <c r="I1066" i="1"/>
  <c r="H1066" i="1"/>
  <c r="J1066" i="1" s="1"/>
  <c r="G1066" i="1"/>
  <c r="F1066" i="1"/>
  <c r="E1066" i="1"/>
  <c r="K1065" i="1"/>
  <c r="J1065" i="1"/>
  <c r="I1065" i="1"/>
  <c r="H1065" i="1"/>
  <c r="G1065" i="1"/>
  <c r="F1065" i="1"/>
  <c r="E1065" i="1"/>
  <c r="K1064" i="1"/>
  <c r="J1064" i="1"/>
  <c r="I1064" i="1"/>
  <c r="H1064" i="1"/>
  <c r="G1064" i="1"/>
  <c r="F1064" i="1"/>
  <c r="E1064" i="1"/>
  <c r="K1063" i="1"/>
  <c r="I1063" i="1"/>
  <c r="J1063" i="1" s="1"/>
  <c r="H1063" i="1"/>
  <c r="G1063" i="1"/>
  <c r="F1063" i="1"/>
  <c r="E1063" i="1"/>
  <c r="K1062" i="1"/>
  <c r="I1062" i="1"/>
  <c r="H1062" i="1"/>
  <c r="J1062" i="1" s="1"/>
  <c r="G1062" i="1"/>
  <c r="F1062" i="1"/>
  <c r="E1062" i="1"/>
  <c r="K1061" i="1"/>
  <c r="J1061" i="1"/>
  <c r="I1061" i="1"/>
  <c r="H1061" i="1"/>
  <c r="G1061" i="1"/>
  <c r="F1061" i="1"/>
  <c r="E1061" i="1"/>
  <c r="K1060" i="1"/>
  <c r="J1060" i="1"/>
  <c r="I1060" i="1"/>
  <c r="H1060" i="1"/>
  <c r="G1060" i="1"/>
  <c r="F1060" i="1"/>
  <c r="E1060" i="1"/>
  <c r="K1059" i="1"/>
  <c r="I1059" i="1"/>
  <c r="J1059" i="1" s="1"/>
  <c r="H1059" i="1"/>
  <c r="G1059" i="1"/>
  <c r="F1059" i="1"/>
  <c r="E1059" i="1"/>
  <c r="K1058" i="1"/>
  <c r="J1058" i="1"/>
  <c r="I1058" i="1"/>
  <c r="H1058" i="1"/>
  <c r="G1058" i="1"/>
  <c r="F1058" i="1"/>
  <c r="E1058" i="1"/>
  <c r="K1057" i="1"/>
  <c r="J1057" i="1"/>
  <c r="I1057" i="1"/>
  <c r="H1057" i="1"/>
  <c r="G1057" i="1"/>
  <c r="F1057" i="1"/>
  <c r="E1057" i="1"/>
  <c r="K1056" i="1"/>
  <c r="J1056" i="1"/>
  <c r="I1056" i="1"/>
  <c r="H1056" i="1"/>
  <c r="G1056" i="1"/>
  <c r="F1056" i="1"/>
  <c r="E1056" i="1"/>
  <c r="K1055" i="1"/>
  <c r="I1055" i="1"/>
  <c r="J1055" i="1" s="1"/>
  <c r="H1055" i="1"/>
  <c r="G1055" i="1"/>
  <c r="F1055" i="1"/>
  <c r="E1055" i="1"/>
  <c r="K1054" i="1"/>
  <c r="I1054" i="1"/>
  <c r="H1054" i="1"/>
  <c r="J1054" i="1" s="1"/>
  <c r="G1054" i="1"/>
  <c r="F1054" i="1"/>
  <c r="E1054" i="1"/>
  <c r="K1053" i="1"/>
  <c r="J1053" i="1"/>
  <c r="I1053" i="1"/>
  <c r="H1053" i="1"/>
  <c r="G1053" i="1"/>
  <c r="F1053" i="1"/>
  <c r="E1053" i="1"/>
  <c r="K1052" i="1"/>
  <c r="J1052" i="1"/>
  <c r="I1052" i="1"/>
  <c r="H1052" i="1"/>
  <c r="G1052" i="1"/>
  <c r="F1052" i="1"/>
  <c r="E1052" i="1"/>
  <c r="K1051" i="1"/>
  <c r="I1051" i="1"/>
  <c r="J1051" i="1" s="1"/>
  <c r="H1051" i="1"/>
  <c r="G1051" i="1"/>
  <c r="F1051" i="1"/>
  <c r="E1051" i="1"/>
  <c r="K1050" i="1"/>
  <c r="I1050" i="1"/>
  <c r="H1050" i="1"/>
  <c r="J1050" i="1" s="1"/>
  <c r="G1050" i="1"/>
  <c r="F1050" i="1"/>
  <c r="E1050" i="1"/>
  <c r="K1049" i="1"/>
  <c r="J1049" i="1"/>
  <c r="I1049" i="1"/>
  <c r="H1049" i="1"/>
  <c r="G1049" i="1"/>
  <c r="F1049" i="1"/>
  <c r="E1049" i="1"/>
  <c r="K1048" i="1"/>
  <c r="J1048" i="1"/>
  <c r="I1048" i="1"/>
  <c r="H1048" i="1"/>
  <c r="G1048" i="1"/>
  <c r="F1048" i="1"/>
  <c r="E1048" i="1"/>
  <c r="K1047" i="1"/>
  <c r="I1047" i="1"/>
  <c r="J1047" i="1" s="1"/>
  <c r="H1047" i="1"/>
  <c r="G1047" i="1"/>
  <c r="F1047" i="1"/>
  <c r="E1047" i="1"/>
  <c r="K1046" i="1"/>
  <c r="I1046" i="1"/>
  <c r="H1046" i="1"/>
  <c r="J1046" i="1" s="1"/>
  <c r="G1046" i="1"/>
  <c r="F1046" i="1"/>
  <c r="E1046" i="1"/>
  <c r="K1045" i="1"/>
  <c r="J1045" i="1"/>
  <c r="I1045" i="1"/>
  <c r="H1045" i="1"/>
  <c r="G1045" i="1"/>
  <c r="F1045" i="1"/>
  <c r="E1045" i="1"/>
  <c r="K1044" i="1"/>
  <c r="J1044" i="1"/>
  <c r="I1044" i="1"/>
  <c r="H1044" i="1"/>
  <c r="G1044" i="1"/>
  <c r="F1044" i="1"/>
  <c r="E1044" i="1"/>
  <c r="K1043" i="1"/>
  <c r="I1043" i="1"/>
  <c r="J1043" i="1" s="1"/>
  <c r="H1043" i="1"/>
  <c r="G1043" i="1"/>
  <c r="F1043" i="1"/>
  <c r="E1043" i="1"/>
  <c r="K1042" i="1"/>
  <c r="I1042" i="1"/>
  <c r="H1042" i="1"/>
  <c r="J1042" i="1" s="1"/>
  <c r="G1042" i="1"/>
  <c r="F1042" i="1"/>
  <c r="E1042" i="1"/>
  <c r="K1041" i="1"/>
  <c r="J1041" i="1"/>
  <c r="I1041" i="1"/>
  <c r="H1041" i="1"/>
  <c r="G1041" i="1"/>
  <c r="F1041" i="1"/>
  <c r="E1041" i="1"/>
  <c r="K1040" i="1"/>
  <c r="J1040" i="1"/>
  <c r="I1040" i="1"/>
  <c r="H1040" i="1"/>
  <c r="G1040" i="1"/>
  <c r="F1040" i="1"/>
  <c r="E1040" i="1"/>
  <c r="K1039" i="1"/>
  <c r="I1039" i="1"/>
  <c r="J1039" i="1" s="1"/>
  <c r="H1039" i="1"/>
  <c r="G1039" i="1"/>
  <c r="F1039" i="1"/>
  <c r="E1039" i="1"/>
  <c r="K1038" i="1"/>
  <c r="J1038" i="1"/>
  <c r="I1038" i="1"/>
  <c r="H1038" i="1"/>
  <c r="G1038" i="1"/>
  <c r="F1038" i="1"/>
  <c r="E1038" i="1"/>
  <c r="K1037" i="1"/>
  <c r="J1037" i="1"/>
  <c r="I1037" i="1"/>
  <c r="H1037" i="1"/>
  <c r="G1037" i="1"/>
  <c r="F1037" i="1"/>
  <c r="E1037" i="1"/>
  <c r="K1036" i="1"/>
  <c r="J1036" i="1"/>
  <c r="I1036" i="1"/>
  <c r="H1036" i="1"/>
  <c r="G1036" i="1"/>
  <c r="F1036" i="1"/>
  <c r="E1036" i="1"/>
  <c r="K1035" i="1"/>
  <c r="I1035" i="1"/>
  <c r="J1035" i="1" s="1"/>
  <c r="H1035" i="1"/>
  <c r="G1035" i="1"/>
  <c r="F1035" i="1"/>
  <c r="E1035" i="1"/>
  <c r="K1034" i="1"/>
  <c r="I1034" i="1"/>
  <c r="H1034" i="1"/>
  <c r="J1034" i="1" s="1"/>
  <c r="G1034" i="1"/>
  <c r="F1034" i="1"/>
  <c r="E1034" i="1"/>
  <c r="K1033" i="1"/>
  <c r="J1033" i="1"/>
  <c r="I1033" i="1"/>
  <c r="H1033" i="1"/>
  <c r="G1033" i="1"/>
  <c r="F1033" i="1"/>
  <c r="E1033" i="1"/>
  <c r="K1032" i="1"/>
  <c r="J1032" i="1"/>
  <c r="I1032" i="1"/>
  <c r="H1032" i="1"/>
  <c r="G1032" i="1"/>
  <c r="F1032" i="1"/>
  <c r="E1032" i="1"/>
  <c r="K1031" i="1"/>
  <c r="I1031" i="1"/>
  <c r="J1031" i="1" s="1"/>
  <c r="H1031" i="1"/>
  <c r="G1031" i="1"/>
  <c r="F1031" i="1"/>
  <c r="E1031" i="1"/>
  <c r="K1030" i="1"/>
  <c r="I1030" i="1"/>
  <c r="H1030" i="1"/>
  <c r="J1030" i="1" s="1"/>
  <c r="G1030" i="1"/>
  <c r="F1030" i="1"/>
  <c r="E1030" i="1"/>
  <c r="K1029" i="1"/>
  <c r="J1029" i="1"/>
  <c r="I1029" i="1"/>
  <c r="H1029" i="1"/>
  <c r="G1029" i="1"/>
  <c r="F1029" i="1"/>
  <c r="E1029" i="1"/>
  <c r="K1028" i="1"/>
  <c r="J1028" i="1"/>
  <c r="I1028" i="1"/>
  <c r="H1028" i="1"/>
  <c r="G1028" i="1"/>
  <c r="F1028" i="1"/>
  <c r="E1028" i="1"/>
  <c r="K1027" i="1"/>
  <c r="I1027" i="1"/>
  <c r="J1027" i="1" s="1"/>
  <c r="H1027" i="1"/>
  <c r="G1027" i="1"/>
  <c r="F1027" i="1"/>
  <c r="E1027" i="1"/>
  <c r="K1026" i="1"/>
  <c r="I1026" i="1"/>
  <c r="H1026" i="1"/>
  <c r="J1026" i="1" s="1"/>
  <c r="G1026" i="1"/>
  <c r="F1026" i="1"/>
  <c r="E1026" i="1"/>
  <c r="K1025" i="1"/>
  <c r="J1025" i="1"/>
  <c r="I1025" i="1"/>
  <c r="H1025" i="1"/>
  <c r="G1025" i="1"/>
  <c r="F1025" i="1"/>
  <c r="E1025" i="1"/>
  <c r="K1024" i="1"/>
  <c r="J1024" i="1"/>
  <c r="I1024" i="1"/>
  <c r="H1024" i="1"/>
  <c r="G1024" i="1"/>
  <c r="F1024" i="1"/>
  <c r="E1024" i="1"/>
  <c r="K1023" i="1"/>
  <c r="I1023" i="1"/>
  <c r="J1023" i="1" s="1"/>
  <c r="H1023" i="1"/>
  <c r="G1023" i="1"/>
  <c r="F1023" i="1"/>
  <c r="E1023" i="1"/>
  <c r="K1022" i="1"/>
  <c r="I1022" i="1"/>
  <c r="H1022" i="1"/>
  <c r="J1022" i="1" s="1"/>
  <c r="G1022" i="1"/>
  <c r="F1022" i="1"/>
  <c r="E1022" i="1"/>
  <c r="K1021" i="1"/>
  <c r="J1021" i="1"/>
  <c r="I1021" i="1"/>
  <c r="H1021" i="1"/>
  <c r="G1021" i="1"/>
  <c r="F1021" i="1"/>
  <c r="E1021" i="1"/>
  <c r="K1020" i="1"/>
  <c r="J1020" i="1"/>
  <c r="I1020" i="1"/>
  <c r="H1020" i="1"/>
  <c r="G1020" i="1"/>
  <c r="F1020" i="1"/>
  <c r="E1020" i="1"/>
  <c r="K1019" i="1"/>
  <c r="I1019" i="1"/>
  <c r="J1019" i="1" s="1"/>
  <c r="H1019" i="1"/>
  <c r="G1019" i="1"/>
  <c r="F1019" i="1"/>
  <c r="E1019" i="1"/>
  <c r="K1018" i="1"/>
  <c r="I1018" i="1"/>
  <c r="H1018" i="1"/>
  <c r="J1018" i="1" s="1"/>
  <c r="G1018" i="1"/>
  <c r="F1018" i="1"/>
  <c r="E1018" i="1"/>
  <c r="K1017" i="1"/>
  <c r="J1017" i="1"/>
  <c r="I1017" i="1"/>
  <c r="H1017" i="1"/>
  <c r="G1017" i="1"/>
  <c r="F1017" i="1"/>
  <c r="E1017" i="1"/>
  <c r="K1016" i="1"/>
  <c r="J1016" i="1"/>
  <c r="I1016" i="1"/>
  <c r="H1016" i="1"/>
  <c r="G1016" i="1"/>
  <c r="F1016" i="1"/>
  <c r="E1016" i="1"/>
  <c r="K1015" i="1"/>
  <c r="I1015" i="1"/>
  <c r="J1015" i="1" s="1"/>
  <c r="H1015" i="1"/>
  <c r="G1015" i="1"/>
  <c r="F1015" i="1"/>
  <c r="E1015" i="1"/>
  <c r="K1014" i="1"/>
  <c r="I1014" i="1"/>
  <c r="H1014" i="1"/>
  <c r="J1014" i="1" s="1"/>
  <c r="G1014" i="1"/>
  <c r="F1014" i="1"/>
  <c r="E1014" i="1"/>
  <c r="K1013" i="1"/>
  <c r="J1013" i="1"/>
  <c r="I1013" i="1"/>
  <c r="H1013" i="1"/>
  <c r="G1013" i="1"/>
  <c r="F1013" i="1"/>
  <c r="E1013" i="1"/>
  <c r="K1012" i="1"/>
  <c r="J1012" i="1"/>
  <c r="I1012" i="1"/>
  <c r="H1012" i="1"/>
  <c r="G1012" i="1"/>
  <c r="F1012" i="1"/>
  <c r="E1012" i="1"/>
  <c r="K1011" i="1"/>
  <c r="I1011" i="1"/>
  <c r="J1011" i="1" s="1"/>
  <c r="H1011" i="1"/>
  <c r="G1011" i="1"/>
  <c r="F1011" i="1"/>
  <c r="E1011" i="1"/>
  <c r="K1010" i="1"/>
  <c r="I1010" i="1"/>
  <c r="H1010" i="1"/>
  <c r="J1010" i="1" s="1"/>
  <c r="G1010" i="1"/>
  <c r="F1010" i="1"/>
  <c r="E1010" i="1"/>
  <c r="K1009" i="1"/>
  <c r="J1009" i="1"/>
  <c r="I1009" i="1"/>
  <c r="H1009" i="1"/>
  <c r="G1009" i="1"/>
  <c r="F1009" i="1"/>
  <c r="E1009" i="1"/>
  <c r="K1008" i="1"/>
  <c r="J1008" i="1"/>
  <c r="I1008" i="1"/>
  <c r="H1008" i="1"/>
  <c r="G1008" i="1"/>
  <c r="F1008" i="1"/>
  <c r="E1008" i="1"/>
  <c r="K1007" i="1"/>
  <c r="I1007" i="1"/>
  <c r="J1007" i="1" s="1"/>
  <c r="H1007" i="1"/>
  <c r="G1007" i="1"/>
  <c r="F1007" i="1"/>
  <c r="E1007" i="1"/>
  <c r="K1006" i="1"/>
  <c r="I1006" i="1"/>
  <c r="H1006" i="1"/>
  <c r="J1006" i="1" s="1"/>
  <c r="G1006" i="1"/>
  <c r="F1006" i="1"/>
  <c r="E1006" i="1"/>
  <c r="K1005" i="1"/>
  <c r="J1005" i="1"/>
  <c r="I1005" i="1"/>
  <c r="H1005" i="1"/>
  <c r="G1005" i="1"/>
  <c r="F1005" i="1"/>
  <c r="E1005" i="1"/>
  <c r="K1004" i="1"/>
  <c r="J1004" i="1"/>
  <c r="I1004" i="1"/>
  <c r="H1004" i="1"/>
  <c r="G1004" i="1"/>
  <c r="F1004" i="1"/>
  <c r="E1004" i="1"/>
  <c r="K1003" i="1"/>
  <c r="I1003" i="1"/>
  <c r="J1003" i="1" s="1"/>
  <c r="H1003" i="1"/>
  <c r="G1003" i="1"/>
  <c r="F1003" i="1"/>
  <c r="E1003" i="1"/>
  <c r="K1002" i="1"/>
  <c r="I1002" i="1"/>
  <c r="H1002" i="1"/>
  <c r="J1002" i="1" s="1"/>
  <c r="G1002" i="1"/>
  <c r="F1002" i="1"/>
  <c r="E1002" i="1"/>
  <c r="K1001" i="1"/>
  <c r="J1001" i="1"/>
  <c r="I1001" i="1"/>
  <c r="H1001" i="1"/>
  <c r="G1001" i="1"/>
  <c r="F1001" i="1"/>
  <c r="E1001" i="1"/>
  <c r="K1000" i="1"/>
  <c r="J1000" i="1"/>
  <c r="I1000" i="1"/>
  <c r="H1000" i="1"/>
  <c r="G1000" i="1"/>
  <c r="F1000" i="1"/>
  <c r="E1000" i="1"/>
  <c r="K999" i="1"/>
  <c r="I999" i="1"/>
  <c r="J999" i="1" s="1"/>
  <c r="H999" i="1"/>
  <c r="G999" i="1"/>
  <c r="F999" i="1"/>
  <c r="E999" i="1"/>
  <c r="K998" i="1"/>
  <c r="I998" i="1"/>
  <c r="H998" i="1"/>
  <c r="J998" i="1" s="1"/>
  <c r="G998" i="1"/>
  <c r="F998" i="1"/>
  <c r="E998" i="1"/>
  <c r="K997" i="1"/>
  <c r="J997" i="1"/>
  <c r="I997" i="1"/>
  <c r="H997" i="1"/>
  <c r="G997" i="1"/>
  <c r="F997" i="1"/>
  <c r="E997" i="1"/>
  <c r="K996" i="1"/>
  <c r="J996" i="1"/>
  <c r="I996" i="1"/>
  <c r="H996" i="1"/>
  <c r="G996" i="1"/>
  <c r="F996" i="1"/>
  <c r="E996" i="1"/>
  <c r="K995" i="1"/>
  <c r="I995" i="1"/>
  <c r="J995" i="1" s="1"/>
  <c r="H995" i="1"/>
  <c r="G995" i="1"/>
  <c r="F995" i="1"/>
  <c r="E995" i="1"/>
  <c r="K994" i="1"/>
  <c r="I994" i="1"/>
  <c r="H994" i="1"/>
  <c r="J994" i="1" s="1"/>
  <c r="G994" i="1"/>
  <c r="F994" i="1"/>
  <c r="E994" i="1"/>
  <c r="K993" i="1"/>
  <c r="J993" i="1"/>
  <c r="I993" i="1"/>
  <c r="H993" i="1"/>
  <c r="G993" i="1"/>
  <c r="F993" i="1"/>
  <c r="E993" i="1"/>
  <c r="K992" i="1"/>
  <c r="J992" i="1"/>
  <c r="I992" i="1"/>
  <c r="H992" i="1"/>
  <c r="G992" i="1"/>
  <c r="F992" i="1"/>
  <c r="E992" i="1"/>
  <c r="K991" i="1"/>
  <c r="I991" i="1"/>
  <c r="J991" i="1" s="1"/>
  <c r="H991" i="1"/>
  <c r="G991" i="1"/>
  <c r="F991" i="1"/>
  <c r="E991" i="1"/>
  <c r="K990" i="1"/>
  <c r="I990" i="1"/>
  <c r="H990" i="1"/>
  <c r="J990" i="1" s="1"/>
  <c r="G990" i="1"/>
  <c r="F990" i="1"/>
  <c r="E990" i="1"/>
  <c r="K989" i="1"/>
  <c r="J989" i="1"/>
  <c r="I989" i="1"/>
  <c r="H989" i="1"/>
  <c r="G989" i="1"/>
  <c r="F989" i="1"/>
  <c r="E989" i="1"/>
  <c r="K988" i="1"/>
  <c r="J988" i="1"/>
  <c r="I988" i="1"/>
  <c r="H988" i="1"/>
  <c r="G988" i="1"/>
  <c r="F988" i="1"/>
  <c r="E988" i="1"/>
  <c r="K987" i="1"/>
  <c r="I987" i="1"/>
  <c r="J987" i="1" s="1"/>
  <c r="H987" i="1"/>
  <c r="G987" i="1"/>
  <c r="F987" i="1"/>
  <c r="E987" i="1"/>
  <c r="K986" i="1"/>
  <c r="I986" i="1"/>
  <c r="H986" i="1"/>
  <c r="J986" i="1" s="1"/>
  <c r="G986" i="1"/>
  <c r="F986" i="1"/>
  <c r="E986" i="1"/>
  <c r="K985" i="1"/>
  <c r="J985" i="1"/>
  <c r="I985" i="1"/>
  <c r="H985" i="1"/>
  <c r="G985" i="1"/>
  <c r="F985" i="1"/>
  <c r="E985" i="1"/>
  <c r="K984" i="1"/>
  <c r="J984" i="1"/>
  <c r="I984" i="1"/>
  <c r="H984" i="1"/>
  <c r="G984" i="1"/>
  <c r="F984" i="1"/>
  <c r="E984" i="1"/>
  <c r="K983" i="1"/>
  <c r="I983" i="1"/>
  <c r="J983" i="1" s="1"/>
  <c r="H983" i="1"/>
  <c r="G983" i="1"/>
  <c r="F983" i="1"/>
  <c r="E983" i="1"/>
  <c r="K982" i="1"/>
  <c r="I982" i="1"/>
  <c r="H982" i="1"/>
  <c r="J982" i="1" s="1"/>
  <c r="G982" i="1"/>
  <c r="F982" i="1"/>
  <c r="E982" i="1"/>
  <c r="K981" i="1"/>
  <c r="J981" i="1"/>
  <c r="I981" i="1"/>
  <c r="H981" i="1"/>
  <c r="G981" i="1"/>
  <c r="F981" i="1"/>
  <c r="E981" i="1"/>
  <c r="K980" i="1"/>
  <c r="J980" i="1"/>
  <c r="I980" i="1"/>
  <c r="H980" i="1"/>
  <c r="G980" i="1"/>
  <c r="F980" i="1"/>
  <c r="E980" i="1"/>
  <c r="K979" i="1"/>
  <c r="I979" i="1"/>
  <c r="J979" i="1" s="1"/>
  <c r="H979" i="1"/>
  <c r="G979" i="1"/>
  <c r="F979" i="1"/>
  <c r="E979" i="1"/>
  <c r="K978" i="1"/>
  <c r="I978" i="1"/>
  <c r="H978" i="1"/>
  <c r="J978" i="1" s="1"/>
  <c r="G978" i="1"/>
  <c r="F978" i="1"/>
  <c r="E978" i="1"/>
  <c r="K977" i="1"/>
  <c r="J977" i="1"/>
  <c r="I977" i="1"/>
  <c r="H977" i="1"/>
  <c r="G977" i="1"/>
  <c r="F977" i="1"/>
  <c r="E977" i="1"/>
  <c r="K976" i="1"/>
  <c r="J976" i="1"/>
  <c r="I976" i="1"/>
  <c r="H976" i="1"/>
  <c r="G976" i="1"/>
  <c r="F976" i="1"/>
  <c r="E976" i="1"/>
  <c r="K975" i="1"/>
  <c r="I975" i="1"/>
  <c r="J975" i="1" s="1"/>
  <c r="H975" i="1"/>
  <c r="G975" i="1"/>
  <c r="F975" i="1"/>
  <c r="E975" i="1"/>
  <c r="K974" i="1"/>
  <c r="I974" i="1"/>
  <c r="H974" i="1"/>
  <c r="J974" i="1" s="1"/>
  <c r="G974" i="1"/>
  <c r="F974" i="1"/>
  <c r="E974" i="1"/>
  <c r="K973" i="1"/>
  <c r="J973" i="1"/>
  <c r="I973" i="1"/>
  <c r="H973" i="1"/>
  <c r="G973" i="1"/>
  <c r="F973" i="1"/>
  <c r="E973" i="1"/>
  <c r="K972" i="1"/>
  <c r="J972" i="1"/>
  <c r="I972" i="1"/>
  <c r="H972" i="1"/>
  <c r="G972" i="1"/>
  <c r="F972" i="1"/>
  <c r="E972" i="1"/>
  <c r="K971" i="1"/>
  <c r="I971" i="1"/>
  <c r="J971" i="1" s="1"/>
  <c r="H971" i="1"/>
  <c r="G971" i="1"/>
  <c r="F971" i="1"/>
  <c r="E971" i="1"/>
  <c r="K970" i="1"/>
  <c r="I970" i="1"/>
  <c r="H970" i="1"/>
  <c r="J970" i="1" s="1"/>
  <c r="G970" i="1"/>
  <c r="F970" i="1"/>
  <c r="E970" i="1"/>
  <c r="K969" i="1"/>
  <c r="J969" i="1"/>
  <c r="I969" i="1"/>
  <c r="H969" i="1"/>
  <c r="G969" i="1"/>
  <c r="F969" i="1"/>
  <c r="E969" i="1"/>
  <c r="K968" i="1"/>
  <c r="J968" i="1"/>
  <c r="I968" i="1"/>
  <c r="H968" i="1"/>
  <c r="G968" i="1"/>
  <c r="F968" i="1"/>
  <c r="E968" i="1"/>
  <c r="K967" i="1"/>
  <c r="I967" i="1"/>
  <c r="J967" i="1" s="1"/>
  <c r="H967" i="1"/>
  <c r="G967" i="1"/>
  <c r="F967" i="1"/>
  <c r="E967" i="1"/>
  <c r="K966" i="1"/>
  <c r="I966" i="1"/>
  <c r="H966" i="1"/>
  <c r="J966" i="1" s="1"/>
  <c r="G966" i="1"/>
  <c r="F966" i="1"/>
  <c r="E966" i="1"/>
  <c r="K965" i="1"/>
  <c r="J965" i="1"/>
  <c r="I965" i="1"/>
  <c r="H965" i="1"/>
  <c r="G965" i="1"/>
  <c r="F965" i="1"/>
  <c r="E965" i="1"/>
  <c r="K964" i="1"/>
  <c r="J964" i="1"/>
  <c r="I964" i="1"/>
  <c r="H964" i="1"/>
  <c r="G964" i="1"/>
  <c r="F964" i="1"/>
  <c r="E964" i="1"/>
  <c r="K963" i="1"/>
  <c r="I963" i="1"/>
  <c r="J963" i="1" s="1"/>
  <c r="H963" i="1"/>
  <c r="G963" i="1"/>
  <c r="F963" i="1"/>
  <c r="E963" i="1"/>
  <c r="K962" i="1"/>
  <c r="J962" i="1"/>
  <c r="I962" i="1"/>
  <c r="H962" i="1"/>
  <c r="G962" i="1"/>
  <c r="F962" i="1"/>
  <c r="E962" i="1"/>
  <c r="K961" i="1"/>
  <c r="J961" i="1"/>
  <c r="I961" i="1"/>
  <c r="H961" i="1"/>
  <c r="G961" i="1"/>
  <c r="F961" i="1"/>
  <c r="E961" i="1"/>
  <c r="K960" i="1"/>
  <c r="J960" i="1"/>
  <c r="I960" i="1"/>
  <c r="H960" i="1"/>
  <c r="G960" i="1"/>
  <c r="F960" i="1"/>
  <c r="E960" i="1"/>
  <c r="K959" i="1"/>
  <c r="I959" i="1"/>
  <c r="J959" i="1" s="1"/>
  <c r="H959" i="1"/>
  <c r="G959" i="1"/>
  <c r="F959" i="1"/>
  <c r="E959" i="1"/>
  <c r="K958" i="1"/>
  <c r="I958" i="1"/>
  <c r="H958" i="1"/>
  <c r="J958" i="1" s="1"/>
  <c r="G958" i="1"/>
  <c r="F958" i="1"/>
  <c r="E958" i="1"/>
  <c r="K957" i="1"/>
  <c r="J957" i="1"/>
  <c r="I957" i="1"/>
  <c r="H957" i="1"/>
  <c r="G957" i="1"/>
  <c r="F957" i="1"/>
  <c r="E957" i="1"/>
  <c r="K956" i="1"/>
  <c r="J956" i="1"/>
  <c r="I956" i="1"/>
  <c r="H956" i="1"/>
  <c r="G956" i="1"/>
  <c r="F956" i="1"/>
  <c r="E956" i="1"/>
  <c r="K955" i="1"/>
  <c r="I955" i="1"/>
  <c r="J955" i="1" s="1"/>
  <c r="H955" i="1"/>
  <c r="G955" i="1"/>
  <c r="F955" i="1"/>
  <c r="E955" i="1"/>
  <c r="K954" i="1"/>
  <c r="I954" i="1"/>
  <c r="H954" i="1"/>
  <c r="J954" i="1" s="1"/>
  <c r="G954" i="1"/>
  <c r="F954" i="1"/>
  <c r="E954" i="1"/>
  <c r="K953" i="1"/>
  <c r="J953" i="1"/>
  <c r="I953" i="1"/>
  <c r="H953" i="1"/>
  <c r="G953" i="1"/>
  <c r="F953" i="1"/>
  <c r="E953" i="1"/>
  <c r="K952" i="1"/>
  <c r="J952" i="1"/>
  <c r="I952" i="1"/>
  <c r="H952" i="1"/>
  <c r="G952" i="1"/>
  <c r="F952" i="1"/>
  <c r="E952" i="1"/>
  <c r="K951" i="1"/>
  <c r="I951" i="1"/>
  <c r="J951" i="1" s="1"/>
  <c r="H951" i="1"/>
  <c r="G951" i="1"/>
  <c r="F951" i="1"/>
  <c r="E951" i="1"/>
  <c r="K950" i="1"/>
  <c r="I950" i="1"/>
  <c r="H950" i="1"/>
  <c r="J950" i="1" s="1"/>
  <c r="G950" i="1"/>
  <c r="F950" i="1"/>
  <c r="E950" i="1"/>
  <c r="K949" i="1"/>
  <c r="J949" i="1"/>
  <c r="I949" i="1"/>
  <c r="H949" i="1"/>
  <c r="G949" i="1"/>
  <c r="F949" i="1"/>
  <c r="E949" i="1"/>
  <c r="K948" i="1"/>
  <c r="J948" i="1"/>
  <c r="I948" i="1"/>
  <c r="H948" i="1"/>
  <c r="G948" i="1"/>
  <c r="F948" i="1"/>
  <c r="E948" i="1"/>
  <c r="K947" i="1"/>
  <c r="I947" i="1"/>
  <c r="J947" i="1" s="1"/>
  <c r="H947" i="1"/>
  <c r="G947" i="1"/>
  <c r="F947" i="1"/>
  <c r="E947" i="1"/>
  <c r="K946" i="1"/>
  <c r="J946" i="1"/>
  <c r="I946" i="1"/>
  <c r="H946" i="1"/>
  <c r="G946" i="1"/>
  <c r="F946" i="1"/>
  <c r="E946" i="1"/>
  <c r="K945" i="1"/>
  <c r="J945" i="1"/>
  <c r="I945" i="1"/>
  <c r="H945" i="1"/>
  <c r="G945" i="1"/>
  <c r="F945" i="1"/>
  <c r="E945" i="1"/>
  <c r="K944" i="1"/>
  <c r="J944" i="1"/>
  <c r="I944" i="1"/>
  <c r="H944" i="1"/>
  <c r="G944" i="1"/>
  <c r="F944" i="1"/>
  <c r="E944" i="1"/>
  <c r="K943" i="1"/>
  <c r="I943" i="1"/>
  <c r="J943" i="1" s="1"/>
  <c r="H943" i="1"/>
  <c r="G943" i="1"/>
  <c r="F943" i="1"/>
  <c r="E943" i="1"/>
  <c r="K942" i="1"/>
  <c r="I942" i="1"/>
  <c r="H942" i="1"/>
  <c r="J942" i="1" s="1"/>
  <c r="G942" i="1"/>
  <c r="F942" i="1"/>
  <c r="E942" i="1"/>
  <c r="K941" i="1"/>
  <c r="J941" i="1"/>
  <c r="I941" i="1"/>
  <c r="H941" i="1"/>
  <c r="G941" i="1"/>
  <c r="F941" i="1"/>
  <c r="E941" i="1"/>
  <c r="K940" i="1"/>
  <c r="J940" i="1"/>
  <c r="I940" i="1"/>
  <c r="H940" i="1"/>
  <c r="G940" i="1"/>
  <c r="F940" i="1"/>
  <c r="E940" i="1"/>
  <c r="K939" i="1"/>
  <c r="I939" i="1"/>
  <c r="J939" i="1" s="1"/>
  <c r="H939" i="1"/>
  <c r="G939" i="1"/>
  <c r="F939" i="1"/>
  <c r="E939" i="1"/>
  <c r="K938" i="1"/>
  <c r="I938" i="1"/>
  <c r="H938" i="1"/>
  <c r="J938" i="1" s="1"/>
  <c r="G938" i="1"/>
  <c r="F938" i="1"/>
  <c r="E938" i="1"/>
  <c r="K937" i="1"/>
  <c r="J937" i="1"/>
  <c r="I937" i="1"/>
  <c r="H937" i="1"/>
  <c r="G937" i="1"/>
  <c r="F937" i="1"/>
  <c r="E937" i="1"/>
  <c r="K936" i="1"/>
  <c r="J936" i="1"/>
  <c r="I936" i="1"/>
  <c r="H936" i="1"/>
  <c r="G936" i="1"/>
  <c r="F936" i="1"/>
  <c r="E936" i="1"/>
  <c r="K935" i="1"/>
  <c r="I935" i="1"/>
  <c r="J935" i="1" s="1"/>
  <c r="H935" i="1"/>
  <c r="G935" i="1"/>
  <c r="F935" i="1"/>
  <c r="E935" i="1"/>
  <c r="K934" i="1"/>
  <c r="I934" i="1"/>
  <c r="H934" i="1"/>
  <c r="J934" i="1" s="1"/>
  <c r="G934" i="1"/>
  <c r="F934" i="1"/>
  <c r="E934" i="1"/>
  <c r="K933" i="1"/>
  <c r="J933" i="1"/>
  <c r="I933" i="1"/>
  <c r="H933" i="1"/>
  <c r="G933" i="1"/>
  <c r="F933" i="1"/>
  <c r="E933" i="1"/>
  <c r="K932" i="1"/>
  <c r="J932" i="1"/>
  <c r="I932" i="1"/>
  <c r="H932" i="1"/>
  <c r="G932" i="1"/>
  <c r="F932" i="1"/>
  <c r="E932" i="1"/>
  <c r="K931" i="1"/>
  <c r="I931" i="1"/>
  <c r="J931" i="1" s="1"/>
  <c r="H931" i="1"/>
  <c r="G931" i="1"/>
  <c r="F931" i="1"/>
  <c r="E931" i="1"/>
  <c r="K930" i="1"/>
  <c r="I930" i="1"/>
  <c r="H930" i="1"/>
  <c r="J930" i="1" s="1"/>
  <c r="G930" i="1"/>
  <c r="F930" i="1"/>
  <c r="E930" i="1"/>
  <c r="K929" i="1"/>
  <c r="J929" i="1"/>
  <c r="I929" i="1"/>
  <c r="H929" i="1"/>
  <c r="G929" i="1"/>
  <c r="F929" i="1"/>
  <c r="E929" i="1"/>
  <c r="K928" i="1"/>
  <c r="J928" i="1"/>
  <c r="I928" i="1"/>
  <c r="H928" i="1"/>
  <c r="G928" i="1"/>
  <c r="F928" i="1"/>
  <c r="E928" i="1"/>
  <c r="K927" i="1"/>
  <c r="I927" i="1"/>
  <c r="J927" i="1" s="1"/>
  <c r="H927" i="1"/>
  <c r="G927" i="1"/>
  <c r="F927" i="1"/>
  <c r="E927" i="1"/>
  <c r="K926" i="1"/>
  <c r="I926" i="1"/>
  <c r="H926" i="1"/>
  <c r="J926" i="1" s="1"/>
  <c r="G926" i="1"/>
  <c r="F926" i="1"/>
  <c r="E926" i="1"/>
  <c r="K925" i="1"/>
  <c r="J925" i="1"/>
  <c r="I925" i="1"/>
  <c r="H925" i="1"/>
  <c r="G925" i="1"/>
  <c r="F925" i="1"/>
  <c r="E925" i="1"/>
  <c r="K924" i="1"/>
  <c r="J924" i="1"/>
  <c r="I924" i="1"/>
  <c r="H924" i="1"/>
  <c r="G924" i="1"/>
  <c r="F924" i="1"/>
  <c r="E924" i="1"/>
  <c r="K923" i="1"/>
  <c r="I923" i="1"/>
  <c r="J923" i="1" s="1"/>
  <c r="H923" i="1"/>
  <c r="G923" i="1"/>
  <c r="F923" i="1"/>
  <c r="E923" i="1"/>
  <c r="K922" i="1"/>
  <c r="I922" i="1"/>
  <c r="H922" i="1"/>
  <c r="J922" i="1" s="1"/>
  <c r="G922" i="1"/>
  <c r="F922" i="1"/>
  <c r="E922" i="1"/>
  <c r="K921" i="1"/>
  <c r="J921" i="1"/>
  <c r="I921" i="1"/>
  <c r="H921" i="1"/>
  <c r="G921" i="1"/>
  <c r="F921" i="1"/>
  <c r="E921" i="1"/>
  <c r="K920" i="1"/>
  <c r="J920" i="1"/>
  <c r="I920" i="1"/>
  <c r="H920" i="1"/>
  <c r="G920" i="1"/>
  <c r="F920" i="1"/>
  <c r="E920" i="1"/>
  <c r="K919" i="1"/>
  <c r="I919" i="1"/>
  <c r="J919" i="1" s="1"/>
  <c r="H919" i="1"/>
  <c r="G919" i="1"/>
  <c r="F919" i="1"/>
  <c r="E919" i="1"/>
  <c r="K918" i="1"/>
  <c r="I918" i="1"/>
  <c r="H918" i="1"/>
  <c r="J918" i="1" s="1"/>
  <c r="G918" i="1"/>
  <c r="F918" i="1"/>
  <c r="E918" i="1"/>
  <c r="K917" i="1"/>
  <c r="J917" i="1"/>
  <c r="I917" i="1"/>
  <c r="H917" i="1"/>
  <c r="G917" i="1"/>
  <c r="F917" i="1"/>
  <c r="E917" i="1"/>
  <c r="K916" i="1"/>
  <c r="J916" i="1"/>
  <c r="I916" i="1"/>
  <c r="H916" i="1"/>
  <c r="G916" i="1"/>
  <c r="F916" i="1"/>
  <c r="E916" i="1"/>
  <c r="K915" i="1"/>
  <c r="I915" i="1"/>
  <c r="J915" i="1" s="1"/>
  <c r="H915" i="1"/>
  <c r="G915" i="1"/>
  <c r="F915" i="1"/>
  <c r="E915" i="1"/>
  <c r="K914" i="1"/>
  <c r="I914" i="1"/>
  <c r="H914" i="1"/>
  <c r="J914" i="1" s="1"/>
  <c r="G914" i="1"/>
  <c r="F914" i="1"/>
  <c r="E914" i="1"/>
  <c r="K913" i="1"/>
  <c r="J913" i="1"/>
  <c r="I913" i="1"/>
  <c r="H913" i="1"/>
  <c r="G913" i="1"/>
  <c r="F913" i="1"/>
  <c r="E913" i="1"/>
  <c r="K912" i="1"/>
  <c r="J912" i="1"/>
  <c r="I912" i="1"/>
  <c r="H912" i="1"/>
  <c r="G912" i="1"/>
  <c r="F912" i="1"/>
  <c r="E912" i="1"/>
  <c r="K911" i="1"/>
  <c r="I911" i="1"/>
  <c r="J911" i="1" s="1"/>
  <c r="H911" i="1"/>
  <c r="G911" i="1"/>
  <c r="F911" i="1"/>
  <c r="E911" i="1"/>
  <c r="K910" i="1"/>
  <c r="I910" i="1"/>
  <c r="H910" i="1"/>
  <c r="J910" i="1" s="1"/>
  <c r="G910" i="1"/>
  <c r="F910" i="1"/>
  <c r="E910" i="1"/>
  <c r="K909" i="1"/>
  <c r="J909" i="1"/>
  <c r="I909" i="1"/>
  <c r="H909" i="1"/>
  <c r="G909" i="1"/>
  <c r="F909" i="1"/>
  <c r="E909" i="1"/>
  <c r="K908" i="1"/>
  <c r="J908" i="1"/>
  <c r="I908" i="1"/>
  <c r="H908" i="1"/>
  <c r="G908" i="1"/>
  <c r="F908" i="1"/>
  <c r="E908" i="1"/>
  <c r="K907" i="1"/>
  <c r="I907" i="1"/>
  <c r="J907" i="1" s="1"/>
  <c r="H907" i="1"/>
  <c r="G907" i="1"/>
  <c r="F907" i="1"/>
  <c r="E907" i="1"/>
  <c r="K906" i="1"/>
  <c r="I906" i="1"/>
  <c r="H906" i="1"/>
  <c r="J906" i="1" s="1"/>
  <c r="G906" i="1"/>
  <c r="F906" i="1"/>
  <c r="E906" i="1"/>
  <c r="K905" i="1"/>
  <c r="J905" i="1"/>
  <c r="I905" i="1"/>
  <c r="H905" i="1"/>
  <c r="G905" i="1"/>
  <c r="F905" i="1"/>
  <c r="E905" i="1"/>
  <c r="K904" i="1"/>
  <c r="J904" i="1"/>
  <c r="I904" i="1"/>
  <c r="H904" i="1"/>
  <c r="G904" i="1"/>
  <c r="F904" i="1"/>
  <c r="E904" i="1"/>
  <c r="K903" i="1"/>
  <c r="I903" i="1"/>
  <c r="J903" i="1" s="1"/>
  <c r="H903" i="1"/>
  <c r="G903" i="1"/>
  <c r="F903" i="1"/>
  <c r="E903" i="1"/>
  <c r="K902" i="1"/>
  <c r="I902" i="1"/>
  <c r="H902" i="1"/>
  <c r="J902" i="1" s="1"/>
  <c r="G902" i="1"/>
  <c r="F902" i="1"/>
  <c r="E902" i="1"/>
  <c r="K901" i="1"/>
  <c r="J901" i="1"/>
  <c r="I901" i="1"/>
  <c r="H901" i="1"/>
  <c r="G901" i="1"/>
  <c r="F901" i="1"/>
  <c r="E901" i="1"/>
  <c r="K900" i="1"/>
  <c r="J900" i="1"/>
  <c r="I900" i="1"/>
  <c r="H900" i="1"/>
  <c r="G900" i="1"/>
  <c r="F900" i="1"/>
  <c r="E900" i="1"/>
  <c r="K899" i="1"/>
  <c r="I899" i="1"/>
  <c r="J899" i="1" s="1"/>
  <c r="H899" i="1"/>
  <c r="G899" i="1"/>
  <c r="F899" i="1"/>
  <c r="E899" i="1"/>
  <c r="K898" i="1"/>
  <c r="I898" i="1"/>
  <c r="H898" i="1"/>
  <c r="J898" i="1" s="1"/>
  <c r="G898" i="1"/>
  <c r="F898" i="1"/>
  <c r="E898" i="1"/>
  <c r="K897" i="1"/>
  <c r="J897" i="1"/>
  <c r="I897" i="1"/>
  <c r="H897" i="1"/>
  <c r="G897" i="1"/>
  <c r="F897" i="1"/>
  <c r="E897" i="1"/>
  <c r="K896" i="1"/>
  <c r="J896" i="1"/>
  <c r="I896" i="1"/>
  <c r="H896" i="1"/>
  <c r="G896" i="1"/>
  <c r="F896" i="1"/>
  <c r="E896" i="1"/>
  <c r="K895" i="1"/>
  <c r="I895" i="1"/>
  <c r="J895" i="1" s="1"/>
  <c r="H895" i="1"/>
  <c r="G895" i="1"/>
  <c r="F895" i="1"/>
  <c r="E895" i="1"/>
  <c r="K894" i="1"/>
  <c r="I894" i="1"/>
  <c r="H894" i="1"/>
  <c r="J894" i="1" s="1"/>
  <c r="G894" i="1"/>
  <c r="F894" i="1"/>
  <c r="E894" i="1"/>
  <c r="K893" i="1"/>
  <c r="J893" i="1"/>
  <c r="I893" i="1"/>
  <c r="H893" i="1"/>
  <c r="G893" i="1"/>
  <c r="F893" i="1"/>
  <c r="E893" i="1"/>
  <c r="K892" i="1"/>
  <c r="J892" i="1"/>
  <c r="I892" i="1"/>
  <c r="H892" i="1"/>
  <c r="G892" i="1"/>
  <c r="F892" i="1"/>
  <c r="E892" i="1"/>
  <c r="K891" i="1"/>
  <c r="I891" i="1"/>
  <c r="J891" i="1" s="1"/>
  <c r="H891" i="1"/>
  <c r="G891" i="1"/>
  <c r="F891" i="1"/>
  <c r="E891" i="1"/>
  <c r="K890" i="1"/>
  <c r="I890" i="1"/>
  <c r="H890" i="1"/>
  <c r="J890" i="1" s="1"/>
  <c r="G890" i="1"/>
  <c r="F890" i="1"/>
  <c r="E890" i="1"/>
  <c r="K889" i="1"/>
  <c r="J889" i="1"/>
  <c r="I889" i="1"/>
  <c r="H889" i="1"/>
  <c r="G889" i="1"/>
  <c r="F889" i="1"/>
  <c r="E889" i="1"/>
  <c r="K888" i="1"/>
  <c r="J888" i="1"/>
  <c r="I888" i="1"/>
  <c r="H888" i="1"/>
  <c r="G888" i="1"/>
  <c r="F888" i="1"/>
  <c r="E888" i="1"/>
  <c r="K887" i="1"/>
  <c r="I887" i="1"/>
  <c r="J887" i="1" s="1"/>
  <c r="H887" i="1"/>
  <c r="G887" i="1"/>
  <c r="F887" i="1"/>
  <c r="E887" i="1"/>
  <c r="K886" i="1"/>
  <c r="I886" i="1"/>
  <c r="H886" i="1"/>
  <c r="J886" i="1" s="1"/>
  <c r="G886" i="1"/>
  <c r="F886" i="1"/>
  <c r="E886" i="1"/>
  <c r="K885" i="1"/>
  <c r="J885" i="1"/>
  <c r="I885" i="1"/>
  <c r="H885" i="1"/>
  <c r="G885" i="1"/>
  <c r="F885" i="1"/>
  <c r="E885" i="1"/>
  <c r="K884" i="1"/>
  <c r="J884" i="1"/>
  <c r="I884" i="1"/>
  <c r="H884" i="1"/>
  <c r="G884" i="1"/>
  <c r="F884" i="1"/>
  <c r="E884" i="1"/>
  <c r="K883" i="1"/>
  <c r="I883" i="1"/>
  <c r="J883" i="1" s="1"/>
  <c r="H883" i="1"/>
  <c r="G883" i="1"/>
  <c r="F883" i="1"/>
  <c r="E883" i="1"/>
  <c r="K882" i="1"/>
  <c r="I882" i="1"/>
  <c r="H882" i="1"/>
  <c r="J882" i="1" s="1"/>
  <c r="G882" i="1"/>
  <c r="F882" i="1"/>
  <c r="E882" i="1"/>
  <c r="K881" i="1"/>
  <c r="J881" i="1"/>
  <c r="I881" i="1"/>
  <c r="H881" i="1"/>
  <c r="G881" i="1"/>
  <c r="F881" i="1"/>
  <c r="E881" i="1"/>
  <c r="K880" i="1"/>
  <c r="J880" i="1"/>
  <c r="I880" i="1"/>
  <c r="H880" i="1"/>
  <c r="G880" i="1"/>
  <c r="F880" i="1"/>
  <c r="E880" i="1"/>
  <c r="K879" i="1"/>
  <c r="I879" i="1"/>
  <c r="J879" i="1" s="1"/>
  <c r="H879" i="1"/>
  <c r="G879" i="1"/>
  <c r="F879" i="1"/>
  <c r="E879" i="1"/>
  <c r="K878" i="1"/>
  <c r="I878" i="1"/>
  <c r="H878" i="1"/>
  <c r="J878" i="1" s="1"/>
  <c r="G878" i="1"/>
  <c r="F878" i="1"/>
  <c r="E878" i="1"/>
  <c r="K877" i="1"/>
  <c r="J877" i="1"/>
  <c r="I877" i="1"/>
  <c r="H877" i="1"/>
  <c r="G877" i="1"/>
  <c r="F877" i="1"/>
  <c r="E877" i="1"/>
  <c r="K876" i="1"/>
  <c r="J876" i="1"/>
  <c r="I876" i="1"/>
  <c r="H876" i="1"/>
  <c r="G876" i="1"/>
  <c r="F876" i="1"/>
  <c r="E876" i="1"/>
  <c r="K875" i="1"/>
  <c r="I875" i="1"/>
  <c r="J875" i="1" s="1"/>
  <c r="H875" i="1"/>
  <c r="G875" i="1"/>
  <c r="F875" i="1"/>
  <c r="E875" i="1"/>
  <c r="K874" i="1"/>
  <c r="I874" i="1"/>
  <c r="H874" i="1"/>
  <c r="J874" i="1" s="1"/>
  <c r="G874" i="1"/>
  <c r="F874" i="1"/>
  <c r="E874" i="1"/>
  <c r="K873" i="1"/>
  <c r="J873" i="1"/>
  <c r="I873" i="1"/>
  <c r="H873" i="1"/>
  <c r="G873" i="1"/>
  <c r="F873" i="1"/>
  <c r="E873" i="1"/>
  <c r="K872" i="1"/>
  <c r="J872" i="1"/>
  <c r="I872" i="1"/>
  <c r="H872" i="1"/>
  <c r="G872" i="1"/>
  <c r="F872" i="1"/>
  <c r="E872" i="1"/>
  <c r="K871" i="1"/>
  <c r="I871" i="1"/>
  <c r="J871" i="1" s="1"/>
  <c r="H871" i="1"/>
  <c r="G871" i="1"/>
  <c r="F871" i="1"/>
  <c r="E871" i="1"/>
  <c r="K870" i="1"/>
  <c r="I870" i="1"/>
  <c r="H870" i="1"/>
  <c r="J870" i="1" s="1"/>
  <c r="G870" i="1"/>
  <c r="F870" i="1"/>
  <c r="E870" i="1"/>
  <c r="K869" i="1"/>
  <c r="J869" i="1"/>
  <c r="I869" i="1"/>
  <c r="H869" i="1"/>
  <c r="G869" i="1"/>
  <c r="F869" i="1"/>
  <c r="E869" i="1"/>
  <c r="K868" i="1"/>
  <c r="J868" i="1"/>
  <c r="I868" i="1"/>
  <c r="H868" i="1"/>
  <c r="G868" i="1"/>
  <c r="F868" i="1"/>
  <c r="E868" i="1"/>
  <c r="K867" i="1"/>
  <c r="I867" i="1"/>
  <c r="J867" i="1" s="1"/>
  <c r="H867" i="1"/>
  <c r="G867" i="1"/>
  <c r="F867" i="1"/>
  <c r="E867" i="1"/>
  <c r="K866" i="1"/>
  <c r="I866" i="1"/>
  <c r="H866" i="1"/>
  <c r="J866" i="1" s="1"/>
  <c r="G866" i="1"/>
  <c r="F866" i="1"/>
  <c r="E866" i="1"/>
  <c r="K865" i="1"/>
  <c r="J865" i="1"/>
  <c r="I865" i="1"/>
  <c r="H865" i="1"/>
  <c r="G865" i="1"/>
  <c r="F865" i="1"/>
  <c r="E865" i="1"/>
  <c r="K864" i="1"/>
  <c r="J864" i="1"/>
  <c r="I864" i="1"/>
  <c r="H864" i="1"/>
  <c r="G864" i="1"/>
  <c r="F864" i="1"/>
  <c r="E864" i="1"/>
  <c r="K863" i="1"/>
  <c r="I863" i="1"/>
  <c r="J863" i="1" s="1"/>
  <c r="H863" i="1"/>
  <c r="G863" i="1"/>
  <c r="F863" i="1"/>
  <c r="E863" i="1"/>
  <c r="K862" i="1"/>
  <c r="I862" i="1"/>
  <c r="H862" i="1"/>
  <c r="J862" i="1" s="1"/>
  <c r="G862" i="1"/>
  <c r="F862" i="1"/>
  <c r="E862" i="1"/>
  <c r="K861" i="1"/>
  <c r="J861" i="1"/>
  <c r="I861" i="1"/>
  <c r="H861" i="1"/>
  <c r="G861" i="1"/>
  <c r="F861" i="1"/>
  <c r="E861" i="1"/>
  <c r="K860" i="1"/>
  <c r="J860" i="1"/>
  <c r="I860" i="1"/>
  <c r="H860" i="1"/>
  <c r="G860" i="1"/>
  <c r="F860" i="1"/>
  <c r="E860" i="1"/>
  <c r="K859" i="1"/>
  <c r="I859" i="1"/>
  <c r="J859" i="1" s="1"/>
  <c r="H859" i="1"/>
  <c r="G859" i="1"/>
  <c r="F859" i="1"/>
  <c r="E859" i="1"/>
  <c r="K858" i="1"/>
  <c r="I858" i="1"/>
  <c r="H858" i="1"/>
  <c r="J858" i="1" s="1"/>
  <c r="G858" i="1"/>
  <c r="F858" i="1"/>
  <c r="E858" i="1"/>
  <c r="K857" i="1"/>
  <c r="J857" i="1"/>
  <c r="I857" i="1"/>
  <c r="H857" i="1"/>
  <c r="G857" i="1"/>
  <c r="F857" i="1"/>
  <c r="E857" i="1"/>
  <c r="K856" i="1"/>
  <c r="J856" i="1"/>
  <c r="I856" i="1"/>
  <c r="H856" i="1"/>
  <c r="G856" i="1"/>
  <c r="F856" i="1"/>
  <c r="E856" i="1"/>
  <c r="K855" i="1"/>
  <c r="I855" i="1"/>
  <c r="J855" i="1" s="1"/>
  <c r="H855" i="1"/>
  <c r="G855" i="1"/>
  <c r="F855" i="1"/>
  <c r="E855" i="1"/>
  <c r="K854" i="1"/>
  <c r="I854" i="1"/>
  <c r="H854" i="1"/>
  <c r="J854" i="1" s="1"/>
  <c r="G854" i="1"/>
  <c r="F854" i="1"/>
  <c r="E854" i="1"/>
  <c r="K853" i="1"/>
  <c r="J853" i="1"/>
  <c r="I853" i="1"/>
  <c r="H853" i="1"/>
  <c r="G853" i="1"/>
  <c r="F853" i="1"/>
  <c r="E853" i="1"/>
  <c r="K852" i="1"/>
  <c r="J852" i="1"/>
  <c r="I852" i="1"/>
  <c r="H852" i="1"/>
  <c r="G852" i="1"/>
  <c r="F852" i="1"/>
  <c r="E852" i="1"/>
  <c r="K851" i="1"/>
  <c r="I851" i="1"/>
  <c r="J851" i="1" s="1"/>
  <c r="H851" i="1"/>
  <c r="G851" i="1"/>
  <c r="F851" i="1"/>
  <c r="E851" i="1"/>
  <c r="K850" i="1"/>
  <c r="I850" i="1"/>
  <c r="H850" i="1"/>
  <c r="J850" i="1" s="1"/>
  <c r="G850" i="1"/>
  <c r="F850" i="1"/>
  <c r="E850" i="1"/>
  <c r="K849" i="1"/>
  <c r="J849" i="1"/>
  <c r="I849" i="1"/>
  <c r="H849" i="1"/>
  <c r="G849" i="1"/>
  <c r="F849" i="1"/>
  <c r="E849" i="1"/>
  <c r="K848" i="1"/>
  <c r="J848" i="1"/>
  <c r="I848" i="1"/>
  <c r="H848" i="1"/>
  <c r="G848" i="1"/>
  <c r="F848" i="1"/>
  <c r="E848" i="1"/>
  <c r="K847" i="1"/>
  <c r="I847" i="1"/>
  <c r="J847" i="1" s="1"/>
  <c r="H847" i="1"/>
  <c r="G847" i="1"/>
  <c r="F847" i="1"/>
  <c r="E847" i="1"/>
  <c r="K846" i="1"/>
  <c r="J846" i="1"/>
  <c r="I846" i="1"/>
  <c r="H846" i="1"/>
  <c r="G846" i="1"/>
  <c r="F846" i="1"/>
  <c r="E846" i="1"/>
  <c r="K845" i="1"/>
  <c r="J845" i="1"/>
  <c r="I845" i="1"/>
  <c r="H845" i="1"/>
  <c r="G845" i="1"/>
  <c r="F845" i="1"/>
  <c r="E845" i="1"/>
  <c r="K844" i="1"/>
  <c r="J844" i="1"/>
  <c r="I844" i="1"/>
  <c r="H844" i="1"/>
  <c r="G844" i="1"/>
  <c r="F844" i="1"/>
  <c r="E844" i="1"/>
  <c r="K843" i="1"/>
  <c r="I843" i="1"/>
  <c r="J843" i="1" s="1"/>
  <c r="H843" i="1"/>
  <c r="G843" i="1"/>
  <c r="F843" i="1"/>
  <c r="E843" i="1"/>
  <c r="K842" i="1"/>
  <c r="J842" i="1"/>
  <c r="I842" i="1"/>
  <c r="H842" i="1"/>
  <c r="G842" i="1"/>
  <c r="F842" i="1"/>
  <c r="E842" i="1"/>
  <c r="K841" i="1"/>
  <c r="J841" i="1"/>
  <c r="I841" i="1"/>
  <c r="H841" i="1"/>
  <c r="G841" i="1"/>
  <c r="F841" i="1"/>
  <c r="E841" i="1"/>
  <c r="K840" i="1"/>
  <c r="J840" i="1"/>
  <c r="I840" i="1"/>
  <c r="H840" i="1"/>
  <c r="G840" i="1"/>
  <c r="F840" i="1"/>
  <c r="E840" i="1"/>
  <c r="K839" i="1"/>
  <c r="I839" i="1"/>
  <c r="J839" i="1" s="1"/>
  <c r="H839" i="1"/>
  <c r="G839" i="1"/>
  <c r="F839" i="1"/>
  <c r="E839" i="1"/>
  <c r="K838" i="1"/>
  <c r="I838" i="1"/>
  <c r="H838" i="1"/>
  <c r="J838" i="1" s="1"/>
  <c r="G838" i="1"/>
  <c r="F838" i="1"/>
  <c r="E838" i="1"/>
  <c r="K837" i="1"/>
  <c r="J837" i="1"/>
  <c r="I837" i="1"/>
  <c r="H837" i="1"/>
  <c r="G837" i="1"/>
  <c r="F837" i="1"/>
  <c r="E837" i="1"/>
  <c r="K836" i="1"/>
  <c r="J836" i="1"/>
  <c r="I836" i="1"/>
  <c r="H836" i="1"/>
  <c r="G836" i="1"/>
  <c r="F836" i="1"/>
  <c r="E836" i="1"/>
  <c r="K835" i="1"/>
  <c r="I835" i="1"/>
  <c r="J835" i="1" s="1"/>
  <c r="H835" i="1"/>
  <c r="G835" i="1"/>
  <c r="F835" i="1"/>
  <c r="E835" i="1"/>
  <c r="K834" i="1"/>
  <c r="I834" i="1"/>
  <c r="H834" i="1"/>
  <c r="J834" i="1" s="1"/>
  <c r="G834" i="1"/>
  <c r="F834" i="1"/>
  <c r="E834" i="1"/>
  <c r="K833" i="1"/>
  <c r="J833" i="1"/>
  <c r="I833" i="1"/>
  <c r="H833" i="1"/>
  <c r="G833" i="1"/>
  <c r="F833" i="1"/>
  <c r="E833" i="1"/>
  <c r="K832" i="1"/>
  <c r="J832" i="1"/>
  <c r="I832" i="1"/>
  <c r="H832" i="1"/>
  <c r="G832" i="1"/>
  <c r="F832" i="1"/>
  <c r="E832" i="1"/>
  <c r="K831" i="1"/>
  <c r="I831" i="1"/>
  <c r="J831" i="1" s="1"/>
  <c r="H831" i="1"/>
  <c r="G831" i="1"/>
  <c r="F831" i="1"/>
  <c r="E831" i="1"/>
  <c r="K830" i="1"/>
  <c r="I830" i="1"/>
  <c r="H830" i="1"/>
  <c r="J830" i="1" s="1"/>
  <c r="G830" i="1"/>
  <c r="F830" i="1"/>
  <c r="E830" i="1"/>
  <c r="K829" i="1"/>
  <c r="J829" i="1"/>
  <c r="I829" i="1"/>
  <c r="H829" i="1"/>
  <c r="G829" i="1"/>
  <c r="F829" i="1"/>
  <c r="E829" i="1"/>
  <c r="K828" i="1"/>
  <c r="J828" i="1"/>
  <c r="I828" i="1"/>
  <c r="H828" i="1"/>
  <c r="G828" i="1"/>
  <c r="F828" i="1"/>
  <c r="E828" i="1"/>
  <c r="K827" i="1"/>
  <c r="I827" i="1"/>
  <c r="J827" i="1" s="1"/>
  <c r="H827" i="1"/>
  <c r="G827" i="1"/>
  <c r="F827" i="1"/>
  <c r="E827" i="1"/>
  <c r="K826" i="1"/>
  <c r="I826" i="1"/>
  <c r="H826" i="1"/>
  <c r="J826" i="1" s="1"/>
  <c r="G826" i="1"/>
  <c r="F826" i="1"/>
  <c r="E826" i="1"/>
  <c r="K825" i="1"/>
  <c r="J825" i="1"/>
  <c r="I825" i="1"/>
  <c r="H825" i="1"/>
  <c r="G825" i="1"/>
  <c r="F825" i="1"/>
  <c r="E825" i="1"/>
  <c r="K824" i="1"/>
  <c r="J824" i="1"/>
  <c r="I824" i="1"/>
  <c r="H824" i="1"/>
  <c r="G824" i="1"/>
  <c r="F824" i="1"/>
  <c r="E824" i="1"/>
  <c r="K823" i="1"/>
  <c r="I823" i="1"/>
  <c r="J823" i="1" s="1"/>
  <c r="H823" i="1"/>
  <c r="G823" i="1"/>
  <c r="F823" i="1"/>
  <c r="E823" i="1"/>
  <c r="K822" i="1"/>
  <c r="I822" i="1"/>
  <c r="H822" i="1"/>
  <c r="J822" i="1" s="1"/>
  <c r="G822" i="1"/>
  <c r="F822" i="1"/>
  <c r="E822" i="1"/>
  <c r="K821" i="1"/>
  <c r="J821" i="1"/>
  <c r="I821" i="1"/>
  <c r="H821" i="1"/>
  <c r="G821" i="1"/>
  <c r="F821" i="1"/>
  <c r="E821" i="1"/>
  <c r="K820" i="1"/>
  <c r="J820" i="1"/>
  <c r="I820" i="1"/>
  <c r="H820" i="1"/>
  <c r="G820" i="1"/>
  <c r="F820" i="1"/>
  <c r="E820" i="1"/>
  <c r="K819" i="1"/>
  <c r="I819" i="1"/>
  <c r="J819" i="1" s="1"/>
  <c r="H819" i="1"/>
  <c r="G819" i="1"/>
  <c r="F819" i="1"/>
  <c r="E819" i="1"/>
  <c r="K818" i="1"/>
  <c r="I818" i="1"/>
  <c r="H818" i="1"/>
  <c r="J818" i="1" s="1"/>
  <c r="G818" i="1"/>
  <c r="F818" i="1"/>
  <c r="E818" i="1"/>
  <c r="K817" i="1"/>
  <c r="J817" i="1"/>
  <c r="I817" i="1"/>
  <c r="H817" i="1"/>
  <c r="G817" i="1"/>
  <c r="F817" i="1"/>
  <c r="E817" i="1"/>
  <c r="K816" i="1"/>
  <c r="J816" i="1"/>
  <c r="I816" i="1"/>
  <c r="H816" i="1"/>
  <c r="G816" i="1"/>
  <c r="F816" i="1"/>
  <c r="E816" i="1"/>
  <c r="K815" i="1"/>
  <c r="I815" i="1"/>
  <c r="J815" i="1" s="1"/>
  <c r="H815" i="1"/>
  <c r="G815" i="1"/>
  <c r="F815" i="1"/>
  <c r="E815" i="1"/>
  <c r="K814" i="1"/>
  <c r="I814" i="1"/>
  <c r="H814" i="1"/>
  <c r="J814" i="1" s="1"/>
  <c r="G814" i="1"/>
  <c r="F814" i="1"/>
  <c r="E814" i="1"/>
  <c r="K813" i="1"/>
  <c r="J813" i="1"/>
  <c r="I813" i="1"/>
  <c r="H813" i="1"/>
  <c r="G813" i="1"/>
  <c r="F813" i="1"/>
  <c r="E813" i="1"/>
  <c r="K812" i="1"/>
  <c r="J812" i="1"/>
  <c r="I812" i="1"/>
  <c r="H812" i="1"/>
  <c r="G812" i="1"/>
  <c r="F812" i="1"/>
  <c r="E812" i="1"/>
  <c r="K811" i="1"/>
  <c r="I811" i="1"/>
  <c r="J811" i="1" s="1"/>
  <c r="H811" i="1"/>
  <c r="G811" i="1"/>
  <c r="F811" i="1"/>
  <c r="E811" i="1"/>
  <c r="K810" i="1"/>
  <c r="J810" i="1"/>
  <c r="I810" i="1"/>
  <c r="H810" i="1"/>
  <c r="G810" i="1"/>
  <c r="F810" i="1"/>
  <c r="E810" i="1"/>
  <c r="K809" i="1"/>
  <c r="J809" i="1"/>
  <c r="I809" i="1"/>
  <c r="H809" i="1"/>
  <c r="G809" i="1"/>
  <c r="F809" i="1"/>
  <c r="E809" i="1"/>
  <c r="K808" i="1"/>
  <c r="J808" i="1"/>
  <c r="I808" i="1"/>
  <c r="H808" i="1"/>
  <c r="G808" i="1"/>
  <c r="F808" i="1"/>
  <c r="E808" i="1"/>
  <c r="K807" i="1"/>
  <c r="I807" i="1"/>
  <c r="J807" i="1" s="1"/>
  <c r="H807" i="1"/>
  <c r="G807" i="1"/>
  <c r="F807" i="1"/>
  <c r="E807" i="1"/>
  <c r="K806" i="1"/>
  <c r="I806" i="1"/>
  <c r="H806" i="1"/>
  <c r="J806" i="1" s="1"/>
  <c r="G806" i="1"/>
  <c r="F806" i="1"/>
  <c r="E806" i="1"/>
  <c r="K805" i="1"/>
  <c r="J805" i="1"/>
  <c r="I805" i="1"/>
  <c r="H805" i="1"/>
  <c r="G805" i="1"/>
  <c r="F805" i="1"/>
  <c r="E805" i="1"/>
  <c r="K804" i="1"/>
  <c r="J804" i="1"/>
  <c r="I804" i="1"/>
  <c r="H804" i="1"/>
  <c r="G804" i="1"/>
  <c r="F804" i="1"/>
  <c r="E804" i="1"/>
  <c r="K803" i="1"/>
  <c r="I803" i="1"/>
  <c r="J803" i="1" s="1"/>
  <c r="H803" i="1"/>
  <c r="G803" i="1"/>
  <c r="F803" i="1"/>
  <c r="E803" i="1"/>
  <c r="K802" i="1"/>
  <c r="I802" i="1"/>
  <c r="H802" i="1"/>
  <c r="J802" i="1" s="1"/>
  <c r="G802" i="1"/>
  <c r="F802" i="1"/>
  <c r="E802" i="1"/>
  <c r="K801" i="1"/>
  <c r="J801" i="1"/>
  <c r="I801" i="1"/>
  <c r="H801" i="1"/>
  <c r="G801" i="1"/>
  <c r="F801" i="1"/>
  <c r="E801" i="1"/>
  <c r="K800" i="1"/>
  <c r="J800" i="1"/>
  <c r="I800" i="1"/>
  <c r="H800" i="1"/>
  <c r="G800" i="1"/>
  <c r="F800" i="1"/>
  <c r="E800" i="1"/>
  <c r="K799" i="1"/>
  <c r="I799" i="1"/>
  <c r="J799" i="1" s="1"/>
  <c r="H799" i="1"/>
  <c r="G799" i="1"/>
  <c r="F799" i="1"/>
  <c r="E799" i="1"/>
  <c r="K798" i="1"/>
  <c r="I798" i="1"/>
  <c r="H798" i="1"/>
  <c r="J798" i="1" s="1"/>
  <c r="G798" i="1"/>
  <c r="F798" i="1"/>
  <c r="E798" i="1"/>
  <c r="K797" i="1"/>
  <c r="J797" i="1"/>
  <c r="I797" i="1"/>
  <c r="H797" i="1"/>
  <c r="G797" i="1"/>
  <c r="F797" i="1"/>
  <c r="E797" i="1"/>
  <c r="K796" i="1"/>
  <c r="J796" i="1"/>
  <c r="I796" i="1"/>
  <c r="H796" i="1"/>
  <c r="G796" i="1"/>
  <c r="F796" i="1"/>
  <c r="E796" i="1"/>
  <c r="K795" i="1"/>
  <c r="I795" i="1"/>
  <c r="J795" i="1" s="1"/>
  <c r="H795" i="1"/>
  <c r="G795" i="1"/>
  <c r="F795" i="1"/>
  <c r="E795" i="1"/>
  <c r="K794" i="1"/>
  <c r="I794" i="1"/>
  <c r="H794" i="1"/>
  <c r="J794" i="1" s="1"/>
  <c r="G794" i="1"/>
  <c r="F794" i="1"/>
  <c r="E794" i="1"/>
  <c r="K793" i="1"/>
  <c r="J793" i="1"/>
  <c r="I793" i="1"/>
  <c r="H793" i="1"/>
  <c r="G793" i="1"/>
  <c r="F793" i="1"/>
  <c r="E793" i="1"/>
  <c r="K792" i="1"/>
  <c r="J792" i="1"/>
  <c r="I792" i="1"/>
  <c r="H792" i="1"/>
  <c r="G792" i="1"/>
  <c r="F792" i="1"/>
  <c r="E792" i="1"/>
  <c r="K791" i="1"/>
  <c r="I791" i="1"/>
  <c r="J791" i="1" s="1"/>
  <c r="H791" i="1"/>
  <c r="G791" i="1"/>
  <c r="F791" i="1"/>
  <c r="E791" i="1"/>
  <c r="K790" i="1"/>
  <c r="J790" i="1"/>
  <c r="I790" i="1"/>
  <c r="H790" i="1"/>
  <c r="G790" i="1"/>
  <c r="F790" i="1"/>
  <c r="E790" i="1"/>
  <c r="K789" i="1"/>
  <c r="J789" i="1"/>
  <c r="I789" i="1"/>
  <c r="H789" i="1"/>
  <c r="G789" i="1"/>
  <c r="F789" i="1"/>
  <c r="E789" i="1"/>
  <c r="K788" i="1"/>
  <c r="J788" i="1"/>
  <c r="I788" i="1"/>
  <c r="H788" i="1"/>
  <c r="G788" i="1"/>
  <c r="F788" i="1"/>
  <c r="E788" i="1"/>
  <c r="K787" i="1"/>
  <c r="I787" i="1"/>
  <c r="J787" i="1" s="1"/>
  <c r="H787" i="1"/>
  <c r="G787" i="1"/>
  <c r="F787" i="1"/>
  <c r="E787" i="1"/>
  <c r="K786" i="1"/>
  <c r="I786" i="1"/>
  <c r="H786" i="1"/>
  <c r="J786" i="1" s="1"/>
  <c r="G786" i="1"/>
  <c r="F786" i="1"/>
  <c r="E786" i="1"/>
  <c r="K785" i="1"/>
  <c r="J785" i="1"/>
  <c r="I785" i="1"/>
  <c r="H785" i="1"/>
  <c r="G785" i="1"/>
  <c r="F785" i="1"/>
  <c r="E785" i="1"/>
  <c r="K784" i="1"/>
  <c r="J784" i="1"/>
  <c r="I784" i="1"/>
  <c r="H784" i="1"/>
  <c r="G784" i="1"/>
  <c r="F784" i="1"/>
  <c r="E784" i="1"/>
  <c r="K783" i="1"/>
  <c r="I783" i="1"/>
  <c r="J783" i="1" s="1"/>
  <c r="H783" i="1"/>
  <c r="G783" i="1"/>
  <c r="F783" i="1"/>
  <c r="E783" i="1"/>
  <c r="K782" i="1"/>
  <c r="I782" i="1"/>
  <c r="H782" i="1"/>
  <c r="J782" i="1" s="1"/>
  <c r="G782" i="1"/>
  <c r="F782" i="1"/>
  <c r="E782" i="1"/>
  <c r="K781" i="1"/>
  <c r="J781" i="1"/>
  <c r="I781" i="1"/>
  <c r="H781" i="1"/>
  <c r="G781" i="1"/>
  <c r="F781" i="1"/>
  <c r="E781" i="1"/>
  <c r="K780" i="1"/>
  <c r="J780" i="1"/>
  <c r="I780" i="1"/>
  <c r="H780" i="1"/>
  <c r="G780" i="1"/>
  <c r="F780" i="1"/>
  <c r="E780" i="1"/>
  <c r="K779" i="1"/>
  <c r="I779" i="1"/>
  <c r="J779" i="1" s="1"/>
  <c r="H779" i="1"/>
  <c r="G779" i="1"/>
  <c r="F779" i="1"/>
  <c r="E779" i="1"/>
  <c r="K778" i="1"/>
  <c r="I778" i="1"/>
  <c r="H778" i="1"/>
  <c r="J778" i="1" s="1"/>
  <c r="G778" i="1"/>
  <c r="F778" i="1"/>
  <c r="E778" i="1"/>
  <c r="K777" i="1"/>
  <c r="J777" i="1"/>
  <c r="I777" i="1"/>
  <c r="H777" i="1"/>
  <c r="G777" i="1"/>
  <c r="F777" i="1"/>
  <c r="E777" i="1"/>
  <c r="K776" i="1"/>
  <c r="J776" i="1"/>
  <c r="I776" i="1"/>
  <c r="H776" i="1"/>
  <c r="G776" i="1"/>
  <c r="F776" i="1"/>
  <c r="E776" i="1"/>
  <c r="K775" i="1"/>
  <c r="I775" i="1"/>
  <c r="J775" i="1" s="1"/>
  <c r="H775" i="1"/>
  <c r="G775" i="1"/>
  <c r="F775" i="1"/>
  <c r="E775" i="1"/>
  <c r="K774" i="1"/>
  <c r="I774" i="1"/>
  <c r="H774" i="1"/>
  <c r="J774" i="1" s="1"/>
  <c r="G774" i="1"/>
  <c r="F774" i="1"/>
  <c r="E774" i="1"/>
  <c r="K773" i="1"/>
  <c r="J773" i="1"/>
  <c r="I773" i="1"/>
  <c r="H773" i="1"/>
  <c r="G773" i="1"/>
  <c r="F773" i="1"/>
  <c r="E773" i="1"/>
  <c r="K772" i="1"/>
  <c r="J772" i="1"/>
  <c r="I772" i="1"/>
  <c r="H772" i="1"/>
  <c r="G772" i="1"/>
  <c r="F772" i="1"/>
  <c r="E772" i="1"/>
  <c r="K771" i="1"/>
  <c r="I771" i="1"/>
  <c r="J771" i="1" s="1"/>
  <c r="H771" i="1"/>
  <c r="G771" i="1"/>
  <c r="F771" i="1"/>
  <c r="E771" i="1"/>
  <c r="K770" i="1"/>
  <c r="J770" i="1"/>
  <c r="I770" i="1"/>
  <c r="H770" i="1"/>
  <c r="G770" i="1"/>
  <c r="F770" i="1"/>
  <c r="E770" i="1"/>
  <c r="K769" i="1"/>
  <c r="J769" i="1"/>
  <c r="I769" i="1"/>
  <c r="H769" i="1"/>
  <c r="G769" i="1"/>
  <c r="F769" i="1"/>
  <c r="E769" i="1"/>
  <c r="K768" i="1"/>
  <c r="J768" i="1"/>
  <c r="I768" i="1"/>
  <c r="H768" i="1"/>
  <c r="G768" i="1"/>
  <c r="F768" i="1"/>
  <c r="E768" i="1"/>
  <c r="K767" i="1"/>
  <c r="I767" i="1"/>
  <c r="J767" i="1" s="1"/>
  <c r="H767" i="1"/>
  <c r="G767" i="1"/>
  <c r="F767" i="1"/>
  <c r="E767" i="1"/>
  <c r="K766" i="1"/>
  <c r="I766" i="1"/>
  <c r="H766" i="1"/>
  <c r="J766" i="1" s="1"/>
  <c r="G766" i="1"/>
  <c r="F766" i="1"/>
  <c r="E766" i="1"/>
  <c r="K765" i="1"/>
  <c r="J765" i="1"/>
  <c r="I765" i="1"/>
  <c r="H765" i="1"/>
  <c r="G765" i="1"/>
  <c r="F765" i="1"/>
  <c r="E765" i="1"/>
  <c r="K764" i="1"/>
  <c r="J764" i="1"/>
  <c r="I764" i="1"/>
  <c r="H764" i="1"/>
  <c r="G764" i="1"/>
  <c r="F764" i="1"/>
  <c r="E764" i="1"/>
  <c r="K763" i="1"/>
  <c r="I763" i="1"/>
  <c r="J763" i="1" s="1"/>
  <c r="H763" i="1"/>
  <c r="G763" i="1"/>
  <c r="F763" i="1"/>
  <c r="E763" i="1"/>
  <c r="K762" i="1"/>
  <c r="I762" i="1"/>
  <c r="H762" i="1"/>
  <c r="J762" i="1" s="1"/>
  <c r="G762" i="1"/>
  <c r="F762" i="1"/>
  <c r="E762" i="1"/>
  <c r="K761" i="1"/>
  <c r="J761" i="1"/>
  <c r="I761" i="1"/>
  <c r="H761" i="1"/>
  <c r="G761" i="1"/>
  <c r="F761" i="1"/>
  <c r="E761" i="1"/>
  <c r="K760" i="1"/>
  <c r="J760" i="1"/>
  <c r="I760" i="1"/>
  <c r="H760" i="1"/>
  <c r="G760" i="1"/>
  <c r="F760" i="1"/>
  <c r="E760" i="1"/>
  <c r="K759" i="1"/>
  <c r="I759" i="1"/>
  <c r="J759" i="1" s="1"/>
  <c r="H759" i="1"/>
  <c r="G759" i="1"/>
  <c r="F759" i="1"/>
  <c r="E759" i="1"/>
  <c r="K758" i="1"/>
  <c r="I758" i="1"/>
  <c r="H758" i="1"/>
  <c r="J758" i="1" s="1"/>
  <c r="G758" i="1"/>
  <c r="F758" i="1"/>
  <c r="E758" i="1"/>
  <c r="K757" i="1"/>
  <c r="J757" i="1"/>
  <c r="I757" i="1"/>
  <c r="H757" i="1"/>
  <c r="G757" i="1"/>
  <c r="F757" i="1"/>
  <c r="E757" i="1"/>
  <c r="K756" i="1"/>
  <c r="J756" i="1"/>
  <c r="I756" i="1"/>
  <c r="H756" i="1"/>
  <c r="G756" i="1"/>
  <c r="F756" i="1"/>
  <c r="E756" i="1"/>
  <c r="K755" i="1"/>
  <c r="I755" i="1"/>
  <c r="J755" i="1" s="1"/>
  <c r="H755" i="1"/>
  <c r="G755" i="1"/>
  <c r="F755" i="1"/>
  <c r="E755" i="1"/>
  <c r="K754" i="1"/>
  <c r="I754" i="1"/>
  <c r="H754" i="1"/>
  <c r="J754" i="1" s="1"/>
  <c r="G754" i="1"/>
  <c r="F754" i="1"/>
  <c r="E754" i="1"/>
  <c r="K753" i="1"/>
  <c r="J753" i="1"/>
  <c r="I753" i="1"/>
  <c r="H753" i="1"/>
  <c r="G753" i="1"/>
  <c r="F753" i="1"/>
  <c r="E753" i="1"/>
  <c r="K752" i="1"/>
  <c r="J752" i="1"/>
  <c r="I752" i="1"/>
  <c r="H752" i="1"/>
  <c r="G752" i="1"/>
  <c r="F752" i="1"/>
  <c r="E752" i="1"/>
  <c r="K751" i="1"/>
  <c r="I751" i="1"/>
  <c r="J751" i="1" s="1"/>
  <c r="H751" i="1"/>
  <c r="G751" i="1"/>
  <c r="F751" i="1"/>
  <c r="E751" i="1"/>
  <c r="K750" i="1"/>
  <c r="I750" i="1"/>
  <c r="H750" i="1"/>
  <c r="J750" i="1" s="1"/>
  <c r="G750" i="1"/>
  <c r="F750" i="1"/>
  <c r="E750" i="1"/>
  <c r="K749" i="1"/>
  <c r="J749" i="1"/>
  <c r="I749" i="1"/>
  <c r="H749" i="1"/>
  <c r="G749" i="1"/>
  <c r="F749" i="1"/>
  <c r="E749" i="1"/>
  <c r="K748" i="1"/>
  <c r="J748" i="1"/>
  <c r="I748" i="1"/>
  <c r="H748" i="1"/>
  <c r="G748" i="1"/>
  <c r="F748" i="1"/>
  <c r="E748" i="1"/>
  <c r="K747" i="1"/>
  <c r="I747" i="1"/>
  <c r="J747" i="1" s="1"/>
  <c r="H747" i="1"/>
  <c r="G747" i="1"/>
  <c r="F747" i="1"/>
  <c r="E747" i="1"/>
  <c r="K746" i="1"/>
  <c r="I746" i="1"/>
  <c r="H746" i="1"/>
  <c r="J746" i="1" s="1"/>
  <c r="G746" i="1"/>
  <c r="F746" i="1"/>
  <c r="E746" i="1"/>
  <c r="K745" i="1"/>
  <c r="J745" i="1"/>
  <c r="I745" i="1"/>
  <c r="H745" i="1"/>
  <c r="G745" i="1"/>
  <c r="F745" i="1"/>
  <c r="E745" i="1"/>
  <c r="K744" i="1"/>
  <c r="J744" i="1"/>
  <c r="I744" i="1"/>
  <c r="H744" i="1"/>
  <c r="G744" i="1"/>
  <c r="F744" i="1"/>
  <c r="E744" i="1"/>
  <c r="K743" i="1"/>
  <c r="I743" i="1"/>
  <c r="H743" i="1"/>
  <c r="G743" i="1"/>
  <c r="F743" i="1"/>
  <c r="E743" i="1"/>
  <c r="K742" i="1"/>
  <c r="I742" i="1"/>
  <c r="H742" i="1"/>
  <c r="J742" i="1" s="1"/>
  <c r="G742" i="1"/>
  <c r="F742" i="1"/>
  <c r="E742" i="1"/>
  <c r="K741" i="1"/>
  <c r="J741" i="1"/>
  <c r="I741" i="1"/>
  <c r="H741" i="1"/>
  <c r="G741" i="1"/>
  <c r="F741" i="1"/>
  <c r="E741" i="1"/>
  <c r="K740" i="1"/>
  <c r="J740" i="1"/>
  <c r="I740" i="1"/>
  <c r="H740" i="1"/>
  <c r="G740" i="1"/>
  <c r="F740" i="1"/>
  <c r="E740" i="1"/>
  <c r="K739" i="1"/>
  <c r="I739" i="1"/>
  <c r="J739" i="1" s="1"/>
  <c r="H739" i="1"/>
  <c r="G739" i="1"/>
  <c r="F739" i="1"/>
  <c r="E739" i="1"/>
  <c r="K738" i="1"/>
  <c r="I738" i="1"/>
  <c r="H738" i="1"/>
  <c r="J738" i="1" s="1"/>
  <c r="G738" i="1"/>
  <c r="F738" i="1"/>
  <c r="E738" i="1"/>
  <c r="K737" i="1"/>
  <c r="J737" i="1"/>
  <c r="I737" i="1"/>
  <c r="H737" i="1"/>
  <c r="G737" i="1"/>
  <c r="F737" i="1"/>
  <c r="E737" i="1"/>
  <c r="K736" i="1"/>
  <c r="J736" i="1"/>
  <c r="I736" i="1"/>
  <c r="H736" i="1"/>
  <c r="G736" i="1"/>
  <c r="F736" i="1"/>
  <c r="E736" i="1"/>
  <c r="K735" i="1"/>
  <c r="I735" i="1"/>
  <c r="H735" i="1"/>
  <c r="G735" i="1"/>
  <c r="F735" i="1"/>
  <c r="E735" i="1"/>
  <c r="K734" i="1"/>
  <c r="I734" i="1"/>
  <c r="H734" i="1"/>
  <c r="J734" i="1" s="1"/>
  <c r="G734" i="1"/>
  <c r="F734" i="1"/>
  <c r="E734" i="1"/>
  <c r="K733" i="1"/>
  <c r="J733" i="1"/>
  <c r="I733" i="1"/>
  <c r="H733" i="1"/>
  <c r="G733" i="1"/>
  <c r="F733" i="1"/>
  <c r="E733" i="1"/>
  <c r="K732" i="1"/>
  <c r="J732" i="1"/>
  <c r="I732" i="1"/>
  <c r="H732" i="1"/>
  <c r="G732" i="1"/>
  <c r="F732" i="1"/>
  <c r="E732" i="1"/>
  <c r="K731" i="1"/>
  <c r="I731" i="1"/>
  <c r="J731" i="1" s="1"/>
  <c r="H731" i="1"/>
  <c r="G731" i="1"/>
  <c r="F731" i="1"/>
  <c r="E731" i="1"/>
  <c r="K730" i="1"/>
  <c r="I730" i="1"/>
  <c r="H730" i="1"/>
  <c r="J730" i="1" s="1"/>
  <c r="G730" i="1"/>
  <c r="F730" i="1"/>
  <c r="E730" i="1"/>
  <c r="K729" i="1"/>
  <c r="J729" i="1"/>
  <c r="I729" i="1"/>
  <c r="H729" i="1"/>
  <c r="G729" i="1"/>
  <c r="F729" i="1"/>
  <c r="E729" i="1"/>
  <c r="K728" i="1"/>
  <c r="J728" i="1"/>
  <c r="I728" i="1"/>
  <c r="H728" i="1"/>
  <c r="G728" i="1"/>
  <c r="F728" i="1"/>
  <c r="E728" i="1"/>
  <c r="K727" i="1"/>
  <c r="I727" i="1"/>
  <c r="H727" i="1"/>
  <c r="G727" i="1"/>
  <c r="F727" i="1"/>
  <c r="E727" i="1"/>
  <c r="K726" i="1"/>
  <c r="I726" i="1"/>
  <c r="H726" i="1"/>
  <c r="J726" i="1" s="1"/>
  <c r="G726" i="1"/>
  <c r="F726" i="1"/>
  <c r="E726" i="1"/>
  <c r="K725" i="1"/>
  <c r="J725" i="1"/>
  <c r="I725" i="1"/>
  <c r="H725" i="1"/>
  <c r="G725" i="1"/>
  <c r="F725" i="1"/>
  <c r="E725" i="1"/>
  <c r="K724" i="1"/>
  <c r="I724" i="1"/>
  <c r="J724" i="1" s="1"/>
  <c r="H724" i="1"/>
  <c r="G724" i="1"/>
  <c r="F724" i="1"/>
  <c r="E724" i="1"/>
  <c r="K723" i="1"/>
  <c r="I723" i="1"/>
  <c r="J723" i="1" s="1"/>
  <c r="H723" i="1"/>
  <c r="G723" i="1"/>
  <c r="F723" i="1"/>
  <c r="E723" i="1"/>
  <c r="K722" i="1"/>
  <c r="I722" i="1"/>
  <c r="H722" i="1"/>
  <c r="J722" i="1" s="1"/>
  <c r="G722" i="1"/>
  <c r="F722" i="1"/>
  <c r="E722" i="1"/>
  <c r="K721" i="1"/>
  <c r="J721" i="1"/>
  <c r="I721" i="1"/>
  <c r="H721" i="1"/>
  <c r="G721" i="1"/>
  <c r="F721" i="1"/>
  <c r="E721" i="1"/>
  <c r="K720" i="1"/>
  <c r="J720" i="1"/>
  <c r="I720" i="1"/>
  <c r="H720" i="1"/>
  <c r="G720" i="1"/>
  <c r="F720" i="1"/>
  <c r="E720" i="1"/>
  <c r="K719" i="1"/>
  <c r="I719" i="1"/>
  <c r="H719" i="1"/>
  <c r="G719" i="1"/>
  <c r="F719" i="1"/>
  <c r="E719" i="1"/>
  <c r="K718" i="1"/>
  <c r="I718" i="1"/>
  <c r="H718" i="1"/>
  <c r="J718" i="1" s="1"/>
  <c r="G718" i="1"/>
  <c r="F718" i="1"/>
  <c r="E718" i="1"/>
  <c r="K717" i="1"/>
  <c r="J717" i="1"/>
  <c r="I717" i="1"/>
  <c r="H717" i="1"/>
  <c r="G717" i="1"/>
  <c r="F717" i="1"/>
  <c r="E717" i="1"/>
  <c r="K716" i="1"/>
  <c r="I716" i="1"/>
  <c r="J716" i="1" s="1"/>
  <c r="H716" i="1"/>
  <c r="G716" i="1"/>
  <c r="F716" i="1"/>
  <c r="E716" i="1"/>
  <c r="K715" i="1"/>
  <c r="I715" i="1"/>
  <c r="J715" i="1" s="1"/>
  <c r="H715" i="1"/>
  <c r="G715" i="1"/>
  <c r="F715" i="1"/>
  <c r="E715" i="1"/>
  <c r="K714" i="1"/>
  <c r="I714" i="1"/>
  <c r="H714" i="1"/>
  <c r="J714" i="1" s="1"/>
  <c r="G714" i="1"/>
  <c r="F714" i="1"/>
  <c r="E714" i="1"/>
  <c r="K713" i="1"/>
  <c r="J713" i="1"/>
  <c r="I713" i="1"/>
  <c r="H713" i="1"/>
  <c r="G713" i="1"/>
  <c r="F713" i="1"/>
  <c r="E713" i="1"/>
  <c r="K712" i="1"/>
  <c r="J712" i="1"/>
  <c r="I712" i="1"/>
  <c r="H712" i="1"/>
  <c r="G712" i="1"/>
  <c r="F712" i="1"/>
  <c r="E712" i="1"/>
  <c r="K711" i="1"/>
  <c r="I711" i="1"/>
  <c r="H711" i="1"/>
  <c r="G711" i="1"/>
  <c r="F711" i="1"/>
  <c r="E711" i="1"/>
  <c r="K710" i="1"/>
  <c r="I710" i="1"/>
  <c r="H710" i="1"/>
  <c r="J710" i="1" s="1"/>
  <c r="G710" i="1"/>
  <c r="F710" i="1"/>
  <c r="E710" i="1"/>
  <c r="K709" i="1"/>
  <c r="J709" i="1"/>
  <c r="I709" i="1"/>
  <c r="H709" i="1"/>
  <c r="G709" i="1"/>
  <c r="F709" i="1"/>
  <c r="E709" i="1"/>
  <c r="K708" i="1"/>
  <c r="I708" i="1"/>
  <c r="J708" i="1" s="1"/>
  <c r="H708" i="1"/>
  <c r="G708" i="1"/>
  <c r="F708" i="1"/>
  <c r="E708" i="1"/>
  <c r="K707" i="1"/>
  <c r="I707" i="1"/>
  <c r="J707" i="1" s="1"/>
  <c r="H707" i="1"/>
  <c r="G707" i="1"/>
  <c r="F707" i="1"/>
  <c r="E707" i="1"/>
  <c r="K706" i="1"/>
  <c r="I706" i="1"/>
  <c r="H706" i="1"/>
  <c r="J706" i="1" s="1"/>
  <c r="G706" i="1"/>
  <c r="F706" i="1"/>
  <c r="E706" i="1"/>
  <c r="K705" i="1"/>
  <c r="J705" i="1"/>
  <c r="I705" i="1"/>
  <c r="H705" i="1"/>
  <c r="G705" i="1"/>
  <c r="F705" i="1"/>
  <c r="E705" i="1"/>
  <c r="K704" i="1"/>
  <c r="J704" i="1"/>
  <c r="I704" i="1"/>
  <c r="H704" i="1"/>
  <c r="G704" i="1"/>
  <c r="F704" i="1"/>
  <c r="E704" i="1"/>
  <c r="K703" i="1"/>
  <c r="I703" i="1"/>
  <c r="H703" i="1"/>
  <c r="G703" i="1"/>
  <c r="F703" i="1"/>
  <c r="E703" i="1"/>
  <c r="K702" i="1"/>
  <c r="I702" i="1"/>
  <c r="H702" i="1"/>
  <c r="J702" i="1" s="1"/>
  <c r="G702" i="1"/>
  <c r="F702" i="1"/>
  <c r="E702" i="1"/>
  <c r="K701" i="1"/>
  <c r="J701" i="1"/>
  <c r="I701" i="1"/>
  <c r="H701" i="1"/>
  <c r="G701" i="1"/>
  <c r="F701" i="1"/>
  <c r="E701" i="1"/>
  <c r="K700" i="1"/>
  <c r="I700" i="1"/>
  <c r="J700" i="1" s="1"/>
  <c r="H700" i="1"/>
  <c r="G700" i="1"/>
  <c r="F700" i="1"/>
  <c r="E700" i="1"/>
  <c r="K699" i="1"/>
  <c r="I699" i="1"/>
  <c r="J699" i="1" s="1"/>
  <c r="H699" i="1"/>
  <c r="G699" i="1"/>
  <c r="F699" i="1"/>
  <c r="E699" i="1"/>
  <c r="K698" i="1"/>
  <c r="I698" i="1"/>
  <c r="H698" i="1"/>
  <c r="J698" i="1" s="1"/>
  <c r="G698" i="1"/>
  <c r="F698" i="1"/>
  <c r="E698" i="1"/>
  <c r="K697" i="1"/>
  <c r="J697" i="1"/>
  <c r="I697" i="1"/>
  <c r="H697" i="1"/>
  <c r="G697" i="1"/>
  <c r="F697" i="1"/>
  <c r="E697" i="1"/>
  <c r="K696" i="1"/>
  <c r="J696" i="1"/>
  <c r="I696" i="1"/>
  <c r="H696" i="1"/>
  <c r="G696" i="1"/>
  <c r="F696" i="1"/>
  <c r="E696" i="1"/>
  <c r="K695" i="1"/>
  <c r="I695" i="1"/>
  <c r="J695" i="1" s="1"/>
  <c r="H695" i="1"/>
  <c r="G695" i="1"/>
  <c r="F695" i="1"/>
  <c r="E695" i="1"/>
  <c r="K694" i="1"/>
  <c r="I694" i="1"/>
  <c r="H694" i="1"/>
  <c r="J694" i="1" s="1"/>
  <c r="G694" i="1"/>
  <c r="F694" i="1"/>
  <c r="E694" i="1"/>
  <c r="K693" i="1"/>
  <c r="J693" i="1"/>
  <c r="I693" i="1"/>
  <c r="H693" i="1"/>
  <c r="G693" i="1"/>
  <c r="F693" i="1"/>
  <c r="E693" i="1"/>
  <c r="K692" i="1"/>
  <c r="I692" i="1"/>
  <c r="J692" i="1" s="1"/>
  <c r="H692" i="1"/>
  <c r="G692" i="1"/>
  <c r="F692" i="1"/>
  <c r="E692" i="1"/>
  <c r="K691" i="1"/>
  <c r="I691" i="1"/>
  <c r="J691" i="1" s="1"/>
  <c r="H691" i="1"/>
  <c r="G691" i="1"/>
  <c r="F691" i="1"/>
  <c r="E691" i="1"/>
  <c r="K690" i="1"/>
  <c r="I690" i="1"/>
  <c r="H690" i="1"/>
  <c r="J690" i="1" s="1"/>
  <c r="G690" i="1"/>
  <c r="F690" i="1"/>
  <c r="E690" i="1"/>
  <c r="K689" i="1"/>
  <c r="J689" i="1"/>
  <c r="I689" i="1"/>
  <c r="H689" i="1"/>
  <c r="G689" i="1"/>
  <c r="F689" i="1"/>
  <c r="E689" i="1"/>
  <c r="K688" i="1"/>
  <c r="J688" i="1"/>
  <c r="I688" i="1"/>
  <c r="H688" i="1"/>
  <c r="G688" i="1"/>
  <c r="F688" i="1"/>
  <c r="E688" i="1"/>
  <c r="K687" i="1"/>
  <c r="I687" i="1"/>
  <c r="H687" i="1"/>
  <c r="G687" i="1"/>
  <c r="F687" i="1"/>
  <c r="E687" i="1"/>
  <c r="K686" i="1"/>
  <c r="J686" i="1"/>
  <c r="I686" i="1"/>
  <c r="H686" i="1"/>
  <c r="G686" i="1"/>
  <c r="F686" i="1"/>
  <c r="E686" i="1"/>
  <c r="K685" i="1"/>
  <c r="J685" i="1"/>
  <c r="I685" i="1"/>
  <c r="H685" i="1"/>
  <c r="G685" i="1"/>
  <c r="F685" i="1"/>
  <c r="E685" i="1"/>
  <c r="K684" i="1"/>
  <c r="I684" i="1"/>
  <c r="J684" i="1" s="1"/>
  <c r="H684" i="1"/>
  <c r="G684" i="1"/>
  <c r="F684" i="1"/>
  <c r="E684" i="1"/>
  <c r="K683" i="1"/>
  <c r="I683" i="1"/>
  <c r="H683" i="1"/>
  <c r="G683" i="1"/>
  <c r="F683" i="1"/>
  <c r="E683" i="1"/>
  <c r="K682" i="1"/>
  <c r="J682" i="1"/>
  <c r="I682" i="1"/>
  <c r="H682" i="1"/>
  <c r="G682" i="1"/>
  <c r="F682" i="1"/>
  <c r="E682" i="1"/>
  <c r="K681" i="1"/>
  <c r="I681" i="1"/>
  <c r="J681" i="1" s="1"/>
  <c r="H681" i="1"/>
  <c r="G681" i="1"/>
  <c r="F681" i="1"/>
  <c r="E681" i="1"/>
  <c r="K680" i="1"/>
  <c r="I680" i="1"/>
  <c r="J680" i="1" s="1"/>
  <c r="H680" i="1"/>
  <c r="G680" i="1"/>
  <c r="F680" i="1"/>
  <c r="E680" i="1"/>
  <c r="K679" i="1"/>
  <c r="I679" i="1"/>
  <c r="J679" i="1" s="1"/>
  <c r="H679" i="1"/>
  <c r="G679" i="1"/>
  <c r="F679" i="1"/>
  <c r="E679" i="1"/>
  <c r="K678" i="1"/>
  <c r="I678" i="1"/>
  <c r="H678" i="1"/>
  <c r="J678" i="1" s="1"/>
  <c r="G678" i="1"/>
  <c r="F678" i="1"/>
  <c r="E678" i="1"/>
  <c r="K677" i="1"/>
  <c r="I677" i="1"/>
  <c r="J677" i="1" s="1"/>
  <c r="H677" i="1"/>
  <c r="G677" i="1"/>
  <c r="F677" i="1"/>
  <c r="E677" i="1"/>
  <c r="K676" i="1"/>
  <c r="J676" i="1"/>
  <c r="I676" i="1"/>
  <c r="H676" i="1"/>
  <c r="G676" i="1"/>
  <c r="F676" i="1"/>
  <c r="E676" i="1"/>
  <c r="K675" i="1"/>
  <c r="I675" i="1"/>
  <c r="J675" i="1" s="1"/>
  <c r="H675" i="1"/>
  <c r="G675" i="1"/>
  <c r="F675" i="1"/>
  <c r="E675" i="1"/>
  <c r="K674" i="1"/>
  <c r="I674" i="1"/>
  <c r="H674" i="1"/>
  <c r="J674" i="1" s="1"/>
  <c r="G674" i="1"/>
  <c r="F674" i="1"/>
  <c r="E674" i="1"/>
  <c r="K673" i="1"/>
  <c r="J673" i="1"/>
  <c r="I673" i="1"/>
  <c r="H673" i="1"/>
  <c r="G673" i="1"/>
  <c r="F673" i="1"/>
  <c r="E673" i="1"/>
  <c r="K672" i="1"/>
  <c r="J672" i="1"/>
  <c r="I672" i="1"/>
  <c r="H672" i="1"/>
  <c r="G672" i="1"/>
  <c r="F672" i="1"/>
  <c r="E672" i="1"/>
  <c r="K671" i="1"/>
  <c r="I671" i="1"/>
  <c r="H671" i="1"/>
  <c r="G671" i="1"/>
  <c r="F671" i="1"/>
  <c r="E671" i="1"/>
  <c r="K670" i="1"/>
  <c r="J670" i="1"/>
  <c r="I670" i="1"/>
  <c r="H670" i="1"/>
  <c r="G670" i="1"/>
  <c r="F670" i="1"/>
  <c r="E670" i="1"/>
  <c r="K669" i="1"/>
  <c r="J669" i="1"/>
  <c r="I669" i="1"/>
  <c r="H669" i="1"/>
  <c r="G669" i="1"/>
  <c r="F669" i="1"/>
  <c r="E669" i="1"/>
  <c r="K668" i="1"/>
  <c r="I668" i="1"/>
  <c r="J668" i="1" s="1"/>
  <c r="H668" i="1"/>
  <c r="G668" i="1"/>
  <c r="F668" i="1"/>
  <c r="E668" i="1"/>
  <c r="K667" i="1"/>
  <c r="I667" i="1"/>
  <c r="H667" i="1"/>
  <c r="G667" i="1"/>
  <c r="F667" i="1"/>
  <c r="E667" i="1"/>
  <c r="K666" i="1"/>
  <c r="J666" i="1"/>
  <c r="I666" i="1"/>
  <c r="H666" i="1"/>
  <c r="G666" i="1"/>
  <c r="F666" i="1"/>
  <c r="E666" i="1"/>
  <c r="K665" i="1"/>
  <c r="I665" i="1"/>
  <c r="J665" i="1" s="1"/>
  <c r="H665" i="1"/>
  <c r="G665" i="1"/>
  <c r="F665" i="1"/>
  <c r="E665" i="1"/>
  <c r="K664" i="1"/>
  <c r="I664" i="1"/>
  <c r="J664" i="1" s="1"/>
  <c r="H664" i="1"/>
  <c r="G664" i="1"/>
  <c r="F664" i="1"/>
  <c r="E664" i="1"/>
  <c r="K663" i="1"/>
  <c r="I663" i="1"/>
  <c r="J663" i="1" s="1"/>
  <c r="H663" i="1"/>
  <c r="G663" i="1"/>
  <c r="F663" i="1"/>
  <c r="E663" i="1"/>
  <c r="K662" i="1"/>
  <c r="I662" i="1"/>
  <c r="H662" i="1"/>
  <c r="J662" i="1" s="1"/>
  <c r="G662" i="1"/>
  <c r="F662" i="1"/>
  <c r="E662" i="1"/>
  <c r="K661" i="1"/>
  <c r="I661" i="1"/>
  <c r="J661" i="1" s="1"/>
  <c r="H661" i="1"/>
  <c r="G661" i="1"/>
  <c r="F661" i="1"/>
  <c r="E661" i="1"/>
  <c r="K660" i="1"/>
  <c r="J660" i="1"/>
  <c r="I660" i="1"/>
  <c r="H660" i="1"/>
  <c r="G660" i="1"/>
  <c r="F660" i="1"/>
  <c r="E660" i="1"/>
  <c r="K659" i="1"/>
  <c r="I659" i="1"/>
  <c r="J659" i="1" s="1"/>
  <c r="H659" i="1"/>
  <c r="G659" i="1"/>
  <c r="F659" i="1"/>
  <c r="E659" i="1"/>
  <c r="K658" i="1"/>
  <c r="I658" i="1"/>
  <c r="H658" i="1"/>
  <c r="J658" i="1" s="1"/>
  <c r="G658" i="1"/>
  <c r="F658" i="1"/>
  <c r="E658" i="1"/>
  <c r="K657" i="1"/>
  <c r="J657" i="1"/>
  <c r="I657" i="1"/>
  <c r="H657" i="1"/>
  <c r="G657" i="1"/>
  <c r="F657" i="1"/>
  <c r="E657" i="1"/>
  <c r="K656" i="1"/>
  <c r="J656" i="1"/>
  <c r="I656" i="1"/>
  <c r="H656" i="1"/>
  <c r="G656" i="1"/>
  <c r="F656" i="1"/>
  <c r="E656" i="1"/>
  <c r="K655" i="1"/>
  <c r="I655" i="1"/>
  <c r="H655" i="1"/>
  <c r="G655" i="1"/>
  <c r="F655" i="1"/>
  <c r="E655" i="1"/>
  <c r="K654" i="1"/>
  <c r="J654" i="1"/>
  <c r="I654" i="1"/>
  <c r="H654" i="1"/>
  <c r="G654" i="1"/>
  <c r="F654" i="1"/>
  <c r="E654" i="1"/>
  <c r="K653" i="1"/>
  <c r="J653" i="1"/>
  <c r="I653" i="1"/>
  <c r="H653" i="1"/>
  <c r="G653" i="1"/>
  <c r="F653" i="1"/>
  <c r="E653" i="1"/>
  <c r="K652" i="1"/>
  <c r="I652" i="1"/>
  <c r="J652" i="1" s="1"/>
  <c r="H652" i="1"/>
  <c r="G652" i="1"/>
  <c r="F652" i="1"/>
  <c r="E652" i="1"/>
  <c r="K651" i="1"/>
  <c r="I651" i="1"/>
  <c r="H651" i="1"/>
  <c r="G651" i="1"/>
  <c r="F651" i="1"/>
  <c r="E651" i="1"/>
  <c r="K650" i="1"/>
  <c r="J650" i="1"/>
  <c r="I650" i="1"/>
  <c r="H650" i="1"/>
  <c r="G650" i="1"/>
  <c r="F650" i="1"/>
  <c r="E650" i="1"/>
  <c r="K649" i="1"/>
  <c r="I649" i="1"/>
  <c r="J649" i="1" s="1"/>
  <c r="H649" i="1"/>
  <c r="G649" i="1"/>
  <c r="F649" i="1"/>
  <c r="E649" i="1"/>
  <c r="K648" i="1"/>
  <c r="I648" i="1"/>
  <c r="J648" i="1" s="1"/>
  <c r="H648" i="1"/>
  <c r="G648" i="1"/>
  <c r="F648" i="1"/>
  <c r="E648" i="1"/>
  <c r="K647" i="1"/>
  <c r="I647" i="1"/>
  <c r="J647" i="1" s="1"/>
  <c r="H647" i="1"/>
  <c r="G647" i="1"/>
  <c r="F647" i="1"/>
  <c r="E647" i="1"/>
  <c r="K646" i="1"/>
  <c r="I646" i="1"/>
  <c r="H646" i="1"/>
  <c r="J646" i="1" s="1"/>
  <c r="G646" i="1"/>
  <c r="F646" i="1"/>
  <c r="E646" i="1"/>
  <c r="K645" i="1"/>
  <c r="I645" i="1"/>
  <c r="J645" i="1" s="1"/>
  <c r="H645" i="1"/>
  <c r="G645" i="1"/>
  <c r="F645" i="1"/>
  <c r="E645" i="1"/>
  <c r="K644" i="1"/>
  <c r="J644" i="1"/>
  <c r="I644" i="1"/>
  <c r="H644" i="1"/>
  <c r="G644" i="1"/>
  <c r="F644" i="1"/>
  <c r="E644" i="1"/>
  <c r="K643" i="1"/>
  <c r="I643" i="1"/>
  <c r="J643" i="1" s="1"/>
  <c r="H643" i="1"/>
  <c r="G643" i="1"/>
  <c r="F643" i="1"/>
  <c r="E643" i="1"/>
  <c r="K642" i="1"/>
  <c r="I642" i="1"/>
  <c r="H642" i="1"/>
  <c r="J642" i="1" s="1"/>
  <c r="G642" i="1"/>
  <c r="F642" i="1"/>
  <c r="E642" i="1"/>
  <c r="K641" i="1"/>
  <c r="J641" i="1"/>
  <c r="I641" i="1"/>
  <c r="H641" i="1"/>
  <c r="G641" i="1"/>
  <c r="F641" i="1"/>
  <c r="E641" i="1"/>
  <c r="K640" i="1"/>
  <c r="J640" i="1"/>
  <c r="I640" i="1"/>
  <c r="H640" i="1"/>
  <c r="G640" i="1"/>
  <c r="F640" i="1"/>
  <c r="E640" i="1"/>
  <c r="K639" i="1"/>
  <c r="I639" i="1"/>
  <c r="H639" i="1"/>
  <c r="G639" i="1"/>
  <c r="F639" i="1"/>
  <c r="E639" i="1"/>
  <c r="K638" i="1"/>
  <c r="J638" i="1"/>
  <c r="I638" i="1"/>
  <c r="H638" i="1"/>
  <c r="G638" i="1"/>
  <c r="F638" i="1"/>
  <c r="E638" i="1"/>
  <c r="K637" i="1"/>
  <c r="J637" i="1"/>
  <c r="I637" i="1"/>
  <c r="H637" i="1"/>
  <c r="G637" i="1"/>
  <c r="F637" i="1"/>
  <c r="E637" i="1"/>
  <c r="K636" i="1"/>
  <c r="I636" i="1"/>
  <c r="J636" i="1" s="1"/>
  <c r="H636" i="1"/>
  <c r="G636" i="1"/>
  <c r="F636" i="1"/>
  <c r="E636" i="1"/>
  <c r="K635" i="1"/>
  <c r="I635" i="1"/>
  <c r="H635" i="1"/>
  <c r="G635" i="1"/>
  <c r="F635" i="1"/>
  <c r="E635" i="1"/>
  <c r="K634" i="1"/>
  <c r="J634" i="1"/>
  <c r="I634" i="1"/>
  <c r="H634" i="1"/>
  <c r="G634" i="1"/>
  <c r="F634" i="1"/>
  <c r="E634" i="1"/>
  <c r="K633" i="1"/>
  <c r="I633" i="1"/>
  <c r="J633" i="1" s="1"/>
  <c r="H633" i="1"/>
  <c r="G633" i="1"/>
  <c r="F633" i="1"/>
  <c r="E633" i="1"/>
  <c r="K632" i="1"/>
  <c r="I632" i="1"/>
  <c r="J632" i="1" s="1"/>
  <c r="H632" i="1"/>
  <c r="G632" i="1"/>
  <c r="F632" i="1"/>
  <c r="E632" i="1"/>
  <c r="K631" i="1"/>
  <c r="J631" i="1"/>
  <c r="I631" i="1"/>
  <c r="H631" i="1"/>
  <c r="G631" i="1"/>
  <c r="F631" i="1"/>
  <c r="E631" i="1"/>
  <c r="K630" i="1"/>
  <c r="J630" i="1"/>
  <c r="I630" i="1"/>
  <c r="H630" i="1"/>
  <c r="G630" i="1"/>
  <c r="F630" i="1"/>
  <c r="E630" i="1"/>
  <c r="K629" i="1"/>
  <c r="I629" i="1"/>
  <c r="J629" i="1" s="1"/>
  <c r="H629" i="1"/>
  <c r="G629" i="1"/>
  <c r="F629" i="1"/>
  <c r="E629" i="1"/>
  <c r="K628" i="1"/>
  <c r="I628" i="1"/>
  <c r="J628" i="1" s="1"/>
  <c r="H628" i="1"/>
  <c r="G628" i="1"/>
  <c r="F628" i="1"/>
  <c r="E628" i="1"/>
  <c r="K627" i="1"/>
  <c r="J627" i="1"/>
  <c r="I627" i="1"/>
  <c r="H627" i="1"/>
  <c r="G627" i="1"/>
  <c r="F627" i="1"/>
  <c r="E627" i="1"/>
  <c r="K626" i="1"/>
  <c r="J626" i="1"/>
  <c r="I626" i="1"/>
  <c r="H626" i="1"/>
  <c r="G626" i="1"/>
  <c r="F626" i="1"/>
  <c r="E626" i="1"/>
  <c r="K625" i="1"/>
  <c r="I625" i="1"/>
  <c r="J625" i="1" s="1"/>
  <c r="H625" i="1"/>
  <c r="G625" i="1"/>
  <c r="F625" i="1"/>
  <c r="E625" i="1"/>
  <c r="K624" i="1"/>
  <c r="I624" i="1"/>
  <c r="J624" i="1" s="1"/>
  <c r="H624" i="1"/>
  <c r="G624" i="1"/>
  <c r="F624" i="1"/>
  <c r="E624" i="1"/>
  <c r="K623" i="1"/>
  <c r="J623" i="1"/>
  <c r="I623" i="1"/>
  <c r="H623" i="1"/>
  <c r="G623" i="1"/>
  <c r="F623" i="1"/>
  <c r="E623" i="1"/>
  <c r="K622" i="1"/>
  <c r="J622" i="1"/>
  <c r="I622" i="1"/>
  <c r="H622" i="1"/>
  <c r="G622" i="1"/>
  <c r="F622" i="1"/>
  <c r="E622" i="1"/>
  <c r="K621" i="1"/>
  <c r="I621" i="1"/>
  <c r="J621" i="1" s="1"/>
  <c r="H621" i="1"/>
  <c r="G621" i="1"/>
  <c r="F621" i="1"/>
  <c r="E621" i="1"/>
  <c r="K620" i="1"/>
  <c r="I620" i="1"/>
  <c r="J620" i="1" s="1"/>
  <c r="H620" i="1"/>
  <c r="G620" i="1"/>
  <c r="F620" i="1"/>
  <c r="E620" i="1"/>
  <c r="K619" i="1"/>
  <c r="J619" i="1"/>
  <c r="I619" i="1"/>
  <c r="H619" i="1"/>
  <c r="G619" i="1"/>
  <c r="F619" i="1"/>
  <c r="E619" i="1"/>
  <c r="K618" i="1"/>
  <c r="J618" i="1"/>
  <c r="I618" i="1"/>
  <c r="H618" i="1"/>
  <c r="G618" i="1"/>
  <c r="F618" i="1"/>
  <c r="E618" i="1"/>
  <c r="K617" i="1"/>
  <c r="I617" i="1"/>
  <c r="J617" i="1" s="1"/>
  <c r="H617" i="1"/>
  <c r="G617" i="1"/>
  <c r="F617" i="1"/>
  <c r="E617" i="1"/>
  <c r="K616" i="1"/>
  <c r="I616" i="1"/>
  <c r="J616" i="1" s="1"/>
  <c r="H616" i="1"/>
  <c r="G616" i="1"/>
  <c r="F616" i="1"/>
  <c r="E616" i="1"/>
  <c r="K615" i="1"/>
  <c r="J615" i="1"/>
  <c r="I615" i="1"/>
  <c r="H615" i="1"/>
  <c r="G615" i="1"/>
  <c r="F615" i="1"/>
  <c r="E615" i="1"/>
  <c r="K614" i="1"/>
  <c r="J614" i="1"/>
  <c r="I614" i="1"/>
  <c r="H614" i="1"/>
  <c r="G614" i="1"/>
  <c r="F614" i="1"/>
  <c r="E614" i="1"/>
  <c r="K613" i="1"/>
  <c r="I613" i="1"/>
  <c r="J613" i="1" s="1"/>
  <c r="H613" i="1"/>
  <c r="G613" i="1"/>
  <c r="F613" i="1"/>
  <c r="E613" i="1"/>
  <c r="K612" i="1"/>
  <c r="I612" i="1"/>
  <c r="J612" i="1" s="1"/>
  <c r="H612" i="1"/>
  <c r="G612" i="1"/>
  <c r="F612" i="1"/>
  <c r="E612" i="1"/>
  <c r="K611" i="1"/>
  <c r="J611" i="1"/>
  <c r="I611" i="1"/>
  <c r="H611" i="1"/>
  <c r="G611" i="1"/>
  <c r="F611" i="1"/>
  <c r="E611" i="1"/>
  <c r="K610" i="1"/>
  <c r="J610" i="1"/>
  <c r="I610" i="1"/>
  <c r="H610" i="1"/>
  <c r="G610" i="1"/>
  <c r="F610" i="1"/>
  <c r="E610" i="1"/>
  <c r="K609" i="1"/>
  <c r="I609" i="1"/>
  <c r="J609" i="1" s="1"/>
  <c r="H609" i="1"/>
  <c r="G609" i="1"/>
  <c r="F609" i="1"/>
  <c r="E609" i="1"/>
  <c r="K608" i="1"/>
  <c r="I608" i="1"/>
  <c r="H608" i="1"/>
  <c r="J608" i="1" s="1"/>
  <c r="G608" i="1"/>
  <c r="F608" i="1"/>
  <c r="E608" i="1"/>
  <c r="K607" i="1"/>
  <c r="J607" i="1"/>
  <c r="I607" i="1"/>
  <c r="H607" i="1"/>
  <c r="G607" i="1"/>
  <c r="F607" i="1"/>
  <c r="E607" i="1"/>
  <c r="K606" i="1"/>
  <c r="J606" i="1"/>
  <c r="I606" i="1"/>
  <c r="H606" i="1"/>
  <c r="G606" i="1"/>
  <c r="F606" i="1"/>
  <c r="E606" i="1"/>
  <c r="K605" i="1"/>
  <c r="I605" i="1"/>
  <c r="J605" i="1" s="1"/>
  <c r="H605" i="1"/>
  <c r="G605" i="1"/>
  <c r="F605" i="1"/>
  <c r="E605" i="1"/>
  <c r="K604" i="1"/>
  <c r="I604" i="1"/>
  <c r="H604" i="1"/>
  <c r="J604" i="1" s="1"/>
  <c r="G604" i="1"/>
  <c r="F604" i="1"/>
  <c r="E604" i="1"/>
  <c r="K603" i="1"/>
  <c r="J603" i="1"/>
  <c r="I603" i="1"/>
  <c r="H603" i="1"/>
  <c r="G603" i="1"/>
  <c r="F603" i="1"/>
  <c r="E603" i="1"/>
  <c r="K602" i="1"/>
  <c r="J602" i="1"/>
  <c r="I602" i="1"/>
  <c r="H602" i="1"/>
  <c r="G602" i="1"/>
  <c r="F602" i="1"/>
  <c r="E602" i="1"/>
  <c r="K601" i="1"/>
  <c r="I601" i="1"/>
  <c r="J601" i="1" s="1"/>
  <c r="H601" i="1"/>
  <c r="G601" i="1"/>
  <c r="F601" i="1"/>
  <c r="E601" i="1"/>
  <c r="K600" i="1"/>
  <c r="J600" i="1"/>
  <c r="I600" i="1"/>
  <c r="H600" i="1"/>
  <c r="G600" i="1"/>
  <c r="F600" i="1"/>
  <c r="E600" i="1"/>
  <c r="K599" i="1"/>
  <c r="J599" i="1"/>
  <c r="I599" i="1"/>
  <c r="H599" i="1"/>
  <c r="G599" i="1"/>
  <c r="F599" i="1"/>
  <c r="E599" i="1"/>
  <c r="K598" i="1"/>
  <c r="J598" i="1"/>
  <c r="I598" i="1"/>
  <c r="H598" i="1"/>
  <c r="G598" i="1"/>
  <c r="F598" i="1"/>
  <c r="E598" i="1"/>
  <c r="K597" i="1"/>
  <c r="I597" i="1"/>
  <c r="J597" i="1" s="1"/>
  <c r="H597" i="1"/>
  <c r="G597" i="1"/>
  <c r="F597" i="1"/>
  <c r="E597" i="1"/>
  <c r="K596" i="1"/>
  <c r="I596" i="1"/>
  <c r="H596" i="1"/>
  <c r="J596" i="1" s="1"/>
  <c r="G596" i="1"/>
  <c r="F596" i="1"/>
  <c r="E596" i="1"/>
  <c r="K595" i="1"/>
  <c r="J595" i="1"/>
  <c r="I595" i="1"/>
  <c r="H595" i="1"/>
  <c r="G595" i="1"/>
  <c r="F595" i="1"/>
  <c r="E595" i="1"/>
  <c r="K594" i="1"/>
  <c r="J594" i="1"/>
  <c r="I594" i="1"/>
  <c r="H594" i="1"/>
  <c r="G594" i="1"/>
  <c r="F594" i="1"/>
  <c r="E594" i="1"/>
  <c r="K593" i="1"/>
  <c r="I593" i="1"/>
  <c r="J593" i="1" s="1"/>
  <c r="H593" i="1"/>
  <c r="G593" i="1"/>
  <c r="F593" i="1"/>
  <c r="E593" i="1"/>
  <c r="K592" i="1"/>
  <c r="I592" i="1"/>
  <c r="H592" i="1"/>
  <c r="J592" i="1" s="1"/>
  <c r="G592" i="1"/>
  <c r="F592" i="1"/>
  <c r="E592" i="1"/>
  <c r="K591" i="1"/>
  <c r="J591" i="1"/>
  <c r="I591" i="1"/>
  <c r="H591" i="1"/>
  <c r="G591" i="1"/>
  <c r="F591" i="1"/>
  <c r="E591" i="1"/>
  <c r="K590" i="1"/>
  <c r="J590" i="1"/>
  <c r="I590" i="1"/>
  <c r="H590" i="1"/>
  <c r="G590" i="1"/>
  <c r="F590" i="1"/>
  <c r="E590" i="1"/>
  <c r="K589" i="1"/>
  <c r="I589" i="1"/>
  <c r="J589" i="1" s="1"/>
  <c r="H589" i="1"/>
  <c r="G589" i="1"/>
  <c r="F589" i="1"/>
  <c r="E589" i="1"/>
  <c r="K588" i="1"/>
  <c r="I588" i="1"/>
  <c r="H588" i="1"/>
  <c r="J588" i="1" s="1"/>
  <c r="G588" i="1"/>
  <c r="F588" i="1"/>
  <c r="E588" i="1"/>
  <c r="K587" i="1"/>
  <c r="J587" i="1"/>
  <c r="I587" i="1"/>
  <c r="H587" i="1"/>
  <c r="G587" i="1"/>
  <c r="F587" i="1"/>
  <c r="E587" i="1"/>
  <c r="K586" i="1"/>
  <c r="J586" i="1"/>
  <c r="I586" i="1"/>
  <c r="H586" i="1"/>
  <c r="G586" i="1"/>
  <c r="F586" i="1"/>
  <c r="E586" i="1"/>
  <c r="K585" i="1"/>
  <c r="I585" i="1"/>
  <c r="J585" i="1" s="1"/>
  <c r="H585" i="1"/>
  <c r="G585" i="1"/>
  <c r="F585" i="1"/>
  <c r="E585" i="1"/>
  <c r="K584" i="1"/>
  <c r="I584" i="1"/>
  <c r="H584" i="1"/>
  <c r="J584" i="1" s="1"/>
  <c r="G584" i="1"/>
  <c r="F584" i="1"/>
  <c r="E584" i="1"/>
  <c r="K583" i="1"/>
  <c r="J583" i="1"/>
  <c r="I583" i="1"/>
  <c r="H583" i="1"/>
  <c r="G583" i="1"/>
  <c r="F583" i="1"/>
  <c r="E583" i="1"/>
  <c r="K582" i="1"/>
  <c r="J582" i="1"/>
  <c r="I582" i="1"/>
  <c r="H582" i="1"/>
  <c r="G582" i="1"/>
  <c r="F582" i="1"/>
  <c r="E582" i="1"/>
  <c r="K581" i="1"/>
  <c r="I581" i="1"/>
  <c r="J581" i="1" s="1"/>
  <c r="H581" i="1"/>
  <c r="G581" i="1"/>
  <c r="F581" i="1"/>
  <c r="E581" i="1"/>
  <c r="K580" i="1"/>
  <c r="I580" i="1"/>
  <c r="H580" i="1"/>
  <c r="J580" i="1" s="1"/>
  <c r="G580" i="1"/>
  <c r="F580" i="1"/>
  <c r="E580" i="1"/>
  <c r="K579" i="1"/>
  <c r="J579" i="1"/>
  <c r="I579" i="1"/>
  <c r="H579" i="1"/>
  <c r="G579" i="1"/>
  <c r="F579" i="1"/>
  <c r="E579" i="1"/>
  <c r="K578" i="1"/>
  <c r="J578" i="1"/>
  <c r="I578" i="1"/>
  <c r="H578" i="1"/>
  <c r="G578" i="1"/>
  <c r="F578" i="1"/>
  <c r="E578" i="1"/>
  <c r="K577" i="1"/>
  <c r="I577" i="1"/>
  <c r="J577" i="1" s="1"/>
  <c r="H577" i="1"/>
  <c r="G577" i="1"/>
  <c r="F577" i="1"/>
  <c r="E577" i="1"/>
  <c r="K576" i="1"/>
  <c r="I576" i="1"/>
  <c r="H576" i="1"/>
  <c r="J576" i="1" s="1"/>
  <c r="G576" i="1"/>
  <c r="F576" i="1"/>
  <c r="E576" i="1"/>
  <c r="K575" i="1"/>
  <c r="J575" i="1"/>
  <c r="I575" i="1"/>
  <c r="H575" i="1"/>
  <c r="G575" i="1"/>
  <c r="F575" i="1"/>
  <c r="E575" i="1"/>
  <c r="K574" i="1"/>
  <c r="J574" i="1"/>
  <c r="I574" i="1"/>
  <c r="H574" i="1"/>
  <c r="G574" i="1"/>
  <c r="F574" i="1"/>
  <c r="E574" i="1"/>
  <c r="K573" i="1"/>
  <c r="I573" i="1"/>
  <c r="J573" i="1" s="1"/>
  <c r="H573" i="1"/>
  <c r="G573" i="1"/>
  <c r="F573" i="1"/>
  <c r="E573" i="1"/>
  <c r="K572" i="1"/>
  <c r="I572" i="1"/>
  <c r="H572" i="1"/>
  <c r="J572" i="1" s="1"/>
  <c r="G572" i="1"/>
  <c r="F572" i="1"/>
  <c r="E572" i="1"/>
  <c r="K571" i="1"/>
  <c r="J571" i="1"/>
  <c r="I571" i="1"/>
  <c r="H571" i="1"/>
  <c r="G571" i="1"/>
  <c r="F571" i="1"/>
  <c r="E571" i="1"/>
  <c r="K570" i="1"/>
  <c r="J570" i="1"/>
  <c r="I570" i="1"/>
  <c r="H570" i="1"/>
  <c r="G570" i="1"/>
  <c r="F570" i="1"/>
  <c r="E570" i="1"/>
  <c r="K569" i="1"/>
  <c r="I569" i="1"/>
  <c r="J569" i="1" s="1"/>
  <c r="H569" i="1"/>
  <c r="G569" i="1"/>
  <c r="F569" i="1"/>
  <c r="E569" i="1"/>
  <c r="K568" i="1"/>
  <c r="I568" i="1"/>
  <c r="H568" i="1"/>
  <c r="J568" i="1" s="1"/>
  <c r="G568" i="1"/>
  <c r="F568" i="1"/>
  <c r="E568" i="1"/>
  <c r="K567" i="1"/>
  <c r="J567" i="1"/>
  <c r="I567" i="1"/>
  <c r="H567" i="1"/>
  <c r="G567" i="1"/>
  <c r="F567" i="1"/>
  <c r="E567" i="1"/>
  <c r="K566" i="1"/>
  <c r="J566" i="1"/>
  <c r="I566" i="1"/>
  <c r="H566" i="1"/>
  <c r="G566" i="1"/>
  <c r="F566" i="1"/>
  <c r="E566" i="1"/>
  <c r="K565" i="1"/>
  <c r="I565" i="1"/>
  <c r="J565" i="1" s="1"/>
  <c r="H565" i="1"/>
  <c r="G565" i="1"/>
  <c r="F565" i="1"/>
  <c r="E565" i="1"/>
  <c r="K564" i="1"/>
  <c r="J564" i="1"/>
  <c r="I564" i="1"/>
  <c r="H564" i="1"/>
  <c r="G564" i="1"/>
  <c r="F564" i="1"/>
  <c r="E564" i="1"/>
  <c r="K563" i="1"/>
  <c r="J563" i="1"/>
  <c r="I563" i="1"/>
  <c r="H563" i="1"/>
  <c r="G563" i="1"/>
  <c r="F563" i="1"/>
  <c r="E563" i="1"/>
  <c r="K562" i="1"/>
  <c r="J562" i="1"/>
  <c r="I562" i="1"/>
  <c r="H562" i="1"/>
  <c r="G562" i="1"/>
  <c r="F562" i="1"/>
  <c r="E562" i="1"/>
  <c r="K561" i="1"/>
  <c r="I561" i="1"/>
  <c r="J561" i="1" s="1"/>
  <c r="H561" i="1"/>
  <c r="G561" i="1"/>
  <c r="F561" i="1"/>
  <c r="E561" i="1"/>
  <c r="K560" i="1"/>
  <c r="I560" i="1"/>
  <c r="H560" i="1"/>
  <c r="J560" i="1" s="1"/>
  <c r="G560" i="1"/>
  <c r="F560" i="1"/>
  <c r="E560" i="1"/>
  <c r="K559" i="1"/>
  <c r="J559" i="1"/>
  <c r="I559" i="1"/>
  <c r="H559" i="1"/>
  <c r="G559" i="1"/>
  <c r="F559" i="1"/>
  <c r="E559" i="1"/>
  <c r="K558" i="1"/>
  <c r="J558" i="1"/>
  <c r="I558" i="1"/>
  <c r="H558" i="1"/>
  <c r="G558" i="1"/>
  <c r="F558" i="1"/>
  <c r="E558" i="1"/>
  <c r="K557" i="1"/>
  <c r="I557" i="1"/>
  <c r="J557" i="1" s="1"/>
  <c r="H557" i="1"/>
  <c r="G557" i="1"/>
  <c r="F557" i="1"/>
  <c r="E557" i="1"/>
  <c r="K556" i="1"/>
  <c r="J556" i="1"/>
  <c r="I556" i="1"/>
  <c r="H556" i="1"/>
  <c r="G556" i="1"/>
  <c r="F556" i="1"/>
  <c r="E556" i="1"/>
  <c r="K555" i="1"/>
  <c r="J555" i="1"/>
  <c r="I555" i="1"/>
  <c r="H555" i="1"/>
  <c r="G555" i="1"/>
  <c r="F555" i="1"/>
  <c r="E555" i="1"/>
  <c r="K554" i="1"/>
  <c r="J554" i="1"/>
  <c r="I554" i="1"/>
  <c r="H554" i="1"/>
  <c r="G554" i="1"/>
  <c r="F554" i="1"/>
  <c r="E554" i="1"/>
  <c r="K553" i="1"/>
  <c r="I553" i="1"/>
  <c r="J553" i="1" s="1"/>
  <c r="H553" i="1"/>
  <c r="G553" i="1"/>
  <c r="F553" i="1"/>
  <c r="E553" i="1"/>
  <c r="K552" i="1"/>
  <c r="I552" i="1"/>
  <c r="H552" i="1"/>
  <c r="J552" i="1" s="1"/>
  <c r="G552" i="1"/>
  <c r="F552" i="1"/>
  <c r="E552" i="1"/>
  <c r="K551" i="1"/>
  <c r="J551" i="1"/>
  <c r="I551" i="1"/>
  <c r="H551" i="1"/>
  <c r="G551" i="1"/>
  <c r="F551" i="1"/>
  <c r="E551" i="1"/>
  <c r="K550" i="1"/>
  <c r="J550" i="1"/>
  <c r="I550" i="1"/>
  <c r="H550" i="1"/>
  <c r="G550" i="1"/>
  <c r="F550" i="1"/>
  <c r="E550" i="1"/>
  <c r="K549" i="1"/>
  <c r="I549" i="1"/>
  <c r="J549" i="1" s="1"/>
  <c r="H549" i="1"/>
  <c r="G549" i="1"/>
  <c r="F549" i="1"/>
  <c r="E549" i="1"/>
  <c r="K548" i="1"/>
  <c r="I548" i="1"/>
  <c r="H548" i="1"/>
  <c r="J548" i="1" s="1"/>
  <c r="G548" i="1"/>
  <c r="F548" i="1"/>
  <c r="E548" i="1"/>
  <c r="K547" i="1"/>
  <c r="J547" i="1"/>
  <c r="I547" i="1"/>
  <c r="H547" i="1"/>
  <c r="G547" i="1"/>
  <c r="F547" i="1"/>
  <c r="E547" i="1"/>
  <c r="K546" i="1"/>
  <c r="J546" i="1"/>
  <c r="I546" i="1"/>
  <c r="H546" i="1"/>
  <c r="G546" i="1"/>
  <c r="F546" i="1"/>
  <c r="E546" i="1"/>
  <c r="K545" i="1"/>
  <c r="I545" i="1"/>
  <c r="J545" i="1" s="1"/>
  <c r="H545" i="1"/>
  <c r="G545" i="1"/>
  <c r="F545" i="1"/>
  <c r="E545" i="1"/>
  <c r="K544" i="1"/>
  <c r="J544" i="1"/>
  <c r="I544" i="1"/>
  <c r="H544" i="1"/>
  <c r="G544" i="1"/>
  <c r="F544" i="1"/>
  <c r="E544" i="1"/>
  <c r="K543" i="1"/>
  <c r="J543" i="1"/>
  <c r="I543" i="1"/>
  <c r="H543" i="1"/>
  <c r="G543" i="1"/>
  <c r="F543" i="1"/>
  <c r="E543" i="1"/>
  <c r="K542" i="1"/>
  <c r="J542" i="1"/>
  <c r="I542" i="1"/>
  <c r="H542" i="1"/>
  <c r="G542" i="1"/>
  <c r="F542" i="1"/>
  <c r="E542" i="1"/>
  <c r="K541" i="1"/>
  <c r="I541" i="1"/>
  <c r="J541" i="1" s="1"/>
  <c r="H541" i="1"/>
  <c r="G541" i="1"/>
  <c r="F541" i="1"/>
  <c r="E541" i="1"/>
  <c r="K540" i="1"/>
  <c r="I540" i="1"/>
  <c r="H540" i="1"/>
  <c r="J540" i="1" s="1"/>
  <c r="G540" i="1"/>
  <c r="F540" i="1"/>
  <c r="E540" i="1"/>
  <c r="K539" i="1"/>
  <c r="J539" i="1"/>
  <c r="I539" i="1"/>
  <c r="H539" i="1"/>
  <c r="G539" i="1"/>
  <c r="F539" i="1"/>
  <c r="E539" i="1"/>
  <c r="K538" i="1"/>
  <c r="J538" i="1"/>
  <c r="I538" i="1"/>
  <c r="H538" i="1"/>
  <c r="G538" i="1"/>
  <c r="F538" i="1"/>
  <c r="E538" i="1"/>
  <c r="K537" i="1"/>
  <c r="I537" i="1"/>
  <c r="J537" i="1" s="1"/>
  <c r="H537" i="1"/>
  <c r="G537" i="1"/>
  <c r="F537" i="1"/>
  <c r="E537" i="1"/>
  <c r="K536" i="1"/>
  <c r="I536" i="1"/>
  <c r="H536" i="1"/>
  <c r="J536" i="1" s="1"/>
  <c r="G536" i="1"/>
  <c r="F536" i="1"/>
  <c r="E536" i="1"/>
  <c r="K535" i="1"/>
  <c r="J535" i="1"/>
  <c r="I535" i="1"/>
  <c r="H535" i="1"/>
  <c r="G535" i="1"/>
  <c r="F535" i="1"/>
  <c r="E535" i="1"/>
  <c r="K534" i="1"/>
  <c r="J534" i="1"/>
  <c r="I534" i="1"/>
  <c r="H534" i="1"/>
  <c r="G534" i="1"/>
  <c r="F534" i="1"/>
  <c r="E534" i="1"/>
  <c r="K533" i="1"/>
  <c r="I533" i="1"/>
  <c r="J533" i="1" s="1"/>
  <c r="H533" i="1"/>
  <c r="G533" i="1"/>
  <c r="F533" i="1"/>
  <c r="E533" i="1"/>
  <c r="K532" i="1"/>
  <c r="J532" i="1"/>
  <c r="I532" i="1"/>
  <c r="H532" i="1"/>
  <c r="G532" i="1"/>
  <c r="F532" i="1"/>
  <c r="E532" i="1"/>
  <c r="K531" i="1"/>
  <c r="J531" i="1"/>
  <c r="I531" i="1"/>
  <c r="H531" i="1"/>
  <c r="G531" i="1"/>
  <c r="F531" i="1"/>
  <c r="E531" i="1"/>
  <c r="K530" i="1"/>
  <c r="J530" i="1"/>
  <c r="I530" i="1"/>
  <c r="H530" i="1"/>
  <c r="G530" i="1"/>
  <c r="F530" i="1"/>
  <c r="E530" i="1"/>
  <c r="K529" i="1"/>
  <c r="I529" i="1"/>
  <c r="J529" i="1" s="1"/>
  <c r="H529" i="1"/>
  <c r="G529" i="1"/>
  <c r="F529" i="1"/>
  <c r="E529" i="1"/>
  <c r="K528" i="1"/>
  <c r="I528" i="1"/>
  <c r="H528" i="1"/>
  <c r="J528" i="1" s="1"/>
  <c r="G528" i="1"/>
  <c r="F528" i="1"/>
  <c r="E528" i="1"/>
  <c r="K527" i="1"/>
  <c r="J527" i="1"/>
  <c r="I527" i="1"/>
  <c r="H527" i="1"/>
  <c r="G527" i="1"/>
  <c r="F527" i="1"/>
  <c r="E527" i="1"/>
  <c r="K526" i="1"/>
  <c r="J526" i="1"/>
  <c r="I526" i="1"/>
  <c r="H526" i="1"/>
  <c r="G526" i="1"/>
  <c r="F526" i="1"/>
  <c r="E526" i="1"/>
  <c r="K525" i="1"/>
  <c r="I525" i="1"/>
  <c r="J525" i="1" s="1"/>
  <c r="H525" i="1"/>
  <c r="G525" i="1"/>
  <c r="F525" i="1"/>
  <c r="E525" i="1"/>
  <c r="K524" i="1"/>
  <c r="I524" i="1"/>
  <c r="H524" i="1"/>
  <c r="J524" i="1" s="1"/>
  <c r="G524" i="1"/>
  <c r="F524" i="1"/>
  <c r="E524" i="1"/>
  <c r="K523" i="1"/>
  <c r="J523" i="1"/>
  <c r="I523" i="1"/>
  <c r="H523" i="1"/>
  <c r="G523" i="1"/>
  <c r="F523" i="1"/>
  <c r="E523" i="1"/>
  <c r="K522" i="1"/>
  <c r="J522" i="1"/>
  <c r="I522" i="1"/>
  <c r="H522" i="1"/>
  <c r="G522" i="1"/>
  <c r="F522" i="1"/>
  <c r="E522" i="1"/>
  <c r="K521" i="1"/>
  <c r="I521" i="1"/>
  <c r="J521" i="1" s="1"/>
  <c r="H521" i="1"/>
  <c r="G521" i="1"/>
  <c r="F521" i="1"/>
  <c r="E521" i="1"/>
  <c r="K520" i="1"/>
  <c r="I520" i="1"/>
  <c r="H520" i="1"/>
  <c r="J520" i="1" s="1"/>
  <c r="G520" i="1"/>
  <c r="F520" i="1"/>
  <c r="E520" i="1"/>
  <c r="K519" i="1"/>
  <c r="J519" i="1"/>
  <c r="I519" i="1"/>
  <c r="H519" i="1"/>
  <c r="G519" i="1"/>
  <c r="F519" i="1"/>
  <c r="E519" i="1"/>
  <c r="K518" i="1"/>
  <c r="J518" i="1"/>
  <c r="I518" i="1"/>
  <c r="H518" i="1"/>
  <c r="G518" i="1"/>
  <c r="F518" i="1"/>
  <c r="E518" i="1"/>
  <c r="K517" i="1"/>
  <c r="I517" i="1"/>
  <c r="J517" i="1" s="1"/>
  <c r="H517" i="1"/>
  <c r="G517" i="1"/>
  <c r="F517" i="1"/>
  <c r="E517" i="1"/>
  <c r="K516" i="1"/>
  <c r="I516" i="1"/>
  <c r="H516" i="1"/>
  <c r="J516" i="1" s="1"/>
  <c r="G516" i="1"/>
  <c r="F516" i="1"/>
  <c r="E516" i="1"/>
  <c r="K515" i="1"/>
  <c r="J515" i="1"/>
  <c r="I515" i="1"/>
  <c r="H515" i="1"/>
  <c r="G515" i="1"/>
  <c r="F515" i="1"/>
  <c r="E515" i="1"/>
  <c r="K514" i="1"/>
  <c r="J514" i="1"/>
  <c r="I514" i="1"/>
  <c r="H514" i="1"/>
  <c r="G514" i="1"/>
  <c r="F514" i="1"/>
  <c r="E514" i="1"/>
  <c r="K513" i="1"/>
  <c r="I513" i="1"/>
  <c r="J513" i="1" s="1"/>
  <c r="H513" i="1"/>
  <c r="G513" i="1"/>
  <c r="F513" i="1"/>
  <c r="E513" i="1"/>
  <c r="K512" i="1"/>
  <c r="I512" i="1"/>
  <c r="H512" i="1"/>
  <c r="J512" i="1" s="1"/>
  <c r="G512" i="1"/>
  <c r="F512" i="1"/>
  <c r="E512" i="1"/>
  <c r="K511" i="1"/>
  <c r="J511" i="1"/>
  <c r="I511" i="1"/>
  <c r="H511" i="1"/>
  <c r="G511" i="1"/>
  <c r="F511" i="1"/>
  <c r="E511" i="1"/>
  <c r="K510" i="1"/>
  <c r="J510" i="1"/>
  <c r="I510" i="1"/>
  <c r="H510" i="1"/>
  <c r="G510" i="1"/>
  <c r="F510" i="1"/>
  <c r="E510" i="1"/>
  <c r="K509" i="1"/>
  <c r="I509" i="1"/>
  <c r="J509" i="1" s="1"/>
  <c r="H509" i="1"/>
  <c r="G509" i="1"/>
  <c r="F509" i="1"/>
  <c r="E509" i="1"/>
  <c r="K508" i="1"/>
  <c r="I508" i="1"/>
  <c r="H508" i="1"/>
  <c r="J508" i="1" s="1"/>
  <c r="G508" i="1"/>
  <c r="F508" i="1"/>
  <c r="E508" i="1"/>
  <c r="K507" i="1"/>
  <c r="J507" i="1"/>
  <c r="I507" i="1"/>
  <c r="H507" i="1"/>
  <c r="G507" i="1"/>
  <c r="F507" i="1"/>
  <c r="E507" i="1"/>
  <c r="K506" i="1"/>
  <c r="J506" i="1"/>
  <c r="I506" i="1"/>
  <c r="H506" i="1"/>
  <c r="G506" i="1"/>
  <c r="F506" i="1"/>
  <c r="E506" i="1"/>
  <c r="K505" i="1"/>
  <c r="I505" i="1"/>
  <c r="J505" i="1" s="1"/>
  <c r="H505" i="1"/>
  <c r="G505" i="1"/>
  <c r="F505" i="1"/>
  <c r="E505" i="1"/>
  <c r="K504" i="1"/>
  <c r="I504" i="1"/>
  <c r="H504" i="1"/>
  <c r="J504" i="1" s="1"/>
  <c r="G504" i="1"/>
  <c r="F504" i="1"/>
  <c r="E504" i="1"/>
  <c r="K503" i="1"/>
  <c r="J503" i="1"/>
  <c r="I503" i="1"/>
  <c r="H503" i="1"/>
  <c r="G503" i="1"/>
  <c r="F503" i="1"/>
  <c r="E503" i="1"/>
  <c r="K502" i="1"/>
  <c r="J502" i="1"/>
  <c r="I502" i="1"/>
  <c r="H502" i="1"/>
  <c r="G502" i="1"/>
  <c r="F502" i="1"/>
  <c r="E502" i="1"/>
  <c r="K501" i="1"/>
  <c r="I501" i="1"/>
  <c r="J501" i="1" s="1"/>
  <c r="H501" i="1"/>
  <c r="G501" i="1"/>
  <c r="F501" i="1"/>
  <c r="E501" i="1"/>
  <c r="K500" i="1"/>
  <c r="I500" i="1"/>
  <c r="H500" i="1"/>
  <c r="J500" i="1" s="1"/>
  <c r="G500" i="1"/>
  <c r="F500" i="1"/>
  <c r="E500" i="1"/>
  <c r="K499" i="1"/>
  <c r="J499" i="1"/>
  <c r="I499" i="1"/>
  <c r="H499" i="1"/>
  <c r="G499" i="1"/>
  <c r="F499" i="1"/>
  <c r="E499" i="1"/>
  <c r="K498" i="1"/>
  <c r="J498" i="1"/>
  <c r="I498" i="1"/>
  <c r="H498" i="1"/>
  <c r="G498" i="1"/>
  <c r="F498" i="1"/>
  <c r="E498" i="1"/>
  <c r="K497" i="1"/>
  <c r="I497" i="1"/>
  <c r="J497" i="1" s="1"/>
  <c r="H497" i="1"/>
  <c r="G497" i="1"/>
  <c r="F497" i="1"/>
  <c r="E497" i="1"/>
  <c r="K496" i="1"/>
  <c r="J496" i="1"/>
  <c r="I496" i="1"/>
  <c r="H496" i="1"/>
  <c r="G496" i="1"/>
  <c r="F496" i="1"/>
  <c r="E496" i="1"/>
  <c r="K495" i="1"/>
  <c r="J495" i="1"/>
  <c r="I495" i="1"/>
  <c r="H495" i="1"/>
  <c r="G495" i="1"/>
  <c r="F495" i="1"/>
  <c r="E495" i="1"/>
  <c r="K494" i="1"/>
  <c r="J494" i="1"/>
  <c r="I494" i="1"/>
  <c r="H494" i="1"/>
  <c r="G494" i="1"/>
  <c r="F494" i="1"/>
  <c r="E494" i="1"/>
  <c r="K493" i="1"/>
  <c r="I493" i="1"/>
  <c r="J493" i="1" s="1"/>
  <c r="H493" i="1"/>
  <c r="G493" i="1"/>
  <c r="F493" i="1"/>
  <c r="E493" i="1"/>
  <c r="K492" i="1"/>
  <c r="I492" i="1"/>
  <c r="H492" i="1"/>
  <c r="J492" i="1" s="1"/>
  <c r="G492" i="1"/>
  <c r="F492" i="1"/>
  <c r="E492" i="1"/>
  <c r="K491" i="1"/>
  <c r="J491" i="1"/>
  <c r="I491" i="1"/>
  <c r="H491" i="1"/>
  <c r="G491" i="1"/>
  <c r="F491" i="1"/>
  <c r="E491" i="1"/>
  <c r="K490" i="1"/>
  <c r="J490" i="1"/>
  <c r="I490" i="1"/>
  <c r="H490" i="1"/>
  <c r="G490" i="1"/>
  <c r="F490" i="1"/>
  <c r="E490" i="1"/>
  <c r="K489" i="1"/>
  <c r="I489" i="1"/>
  <c r="J489" i="1" s="1"/>
  <c r="H489" i="1"/>
  <c r="G489" i="1"/>
  <c r="F489" i="1"/>
  <c r="E489" i="1"/>
  <c r="K488" i="1"/>
  <c r="I488" i="1"/>
  <c r="H488" i="1"/>
  <c r="J488" i="1" s="1"/>
  <c r="G488" i="1"/>
  <c r="F488" i="1"/>
  <c r="E488" i="1"/>
  <c r="K487" i="1"/>
  <c r="J487" i="1"/>
  <c r="I487" i="1"/>
  <c r="H487" i="1"/>
  <c r="G487" i="1"/>
  <c r="F487" i="1"/>
  <c r="E487" i="1"/>
  <c r="K486" i="1"/>
  <c r="J486" i="1"/>
  <c r="I486" i="1"/>
  <c r="H486" i="1"/>
  <c r="G486" i="1"/>
  <c r="F486" i="1"/>
  <c r="E486" i="1"/>
  <c r="K485" i="1"/>
  <c r="I485" i="1"/>
  <c r="J485" i="1" s="1"/>
  <c r="H485" i="1"/>
  <c r="G485" i="1"/>
  <c r="F485" i="1"/>
  <c r="E485" i="1"/>
  <c r="K484" i="1"/>
  <c r="I484" i="1"/>
  <c r="H484" i="1"/>
  <c r="J484" i="1" s="1"/>
  <c r="G484" i="1"/>
  <c r="F484" i="1"/>
  <c r="E484" i="1"/>
  <c r="K483" i="1"/>
  <c r="J483" i="1"/>
  <c r="I483" i="1"/>
  <c r="H483" i="1"/>
  <c r="G483" i="1"/>
  <c r="F483" i="1"/>
  <c r="E483" i="1"/>
  <c r="K482" i="1"/>
  <c r="J482" i="1"/>
  <c r="I482" i="1"/>
  <c r="H482" i="1"/>
  <c r="G482" i="1"/>
  <c r="F482" i="1"/>
  <c r="E482" i="1"/>
  <c r="K481" i="1"/>
  <c r="I481" i="1"/>
  <c r="J481" i="1" s="1"/>
  <c r="H481" i="1"/>
  <c r="G481" i="1"/>
  <c r="F481" i="1"/>
  <c r="E481" i="1"/>
  <c r="K480" i="1"/>
  <c r="I480" i="1"/>
  <c r="H480" i="1"/>
  <c r="J480" i="1" s="1"/>
  <c r="G480" i="1"/>
  <c r="F480" i="1"/>
  <c r="E480" i="1"/>
  <c r="K479" i="1"/>
  <c r="J479" i="1"/>
  <c r="I479" i="1"/>
  <c r="H479" i="1"/>
  <c r="G479" i="1"/>
  <c r="F479" i="1"/>
  <c r="E479" i="1"/>
  <c r="K478" i="1"/>
  <c r="J478" i="1"/>
  <c r="I478" i="1"/>
  <c r="H478" i="1"/>
  <c r="G478" i="1"/>
  <c r="F478" i="1"/>
  <c r="E478" i="1"/>
  <c r="K477" i="1"/>
  <c r="I477" i="1"/>
  <c r="J477" i="1" s="1"/>
  <c r="H477" i="1"/>
  <c r="G477" i="1"/>
  <c r="F477" i="1"/>
  <c r="E477" i="1"/>
  <c r="K476" i="1"/>
  <c r="I476" i="1"/>
  <c r="H476" i="1"/>
  <c r="J476" i="1" s="1"/>
  <c r="G476" i="1"/>
  <c r="F476" i="1"/>
  <c r="E476" i="1"/>
  <c r="K475" i="1"/>
  <c r="J475" i="1"/>
  <c r="I475" i="1"/>
  <c r="H475" i="1"/>
  <c r="G475" i="1"/>
  <c r="F475" i="1"/>
  <c r="E475" i="1"/>
  <c r="K474" i="1"/>
  <c r="J474" i="1"/>
  <c r="I474" i="1"/>
  <c r="H474" i="1"/>
  <c r="G474" i="1"/>
  <c r="F474" i="1"/>
  <c r="E474" i="1"/>
  <c r="K473" i="1"/>
  <c r="I473" i="1"/>
  <c r="J473" i="1" s="1"/>
  <c r="H473" i="1"/>
  <c r="G473" i="1"/>
  <c r="F473" i="1"/>
  <c r="E473" i="1"/>
  <c r="K472" i="1"/>
  <c r="I472" i="1"/>
  <c r="H472" i="1"/>
  <c r="J472" i="1" s="1"/>
  <c r="G472" i="1"/>
  <c r="F472" i="1"/>
  <c r="E472" i="1"/>
  <c r="K471" i="1"/>
  <c r="J471" i="1"/>
  <c r="I471" i="1"/>
  <c r="H471" i="1"/>
  <c r="G471" i="1"/>
  <c r="F471" i="1"/>
  <c r="E471" i="1"/>
  <c r="K470" i="1"/>
  <c r="J470" i="1"/>
  <c r="I470" i="1"/>
  <c r="H470" i="1"/>
  <c r="G470" i="1"/>
  <c r="F470" i="1"/>
  <c r="E470" i="1"/>
  <c r="K469" i="1"/>
  <c r="I469" i="1"/>
  <c r="J469" i="1" s="1"/>
  <c r="H469" i="1"/>
  <c r="G469" i="1"/>
  <c r="F469" i="1"/>
  <c r="E469" i="1"/>
  <c r="K468" i="1"/>
  <c r="I468" i="1"/>
  <c r="H468" i="1"/>
  <c r="J468" i="1" s="1"/>
  <c r="G468" i="1"/>
  <c r="F468" i="1"/>
  <c r="E468" i="1"/>
  <c r="K467" i="1"/>
  <c r="J467" i="1"/>
  <c r="I467" i="1"/>
  <c r="H467" i="1"/>
  <c r="G467" i="1"/>
  <c r="F467" i="1"/>
  <c r="E467" i="1"/>
  <c r="K466" i="1"/>
  <c r="J466" i="1"/>
  <c r="I466" i="1"/>
  <c r="H466" i="1"/>
  <c r="G466" i="1"/>
  <c r="F466" i="1"/>
  <c r="E466" i="1"/>
  <c r="K465" i="1"/>
  <c r="I465" i="1"/>
  <c r="J465" i="1" s="1"/>
  <c r="H465" i="1"/>
  <c r="G465" i="1"/>
  <c r="F465" i="1"/>
  <c r="E465" i="1"/>
  <c r="K464" i="1"/>
  <c r="I464" i="1"/>
  <c r="H464" i="1"/>
  <c r="J464" i="1" s="1"/>
  <c r="G464" i="1"/>
  <c r="F464" i="1"/>
  <c r="E464" i="1"/>
  <c r="K463" i="1"/>
  <c r="J463" i="1"/>
  <c r="I463" i="1"/>
  <c r="H463" i="1"/>
  <c r="G463" i="1"/>
  <c r="F463" i="1"/>
  <c r="E463" i="1"/>
  <c r="K462" i="1"/>
  <c r="J462" i="1"/>
  <c r="I462" i="1"/>
  <c r="H462" i="1"/>
  <c r="G462" i="1"/>
  <c r="F462" i="1"/>
  <c r="E462" i="1"/>
  <c r="K461" i="1"/>
  <c r="I461" i="1"/>
  <c r="J461" i="1" s="1"/>
  <c r="H461" i="1"/>
  <c r="G461" i="1"/>
  <c r="F461" i="1"/>
  <c r="E461" i="1"/>
  <c r="K460" i="1"/>
  <c r="I460" i="1"/>
  <c r="H460" i="1"/>
  <c r="J460" i="1" s="1"/>
  <c r="G460" i="1"/>
  <c r="F460" i="1"/>
  <c r="E460" i="1"/>
  <c r="K459" i="1"/>
  <c r="J459" i="1"/>
  <c r="I459" i="1"/>
  <c r="H459" i="1"/>
  <c r="G459" i="1"/>
  <c r="F459" i="1"/>
  <c r="E459" i="1"/>
  <c r="K458" i="1"/>
  <c r="J458" i="1"/>
  <c r="I458" i="1"/>
  <c r="H458" i="1"/>
  <c r="G458" i="1"/>
  <c r="F458" i="1"/>
  <c r="E458" i="1"/>
  <c r="K457" i="1"/>
  <c r="I457" i="1"/>
  <c r="J457" i="1" s="1"/>
  <c r="H457" i="1"/>
  <c r="G457" i="1"/>
  <c r="F457" i="1"/>
  <c r="E457" i="1"/>
  <c r="K456" i="1"/>
  <c r="I456" i="1"/>
  <c r="H456" i="1"/>
  <c r="J456" i="1" s="1"/>
  <c r="G456" i="1"/>
  <c r="F456" i="1"/>
  <c r="E456" i="1"/>
  <c r="K455" i="1"/>
  <c r="J455" i="1"/>
  <c r="I455" i="1"/>
  <c r="H455" i="1"/>
  <c r="G455" i="1"/>
  <c r="F455" i="1"/>
  <c r="E455" i="1"/>
  <c r="K454" i="1"/>
  <c r="J454" i="1"/>
  <c r="I454" i="1"/>
  <c r="H454" i="1"/>
  <c r="G454" i="1"/>
  <c r="F454" i="1"/>
  <c r="E454" i="1"/>
  <c r="K453" i="1"/>
  <c r="I453" i="1"/>
  <c r="J453" i="1" s="1"/>
  <c r="H453" i="1"/>
  <c r="G453" i="1"/>
  <c r="F453" i="1"/>
  <c r="E453" i="1"/>
  <c r="K452" i="1"/>
  <c r="I452" i="1"/>
  <c r="H452" i="1"/>
  <c r="J452" i="1" s="1"/>
  <c r="G452" i="1"/>
  <c r="F452" i="1"/>
  <c r="E452" i="1"/>
  <c r="K451" i="1"/>
  <c r="J451" i="1"/>
  <c r="I451" i="1"/>
  <c r="H451" i="1"/>
  <c r="G451" i="1"/>
  <c r="F451" i="1"/>
  <c r="E451" i="1"/>
  <c r="K450" i="1"/>
  <c r="J450" i="1"/>
  <c r="I450" i="1"/>
  <c r="H450" i="1"/>
  <c r="G450" i="1"/>
  <c r="F450" i="1"/>
  <c r="E450" i="1"/>
  <c r="K449" i="1"/>
  <c r="I449" i="1"/>
  <c r="J449" i="1" s="1"/>
  <c r="H449" i="1"/>
  <c r="G449" i="1"/>
  <c r="F449" i="1"/>
  <c r="E449" i="1"/>
  <c r="K448" i="1"/>
  <c r="I448" i="1"/>
  <c r="H448" i="1"/>
  <c r="J448" i="1" s="1"/>
  <c r="G448" i="1"/>
  <c r="F448" i="1"/>
  <c r="E448" i="1"/>
  <c r="K447" i="1"/>
  <c r="J447" i="1"/>
  <c r="I447" i="1"/>
  <c r="H447" i="1"/>
  <c r="G447" i="1"/>
  <c r="F447" i="1"/>
  <c r="E447" i="1"/>
  <c r="K446" i="1"/>
  <c r="J446" i="1"/>
  <c r="I446" i="1"/>
  <c r="H446" i="1"/>
  <c r="G446" i="1"/>
  <c r="F446" i="1"/>
  <c r="E446" i="1"/>
  <c r="K445" i="1"/>
  <c r="I445" i="1"/>
  <c r="J445" i="1" s="1"/>
  <c r="H445" i="1"/>
  <c r="G445" i="1"/>
  <c r="F445" i="1"/>
  <c r="E445" i="1"/>
  <c r="K444" i="1"/>
  <c r="I444" i="1"/>
  <c r="H444" i="1"/>
  <c r="J444" i="1" s="1"/>
  <c r="G444" i="1"/>
  <c r="F444" i="1"/>
  <c r="E444" i="1"/>
  <c r="K443" i="1"/>
  <c r="J443" i="1"/>
  <c r="I443" i="1"/>
  <c r="H443" i="1"/>
  <c r="G443" i="1"/>
  <c r="F443" i="1"/>
  <c r="E443" i="1"/>
  <c r="K442" i="1"/>
  <c r="J442" i="1"/>
  <c r="I442" i="1"/>
  <c r="H442" i="1"/>
  <c r="G442" i="1"/>
  <c r="F442" i="1"/>
  <c r="E442" i="1"/>
  <c r="K441" i="1"/>
  <c r="I441" i="1"/>
  <c r="J441" i="1" s="1"/>
  <c r="H441" i="1"/>
  <c r="G441" i="1"/>
  <c r="F441" i="1"/>
  <c r="E441" i="1"/>
  <c r="K440" i="1"/>
  <c r="I440" i="1"/>
  <c r="H440" i="1"/>
  <c r="J440" i="1" s="1"/>
  <c r="G440" i="1"/>
  <c r="F440" i="1"/>
  <c r="E440" i="1"/>
  <c r="K439" i="1"/>
  <c r="J439" i="1"/>
  <c r="I439" i="1"/>
  <c r="H439" i="1"/>
  <c r="G439" i="1"/>
  <c r="F439" i="1"/>
  <c r="E439" i="1"/>
  <c r="K438" i="1"/>
  <c r="J438" i="1"/>
  <c r="I438" i="1"/>
  <c r="H438" i="1"/>
  <c r="G438" i="1"/>
  <c r="F438" i="1"/>
  <c r="E438" i="1"/>
  <c r="K437" i="1"/>
  <c r="I437" i="1"/>
  <c r="J437" i="1" s="1"/>
  <c r="H437" i="1"/>
  <c r="G437" i="1"/>
  <c r="F437" i="1"/>
  <c r="E437" i="1"/>
  <c r="K436" i="1"/>
  <c r="I436" i="1"/>
  <c r="H436" i="1"/>
  <c r="J436" i="1" s="1"/>
  <c r="G436" i="1"/>
  <c r="F436" i="1"/>
  <c r="E436" i="1"/>
  <c r="K435" i="1"/>
  <c r="J435" i="1"/>
  <c r="I435" i="1"/>
  <c r="H435" i="1"/>
  <c r="G435" i="1"/>
  <c r="F435" i="1"/>
  <c r="E435" i="1"/>
  <c r="K434" i="1"/>
  <c r="J434" i="1"/>
  <c r="I434" i="1"/>
  <c r="H434" i="1"/>
  <c r="G434" i="1"/>
  <c r="F434" i="1"/>
  <c r="E434" i="1"/>
  <c r="K433" i="1"/>
  <c r="I433" i="1"/>
  <c r="J433" i="1" s="1"/>
  <c r="H433" i="1"/>
  <c r="G433" i="1"/>
  <c r="F433" i="1"/>
  <c r="E433" i="1"/>
  <c r="K432" i="1"/>
  <c r="I432" i="1"/>
  <c r="H432" i="1"/>
  <c r="J432" i="1" s="1"/>
  <c r="G432" i="1"/>
  <c r="F432" i="1"/>
  <c r="E432" i="1"/>
  <c r="K431" i="1"/>
  <c r="J431" i="1"/>
  <c r="I431" i="1"/>
  <c r="H431" i="1"/>
  <c r="G431" i="1"/>
  <c r="F431" i="1"/>
  <c r="E431" i="1"/>
  <c r="K430" i="1"/>
  <c r="J430" i="1"/>
  <c r="I430" i="1"/>
  <c r="H430" i="1"/>
  <c r="G430" i="1"/>
  <c r="F430" i="1"/>
  <c r="E430" i="1"/>
  <c r="K429" i="1"/>
  <c r="I429" i="1"/>
  <c r="J429" i="1" s="1"/>
  <c r="H429" i="1"/>
  <c r="G429" i="1"/>
  <c r="F429" i="1"/>
  <c r="E429" i="1"/>
  <c r="K428" i="1"/>
  <c r="I428" i="1"/>
  <c r="H428" i="1"/>
  <c r="J428" i="1" s="1"/>
  <c r="G428" i="1"/>
  <c r="F428" i="1"/>
  <c r="E428" i="1"/>
  <c r="K427" i="1"/>
  <c r="J427" i="1"/>
  <c r="I427" i="1"/>
  <c r="H427" i="1"/>
  <c r="G427" i="1"/>
  <c r="F427" i="1"/>
  <c r="E427" i="1"/>
  <c r="K426" i="1"/>
  <c r="J426" i="1"/>
  <c r="I426" i="1"/>
  <c r="H426" i="1"/>
  <c r="G426" i="1"/>
  <c r="F426" i="1"/>
  <c r="E426" i="1"/>
  <c r="K425" i="1"/>
  <c r="I425" i="1"/>
  <c r="J425" i="1" s="1"/>
  <c r="H425" i="1"/>
  <c r="G425" i="1"/>
  <c r="F425" i="1"/>
  <c r="E425" i="1"/>
  <c r="K424" i="1"/>
  <c r="I424" i="1"/>
  <c r="H424" i="1"/>
  <c r="J424" i="1" s="1"/>
  <c r="G424" i="1"/>
  <c r="F424" i="1"/>
  <c r="E424" i="1"/>
  <c r="K423" i="1"/>
  <c r="J423" i="1"/>
  <c r="I423" i="1"/>
  <c r="H423" i="1"/>
  <c r="G423" i="1"/>
  <c r="F423" i="1"/>
  <c r="E423" i="1"/>
  <c r="K422" i="1"/>
  <c r="J422" i="1"/>
  <c r="I422" i="1"/>
  <c r="H422" i="1"/>
  <c r="G422" i="1"/>
  <c r="F422" i="1"/>
  <c r="E422" i="1"/>
  <c r="K421" i="1"/>
  <c r="I421" i="1"/>
  <c r="J421" i="1" s="1"/>
  <c r="H421" i="1"/>
  <c r="G421" i="1"/>
  <c r="F421" i="1"/>
  <c r="E421" i="1"/>
  <c r="K420" i="1"/>
  <c r="J420" i="1"/>
  <c r="I420" i="1"/>
  <c r="H420" i="1"/>
  <c r="G420" i="1"/>
  <c r="F420" i="1"/>
  <c r="E420" i="1"/>
  <c r="K419" i="1"/>
  <c r="J419" i="1"/>
  <c r="I419" i="1"/>
  <c r="H419" i="1"/>
  <c r="G419" i="1"/>
  <c r="F419" i="1"/>
  <c r="E419" i="1"/>
  <c r="K418" i="1"/>
  <c r="J418" i="1"/>
  <c r="I418" i="1"/>
  <c r="H418" i="1"/>
  <c r="G418" i="1"/>
  <c r="F418" i="1"/>
  <c r="E418" i="1"/>
  <c r="K417" i="1"/>
  <c r="I417" i="1"/>
  <c r="J417" i="1" s="1"/>
  <c r="H417" i="1"/>
  <c r="G417" i="1"/>
  <c r="F417" i="1"/>
  <c r="E417" i="1"/>
  <c r="K416" i="1"/>
  <c r="I416" i="1"/>
  <c r="H416" i="1"/>
  <c r="J416" i="1" s="1"/>
  <c r="G416" i="1"/>
  <c r="F416" i="1"/>
  <c r="E416" i="1"/>
  <c r="K415" i="1"/>
  <c r="J415" i="1"/>
  <c r="I415" i="1"/>
  <c r="H415" i="1"/>
  <c r="G415" i="1"/>
  <c r="F415" i="1"/>
  <c r="E415" i="1"/>
  <c r="K414" i="1"/>
  <c r="J414" i="1"/>
  <c r="I414" i="1"/>
  <c r="H414" i="1"/>
  <c r="G414" i="1"/>
  <c r="F414" i="1"/>
  <c r="E414" i="1"/>
  <c r="K413" i="1"/>
  <c r="I413" i="1"/>
  <c r="J413" i="1" s="1"/>
  <c r="H413" i="1"/>
  <c r="G413" i="1"/>
  <c r="F413" i="1"/>
  <c r="E413" i="1"/>
  <c r="K412" i="1"/>
  <c r="I412" i="1"/>
  <c r="H412" i="1"/>
  <c r="J412" i="1" s="1"/>
  <c r="G412" i="1"/>
  <c r="F412" i="1"/>
  <c r="E412" i="1"/>
  <c r="K411" i="1"/>
  <c r="J411" i="1"/>
  <c r="I411" i="1"/>
  <c r="H411" i="1"/>
  <c r="G411" i="1"/>
  <c r="F411" i="1"/>
  <c r="E411" i="1"/>
  <c r="K410" i="1"/>
  <c r="J410" i="1"/>
  <c r="I410" i="1"/>
  <c r="H410" i="1"/>
  <c r="G410" i="1"/>
  <c r="F410" i="1"/>
  <c r="E410" i="1"/>
  <c r="K409" i="1"/>
  <c r="I409" i="1"/>
  <c r="J409" i="1" s="1"/>
  <c r="H409" i="1"/>
  <c r="G409" i="1"/>
  <c r="F409" i="1"/>
  <c r="E409" i="1"/>
  <c r="K408" i="1"/>
  <c r="J408" i="1"/>
  <c r="I408" i="1"/>
  <c r="H408" i="1"/>
  <c r="G408" i="1"/>
  <c r="F408" i="1"/>
  <c r="E408" i="1"/>
  <c r="K407" i="1"/>
  <c r="J407" i="1"/>
  <c r="I407" i="1"/>
  <c r="H407" i="1"/>
  <c r="G407" i="1"/>
  <c r="F407" i="1"/>
  <c r="E407" i="1"/>
  <c r="K406" i="1"/>
  <c r="J406" i="1"/>
  <c r="I406" i="1"/>
  <c r="H406" i="1"/>
  <c r="G406" i="1"/>
  <c r="F406" i="1"/>
  <c r="E406" i="1"/>
  <c r="K405" i="1"/>
  <c r="I405" i="1"/>
  <c r="J405" i="1" s="1"/>
  <c r="H405" i="1"/>
  <c r="G405" i="1"/>
  <c r="F405" i="1"/>
  <c r="E405" i="1"/>
  <c r="K404" i="1"/>
  <c r="I404" i="1"/>
  <c r="H404" i="1"/>
  <c r="J404" i="1" s="1"/>
  <c r="G404" i="1"/>
  <c r="F404" i="1"/>
  <c r="E404" i="1"/>
  <c r="K403" i="1"/>
  <c r="J403" i="1"/>
  <c r="I403" i="1"/>
  <c r="H403" i="1"/>
  <c r="G403" i="1"/>
  <c r="F403" i="1"/>
  <c r="E403" i="1"/>
  <c r="K402" i="1"/>
  <c r="J402" i="1"/>
  <c r="I402" i="1"/>
  <c r="H402" i="1"/>
  <c r="G402" i="1"/>
  <c r="F402" i="1"/>
  <c r="E402" i="1"/>
  <c r="K401" i="1"/>
  <c r="I401" i="1"/>
  <c r="J401" i="1" s="1"/>
  <c r="H401" i="1"/>
  <c r="G401" i="1"/>
  <c r="F401" i="1"/>
  <c r="E401" i="1"/>
  <c r="K400" i="1"/>
  <c r="I400" i="1"/>
  <c r="H400" i="1"/>
  <c r="J400" i="1" s="1"/>
  <c r="G400" i="1"/>
  <c r="F400" i="1"/>
  <c r="E400" i="1"/>
  <c r="K399" i="1"/>
  <c r="J399" i="1"/>
  <c r="I399" i="1"/>
  <c r="H399" i="1"/>
  <c r="G399" i="1"/>
  <c r="F399" i="1"/>
  <c r="E399" i="1"/>
  <c r="K398" i="1"/>
  <c r="J398" i="1"/>
  <c r="I398" i="1"/>
  <c r="H398" i="1"/>
  <c r="G398" i="1"/>
  <c r="F398" i="1"/>
  <c r="E398" i="1"/>
  <c r="K397" i="1"/>
  <c r="I397" i="1"/>
  <c r="J397" i="1" s="1"/>
  <c r="H397" i="1"/>
  <c r="G397" i="1"/>
  <c r="F397" i="1"/>
  <c r="E397" i="1"/>
  <c r="K396" i="1"/>
  <c r="I396" i="1"/>
  <c r="H396" i="1"/>
  <c r="J396" i="1" s="1"/>
  <c r="G396" i="1"/>
  <c r="F396" i="1"/>
  <c r="E396" i="1"/>
  <c r="K395" i="1"/>
  <c r="J395" i="1"/>
  <c r="I395" i="1"/>
  <c r="H395" i="1"/>
  <c r="G395" i="1"/>
  <c r="F395" i="1"/>
  <c r="E395" i="1"/>
  <c r="K394" i="1"/>
  <c r="J394" i="1"/>
  <c r="I394" i="1"/>
  <c r="H394" i="1"/>
  <c r="G394" i="1"/>
  <c r="F394" i="1"/>
  <c r="E394" i="1"/>
  <c r="K393" i="1"/>
  <c r="I393" i="1"/>
  <c r="J393" i="1" s="1"/>
  <c r="H393" i="1"/>
  <c r="G393" i="1"/>
  <c r="F393" i="1"/>
  <c r="E393" i="1"/>
  <c r="K392" i="1"/>
  <c r="I392" i="1"/>
  <c r="H392" i="1"/>
  <c r="J392" i="1" s="1"/>
  <c r="G392" i="1"/>
  <c r="F392" i="1"/>
  <c r="E392" i="1"/>
  <c r="K391" i="1"/>
  <c r="J391" i="1"/>
  <c r="I391" i="1"/>
  <c r="H391" i="1"/>
  <c r="G391" i="1"/>
  <c r="F391" i="1"/>
  <c r="E391" i="1"/>
  <c r="K390" i="1"/>
  <c r="J390" i="1"/>
  <c r="I390" i="1"/>
  <c r="H390" i="1"/>
  <c r="G390" i="1"/>
  <c r="F390" i="1"/>
  <c r="E390" i="1"/>
  <c r="K389" i="1"/>
  <c r="I389" i="1"/>
  <c r="J389" i="1" s="1"/>
  <c r="H389" i="1"/>
  <c r="G389" i="1"/>
  <c r="F389" i="1"/>
  <c r="E389" i="1"/>
  <c r="K388" i="1"/>
  <c r="I388" i="1"/>
  <c r="H388" i="1"/>
  <c r="J388" i="1" s="1"/>
  <c r="G388" i="1"/>
  <c r="F388" i="1"/>
  <c r="E388" i="1"/>
  <c r="K387" i="1"/>
  <c r="J387" i="1"/>
  <c r="I387" i="1"/>
  <c r="H387" i="1"/>
  <c r="G387" i="1"/>
  <c r="F387" i="1"/>
  <c r="E387" i="1"/>
  <c r="K386" i="1"/>
  <c r="J386" i="1"/>
  <c r="I386" i="1"/>
  <c r="H386" i="1"/>
  <c r="G386" i="1"/>
  <c r="F386" i="1"/>
  <c r="E386" i="1"/>
  <c r="K385" i="1"/>
  <c r="I385" i="1"/>
  <c r="J385" i="1" s="1"/>
  <c r="H385" i="1"/>
  <c r="G385" i="1"/>
  <c r="F385" i="1"/>
  <c r="E385" i="1"/>
  <c r="K384" i="1"/>
  <c r="I384" i="1"/>
  <c r="H384" i="1"/>
  <c r="J384" i="1" s="1"/>
  <c r="G384" i="1"/>
  <c r="F384" i="1"/>
  <c r="E384" i="1"/>
  <c r="K383" i="1"/>
  <c r="J383" i="1"/>
  <c r="I383" i="1"/>
  <c r="H383" i="1"/>
  <c r="G383" i="1"/>
  <c r="F383" i="1"/>
  <c r="E383" i="1"/>
  <c r="K382" i="1"/>
  <c r="J382" i="1"/>
  <c r="I382" i="1"/>
  <c r="H382" i="1"/>
  <c r="G382" i="1"/>
  <c r="F382" i="1"/>
  <c r="E382" i="1"/>
  <c r="K381" i="1"/>
  <c r="I381" i="1"/>
  <c r="J381" i="1" s="1"/>
  <c r="H381" i="1"/>
  <c r="G381" i="1"/>
  <c r="F381" i="1"/>
  <c r="E381" i="1"/>
  <c r="K380" i="1"/>
  <c r="I380" i="1"/>
  <c r="H380" i="1"/>
  <c r="J380" i="1" s="1"/>
  <c r="G380" i="1"/>
  <c r="F380" i="1"/>
  <c r="E380" i="1"/>
  <c r="K379" i="1"/>
  <c r="J379" i="1"/>
  <c r="I379" i="1"/>
  <c r="H379" i="1"/>
  <c r="G379" i="1"/>
  <c r="F379" i="1"/>
  <c r="E379" i="1"/>
  <c r="K378" i="1"/>
  <c r="J378" i="1"/>
  <c r="I378" i="1"/>
  <c r="H378" i="1"/>
  <c r="G378" i="1"/>
  <c r="F378" i="1"/>
  <c r="E378" i="1"/>
  <c r="K377" i="1"/>
  <c r="I377" i="1"/>
  <c r="J377" i="1" s="1"/>
  <c r="H377" i="1"/>
  <c r="G377" i="1"/>
  <c r="F377" i="1"/>
  <c r="E377" i="1"/>
  <c r="K376" i="1"/>
  <c r="I376" i="1"/>
  <c r="H376" i="1"/>
  <c r="J376" i="1" s="1"/>
  <c r="G376" i="1"/>
  <c r="F376" i="1"/>
  <c r="E376" i="1"/>
  <c r="K375" i="1"/>
  <c r="J375" i="1"/>
  <c r="I375" i="1"/>
  <c r="H375" i="1"/>
  <c r="G375" i="1"/>
  <c r="F375" i="1"/>
  <c r="E375" i="1"/>
  <c r="K374" i="1"/>
  <c r="J374" i="1"/>
  <c r="I374" i="1"/>
  <c r="H374" i="1"/>
  <c r="G374" i="1"/>
  <c r="F374" i="1"/>
  <c r="E374" i="1"/>
  <c r="K373" i="1"/>
  <c r="I373" i="1"/>
  <c r="J373" i="1" s="1"/>
  <c r="H373" i="1"/>
  <c r="G373" i="1"/>
  <c r="F373" i="1"/>
  <c r="E373" i="1"/>
  <c r="K372" i="1"/>
  <c r="I372" i="1"/>
  <c r="H372" i="1"/>
  <c r="J372" i="1" s="1"/>
  <c r="G372" i="1"/>
  <c r="F372" i="1"/>
  <c r="E372" i="1"/>
  <c r="K371" i="1"/>
  <c r="J371" i="1"/>
  <c r="I371" i="1"/>
  <c r="H371" i="1"/>
  <c r="G371" i="1"/>
  <c r="F371" i="1"/>
  <c r="E371" i="1"/>
  <c r="K370" i="1"/>
  <c r="J370" i="1"/>
  <c r="I370" i="1"/>
  <c r="H370" i="1"/>
  <c r="G370" i="1"/>
  <c r="F370" i="1"/>
  <c r="E370" i="1"/>
  <c r="K369" i="1"/>
  <c r="I369" i="1"/>
  <c r="J369" i="1" s="1"/>
  <c r="H369" i="1"/>
  <c r="G369" i="1"/>
  <c r="F369" i="1"/>
  <c r="E369" i="1"/>
  <c r="K368" i="1"/>
  <c r="I368" i="1"/>
  <c r="H368" i="1"/>
  <c r="J368" i="1" s="1"/>
  <c r="G368" i="1"/>
  <c r="F368" i="1"/>
  <c r="E368" i="1"/>
  <c r="K367" i="1"/>
  <c r="J367" i="1"/>
  <c r="I367" i="1"/>
  <c r="H367" i="1"/>
  <c r="G367" i="1"/>
  <c r="F367" i="1"/>
  <c r="E367" i="1"/>
  <c r="K366" i="1"/>
  <c r="J366" i="1"/>
  <c r="I366" i="1"/>
  <c r="H366" i="1"/>
  <c r="G366" i="1"/>
  <c r="F366" i="1"/>
  <c r="E366" i="1"/>
  <c r="K365" i="1"/>
  <c r="I365" i="1"/>
  <c r="J365" i="1" s="1"/>
  <c r="H365" i="1"/>
  <c r="G365" i="1"/>
  <c r="F365" i="1"/>
  <c r="E365" i="1"/>
  <c r="K364" i="1"/>
  <c r="I364" i="1"/>
  <c r="H364" i="1"/>
  <c r="J364" i="1" s="1"/>
  <c r="G364" i="1"/>
  <c r="F364" i="1"/>
  <c r="E364" i="1"/>
  <c r="K363" i="1"/>
  <c r="J363" i="1"/>
  <c r="I363" i="1"/>
  <c r="H363" i="1"/>
  <c r="G363" i="1"/>
  <c r="F363" i="1"/>
  <c r="E363" i="1"/>
  <c r="K362" i="1"/>
  <c r="J362" i="1"/>
  <c r="I362" i="1"/>
  <c r="H362" i="1"/>
  <c r="G362" i="1"/>
  <c r="F362" i="1"/>
  <c r="E362" i="1"/>
  <c r="K361" i="1"/>
  <c r="I361" i="1"/>
  <c r="J361" i="1" s="1"/>
  <c r="H361" i="1"/>
  <c r="G361" i="1"/>
  <c r="F361" i="1"/>
  <c r="E361" i="1"/>
  <c r="K360" i="1"/>
  <c r="J360" i="1"/>
  <c r="I360" i="1"/>
  <c r="H360" i="1"/>
  <c r="G360" i="1"/>
  <c r="F360" i="1"/>
  <c r="E360" i="1"/>
  <c r="K359" i="1"/>
  <c r="J359" i="1"/>
  <c r="I359" i="1"/>
  <c r="H359" i="1"/>
  <c r="G359" i="1"/>
  <c r="F359" i="1"/>
  <c r="E359" i="1"/>
  <c r="K358" i="1"/>
  <c r="J358" i="1"/>
  <c r="I358" i="1"/>
  <c r="H358" i="1"/>
  <c r="G358" i="1"/>
  <c r="F358" i="1"/>
  <c r="E358" i="1"/>
  <c r="K357" i="1"/>
  <c r="I357" i="1"/>
  <c r="J357" i="1" s="1"/>
  <c r="H357" i="1"/>
  <c r="G357" i="1"/>
  <c r="F357" i="1"/>
  <c r="E357" i="1"/>
  <c r="K356" i="1"/>
  <c r="I356" i="1"/>
  <c r="H356" i="1"/>
  <c r="J356" i="1" s="1"/>
  <c r="G356" i="1"/>
  <c r="F356" i="1"/>
  <c r="E356" i="1"/>
  <c r="K355" i="1"/>
  <c r="J355" i="1"/>
  <c r="I355" i="1"/>
  <c r="H355" i="1"/>
  <c r="G355" i="1"/>
  <c r="F355" i="1"/>
  <c r="E355" i="1"/>
  <c r="K354" i="1"/>
  <c r="J354" i="1"/>
  <c r="I354" i="1"/>
  <c r="H354" i="1"/>
  <c r="G354" i="1"/>
  <c r="F354" i="1"/>
  <c r="E354" i="1"/>
  <c r="K353" i="1"/>
  <c r="I353" i="1"/>
  <c r="J353" i="1" s="1"/>
  <c r="H353" i="1"/>
  <c r="G353" i="1"/>
  <c r="F353" i="1"/>
  <c r="E353" i="1"/>
  <c r="K352" i="1"/>
  <c r="I352" i="1"/>
  <c r="H352" i="1"/>
  <c r="J352" i="1" s="1"/>
  <c r="G352" i="1"/>
  <c r="F352" i="1"/>
  <c r="E352" i="1"/>
  <c r="K351" i="1"/>
  <c r="J351" i="1"/>
  <c r="I351" i="1"/>
  <c r="H351" i="1"/>
  <c r="G351" i="1"/>
  <c r="F351" i="1"/>
  <c r="E351" i="1"/>
  <c r="K350" i="1"/>
  <c r="J350" i="1"/>
  <c r="I350" i="1"/>
  <c r="H350" i="1"/>
  <c r="G350" i="1"/>
  <c r="F350" i="1"/>
  <c r="E350" i="1"/>
  <c r="K349" i="1"/>
  <c r="I349" i="1"/>
  <c r="J349" i="1" s="1"/>
  <c r="H349" i="1"/>
  <c r="G349" i="1"/>
  <c r="F349" i="1"/>
  <c r="E349" i="1"/>
  <c r="K348" i="1"/>
  <c r="I348" i="1"/>
  <c r="H348" i="1"/>
  <c r="J348" i="1" s="1"/>
  <c r="G348" i="1"/>
  <c r="F348" i="1"/>
  <c r="E348" i="1"/>
  <c r="K347" i="1"/>
  <c r="J347" i="1"/>
  <c r="I347" i="1"/>
  <c r="H347" i="1"/>
  <c r="G347" i="1"/>
  <c r="F347" i="1"/>
  <c r="E347" i="1"/>
  <c r="K346" i="1"/>
  <c r="J346" i="1"/>
  <c r="I346" i="1"/>
  <c r="H346" i="1"/>
  <c r="G346" i="1"/>
  <c r="F346" i="1"/>
  <c r="E346" i="1"/>
  <c r="K345" i="1"/>
  <c r="I345" i="1"/>
  <c r="J345" i="1" s="1"/>
  <c r="H345" i="1"/>
  <c r="G345" i="1"/>
  <c r="F345" i="1"/>
  <c r="E345" i="1"/>
  <c r="K344" i="1"/>
  <c r="I344" i="1"/>
  <c r="H344" i="1"/>
  <c r="J344" i="1" s="1"/>
  <c r="G344" i="1"/>
  <c r="F344" i="1"/>
  <c r="E344" i="1"/>
  <c r="K343" i="1"/>
  <c r="J343" i="1"/>
  <c r="I343" i="1"/>
  <c r="H343" i="1"/>
  <c r="G343" i="1"/>
  <c r="F343" i="1"/>
  <c r="E343" i="1"/>
  <c r="K342" i="1"/>
  <c r="J342" i="1"/>
  <c r="I342" i="1"/>
  <c r="H342" i="1"/>
  <c r="G342" i="1"/>
  <c r="F342" i="1"/>
  <c r="E342" i="1"/>
  <c r="K341" i="1"/>
  <c r="I341" i="1"/>
  <c r="J341" i="1" s="1"/>
  <c r="H341" i="1"/>
  <c r="G341" i="1"/>
  <c r="F341" i="1"/>
  <c r="E341" i="1"/>
  <c r="K340" i="1"/>
  <c r="I340" i="1"/>
  <c r="H340" i="1"/>
  <c r="J340" i="1" s="1"/>
  <c r="G340" i="1"/>
  <c r="F340" i="1"/>
  <c r="E340" i="1"/>
  <c r="K339" i="1"/>
  <c r="J339" i="1"/>
  <c r="I339" i="1"/>
  <c r="H339" i="1"/>
  <c r="G339" i="1"/>
  <c r="F339" i="1"/>
  <c r="E339" i="1"/>
  <c r="K338" i="1"/>
  <c r="J338" i="1"/>
  <c r="I338" i="1"/>
  <c r="H338" i="1"/>
  <c r="G338" i="1"/>
  <c r="F338" i="1"/>
  <c r="E338" i="1"/>
  <c r="K337" i="1"/>
  <c r="I337" i="1"/>
  <c r="J337" i="1" s="1"/>
  <c r="H337" i="1"/>
  <c r="G337" i="1"/>
  <c r="F337" i="1"/>
  <c r="E337" i="1"/>
  <c r="K336" i="1"/>
  <c r="I336" i="1"/>
  <c r="H336" i="1"/>
  <c r="J336" i="1" s="1"/>
  <c r="G336" i="1"/>
  <c r="F336" i="1"/>
  <c r="E336" i="1"/>
  <c r="K335" i="1"/>
  <c r="J335" i="1"/>
  <c r="I335" i="1"/>
  <c r="H335" i="1"/>
  <c r="G335" i="1"/>
  <c r="F335" i="1"/>
  <c r="E335" i="1"/>
  <c r="K334" i="1"/>
  <c r="J334" i="1"/>
  <c r="I334" i="1"/>
  <c r="H334" i="1"/>
  <c r="G334" i="1"/>
  <c r="F334" i="1"/>
  <c r="E334" i="1"/>
  <c r="K333" i="1"/>
  <c r="I333" i="1"/>
  <c r="J333" i="1" s="1"/>
  <c r="H333" i="1"/>
  <c r="G333" i="1"/>
  <c r="F333" i="1"/>
  <c r="E333" i="1"/>
  <c r="K332" i="1"/>
  <c r="I332" i="1"/>
  <c r="H332" i="1"/>
  <c r="J332" i="1" s="1"/>
  <c r="G332" i="1"/>
  <c r="F332" i="1"/>
  <c r="E332" i="1"/>
  <c r="K331" i="1"/>
  <c r="J331" i="1"/>
  <c r="I331" i="1"/>
  <c r="H331" i="1"/>
  <c r="G331" i="1"/>
  <c r="F331" i="1"/>
  <c r="E331" i="1"/>
  <c r="K330" i="1"/>
  <c r="J330" i="1"/>
  <c r="I330" i="1"/>
  <c r="H330" i="1"/>
  <c r="G330" i="1"/>
  <c r="F330" i="1"/>
  <c r="E330" i="1"/>
  <c r="K329" i="1"/>
  <c r="I329" i="1"/>
  <c r="J329" i="1" s="1"/>
  <c r="H329" i="1"/>
  <c r="G329" i="1"/>
  <c r="F329" i="1"/>
  <c r="E329" i="1"/>
  <c r="K328" i="1"/>
  <c r="I328" i="1"/>
  <c r="H328" i="1"/>
  <c r="J328" i="1" s="1"/>
  <c r="G328" i="1"/>
  <c r="F328" i="1"/>
  <c r="E328" i="1"/>
  <c r="K327" i="1"/>
  <c r="J327" i="1"/>
  <c r="I327" i="1"/>
  <c r="H327" i="1"/>
  <c r="G327" i="1"/>
  <c r="F327" i="1"/>
  <c r="E327" i="1"/>
  <c r="K326" i="1"/>
  <c r="J326" i="1"/>
  <c r="I326" i="1"/>
  <c r="H326" i="1"/>
  <c r="G326" i="1"/>
  <c r="F326" i="1"/>
  <c r="E326" i="1"/>
  <c r="K325" i="1"/>
  <c r="I325" i="1"/>
  <c r="J325" i="1" s="1"/>
  <c r="H325" i="1"/>
  <c r="G325" i="1"/>
  <c r="F325" i="1"/>
  <c r="E325" i="1"/>
  <c r="K324" i="1"/>
  <c r="I324" i="1"/>
  <c r="H324" i="1"/>
  <c r="J324" i="1" s="1"/>
  <c r="G324" i="1"/>
  <c r="F324" i="1"/>
  <c r="E324" i="1"/>
  <c r="K323" i="1"/>
  <c r="J323" i="1"/>
  <c r="I323" i="1"/>
  <c r="H323" i="1"/>
  <c r="G323" i="1"/>
  <c r="F323" i="1"/>
  <c r="E323" i="1"/>
  <c r="K322" i="1"/>
  <c r="J322" i="1"/>
  <c r="I322" i="1"/>
  <c r="H322" i="1"/>
  <c r="G322" i="1"/>
  <c r="F322" i="1"/>
  <c r="E322" i="1"/>
  <c r="K321" i="1"/>
  <c r="I321" i="1"/>
  <c r="J321" i="1" s="1"/>
  <c r="H321" i="1"/>
  <c r="G321" i="1"/>
  <c r="F321" i="1"/>
  <c r="E321" i="1"/>
  <c r="K320" i="1"/>
  <c r="I320" i="1"/>
  <c r="H320" i="1"/>
  <c r="J320" i="1" s="1"/>
  <c r="G320" i="1"/>
  <c r="F320" i="1"/>
  <c r="E320" i="1"/>
  <c r="K319" i="1"/>
  <c r="J319" i="1"/>
  <c r="I319" i="1"/>
  <c r="H319" i="1"/>
  <c r="G319" i="1"/>
  <c r="F319" i="1"/>
  <c r="E319" i="1"/>
  <c r="K318" i="1"/>
  <c r="J318" i="1"/>
  <c r="I318" i="1"/>
  <c r="H318" i="1"/>
  <c r="G318" i="1"/>
  <c r="F318" i="1"/>
  <c r="E318" i="1"/>
  <c r="K317" i="1"/>
  <c r="I317" i="1"/>
  <c r="J317" i="1" s="1"/>
  <c r="H317" i="1"/>
  <c r="G317" i="1"/>
  <c r="F317" i="1"/>
  <c r="E317" i="1"/>
  <c r="K316" i="1"/>
  <c r="J316" i="1"/>
  <c r="I316" i="1"/>
  <c r="H316" i="1"/>
  <c r="G316" i="1"/>
  <c r="F316" i="1"/>
  <c r="E316" i="1"/>
  <c r="K315" i="1"/>
  <c r="J315" i="1"/>
  <c r="I315" i="1"/>
  <c r="H315" i="1"/>
  <c r="G315" i="1"/>
  <c r="F315" i="1"/>
  <c r="E315" i="1"/>
  <c r="K314" i="1"/>
  <c r="J314" i="1"/>
  <c r="I314" i="1"/>
  <c r="H314" i="1"/>
  <c r="G314" i="1"/>
  <c r="F314" i="1"/>
  <c r="E314" i="1"/>
  <c r="K313" i="1"/>
  <c r="I313" i="1"/>
  <c r="J313" i="1" s="1"/>
  <c r="H313" i="1"/>
  <c r="G313" i="1"/>
  <c r="F313" i="1"/>
  <c r="E313" i="1"/>
  <c r="K312" i="1"/>
  <c r="I312" i="1"/>
  <c r="H312" i="1"/>
  <c r="J312" i="1" s="1"/>
  <c r="G312" i="1"/>
  <c r="F312" i="1"/>
  <c r="E312" i="1"/>
  <c r="K311" i="1"/>
  <c r="J311" i="1"/>
  <c r="I311" i="1"/>
  <c r="H311" i="1"/>
  <c r="G311" i="1"/>
  <c r="F311" i="1"/>
  <c r="E311" i="1"/>
  <c r="K310" i="1"/>
  <c r="J310" i="1"/>
  <c r="I310" i="1"/>
  <c r="H310" i="1"/>
  <c r="G310" i="1"/>
  <c r="F310" i="1"/>
  <c r="E310" i="1"/>
  <c r="K309" i="1"/>
  <c r="I309" i="1"/>
  <c r="J309" i="1" s="1"/>
  <c r="H309" i="1"/>
  <c r="G309" i="1"/>
  <c r="F309" i="1"/>
  <c r="E309" i="1"/>
  <c r="K308" i="1"/>
  <c r="I308" i="1"/>
  <c r="H308" i="1"/>
  <c r="J308" i="1" s="1"/>
  <c r="G308" i="1"/>
  <c r="F308" i="1"/>
  <c r="E308" i="1"/>
  <c r="K307" i="1"/>
  <c r="J307" i="1"/>
  <c r="I307" i="1"/>
  <c r="H307" i="1"/>
  <c r="G307" i="1"/>
  <c r="F307" i="1"/>
  <c r="E307" i="1"/>
  <c r="K306" i="1"/>
  <c r="J306" i="1"/>
  <c r="I306" i="1"/>
  <c r="H306" i="1"/>
  <c r="G306" i="1"/>
  <c r="F306" i="1"/>
  <c r="E306" i="1"/>
  <c r="K305" i="1"/>
  <c r="I305" i="1"/>
  <c r="J305" i="1" s="1"/>
  <c r="H305" i="1"/>
  <c r="G305" i="1"/>
  <c r="F305" i="1"/>
  <c r="E305" i="1"/>
  <c r="K304" i="1"/>
  <c r="I304" i="1"/>
  <c r="H304" i="1"/>
  <c r="J304" i="1" s="1"/>
  <c r="G304" i="1"/>
  <c r="F304" i="1"/>
  <c r="E304" i="1"/>
  <c r="K303" i="1"/>
  <c r="J303" i="1"/>
  <c r="I303" i="1"/>
  <c r="H303" i="1"/>
  <c r="G303" i="1"/>
  <c r="F303" i="1"/>
  <c r="E303" i="1"/>
  <c r="K302" i="1"/>
  <c r="J302" i="1"/>
  <c r="I302" i="1"/>
  <c r="H302" i="1"/>
  <c r="G302" i="1"/>
  <c r="F302" i="1"/>
  <c r="E302" i="1"/>
  <c r="K301" i="1"/>
  <c r="I301" i="1"/>
  <c r="J301" i="1" s="1"/>
  <c r="H301" i="1"/>
  <c r="G301" i="1"/>
  <c r="F301" i="1"/>
  <c r="E301" i="1"/>
  <c r="K300" i="1"/>
  <c r="I300" i="1"/>
  <c r="H300" i="1"/>
  <c r="J300" i="1" s="1"/>
  <c r="G300" i="1"/>
  <c r="F300" i="1"/>
  <c r="E300" i="1"/>
  <c r="K299" i="1"/>
  <c r="J299" i="1"/>
  <c r="I299" i="1"/>
  <c r="H299" i="1"/>
  <c r="G299" i="1"/>
  <c r="F299" i="1"/>
  <c r="E299" i="1"/>
  <c r="K298" i="1"/>
  <c r="J298" i="1"/>
  <c r="I298" i="1"/>
  <c r="H298" i="1"/>
  <c r="G298" i="1"/>
  <c r="F298" i="1"/>
  <c r="E298" i="1"/>
  <c r="K297" i="1"/>
  <c r="I297" i="1"/>
  <c r="J297" i="1" s="1"/>
  <c r="H297" i="1"/>
  <c r="G297" i="1"/>
  <c r="F297" i="1"/>
  <c r="E297" i="1"/>
  <c r="K296" i="1"/>
  <c r="I296" i="1"/>
  <c r="H296" i="1"/>
  <c r="J296" i="1" s="1"/>
  <c r="G296" i="1"/>
  <c r="F296" i="1"/>
  <c r="E296" i="1"/>
  <c r="K295" i="1"/>
  <c r="J295" i="1"/>
  <c r="I295" i="1"/>
  <c r="H295" i="1"/>
  <c r="G295" i="1"/>
  <c r="F295" i="1"/>
  <c r="E295" i="1"/>
  <c r="K294" i="1"/>
  <c r="J294" i="1"/>
  <c r="I294" i="1"/>
  <c r="H294" i="1"/>
  <c r="G294" i="1"/>
  <c r="F294" i="1"/>
  <c r="E294" i="1"/>
  <c r="K293" i="1"/>
  <c r="I293" i="1"/>
  <c r="J293" i="1" s="1"/>
  <c r="H293" i="1"/>
  <c r="G293" i="1"/>
  <c r="F293" i="1"/>
  <c r="E293" i="1"/>
  <c r="K292" i="1"/>
  <c r="I292" i="1"/>
  <c r="H292" i="1"/>
  <c r="J292" i="1" s="1"/>
  <c r="G292" i="1"/>
  <c r="F292" i="1"/>
  <c r="E292" i="1"/>
  <c r="K291" i="1"/>
  <c r="J291" i="1"/>
  <c r="I291" i="1"/>
  <c r="H291" i="1"/>
  <c r="G291" i="1"/>
  <c r="F291" i="1"/>
  <c r="E291" i="1"/>
  <c r="K290" i="1"/>
  <c r="J290" i="1"/>
  <c r="I290" i="1"/>
  <c r="H290" i="1"/>
  <c r="G290" i="1"/>
  <c r="F290" i="1"/>
  <c r="E290" i="1"/>
  <c r="K289" i="1"/>
  <c r="I289" i="1"/>
  <c r="J289" i="1" s="1"/>
  <c r="H289" i="1"/>
  <c r="G289" i="1"/>
  <c r="F289" i="1"/>
  <c r="E289" i="1"/>
  <c r="K288" i="1"/>
  <c r="I288" i="1"/>
  <c r="H288" i="1"/>
  <c r="J288" i="1" s="1"/>
  <c r="G288" i="1"/>
  <c r="F288" i="1"/>
  <c r="E288" i="1"/>
  <c r="K287" i="1"/>
  <c r="J287" i="1"/>
  <c r="I287" i="1"/>
  <c r="H287" i="1"/>
  <c r="G287" i="1"/>
  <c r="F287" i="1"/>
  <c r="E287" i="1"/>
  <c r="K286" i="1"/>
  <c r="J286" i="1"/>
  <c r="I286" i="1"/>
  <c r="H286" i="1"/>
  <c r="G286" i="1"/>
  <c r="F286" i="1"/>
  <c r="E286" i="1"/>
  <c r="K285" i="1"/>
  <c r="I285" i="1"/>
  <c r="J285" i="1" s="1"/>
  <c r="H285" i="1"/>
  <c r="G285" i="1"/>
  <c r="F285" i="1"/>
  <c r="E285" i="1"/>
  <c r="K284" i="1"/>
  <c r="I284" i="1"/>
  <c r="H284" i="1"/>
  <c r="J284" i="1" s="1"/>
  <c r="G284" i="1"/>
  <c r="F284" i="1"/>
  <c r="E284" i="1"/>
  <c r="K283" i="1"/>
  <c r="J283" i="1"/>
  <c r="I283" i="1"/>
  <c r="H283" i="1"/>
  <c r="G283" i="1"/>
  <c r="F283" i="1"/>
  <c r="E283" i="1"/>
  <c r="K282" i="1"/>
  <c r="J282" i="1"/>
  <c r="I282" i="1"/>
  <c r="H282" i="1"/>
  <c r="G282" i="1"/>
  <c r="F282" i="1"/>
  <c r="E282" i="1"/>
  <c r="K281" i="1"/>
  <c r="I281" i="1"/>
  <c r="J281" i="1" s="1"/>
  <c r="H281" i="1"/>
  <c r="G281" i="1"/>
  <c r="F281" i="1"/>
  <c r="E281" i="1"/>
  <c r="K280" i="1"/>
  <c r="I280" i="1"/>
  <c r="H280" i="1"/>
  <c r="J280" i="1" s="1"/>
  <c r="G280" i="1"/>
  <c r="F280" i="1"/>
  <c r="E280" i="1"/>
  <c r="K279" i="1"/>
  <c r="J279" i="1"/>
  <c r="I279" i="1"/>
  <c r="H279" i="1"/>
  <c r="G279" i="1"/>
  <c r="F279" i="1"/>
  <c r="E279" i="1"/>
  <c r="K278" i="1"/>
  <c r="J278" i="1"/>
  <c r="I278" i="1"/>
  <c r="H278" i="1"/>
  <c r="G278" i="1"/>
  <c r="F278" i="1"/>
  <c r="E278" i="1"/>
  <c r="K277" i="1"/>
  <c r="I277" i="1"/>
  <c r="J277" i="1" s="1"/>
  <c r="H277" i="1"/>
  <c r="G277" i="1"/>
  <c r="F277" i="1"/>
  <c r="E277" i="1"/>
  <c r="K276" i="1"/>
  <c r="I276" i="1"/>
  <c r="H276" i="1"/>
  <c r="J276" i="1" s="1"/>
  <c r="G276" i="1"/>
  <c r="F276" i="1"/>
  <c r="E276" i="1"/>
  <c r="K275" i="1"/>
  <c r="J275" i="1"/>
  <c r="I275" i="1"/>
  <c r="H275" i="1"/>
  <c r="G275" i="1"/>
  <c r="F275" i="1"/>
  <c r="E275" i="1"/>
  <c r="K274" i="1"/>
  <c r="J274" i="1"/>
  <c r="I274" i="1"/>
  <c r="H274" i="1"/>
  <c r="G274" i="1"/>
  <c r="F274" i="1"/>
  <c r="E274" i="1"/>
  <c r="K273" i="1"/>
  <c r="I273" i="1"/>
  <c r="J273" i="1" s="1"/>
  <c r="H273" i="1"/>
  <c r="G273" i="1"/>
  <c r="F273" i="1"/>
  <c r="E273" i="1"/>
  <c r="K272" i="1"/>
  <c r="I272" i="1"/>
  <c r="H272" i="1"/>
  <c r="J272" i="1" s="1"/>
  <c r="G272" i="1"/>
  <c r="F272" i="1"/>
  <c r="E272" i="1"/>
  <c r="K271" i="1"/>
  <c r="J271" i="1"/>
  <c r="I271" i="1"/>
  <c r="H271" i="1"/>
  <c r="G271" i="1"/>
  <c r="F271" i="1"/>
  <c r="E271" i="1"/>
  <c r="K270" i="1"/>
  <c r="J270" i="1"/>
  <c r="I270" i="1"/>
  <c r="H270" i="1"/>
  <c r="G270" i="1"/>
  <c r="F270" i="1"/>
  <c r="E270" i="1"/>
  <c r="K269" i="1"/>
  <c r="I269" i="1"/>
  <c r="J269" i="1" s="1"/>
  <c r="H269" i="1"/>
  <c r="G269" i="1"/>
  <c r="F269" i="1"/>
  <c r="E269" i="1"/>
  <c r="K268" i="1"/>
  <c r="I268" i="1"/>
  <c r="H268" i="1"/>
  <c r="J268" i="1" s="1"/>
  <c r="G268" i="1"/>
  <c r="F268" i="1"/>
  <c r="E268" i="1"/>
  <c r="K267" i="1"/>
  <c r="J267" i="1"/>
  <c r="I267" i="1"/>
  <c r="H267" i="1"/>
  <c r="G267" i="1"/>
  <c r="F267" i="1"/>
  <c r="E267" i="1"/>
  <c r="K266" i="1"/>
  <c r="J266" i="1"/>
  <c r="I266" i="1"/>
  <c r="H266" i="1"/>
  <c r="G266" i="1"/>
  <c r="F266" i="1"/>
  <c r="E266" i="1"/>
  <c r="K265" i="1"/>
  <c r="I265" i="1"/>
  <c r="J265" i="1" s="1"/>
  <c r="H265" i="1"/>
  <c r="G265" i="1"/>
  <c r="F265" i="1"/>
  <c r="E265" i="1"/>
  <c r="K264" i="1"/>
  <c r="I264" i="1"/>
  <c r="H264" i="1"/>
  <c r="J264" i="1" s="1"/>
  <c r="G264" i="1"/>
  <c r="F264" i="1"/>
  <c r="E264" i="1"/>
  <c r="K263" i="1"/>
  <c r="J263" i="1"/>
  <c r="I263" i="1"/>
  <c r="H263" i="1"/>
  <c r="G263" i="1"/>
  <c r="F263" i="1"/>
  <c r="E263" i="1"/>
  <c r="K262" i="1"/>
  <c r="J262" i="1"/>
  <c r="I262" i="1"/>
  <c r="H262" i="1"/>
  <c r="G262" i="1"/>
  <c r="F262" i="1"/>
  <c r="E262" i="1"/>
  <c r="K261" i="1"/>
  <c r="I261" i="1"/>
  <c r="J261" i="1" s="1"/>
  <c r="H261" i="1"/>
  <c r="G261" i="1"/>
  <c r="F261" i="1"/>
  <c r="E261" i="1"/>
  <c r="K260" i="1"/>
  <c r="I260" i="1"/>
  <c r="H260" i="1"/>
  <c r="J260" i="1" s="1"/>
  <c r="G260" i="1"/>
  <c r="F260" i="1"/>
  <c r="E260" i="1"/>
  <c r="K259" i="1"/>
  <c r="J259" i="1"/>
  <c r="I259" i="1"/>
  <c r="H259" i="1"/>
  <c r="G259" i="1"/>
  <c r="F259" i="1"/>
  <c r="E259" i="1"/>
  <c r="K258" i="1"/>
  <c r="J258" i="1"/>
  <c r="I258" i="1"/>
  <c r="H258" i="1"/>
  <c r="G258" i="1"/>
  <c r="F258" i="1"/>
  <c r="E258" i="1"/>
  <c r="K257" i="1"/>
  <c r="I257" i="1"/>
  <c r="J257" i="1" s="1"/>
  <c r="H257" i="1"/>
  <c r="G257" i="1"/>
  <c r="F257" i="1"/>
  <c r="E257" i="1"/>
  <c r="K256" i="1"/>
  <c r="I256" i="1"/>
  <c r="H256" i="1"/>
  <c r="J256" i="1" s="1"/>
  <c r="G256" i="1"/>
  <c r="F256" i="1"/>
  <c r="E256" i="1"/>
  <c r="K255" i="1"/>
  <c r="J255" i="1"/>
  <c r="I255" i="1"/>
  <c r="H255" i="1"/>
  <c r="G255" i="1"/>
  <c r="F255" i="1"/>
  <c r="E255" i="1"/>
  <c r="K254" i="1"/>
  <c r="J254" i="1"/>
  <c r="I254" i="1"/>
  <c r="H254" i="1"/>
  <c r="G254" i="1"/>
  <c r="F254" i="1"/>
  <c r="E254" i="1"/>
  <c r="K253" i="1"/>
  <c r="I253" i="1"/>
  <c r="J253" i="1" s="1"/>
  <c r="H253" i="1"/>
  <c r="G253" i="1"/>
  <c r="F253" i="1"/>
  <c r="E253" i="1"/>
  <c r="K252" i="1"/>
  <c r="J252" i="1"/>
  <c r="I252" i="1"/>
  <c r="H252" i="1"/>
  <c r="G252" i="1"/>
  <c r="F252" i="1"/>
  <c r="E252" i="1"/>
  <c r="K251" i="1"/>
  <c r="J251" i="1"/>
  <c r="I251" i="1"/>
  <c r="H251" i="1"/>
  <c r="G251" i="1"/>
  <c r="F251" i="1"/>
  <c r="E251" i="1"/>
  <c r="K250" i="1"/>
  <c r="J250" i="1"/>
  <c r="I250" i="1"/>
  <c r="H250" i="1"/>
  <c r="G250" i="1"/>
  <c r="F250" i="1"/>
  <c r="E250" i="1"/>
  <c r="K249" i="1"/>
  <c r="I249" i="1"/>
  <c r="J249" i="1" s="1"/>
  <c r="H249" i="1"/>
  <c r="G249" i="1"/>
  <c r="F249" i="1"/>
  <c r="E249" i="1"/>
  <c r="K248" i="1"/>
  <c r="I248" i="1"/>
  <c r="H248" i="1"/>
  <c r="J248" i="1" s="1"/>
  <c r="G248" i="1"/>
  <c r="F248" i="1"/>
  <c r="E248" i="1"/>
  <c r="K247" i="1"/>
  <c r="J247" i="1"/>
  <c r="I247" i="1"/>
  <c r="H247" i="1"/>
  <c r="G247" i="1"/>
  <c r="F247" i="1"/>
  <c r="E247" i="1"/>
  <c r="K246" i="1"/>
  <c r="J246" i="1"/>
  <c r="I246" i="1"/>
  <c r="H246" i="1"/>
  <c r="G246" i="1"/>
  <c r="F246" i="1"/>
  <c r="E246" i="1"/>
  <c r="K245" i="1"/>
  <c r="I245" i="1"/>
  <c r="J245" i="1" s="1"/>
  <c r="H245" i="1"/>
  <c r="G245" i="1"/>
  <c r="F245" i="1"/>
  <c r="E245" i="1"/>
  <c r="K244" i="1"/>
  <c r="I244" i="1"/>
  <c r="H244" i="1"/>
  <c r="J244" i="1" s="1"/>
  <c r="G244" i="1"/>
  <c r="F244" i="1"/>
  <c r="E244" i="1"/>
  <c r="K243" i="1"/>
  <c r="J243" i="1"/>
  <c r="I243" i="1"/>
  <c r="H243" i="1"/>
  <c r="G243" i="1"/>
  <c r="F243" i="1"/>
  <c r="E243" i="1"/>
  <c r="K242" i="1"/>
  <c r="J242" i="1"/>
  <c r="I242" i="1"/>
  <c r="H242" i="1"/>
  <c r="G242" i="1"/>
  <c r="F242" i="1"/>
  <c r="E242" i="1"/>
  <c r="K241" i="1"/>
  <c r="I241" i="1"/>
  <c r="J241" i="1" s="1"/>
  <c r="H241" i="1"/>
  <c r="G241" i="1"/>
  <c r="F241" i="1"/>
  <c r="E241" i="1"/>
  <c r="K240" i="1"/>
  <c r="I240" i="1"/>
  <c r="H240" i="1"/>
  <c r="J240" i="1" s="1"/>
  <c r="G240" i="1"/>
  <c r="F240" i="1"/>
  <c r="E240" i="1"/>
  <c r="K239" i="1"/>
  <c r="J239" i="1"/>
  <c r="I239" i="1"/>
  <c r="H239" i="1"/>
  <c r="G239" i="1"/>
  <c r="F239" i="1"/>
  <c r="E239" i="1"/>
  <c r="K238" i="1"/>
  <c r="J238" i="1"/>
  <c r="I238" i="1"/>
  <c r="H238" i="1"/>
  <c r="G238" i="1"/>
  <c r="F238" i="1"/>
  <c r="E238" i="1"/>
  <c r="K237" i="1"/>
  <c r="I237" i="1"/>
  <c r="J237" i="1" s="1"/>
  <c r="H237" i="1"/>
  <c r="G237" i="1"/>
  <c r="F237" i="1"/>
  <c r="E237" i="1"/>
  <c r="K236" i="1"/>
  <c r="I236" i="1"/>
  <c r="H236" i="1"/>
  <c r="J236" i="1" s="1"/>
  <c r="G236" i="1"/>
  <c r="F236" i="1"/>
  <c r="E236" i="1"/>
  <c r="K235" i="1"/>
  <c r="J235" i="1"/>
  <c r="I235" i="1"/>
  <c r="H235" i="1"/>
  <c r="G235" i="1"/>
  <c r="F235" i="1"/>
  <c r="E235" i="1"/>
  <c r="K234" i="1"/>
  <c r="J234" i="1"/>
  <c r="I234" i="1"/>
  <c r="H234" i="1"/>
  <c r="G234" i="1"/>
  <c r="F234" i="1"/>
  <c r="E234" i="1"/>
  <c r="K233" i="1"/>
  <c r="I233" i="1"/>
  <c r="J233" i="1" s="1"/>
  <c r="H233" i="1"/>
  <c r="G233" i="1"/>
  <c r="F233" i="1"/>
  <c r="E233" i="1"/>
  <c r="K232" i="1"/>
  <c r="I232" i="1"/>
  <c r="H232" i="1"/>
  <c r="J232" i="1" s="1"/>
  <c r="G232" i="1"/>
  <c r="F232" i="1"/>
  <c r="E232" i="1"/>
  <c r="K231" i="1"/>
  <c r="J231" i="1"/>
  <c r="I231" i="1"/>
  <c r="H231" i="1"/>
  <c r="G231" i="1"/>
  <c r="F231" i="1"/>
  <c r="E231" i="1"/>
  <c r="K230" i="1"/>
  <c r="J230" i="1"/>
  <c r="I230" i="1"/>
  <c r="H230" i="1"/>
  <c r="G230" i="1"/>
  <c r="F230" i="1"/>
  <c r="E230" i="1"/>
  <c r="K229" i="1"/>
  <c r="I229" i="1"/>
  <c r="J229" i="1" s="1"/>
  <c r="H229" i="1"/>
  <c r="G229" i="1"/>
  <c r="F229" i="1"/>
  <c r="E229" i="1"/>
  <c r="K228" i="1"/>
  <c r="I228" i="1"/>
  <c r="H228" i="1"/>
  <c r="J228" i="1" s="1"/>
  <c r="G228" i="1"/>
  <c r="F228" i="1"/>
  <c r="E228" i="1"/>
  <c r="K227" i="1"/>
  <c r="J227" i="1"/>
  <c r="I227" i="1"/>
  <c r="H227" i="1"/>
  <c r="G227" i="1"/>
  <c r="F227" i="1"/>
  <c r="E227" i="1"/>
  <c r="K226" i="1"/>
  <c r="J226" i="1"/>
  <c r="I226" i="1"/>
  <c r="H226" i="1"/>
  <c r="G226" i="1"/>
  <c r="F226" i="1"/>
  <c r="E226" i="1"/>
  <c r="K225" i="1"/>
  <c r="I225" i="1"/>
  <c r="J225" i="1" s="1"/>
  <c r="H225" i="1"/>
  <c r="G225" i="1"/>
  <c r="F225" i="1"/>
  <c r="E225" i="1"/>
  <c r="K224" i="1"/>
  <c r="I224" i="1"/>
  <c r="H224" i="1"/>
  <c r="J224" i="1" s="1"/>
  <c r="G224" i="1"/>
  <c r="F224" i="1"/>
  <c r="E224" i="1"/>
  <c r="K223" i="1"/>
  <c r="J223" i="1"/>
  <c r="I223" i="1"/>
  <c r="H223" i="1"/>
  <c r="G223" i="1"/>
  <c r="F223" i="1"/>
  <c r="E223" i="1"/>
  <c r="K222" i="1"/>
  <c r="J222" i="1"/>
  <c r="I222" i="1"/>
  <c r="H222" i="1"/>
  <c r="G222" i="1"/>
  <c r="F222" i="1"/>
  <c r="E222" i="1"/>
  <c r="K221" i="1"/>
  <c r="I221" i="1"/>
  <c r="J221" i="1" s="1"/>
  <c r="H221" i="1"/>
  <c r="G221" i="1"/>
  <c r="F221" i="1"/>
  <c r="E221" i="1"/>
  <c r="K220" i="1"/>
  <c r="I220" i="1"/>
  <c r="H220" i="1"/>
  <c r="J220" i="1" s="1"/>
  <c r="G220" i="1"/>
  <c r="F220" i="1"/>
  <c r="E220" i="1"/>
  <c r="K219" i="1"/>
  <c r="J219" i="1"/>
  <c r="I219" i="1"/>
  <c r="H219" i="1"/>
  <c r="G219" i="1"/>
  <c r="F219" i="1"/>
  <c r="E219" i="1"/>
  <c r="K218" i="1"/>
  <c r="J218" i="1"/>
  <c r="I218" i="1"/>
  <c r="H218" i="1"/>
  <c r="G218" i="1"/>
  <c r="F218" i="1"/>
  <c r="E218" i="1"/>
  <c r="K217" i="1"/>
  <c r="I217" i="1"/>
  <c r="J217" i="1" s="1"/>
  <c r="H217" i="1"/>
  <c r="G217" i="1"/>
  <c r="F217" i="1"/>
  <c r="E217" i="1"/>
  <c r="K216" i="1"/>
  <c r="I216" i="1"/>
  <c r="H216" i="1"/>
  <c r="J216" i="1" s="1"/>
  <c r="G216" i="1"/>
  <c r="F216" i="1"/>
  <c r="E216" i="1"/>
  <c r="K215" i="1"/>
  <c r="J215" i="1"/>
  <c r="I215" i="1"/>
  <c r="H215" i="1"/>
  <c r="G215" i="1"/>
  <c r="F215" i="1"/>
  <c r="E215" i="1"/>
  <c r="K214" i="1"/>
  <c r="J214" i="1"/>
  <c r="I214" i="1"/>
  <c r="H214" i="1"/>
  <c r="G214" i="1"/>
  <c r="F214" i="1"/>
  <c r="E214" i="1"/>
  <c r="K213" i="1"/>
  <c r="I213" i="1"/>
  <c r="J213" i="1" s="1"/>
  <c r="H213" i="1"/>
  <c r="G213" i="1"/>
  <c r="F213" i="1"/>
  <c r="E213" i="1"/>
  <c r="K212" i="1"/>
  <c r="I212" i="1"/>
  <c r="H212" i="1"/>
  <c r="J212" i="1" s="1"/>
  <c r="G212" i="1"/>
  <c r="F212" i="1"/>
  <c r="E212" i="1"/>
  <c r="K211" i="1"/>
  <c r="J211" i="1"/>
  <c r="I211" i="1"/>
  <c r="H211" i="1"/>
  <c r="G211" i="1"/>
  <c r="F211" i="1"/>
  <c r="E211" i="1"/>
  <c r="K210" i="1"/>
  <c r="J210" i="1"/>
  <c r="I210" i="1"/>
  <c r="H210" i="1"/>
  <c r="G210" i="1"/>
  <c r="F210" i="1"/>
  <c r="E210" i="1"/>
  <c r="K209" i="1"/>
  <c r="I209" i="1"/>
  <c r="J209" i="1" s="1"/>
  <c r="H209" i="1"/>
  <c r="G209" i="1"/>
  <c r="F209" i="1"/>
  <c r="E209" i="1"/>
  <c r="K208" i="1"/>
  <c r="J208" i="1"/>
  <c r="I208" i="1"/>
  <c r="H208" i="1"/>
  <c r="G208" i="1"/>
  <c r="F208" i="1"/>
  <c r="E208" i="1"/>
  <c r="K207" i="1"/>
  <c r="J207" i="1"/>
  <c r="I207" i="1"/>
  <c r="H207" i="1"/>
  <c r="G207" i="1"/>
  <c r="F207" i="1"/>
  <c r="E207" i="1"/>
  <c r="K206" i="1"/>
  <c r="J206" i="1"/>
  <c r="I206" i="1"/>
  <c r="H206" i="1"/>
  <c r="G206" i="1"/>
  <c r="F206" i="1"/>
  <c r="E206" i="1"/>
  <c r="K205" i="1"/>
  <c r="I205" i="1"/>
  <c r="J205" i="1" s="1"/>
  <c r="H205" i="1"/>
  <c r="G205" i="1"/>
  <c r="F205" i="1"/>
  <c r="E205" i="1"/>
  <c r="K204" i="1"/>
  <c r="I204" i="1"/>
  <c r="H204" i="1"/>
  <c r="J204" i="1" s="1"/>
  <c r="G204" i="1"/>
  <c r="F204" i="1"/>
  <c r="E204" i="1"/>
  <c r="K203" i="1"/>
  <c r="J203" i="1"/>
  <c r="I203" i="1"/>
  <c r="H203" i="1"/>
  <c r="G203" i="1"/>
  <c r="F203" i="1"/>
  <c r="E203" i="1"/>
  <c r="K202" i="1"/>
  <c r="J202" i="1"/>
  <c r="I202" i="1"/>
  <c r="H202" i="1"/>
  <c r="G202" i="1"/>
  <c r="F202" i="1"/>
  <c r="E202" i="1"/>
  <c r="K201" i="1"/>
  <c r="I201" i="1"/>
  <c r="J201" i="1" s="1"/>
  <c r="H201" i="1"/>
  <c r="G201" i="1"/>
  <c r="F201" i="1"/>
  <c r="E201" i="1"/>
  <c r="K200" i="1"/>
  <c r="I200" i="1"/>
  <c r="H200" i="1"/>
  <c r="J200" i="1" s="1"/>
  <c r="G200" i="1"/>
  <c r="F200" i="1"/>
  <c r="E200" i="1"/>
  <c r="K199" i="1"/>
  <c r="J199" i="1"/>
  <c r="I199" i="1"/>
  <c r="H199" i="1"/>
  <c r="G199" i="1"/>
  <c r="F199" i="1"/>
  <c r="E199" i="1"/>
  <c r="K198" i="1"/>
  <c r="J198" i="1"/>
  <c r="I198" i="1"/>
  <c r="H198" i="1"/>
  <c r="G198" i="1"/>
  <c r="F198" i="1"/>
  <c r="E198" i="1"/>
  <c r="K197" i="1"/>
  <c r="I197" i="1"/>
  <c r="J197" i="1" s="1"/>
  <c r="H197" i="1"/>
  <c r="G197" i="1"/>
  <c r="F197" i="1"/>
  <c r="E197" i="1"/>
  <c r="K196" i="1"/>
  <c r="I196" i="1"/>
  <c r="H196" i="1"/>
  <c r="J196" i="1" s="1"/>
  <c r="G196" i="1"/>
  <c r="F196" i="1"/>
  <c r="E196" i="1"/>
  <c r="K195" i="1"/>
  <c r="J195" i="1"/>
  <c r="I195" i="1"/>
  <c r="H195" i="1"/>
  <c r="G195" i="1"/>
  <c r="F195" i="1"/>
  <c r="E195" i="1"/>
  <c r="K194" i="1"/>
  <c r="J194" i="1"/>
  <c r="I194" i="1"/>
  <c r="H194" i="1"/>
  <c r="G194" i="1"/>
  <c r="F194" i="1"/>
  <c r="E194" i="1"/>
  <c r="K193" i="1"/>
  <c r="I193" i="1"/>
  <c r="J193" i="1" s="1"/>
  <c r="H193" i="1"/>
  <c r="G193" i="1"/>
  <c r="F193" i="1"/>
  <c r="E193" i="1"/>
  <c r="K192" i="1"/>
  <c r="I192" i="1"/>
  <c r="H192" i="1"/>
  <c r="J192" i="1" s="1"/>
  <c r="G192" i="1"/>
  <c r="F192" i="1"/>
  <c r="E192" i="1"/>
  <c r="K191" i="1"/>
  <c r="J191" i="1"/>
  <c r="I191" i="1"/>
  <c r="H191" i="1"/>
  <c r="G191" i="1"/>
  <c r="F191" i="1"/>
  <c r="E191" i="1"/>
  <c r="K190" i="1"/>
  <c r="J190" i="1"/>
  <c r="I190" i="1"/>
  <c r="H190" i="1"/>
  <c r="G190" i="1"/>
  <c r="F190" i="1"/>
  <c r="E190" i="1"/>
  <c r="K189" i="1"/>
  <c r="I189" i="1"/>
  <c r="J189" i="1" s="1"/>
  <c r="H189" i="1"/>
  <c r="G189" i="1"/>
  <c r="F189" i="1"/>
  <c r="E189" i="1"/>
  <c r="K188" i="1"/>
  <c r="I188" i="1"/>
  <c r="H188" i="1"/>
  <c r="J188" i="1" s="1"/>
  <c r="G188" i="1"/>
  <c r="F188" i="1"/>
  <c r="E188" i="1"/>
  <c r="K187" i="1"/>
  <c r="J187" i="1"/>
  <c r="I187" i="1"/>
  <c r="H187" i="1"/>
  <c r="G187" i="1"/>
  <c r="F187" i="1"/>
  <c r="E187" i="1"/>
  <c r="K186" i="1"/>
  <c r="J186" i="1"/>
  <c r="I186" i="1"/>
  <c r="H186" i="1"/>
  <c r="G186" i="1"/>
  <c r="F186" i="1"/>
  <c r="E186" i="1"/>
  <c r="K185" i="1"/>
  <c r="I185" i="1"/>
  <c r="J185" i="1" s="1"/>
  <c r="H185" i="1"/>
  <c r="G185" i="1"/>
  <c r="F185" i="1"/>
  <c r="E185" i="1"/>
  <c r="K184" i="1"/>
  <c r="I184" i="1"/>
  <c r="H184" i="1"/>
  <c r="J184" i="1" s="1"/>
  <c r="G184" i="1"/>
  <c r="F184" i="1"/>
  <c r="E184" i="1"/>
  <c r="K183" i="1"/>
  <c r="J183" i="1"/>
  <c r="I183" i="1"/>
  <c r="H183" i="1"/>
  <c r="G183" i="1"/>
  <c r="F183" i="1"/>
  <c r="E183" i="1"/>
  <c r="K182" i="1"/>
  <c r="J182" i="1"/>
  <c r="I182" i="1"/>
  <c r="H182" i="1"/>
  <c r="G182" i="1"/>
  <c r="F182" i="1"/>
  <c r="E182" i="1"/>
  <c r="K181" i="1"/>
  <c r="I181" i="1"/>
  <c r="J181" i="1" s="1"/>
  <c r="H181" i="1"/>
  <c r="G181" i="1"/>
  <c r="F181" i="1"/>
  <c r="E181" i="1"/>
  <c r="K180" i="1"/>
  <c r="I180" i="1"/>
  <c r="H180" i="1"/>
  <c r="J180" i="1" s="1"/>
  <c r="G180" i="1"/>
  <c r="F180" i="1"/>
  <c r="E180" i="1"/>
  <c r="K179" i="1"/>
  <c r="J179" i="1"/>
  <c r="I179" i="1"/>
  <c r="H179" i="1"/>
  <c r="G179" i="1"/>
  <c r="F179" i="1"/>
  <c r="E179" i="1"/>
  <c r="K178" i="1"/>
  <c r="J178" i="1"/>
  <c r="I178" i="1"/>
  <c r="H178" i="1"/>
  <c r="G178" i="1"/>
  <c r="F178" i="1"/>
  <c r="E178" i="1"/>
  <c r="K177" i="1"/>
  <c r="I177" i="1"/>
  <c r="J177" i="1" s="1"/>
  <c r="H177" i="1"/>
  <c r="G177" i="1"/>
  <c r="F177" i="1"/>
  <c r="E177" i="1"/>
  <c r="K176" i="1"/>
  <c r="I176" i="1"/>
  <c r="H176" i="1"/>
  <c r="J176" i="1" s="1"/>
  <c r="G176" i="1"/>
  <c r="F176" i="1"/>
  <c r="E176" i="1"/>
  <c r="K175" i="1"/>
  <c r="J175" i="1"/>
  <c r="I175" i="1"/>
  <c r="H175" i="1"/>
  <c r="G175" i="1"/>
  <c r="F175" i="1"/>
  <c r="E175" i="1"/>
  <c r="K174" i="1"/>
  <c r="J174" i="1"/>
  <c r="I174" i="1"/>
  <c r="H174" i="1"/>
  <c r="G174" i="1"/>
  <c r="F174" i="1"/>
  <c r="E174" i="1"/>
  <c r="K173" i="1"/>
  <c r="I173" i="1"/>
  <c r="J173" i="1" s="1"/>
  <c r="H173" i="1"/>
  <c r="G173" i="1"/>
  <c r="F173" i="1"/>
  <c r="E173" i="1"/>
  <c r="K172" i="1"/>
  <c r="I172" i="1"/>
  <c r="H172" i="1"/>
  <c r="J172" i="1" s="1"/>
  <c r="G172" i="1"/>
  <c r="F172" i="1"/>
  <c r="E172" i="1"/>
  <c r="K171" i="1"/>
  <c r="J171" i="1"/>
  <c r="I171" i="1"/>
  <c r="H171" i="1"/>
  <c r="G171" i="1"/>
  <c r="F171" i="1"/>
  <c r="E171" i="1"/>
  <c r="K170" i="1"/>
  <c r="J170" i="1"/>
  <c r="I170" i="1"/>
  <c r="H170" i="1"/>
  <c r="G170" i="1"/>
  <c r="F170" i="1"/>
  <c r="E170" i="1"/>
  <c r="K169" i="1"/>
  <c r="I169" i="1"/>
  <c r="J169" i="1" s="1"/>
  <c r="H169" i="1"/>
  <c r="G169" i="1"/>
  <c r="F169" i="1"/>
  <c r="E169" i="1"/>
  <c r="K168" i="1"/>
  <c r="I168" i="1"/>
  <c r="H168" i="1"/>
  <c r="J168" i="1" s="1"/>
  <c r="G168" i="1"/>
  <c r="F168" i="1"/>
  <c r="E168" i="1"/>
  <c r="K167" i="1"/>
  <c r="J167" i="1"/>
  <c r="I167" i="1"/>
  <c r="H167" i="1"/>
  <c r="G167" i="1"/>
  <c r="F167" i="1"/>
  <c r="E167" i="1"/>
  <c r="K166" i="1"/>
  <c r="J166" i="1"/>
  <c r="I166" i="1"/>
  <c r="H166" i="1"/>
  <c r="G166" i="1"/>
  <c r="F166" i="1"/>
  <c r="E166" i="1"/>
  <c r="K165" i="1"/>
  <c r="I165" i="1"/>
  <c r="J165" i="1" s="1"/>
  <c r="H165" i="1"/>
  <c r="G165" i="1"/>
  <c r="F165" i="1"/>
  <c r="E165" i="1"/>
  <c r="K164" i="1"/>
  <c r="J164" i="1"/>
  <c r="I164" i="1"/>
  <c r="H164" i="1"/>
  <c r="G164" i="1"/>
  <c r="F164" i="1"/>
  <c r="E164" i="1"/>
  <c r="K163" i="1"/>
  <c r="J163" i="1"/>
  <c r="I163" i="1"/>
  <c r="H163" i="1"/>
  <c r="G163" i="1"/>
  <c r="F163" i="1"/>
  <c r="E163" i="1"/>
  <c r="K162" i="1"/>
  <c r="J162" i="1"/>
  <c r="I162" i="1"/>
  <c r="H162" i="1"/>
  <c r="G162" i="1"/>
  <c r="F162" i="1"/>
  <c r="E162" i="1"/>
  <c r="K161" i="1"/>
  <c r="I161" i="1"/>
  <c r="J161" i="1" s="1"/>
  <c r="H161" i="1"/>
  <c r="G161" i="1"/>
  <c r="F161" i="1"/>
  <c r="E161" i="1"/>
  <c r="K160" i="1"/>
  <c r="I160" i="1"/>
  <c r="H160" i="1"/>
  <c r="J160" i="1" s="1"/>
  <c r="G160" i="1"/>
  <c r="F160" i="1"/>
  <c r="E160" i="1"/>
  <c r="K159" i="1"/>
  <c r="J159" i="1"/>
  <c r="I159" i="1"/>
  <c r="H159" i="1"/>
  <c r="G159" i="1"/>
  <c r="F159" i="1"/>
  <c r="E159" i="1"/>
  <c r="K158" i="1"/>
  <c r="J158" i="1"/>
  <c r="I158" i="1"/>
  <c r="H158" i="1"/>
  <c r="G158" i="1"/>
  <c r="F158" i="1"/>
  <c r="E158" i="1"/>
  <c r="K157" i="1"/>
  <c r="I157" i="1"/>
  <c r="J157" i="1" s="1"/>
  <c r="H157" i="1"/>
  <c r="G157" i="1"/>
  <c r="F157" i="1"/>
  <c r="E157" i="1"/>
  <c r="K156" i="1"/>
  <c r="I156" i="1"/>
  <c r="H156" i="1"/>
  <c r="J156" i="1" s="1"/>
  <c r="G156" i="1"/>
  <c r="F156" i="1"/>
  <c r="E156" i="1"/>
  <c r="K155" i="1"/>
  <c r="J155" i="1"/>
  <c r="I155" i="1"/>
  <c r="H155" i="1"/>
  <c r="G155" i="1"/>
  <c r="F155" i="1"/>
  <c r="E155" i="1"/>
  <c r="K154" i="1"/>
  <c r="J154" i="1"/>
  <c r="I154" i="1"/>
  <c r="H154" i="1"/>
  <c r="G154" i="1"/>
  <c r="F154" i="1"/>
  <c r="E154" i="1"/>
  <c r="K153" i="1"/>
  <c r="I153" i="1"/>
  <c r="J153" i="1" s="1"/>
  <c r="H153" i="1"/>
  <c r="G153" i="1"/>
  <c r="F153" i="1"/>
  <c r="E153" i="1"/>
  <c r="K152" i="1"/>
  <c r="I152" i="1"/>
  <c r="H152" i="1"/>
  <c r="J152" i="1" s="1"/>
  <c r="G152" i="1"/>
  <c r="F152" i="1"/>
  <c r="E152" i="1"/>
  <c r="K151" i="1"/>
  <c r="J151" i="1"/>
  <c r="I151" i="1"/>
  <c r="H151" i="1"/>
  <c r="G151" i="1"/>
  <c r="F151" i="1"/>
  <c r="E151" i="1"/>
  <c r="K150" i="1"/>
  <c r="J150" i="1"/>
  <c r="I150" i="1"/>
  <c r="H150" i="1"/>
  <c r="G150" i="1"/>
  <c r="F150" i="1"/>
  <c r="E150" i="1"/>
  <c r="K149" i="1"/>
  <c r="I149" i="1"/>
  <c r="J149" i="1" s="1"/>
  <c r="H149" i="1"/>
  <c r="G149" i="1"/>
  <c r="F149" i="1"/>
  <c r="E149" i="1"/>
  <c r="K148" i="1"/>
  <c r="I148" i="1"/>
  <c r="H148" i="1"/>
  <c r="J148" i="1" s="1"/>
  <c r="G148" i="1"/>
  <c r="F148" i="1"/>
  <c r="E148" i="1"/>
  <c r="K147" i="1"/>
  <c r="J147" i="1"/>
  <c r="I147" i="1"/>
  <c r="H147" i="1"/>
  <c r="G147" i="1"/>
  <c r="F147" i="1"/>
  <c r="E147" i="1"/>
  <c r="K146" i="1"/>
  <c r="J146" i="1"/>
  <c r="I146" i="1"/>
  <c r="H146" i="1"/>
  <c r="G146" i="1"/>
  <c r="F146" i="1"/>
  <c r="E146" i="1"/>
  <c r="K145" i="1"/>
  <c r="I145" i="1"/>
  <c r="J145" i="1" s="1"/>
  <c r="H145" i="1"/>
  <c r="G145" i="1"/>
  <c r="F145" i="1"/>
  <c r="E145" i="1"/>
  <c r="K144" i="1"/>
  <c r="I144" i="1"/>
  <c r="H144" i="1"/>
  <c r="J144" i="1" s="1"/>
  <c r="G144" i="1"/>
  <c r="F144" i="1"/>
  <c r="E144" i="1"/>
  <c r="K143" i="1"/>
  <c r="J143" i="1"/>
  <c r="I143" i="1"/>
  <c r="H143" i="1"/>
  <c r="G143" i="1"/>
  <c r="F143" i="1"/>
  <c r="E143" i="1"/>
  <c r="K142" i="1"/>
  <c r="J142" i="1"/>
  <c r="I142" i="1"/>
  <c r="H142" i="1"/>
  <c r="G142" i="1"/>
  <c r="F142" i="1"/>
  <c r="E142" i="1"/>
  <c r="K141" i="1"/>
  <c r="I141" i="1"/>
  <c r="J141" i="1" s="1"/>
  <c r="H141" i="1"/>
  <c r="G141" i="1"/>
  <c r="F141" i="1"/>
  <c r="E141" i="1"/>
  <c r="K140" i="1"/>
  <c r="I140" i="1"/>
  <c r="H140" i="1"/>
  <c r="J140" i="1" s="1"/>
  <c r="G140" i="1"/>
  <c r="F140" i="1"/>
  <c r="E140" i="1"/>
  <c r="K139" i="1"/>
  <c r="J139" i="1"/>
  <c r="I139" i="1"/>
  <c r="H139" i="1"/>
  <c r="G139" i="1"/>
  <c r="F139" i="1"/>
  <c r="E139" i="1"/>
  <c r="K138" i="1"/>
  <c r="J138" i="1"/>
  <c r="I138" i="1"/>
  <c r="H138" i="1"/>
  <c r="G138" i="1"/>
  <c r="F138" i="1"/>
  <c r="E138" i="1"/>
  <c r="K137" i="1"/>
  <c r="I137" i="1"/>
  <c r="J137" i="1" s="1"/>
  <c r="H137" i="1"/>
  <c r="G137" i="1"/>
  <c r="F137" i="1"/>
  <c r="E137" i="1"/>
  <c r="K136" i="1"/>
  <c r="I136" i="1"/>
  <c r="H136" i="1"/>
  <c r="J136" i="1" s="1"/>
  <c r="G136" i="1"/>
  <c r="F136" i="1"/>
  <c r="E136" i="1"/>
  <c r="K135" i="1"/>
  <c r="J135" i="1"/>
  <c r="I135" i="1"/>
  <c r="H135" i="1"/>
  <c r="G135" i="1"/>
  <c r="F135" i="1"/>
  <c r="E135" i="1"/>
  <c r="K134" i="1"/>
  <c r="J134" i="1"/>
  <c r="I134" i="1"/>
  <c r="H134" i="1"/>
  <c r="G134" i="1"/>
  <c r="F134" i="1"/>
  <c r="E134" i="1"/>
  <c r="K133" i="1"/>
  <c r="I133" i="1"/>
  <c r="J133" i="1" s="1"/>
  <c r="H133" i="1"/>
  <c r="G133" i="1"/>
  <c r="F133" i="1"/>
  <c r="E133" i="1"/>
  <c r="K132" i="1"/>
  <c r="I132" i="1"/>
  <c r="H132" i="1"/>
  <c r="J132" i="1" s="1"/>
  <c r="G132" i="1"/>
  <c r="F132" i="1"/>
  <c r="E132" i="1"/>
  <c r="K131" i="1"/>
  <c r="J131" i="1"/>
  <c r="I131" i="1"/>
  <c r="H131" i="1"/>
  <c r="G131" i="1"/>
  <c r="F131" i="1"/>
  <c r="E131" i="1"/>
  <c r="K130" i="1"/>
  <c r="J130" i="1"/>
  <c r="I130" i="1"/>
  <c r="H130" i="1"/>
  <c r="G130" i="1"/>
  <c r="F130" i="1"/>
  <c r="E130" i="1"/>
  <c r="K129" i="1"/>
  <c r="I129" i="1"/>
  <c r="J129" i="1" s="1"/>
  <c r="H129" i="1"/>
  <c r="G129" i="1"/>
  <c r="F129" i="1"/>
  <c r="E129" i="1"/>
  <c r="K128" i="1"/>
  <c r="J128" i="1"/>
  <c r="I128" i="1"/>
  <c r="H128" i="1"/>
  <c r="G128" i="1"/>
  <c r="F128" i="1"/>
  <c r="E128" i="1"/>
  <c r="K127" i="1"/>
  <c r="J127" i="1"/>
  <c r="I127" i="1"/>
  <c r="H127" i="1"/>
  <c r="G127" i="1"/>
  <c r="F127" i="1"/>
  <c r="E127" i="1"/>
  <c r="K126" i="1"/>
  <c r="J126" i="1"/>
  <c r="I126" i="1"/>
  <c r="H126" i="1"/>
  <c r="G126" i="1"/>
  <c r="F126" i="1"/>
  <c r="E126" i="1"/>
  <c r="K125" i="1"/>
  <c r="I125" i="1"/>
  <c r="J125" i="1" s="1"/>
  <c r="H125" i="1"/>
  <c r="G125" i="1"/>
  <c r="F125" i="1"/>
  <c r="E125" i="1"/>
  <c r="K124" i="1"/>
  <c r="I124" i="1"/>
  <c r="H124" i="1"/>
  <c r="J124" i="1" s="1"/>
  <c r="G124" i="1"/>
  <c r="F124" i="1"/>
  <c r="E124" i="1"/>
  <c r="K123" i="1"/>
  <c r="J123" i="1"/>
  <c r="I123" i="1"/>
  <c r="H123" i="1"/>
  <c r="G123" i="1"/>
  <c r="F123" i="1"/>
  <c r="E123" i="1"/>
  <c r="K122" i="1"/>
  <c r="J122" i="1"/>
  <c r="I122" i="1"/>
  <c r="H122" i="1"/>
  <c r="G122" i="1"/>
  <c r="F122" i="1"/>
  <c r="E122" i="1"/>
  <c r="K121" i="1"/>
  <c r="I121" i="1"/>
  <c r="J121" i="1" s="1"/>
  <c r="H121" i="1"/>
  <c r="G121" i="1"/>
  <c r="F121" i="1"/>
  <c r="E121" i="1"/>
  <c r="K120" i="1"/>
  <c r="I120" i="1"/>
  <c r="H120" i="1"/>
  <c r="J120" i="1" s="1"/>
  <c r="G120" i="1"/>
  <c r="F120" i="1"/>
  <c r="E120" i="1"/>
  <c r="K119" i="1"/>
  <c r="J119" i="1"/>
  <c r="I119" i="1"/>
  <c r="H119" i="1"/>
  <c r="G119" i="1"/>
  <c r="F119" i="1"/>
  <c r="E119" i="1"/>
  <c r="K118" i="1"/>
  <c r="J118" i="1"/>
  <c r="I118" i="1"/>
  <c r="H118" i="1"/>
  <c r="G118" i="1"/>
  <c r="F118" i="1"/>
  <c r="E118" i="1"/>
  <c r="K117" i="1"/>
  <c r="I117" i="1"/>
  <c r="J117" i="1" s="1"/>
  <c r="H117" i="1"/>
  <c r="G117" i="1"/>
  <c r="F117" i="1"/>
  <c r="E117" i="1"/>
  <c r="K116" i="1"/>
  <c r="I116" i="1"/>
  <c r="H116" i="1"/>
  <c r="J116" i="1" s="1"/>
  <c r="G116" i="1"/>
  <c r="F116" i="1"/>
  <c r="E116" i="1"/>
  <c r="K115" i="1"/>
  <c r="J115" i="1"/>
  <c r="I115" i="1"/>
  <c r="H115" i="1"/>
  <c r="G115" i="1"/>
  <c r="F115" i="1"/>
  <c r="E115" i="1"/>
  <c r="K114" i="1"/>
  <c r="J114" i="1"/>
  <c r="I114" i="1"/>
  <c r="H114" i="1"/>
  <c r="G114" i="1"/>
  <c r="F114" i="1"/>
  <c r="E114" i="1"/>
  <c r="K113" i="1"/>
  <c r="I113" i="1"/>
  <c r="J113" i="1" s="1"/>
  <c r="H113" i="1"/>
  <c r="G113" i="1"/>
  <c r="F113" i="1"/>
  <c r="E113" i="1"/>
  <c r="K112" i="1"/>
  <c r="I112" i="1"/>
  <c r="H112" i="1"/>
  <c r="J112" i="1" s="1"/>
  <c r="G112" i="1"/>
  <c r="F112" i="1"/>
  <c r="E112" i="1"/>
  <c r="K111" i="1"/>
  <c r="J111" i="1"/>
  <c r="I111" i="1"/>
  <c r="H111" i="1"/>
  <c r="G111" i="1"/>
  <c r="F111" i="1"/>
  <c r="E111" i="1"/>
  <c r="K110" i="1"/>
  <c r="J110" i="1"/>
  <c r="I110" i="1"/>
  <c r="H110" i="1"/>
  <c r="G110" i="1"/>
  <c r="F110" i="1"/>
  <c r="E110" i="1"/>
  <c r="K109" i="1"/>
  <c r="I109" i="1"/>
  <c r="J109" i="1" s="1"/>
  <c r="H109" i="1"/>
  <c r="G109" i="1"/>
  <c r="F109" i="1"/>
  <c r="E109" i="1"/>
  <c r="K108" i="1"/>
  <c r="I108" i="1"/>
  <c r="H108" i="1"/>
  <c r="J108" i="1" s="1"/>
  <c r="G108" i="1"/>
  <c r="F108" i="1"/>
  <c r="E108" i="1"/>
  <c r="K107" i="1"/>
  <c r="J107" i="1"/>
  <c r="I107" i="1"/>
  <c r="H107" i="1"/>
  <c r="G107" i="1"/>
  <c r="F107" i="1"/>
  <c r="E107" i="1"/>
  <c r="K106" i="1"/>
  <c r="J106" i="1"/>
  <c r="I106" i="1"/>
  <c r="H106" i="1"/>
  <c r="G106" i="1"/>
  <c r="F106" i="1"/>
  <c r="E106" i="1"/>
  <c r="K105" i="1"/>
  <c r="I105" i="1"/>
  <c r="J105" i="1" s="1"/>
  <c r="H105" i="1"/>
  <c r="G105" i="1"/>
  <c r="F105" i="1"/>
  <c r="E105" i="1"/>
  <c r="K104" i="1"/>
  <c r="I104" i="1"/>
  <c r="H104" i="1"/>
  <c r="J104" i="1" s="1"/>
  <c r="G104" i="1"/>
  <c r="F104" i="1"/>
  <c r="E104" i="1"/>
  <c r="K103" i="1"/>
  <c r="J103" i="1"/>
  <c r="I103" i="1"/>
  <c r="H103" i="1"/>
  <c r="G103" i="1"/>
  <c r="F103" i="1"/>
  <c r="E103" i="1"/>
  <c r="K102" i="1"/>
  <c r="J102" i="1"/>
  <c r="I102" i="1"/>
  <c r="H102" i="1"/>
  <c r="G102" i="1"/>
  <c r="F102" i="1"/>
  <c r="E102" i="1"/>
  <c r="K101" i="1"/>
  <c r="I101" i="1"/>
  <c r="J101" i="1" s="1"/>
  <c r="H101" i="1"/>
  <c r="G101" i="1"/>
  <c r="F101" i="1"/>
  <c r="E101" i="1"/>
  <c r="K100" i="1"/>
  <c r="I100" i="1"/>
  <c r="H100" i="1"/>
  <c r="J100" i="1" s="1"/>
  <c r="G100" i="1"/>
  <c r="F100" i="1"/>
  <c r="E100" i="1"/>
  <c r="K99" i="1"/>
  <c r="J99" i="1"/>
  <c r="I99" i="1"/>
  <c r="H99" i="1"/>
  <c r="G99" i="1"/>
  <c r="F99" i="1"/>
  <c r="E99" i="1"/>
  <c r="K98" i="1"/>
  <c r="J98" i="1"/>
  <c r="I98" i="1"/>
  <c r="H98" i="1"/>
  <c r="G98" i="1"/>
  <c r="F98" i="1"/>
  <c r="E98" i="1"/>
  <c r="K97" i="1"/>
  <c r="I97" i="1"/>
  <c r="J97" i="1" s="1"/>
  <c r="H97" i="1"/>
  <c r="G97" i="1"/>
  <c r="F97" i="1"/>
  <c r="E97" i="1"/>
  <c r="K96" i="1"/>
  <c r="I96" i="1"/>
  <c r="H96" i="1"/>
  <c r="J96" i="1" s="1"/>
  <c r="G96" i="1"/>
  <c r="F96" i="1"/>
  <c r="E96" i="1"/>
  <c r="K95" i="1"/>
  <c r="J95" i="1"/>
  <c r="I95" i="1"/>
  <c r="H95" i="1"/>
  <c r="G95" i="1"/>
  <c r="F95" i="1"/>
  <c r="E95" i="1"/>
  <c r="K94" i="1"/>
  <c r="J94" i="1"/>
  <c r="I94" i="1"/>
  <c r="H94" i="1"/>
  <c r="G94" i="1"/>
  <c r="F94" i="1"/>
  <c r="E94" i="1"/>
  <c r="K93" i="1"/>
  <c r="I93" i="1"/>
  <c r="J93" i="1" s="1"/>
  <c r="H93" i="1"/>
  <c r="G93" i="1"/>
  <c r="F93" i="1"/>
  <c r="E93" i="1"/>
  <c r="K92" i="1"/>
  <c r="I92" i="1"/>
  <c r="H92" i="1"/>
  <c r="J92" i="1" s="1"/>
  <c r="G92" i="1"/>
  <c r="F92" i="1"/>
  <c r="E92" i="1"/>
  <c r="K91" i="1"/>
  <c r="J91" i="1"/>
  <c r="I91" i="1"/>
  <c r="H91" i="1"/>
  <c r="G91" i="1"/>
  <c r="F91" i="1"/>
  <c r="E91" i="1"/>
  <c r="K90" i="1"/>
  <c r="J90" i="1"/>
  <c r="I90" i="1"/>
  <c r="H90" i="1"/>
  <c r="G90" i="1"/>
  <c r="F90" i="1"/>
  <c r="E90" i="1"/>
  <c r="K89" i="1"/>
  <c r="I89" i="1"/>
  <c r="J89" i="1" s="1"/>
  <c r="H89" i="1"/>
  <c r="G89" i="1"/>
  <c r="F89" i="1"/>
  <c r="E89" i="1"/>
  <c r="K88" i="1"/>
  <c r="J88" i="1"/>
  <c r="I88" i="1"/>
  <c r="H88" i="1"/>
  <c r="G88" i="1"/>
  <c r="F88" i="1"/>
  <c r="E88" i="1"/>
  <c r="K87" i="1"/>
  <c r="J87" i="1"/>
  <c r="I87" i="1"/>
  <c r="H87" i="1"/>
  <c r="G87" i="1"/>
  <c r="F87" i="1"/>
  <c r="E87" i="1"/>
  <c r="K86" i="1"/>
  <c r="J86" i="1"/>
  <c r="I86" i="1"/>
  <c r="H86" i="1"/>
  <c r="G86" i="1"/>
  <c r="F86" i="1"/>
  <c r="E86" i="1"/>
  <c r="K85" i="1"/>
  <c r="I85" i="1"/>
  <c r="J85" i="1" s="1"/>
  <c r="H85" i="1"/>
  <c r="G85" i="1"/>
  <c r="F85" i="1"/>
  <c r="E85" i="1"/>
  <c r="K84" i="1"/>
  <c r="I84" i="1"/>
  <c r="H84" i="1"/>
  <c r="J84" i="1" s="1"/>
  <c r="G84" i="1"/>
  <c r="F84" i="1"/>
  <c r="E84" i="1"/>
  <c r="K83" i="1"/>
  <c r="J83" i="1"/>
  <c r="I83" i="1"/>
  <c r="H83" i="1"/>
  <c r="G83" i="1"/>
  <c r="F83" i="1"/>
  <c r="E83" i="1"/>
  <c r="K82" i="1"/>
  <c r="J82" i="1"/>
  <c r="I82" i="1"/>
  <c r="H82" i="1"/>
  <c r="G82" i="1"/>
  <c r="F82" i="1"/>
  <c r="E82" i="1"/>
  <c r="K81" i="1"/>
  <c r="I81" i="1"/>
  <c r="J81" i="1" s="1"/>
  <c r="H81" i="1"/>
  <c r="G81" i="1"/>
  <c r="F81" i="1"/>
  <c r="E81" i="1"/>
  <c r="K80" i="1"/>
  <c r="I80" i="1"/>
  <c r="H80" i="1"/>
  <c r="J80" i="1" s="1"/>
  <c r="G80" i="1"/>
  <c r="F80" i="1"/>
  <c r="E80" i="1"/>
  <c r="K79" i="1"/>
  <c r="J79" i="1"/>
  <c r="I79" i="1"/>
  <c r="H79" i="1"/>
  <c r="G79" i="1"/>
  <c r="F79" i="1"/>
  <c r="E79" i="1"/>
  <c r="K78" i="1"/>
  <c r="J78" i="1"/>
  <c r="I78" i="1"/>
  <c r="H78" i="1"/>
  <c r="G78" i="1"/>
  <c r="F78" i="1"/>
  <c r="E78" i="1"/>
  <c r="K77" i="1"/>
  <c r="I77" i="1"/>
  <c r="J77" i="1" s="1"/>
  <c r="H77" i="1"/>
  <c r="G77" i="1"/>
  <c r="F77" i="1"/>
  <c r="E77" i="1"/>
  <c r="K76" i="1"/>
  <c r="I76" i="1"/>
  <c r="H76" i="1"/>
  <c r="J76" i="1" s="1"/>
  <c r="G76" i="1"/>
  <c r="F76" i="1"/>
  <c r="E76" i="1"/>
  <c r="K75" i="1"/>
  <c r="J75" i="1"/>
  <c r="I75" i="1"/>
  <c r="H75" i="1"/>
  <c r="G75" i="1"/>
  <c r="F75" i="1"/>
  <c r="E75" i="1"/>
  <c r="K74" i="1"/>
  <c r="J74" i="1"/>
  <c r="I74" i="1"/>
  <c r="H74" i="1"/>
  <c r="G74" i="1"/>
  <c r="F74" i="1"/>
  <c r="E74" i="1"/>
  <c r="K73" i="1"/>
  <c r="I73" i="1"/>
  <c r="J73" i="1" s="1"/>
  <c r="H73" i="1"/>
  <c r="G73" i="1"/>
  <c r="F73" i="1"/>
  <c r="E73" i="1"/>
  <c r="K72" i="1"/>
  <c r="I72" i="1"/>
  <c r="H72" i="1"/>
  <c r="J72" i="1" s="1"/>
  <c r="G72" i="1"/>
  <c r="F72" i="1"/>
  <c r="E72" i="1"/>
  <c r="K71" i="1"/>
  <c r="J71" i="1"/>
  <c r="I71" i="1"/>
  <c r="H71" i="1"/>
  <c r="G71" i="1"/>
  <c r="F71" i="1"/>
  <c r="E71" i="1"/>
  <c r="K70" i="1"/>
  <c r="J70" i="1"/>
  <c r="I70" i="1"/>
  <c r="H70" i="1"/>
  <c r="G70" i="1"/>
  <c r="F70" i="1"/>
  <c r="E70" i="1"/>
  <c r="K69" i="1"/>
  <c r="I69" i="1"/>
  <c r="J69" i="1" s="1"/>
  <c r="H69" i="1"/>
  <c r="G69" i="1"/>
  <c r="F69" i="1"/>
  <c r="E69" i="1"/>
  <c r="K68" i="1"/>
  <c r="I68" i="1"/>
  <c r="H68" i="1"/>
  <c r="J68" i="1" s="1"/>
  <c r="G68" i="1"/>
  <c r="F68" i="1"/>
  <c r="E68" i="1"/>
  <c r="K67" i="1"/>
  <c r="J67" i="1"/>
  <c r="I67" i="1"/>
  <c r="H67" i="1"/>
  <c r="G67" i="1"/>
  <c r="F67" i="1"/>
  <c r="E67" i="1"/>
  <c r="K66" i="1"/>
  <c r="J66" i="1"/>
  <c r="I66" i="1"/>
  <c r="H66" i="1"/>
  <c r="G66" i="1"/>
  <c r="F66" i="1"/>
  <c r="E66" i="1"/>
  <c r="K65" i="1"/>
  <c r="I65" i="1"/>
  <c r="J65" i="1" s="1"/>
  <c r="H65" i="1"/>
  <c r="G65" i="1"/>
  <c r="F65" i="1"/>
  <c r="E65" i="1"/>
  <c r="K64" i="1"/>
  <c r="I64" i="1"/>
  <c r="H64" i="1"/>
  <c r="J64" i="1" s="1"/>
  <c r="G64" i="1"/>
  <c r="F64" i="1"/>
  <c r="E64" i="1"/>
  <c r="K63" i="1"/>
  <c r="J63" i="1"/>
  <c r="I63" i="1"/>
  <c r="H63" i="1"/>
  <c r="G63" i="1"/>
  <c r="F63" i="1"/>
  <c r="E63" i="1"/>
  <c r="K62" i="1"/>
  <c r="J62" i="1"/>
  <c r="I62" i="1"/>
  <c r="H62" i="1"/>
  <c r="G62" i="1"/>
  <c r="F62" i="1"/>
  <c r="E62" i="1"/>
  <c r="K61" i="1"/>
  <c r="I61" i="1"/>
  <c r="J61" i="1" s="1"/>
  <c r="H61" i="1"/>
  <c r="G61" i="1"/>
  <c r="F61" i="1"/>
  <c r="E61" i="1"/>
  <c r="K60" i="1"/>
  <c r="I60" i="1"/>
  <c r="H60" i="1"/>
  <c r="J60" i="1" s="1"/>
  <c r="G60" i="1"/>
  <c r="F60" i="1"/>
  <c r="E60" i="1"/>
  <c r="K59" i="1"/>
  <c r="J59" i="1"/>
  <c r="I59" i="1"/>
  <c r="H59" i="1"/>
  <c r="G59" i="1"/>
  <c r="F59" i="1"/>
  <c r="E59" i="1"/>
  <c r="K58" i="1"/>
  <c r="J58" i="1"/>
  <c r="I58" i="1"/>
  <c r="H58" i="1"/>
  <c r="G58" i="1"/>
  <c r="F58" i="1"/>
  <c r="E58" i="1"/>
  <c r="K57" i="1"/>
  <c r="I57" i="1"/>
  <c r="J57" i="1" s="1"/>
  <c r="H57" i="1"/>
  <c r="G57" i="1"/>
  <c r="F57" i="1"/>
  <c r="E57" i="1"/>
  <c r="K56" i="1"/>
  <c r="I56" i="1"/>
  <c r="H56" i="1"/>
  <c r="J56" i="1" s="1"/>
  <c r="G56" i="1"/>
  <c r="F56" i="1"/>
  <c r="E56" i="1"/>
  <c r="K55" i="1"/>
  <c r="J55" i="1"/>
  <c r="I55" i="1"/>
  <c r="H55" i="1"/>
  <c r="G55" i="1"/>
  <c r="F55" i="1"/>
  <c r="E55" i="1"/>
  <c r="K54" i="1"/>
  <c r="J54" i="1"/>
  <c r="I54" i="1"/>
  <c r="H54" i="1"/>
  <c r="G54" i="1"/>
  <c r="F54" i="1"/>
  <c r="E54" i="1"/>
  <c r="K53" i="1"/>
  <c r="I53" i="1"/>
  <c r="J53" i="1" s="1"/>
  <c r="H53" i="1"/>
  <c r="G53" i="1"/>
  <c r="F53" i="1"/>
  <c r="E53" i="1"/>
  <c r="K52" i="1"/>
  <c r="I52" i="1"/>
  <c r="H52" i="1"/>
  <c r="J52" i="1" s="1"/>
  <c r="G52" i="1"/>
  <c r="F52" i="1"/>
  <c r="E52" i="1"/>
  <c r="K51" i="1"/>
  <c r="J51" i="1"/>
  <c r="I51" i="1"/>
  <c r="H51" i="1"/>
  <c r="G51" i="1"/>
  <c r="F51" i="1"/>
  <c r="E51" i="1"/>
  <c r="K50" i="1"/>
  <c r="J50" i="1"/>
  <c r="I50" i="1"/>
  <c r="H50" i="1"/>
  <c r="G50" i="1"/>
  <c r="F50" i="1"/>
  <c r="E50" i="1"/>
  <c r="K49" i="1"/>
  <c r="I49" i="1"/>
  <c r="J49" i="1" s="1"/>
  <c r="H49" i="1"/>
  <c r="G49" i="1"/>
  <c r="F49" i="1"/>
  <c r="E49" i="1"/>
  <c r="K48" i="1"/>
  <c r="I48" i="1"/>
  <c r="H48" i="1"/>
  <c r="J48" i="1" s="1"/>
  <c r="G48" i="1"/>
  <c r="F48" i="1"/>
  <c r="E48" i="1"/>
  <c r="K47" i="1"/>
  <c r="J47" i="1"/>
  <c r="I47" i="1"/>
  <c r="H47" i="1"/>
  <c r="G47" i="1"/>
  <c r="F47" i="1"/>
  <c r="E47" i="1"/>
  <c r="K46" i="1"/>
  <c r="J46" i="1"/>
  <c r="I46" i="1"/>
  <c r="H46" i="1"/>
  <c r="G46" i="1"/>
  <c r="F46" i="1"/>
  <c r="E46" i="1"/>
  <c r="K45" i="1"/>
  <c r="I45" i="1"/>
  <c r="J45" i="1" s="1"/>
  <c r="H45" i="1"/>
  <c r="G45" i="1"/>
  <c r="F45" i="1"/>
  <c r="E45" i="1"/>
  <c r="K44" i="1"/>
  <c r="I44" i="1"/>
  <c r="H44" i="1"/>
  <c r="J44" i="1" s="1"/>
  <c r="G44" i="1"/>
  <c r="F44" i="1"/>
  <c r="E44" i="1"/>
  <c r="K43" i="1"/>
  <c r="J43" i="1"/>
  <c r="I43" i="1"/>
  <c r="H43" i="1"/>
  <c r="G43" i="1"/>
  <c r="F43" i="1"/>
  <c r="E43" i="1"/>
  <c r="K42" i="1"/>
  <c r="J42" i="1"/>
  <c r="I42" i="1"/>
  <c r="H42" i="1"/>
  <c r="G42" i="1"/>
  <c r="F42" i="1"/>
  <c r="E42" i="1"/>
  <c r="K41" i="1"/>
  <c r="I41" i="1"/>
  <c r="J41" i="1" s="1"/>
  <c r="H41" i="1"/>
  <c r="G41" i="1"/>
  <c r="F41" i="1"/>
  <c r="E41" i="1"/>
  <c r="K40" i="1"/>
  <c r="I40" i="1"/>
  <c r="H40" i="1"/>
  <c r="J40" i="1" s="1"/>
  <c r="G40" i="1"/>
  <c r="F40" i="1"/>
  <c r="E40" i="1"/>
  <c r="K39" i="1"/>
  <c r="J39" i="1"/>
  <c r="I39" i="1"/>
  <c r="H39" i="1"/>
  <c r="G39" i="1"/>
  <c r="F39" i="1"/>
  <c r="E39" i="1"/>
  <c r="K38" i="1"/>
  <c r="J38" i="1"/>
  <c r="I38" i="1"/>
  <c r="H38" i="1"/>
  <c r="G38" i="1"/>
  <c r="F38" i="1"/>
  <c r="E38" i="1"/>
  <c r="K37" i="1"/>
  <c r="I37" i="1"/>
  <c r="J37" i="1" s="1"/>
  <c r="H37" i="1"/>
  <c r="G37" i="1"/>
  <c r="F37" i="1"/>
  <c r="E37" i="1"/>
  <c r="K36" i="1"/>
  <c r="I36" i="1"/>
  <c r="H36" i="1"/>
  <c r="J36" i="1" s="1"/>
  <c r="G36" i="1"/>
  <c r="F36" i="1"/>
  <c r="E36" i="1"/>
  <c r="K35" i="1"/>
  <c r="J35" i="1"/>
  <c r="I35" i="1"/>
  <c r="H35" i="1"/>
  <c r="G35" i="1"/>
  <c r="F35" i="1"/>
  <c r="E35" i="1"/>
  <c r="K34" i="1"/>
  <c r="J34" i="1"/>
  <c r="I34" i="1"/>
  <c r="H34" i="1"/>
  <c r="G34" i="1"/>
  <c r="F34" i="1"/>
  <c r="E34" i="1"/>
  <c r="K33" i="1"/>
  <c r="I33" i="1"/>
  <c r="J33" i="1" s="1"/>
  <c r="H33" i="1"/>
  <c r="G33" i="1"/>
  <c r="F33" i="1"/>
  <c r="E33" i="1"/>
  <c r="K32" i="1"/>
  <c r="I32" i="1"/>
  <c r="H32" i="1"/>
  <c r="J32" i="1" s="1"/>
  <c r="G32" i="1"/>
  <c r="F32" i="1"/>
  <c r="E32" i="1"/>
  <c r="K31" i="1"/>
  <c r="J31" i="1"/>
  <c r="I31" i="1"/>
  <c r="H31" i="1"/>
  <c r="G31" i="1"/>
  <c r="F31" i="1"/>
  <c r="E31" i="1"/>
  <c r="K30" i="1"/>
  <c r="J30" i="1"/>
  <c r="I30" i="1"/>
  <c r="H30" i="1"/>
  <c r="G30" i="1"/>
  <c r="F30" i="1"/>
  <c r="E30" i="1"/>
  <c r="K29" i="1"/>
  <c r="I29" i="1"/>
  <c r="J29" i="1" s="1"/>
  <c r="H29" i="1"/>
  <c r="G29" i="1"/>
  <c r="F29" i="1"/>
  <c r="E29" i="1"/>
  <c r="K28" i="1"/>
  <c r="I28" i="1"/>
  <c r="H28" i="1"/>
  <c r="J28" i="1" s="1"/>
  <c r="G28" i="1"/>
  <c r="F28" i="1"/>
  <c r="E28" i="1"/>
  <c r="K27" i="1"/>
  <c r="J27" i="1"/>
  <c r="I27" i="1"/>
  <c r="H27" i="1"/>
  <c r="G27" i="1"/>
  <c r="F27" i="1"/>
  <c r="E27" i="1"/>
  <c r="K26" i="1"/>
  <c r="J26" i="1"/>
  <c r="I26" i="1"/>
  <c r="H26" i="1"/>
  <c r="G26" i="1"/>
  <c r="F26" i="1"/>
  <c r="E26" i="1"/>
  <c r="K25" i="1"/>
  <c r="I25" i="1"/>
  <c r="J25" i="1" s="1"/>
  <c r="H25" i="1"/>
  <c r="G25" i="1"/>
  <c r="F25" i="1"/>
  <c r="E25" i="1"/>
  <c r="K24" i="1"/>
  <c r="I24" i="1"/>
  <c r="H24" i="1"/>
  <c r="J24" i="1" s="1"/>
  <c r="G24" i="1"/>
  <c r="F24" i="1"/>
  <c r="E24" i="1"/>
  <c r="K23" i="1"/>
  <c r="J23" i="1"/>
  <c r="I23" i="1"/>
  <c r="H23" i="1"/>
  <c r="G23" i="1"/>
  <c r="F23" i="1"/>
  <c r="E23" i="1"/>
  <c r="K22" i="1"/>
  <c r="J22" i="1"/>
  <c r="I22" i="1"/>
  <c r="H22" i="1"/>
  <c r="G22" i="1"/>
  <c r="F22" i="1"/>
  <c r="E22" i="1"/>
  <c r="K21" i="1"/>
  <c r="I21" i="1"/>
  <c r="J21" i="1" s="1"/>
  <c r="H21" i="1"/>
  <c r="G21" i="1"/>
  <c r="F21" i="1"/>
  <c r="E21" i="1"/>
  <c r="K20" i="1"/>
  <c r="I20" i="1"/>
  <c r="H20" i="1"/>
  <c r="J20" i="1" s="1"/>
  <c r="G20" i="1"/>
  <c r="F20" i="1"/>
  <c r="E20" i="1"/>
  <c r="K19" i="1"/>
  <c r="J19" i="1"/>
  <c r="I19" i="1"/>
  <c r="H19" i="1"/>
  <c r="G19" i="1"/>
  <c r="F19" i="1"/>
  <c r="E19" i="1"/>
  <c r="K18" i="1"/>
  <c r="J18" i="1"/>
  <c r="I18" i="1"/>
  <c r="H18" i="1"/>
  <c r="G18" i="1"/>
  <c r="F18" i="1"/>
  <c r="E18" i="1"/>
  <c r="K17" i="1"/>
  <c r="I17" i="1"/>
  <c r="J17" i="1" s="1"/>
  <c r="H17" i="1"/>
  <c r="G17" i="1"/>
  <c r="F17" i="1"/>
  <c r="E17" i="1"/>
  <c r="K16" i="1"/>
  <c r="I16" i="1"/>
  <c r="H16" i="1"/>
  <c r="J16" i="1" s="1"/>
  <c r="G16" i="1"/>
  <c r="F16" i="1"/>
  <c r="E16" i="1"/>
  <c r="K15" i="1"/>
  <c r="J15" i="1"/>
  <c r="I15" i="1"/>
  <c r="H15" i="1"/>
  <c r="G15" i="1"/>
  <c r="F15" i="1"/>
  <c r="E15" i="1"/>
  <c r="K14" i="1"/>
  <c r="J14" i="1"/>
  <c r="I14" i="1"/>
  <c r="H14" i="1"/>
  <c r="G14" i="1"/>
  <c r="F14" i="1"/>
  <c r="E14" i="1"/>
  <c r="K13" i="1"/>
  <c r="I13" i="1"/>
  <c r="J13" i="1" s="1"/>
  <c r="H13" i="1"/>
  <c r="G13" i="1"/>
  <c r="F13" i="1"/>
  <c r="E13" i="1"/>
  <c r="K12" i="1"/>
  <c r="I12" i="1"/>
  <c r="H12" i="1"/>
  <c r="J12" i="1" s="1"/>
  <c r="G12" i="1"/>
  <c r="F12" i="1"/>
  <c r="E12" i="1"/>
  <c r="K11" i="1"/>
  <c r="J11" i="1"/>
  <c r="I11" i="1"/>
  <c r="H11" i="1"/>
  <c r="G11" i="1"/>
  <c r="F11" i="1"/>
  <c r="E11" i="1"/>
  <c r="K10" i="1"/>
  <c r="J10" i="1"/>
  <c r="I10" i="1"/>
  <c r="H10" i="1"/>
  <c r="G10" i="1"/>
  <c r="F10" i="1"/>
  <c r="E10" i="1"/>
  <c r="K9" i="1"/>
  <c r="I9" i="1"/>
  <c r="J9" i="1" s="1"/>
  <c r="H9" i="1"/>
  <c r="G9" i="1"/>
  <c r="F9" i="1"/>
  <c r="E9" i="1"/>
  <c r="K8" i="1"/>
  <c r="I8" i="1"/>
  <c r="H8" i="1"/>
  <c r="J8" i="1" s="1"/>
  <c r="G8" i="1"/>
  <c r="F8" i="1"/>
  <c r="E8" i="1"/>
  <c r="K7" i="1"/>
  <c r="J7" i="1"/>
  <c r="I7" i="1"/>
  <c r="H7" i="1"/>
  <c r="G7" i="1"/>
  <c r="F7" i="1"/>
  <c r="E7" i="1"/>
  <c r="K6" i="1"/>
  <c r="J6" i="1"/>
  <c r="I6" i="1"/>
  <c r="H6" i="1"/>
  <c r="G6" i="1"/>
  <c r="F6" i="1"/>
  <c r="E6" i="1"/>
  <c r="K5" i="1"/>
  <c r="I5" i="1"/>
  <c r="J5" i="1" s="1"/>
  <c r="H5" i="1"/>
  <c r="G5" i="1"/>
  <c r="F5" i="1"/>
  <c r="E5" i="1"/>
  <c r="K4" i="1"/>
  <c r="I4" i="1"/>
  <c r="H4" i="1"/>
  <c r="J4" i="1" s="1"/>
  <c r="G4" i="1"/>
  <c r="F4" i="1"/>
  <c r="E4" i="1"/>
  <c r="K3" i="1"/>
  <c r="J3" i="1"/>
  <c r="I3" i="1"/>
  <c r="H3" i="1"/>
  <c r="G3" i="1"/>
  <c r="F3" i="1"/>
  <c r="E3" i="1"/>
  <c r="K2" i="1"/>
  <c r="J2" i="1"/>
  <c r="I2" i="1"/>
  <c r="H2" i="1"/>
  <c r="G2" i="1"/>
  <c r="F2" i="1"/>
  <c r="E2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  <c r="J639" i="1" l="1"/>
  <c r="J655" i="1"/>
  <c r="J671" i="1"/>
  <c r="J687" i="1"/>
  <c r="J703" i="1"/>
  <c r="J711" i="1"/>
  <c r="J719" i="1"/>
  <c r="J727" i="1"/>
  <c r="J735" i="1"/>
  <c r="J743" i="1"/>
  <c r="J635" i="1"/>
  <c r="J651" i="1"/>
  <c r="J667" i="1"/>
  <c r="J683" i="1"/>
  <c r="J1297" i="1"/>
  <c r="J1309" i="1"/>
  <c r="J1317" i="1"/>
  <c r="J1329" i="1"/>
  <c r="J1305" i="1"/>
</calcChain>
</file>

<file path=xl/sharedStrings.xml><?xml version="1.0" encoding="utf-8"?>
<sst xmlns="http://schemas.openxmlformats.org/spreadsheetml/2006/main" count="5802" uniqueCount="3880">
  <si>
    <t>UAL UW Equity</t>
  </si>
  <si>
    <t>United Continental Holdings Inc</t>
  </si>
  <si>
    <t>Industrials</t>
  </si>
  <si>
    <t>LEARQ UN Equity</t>
  </si>
  <si>
    <t>Lear Corp/Old</t>
  </si>
  <si>
    <t>N/A</t>
  </si>
  <si>
    <t>INT UN Equity</t>
  </si>
  <si>
    <t>World Fuel Services Corp</t>
  </si>
  <si>
    <t>Energy</t>
  </si>
  <si>
    <t>LCC UN Equity</t>
  </si>
  <si>
    <t>US Airways Group Inc</t>
  </si>
  <si>
    <t>VSTNQ UN Equity</t>
  </si>
  <si>
    <t>Visteon Corp/Old</t>
  </si>
  <si>
    <t>YRCW UW Equity</t>
  </si>
  <si>
    <t>YRC Worldwide Inc</t>
  </si>
  <si>
    <t>PTRY UW Equity</t>
  </si>
  <si>
    <t>Pantry Inc/The</t>
  </si>
  <si>
    <t>Consumer Staples</t>
  </si>
  <si>
    <t>DAN UN Equity</t>
  </si>
  <si>
    <t>Dana Inc</t>
  </si>
  <si>
    <t>Consumer Discretionary</t>
  </si>
  <si>
    <t>SAH UN Equity</t>
  </si>
  <si>
    <t>Sonic Automotive Inc</t>
  </si>
  <si>
    <t>DDS UN Equity</t>
  </si>
  <si>
    <t>Dillard's Inc</t>
  </si>
  <si>
    <t>WNR UN Equity</t>
  </si>
  <si>
    <t>Western Refining Inc</t>
  </si>
  <si>
    <t>WINN UW Equity</t>
  </si>
  <si>
    <t>Winn-Dixie Stores Inc</t>
  </si>
  <si>
    <t>SANM UW Equity</t>
  </si>
  <si>
    <t>Sanmina Corp</t>
  </si>
  <si>
    <t>Information Technology</t>
  </si>
  <si>
    <t>MTOR UN Equity</t>
  </si>
  <si>
    <t>Meritor Inc</t>
  </si>
  <si>
    <t>SNX UN Equity</t>
  </si>
  <si>
    <t>SYNNEX Corp</t>
  </si>
  <si>
    <t>OMI UN Equity</t>
  </si>
  <si>
    <t>Owens &amp; Minor Inc</t>
  </si>
  <si>
    <t>Health Care</t>
  </si>
  <si>
    <t>GAPTQ UN Equity</t>
  </si>
  <si>
    <t>Great Atlantic &amp; Pacific Tea Co Inc/The</t>
  </si>
  <si>
    <t>GPI UN Equity</t>
  </si>
  <si>
    <t>Group 1 Automotive Inc</t>
  </si>
  <si>
    <t>TEN UN Equity</t>
  </si>
  <si>
    <t>Tenneco Inc</t>
  </si>
  <si>
    <t>CHTRQ UW Equity</t>
  </si>
  <si>
    <t>Charter Communications Inc/Old</t>
  </si>
  <si>
    <t>EME UN Equity</t>
  </si>
  <si>
    <t>EMCOR Group Inc</t>
  </si>
  <si>
    <t>AXE UN Equity</t>
  </si>
  <si>
    <t>Anixter International Inc</t>
  </si>
  <si>
    <t>ABG UN Equity</t>
  </si>
  <si>
    <t>Asbury Automotive Group Inc</t>
  </si>
  <si>
    <t>BC UN Equity</t>
  </si>
  <si>
    <t>Brunswick Corp/DE</t>
  </si>
  <si>
    <t>KELYA UW Equity</t>
  </si>
  <si>
    <t>Kelly Services Inc</t>
  </si>
  <si>
    <t>CORE UW Equity</t>
  </si>
  <si>
    <t>Core-Mark Holding Co Inc</t>
  </si>
  <si>
    <t>BLIAQ UN Equity</t>
  </si>
  <si>
    <t>BB Liquidating Inc</t>
  </si>
  <si>
    <t>CASY UW Equity</t>
  </si>
  <si>
    <t>Casey's General Stores Inc</t>
  </si>
  <si>
    <t>NSIT UW Equity</t>
  </si>
  <si>
    <t>Insight Enterprises Inc</t>
  </si>
  <si>
    <t>CQB UN Equity</t>
  </si>
  <si>
    <t>Chiquita Brands International Inc</t>
  </si>
  <si>
    <t>ESND UW Equity</t>
  </si>
  <si>
    <t>Essendant Inc</t>
  </si>
  <si>
    <t>TPC UN Equity</t>
  </si>
  <si>
    <t>Tutor Perini Corp</t>
  </si>
  <si>
    <t>ALJ UN Equity</t>
  </si>
  <si>
    <t>Alon USA Energy Inc</t>
  </si>
  <si>
    <t>NAFC UW Equity</t>
  </si>
  <si>
    <t>Nash Finch Co</t>
  </si>
  <si>
    <t>CELL UW Equity</t>
  </si>
  <si>
    <t>Brightpoint Inc</t>
  </si>
  <si>
    <t>KND UN Equity</t>
  </si>
  <si>
    <t>Kindred Healthcare LLC</t>
  </si>
  <si>
    <t>LYV UN Equity</t>
  </si>
  <si>
    <t>Live Nation Entertainment Inc</t>
  </si>
  <si>
    <t>Communication Services</t>
  </si>
  <si>
    <t>9876533D UN Equity</t>
  </si>
  <si>
    <t>Delek US Energy Inc</t>
  </si>
  <si>
    <t>HTSI UN Equity</t>
  </si>
  <si>
    <t>Harris Teeter Supermarkets Inc</t>
  </si>
  <si>
    <t>AGP UN Equity</t>
  </si>
  <si>
    <t>AMERIGROUP Corp</t>
  </si>
  <si>
    <t>ENLC UW Equity</t>
  </si>
  <si>
    <t>EnLink Midstream LLC</t>
  </si>
  <si>
    <t>BGPIQ UN Equity</t>
  </si>
  <si>
    <t>Borders Group Inc</t>
  </si>
  <si>
    <t>NJR UN Equity</t>
  </si>
  <si>
    <t>New Jersey Resources Corp</t>
  </si>
  <si>
    <t>Utilities</t>
  </si>
  <si>
    <t>XIDEQ UQ Equity</t>
  </si>
  <si>
    <t>Exide Technologies</t>
  </si>
  <si>
    <t>ABM UN Equity</t>
  </si>
  <si>
    <t>ABM Industries Inc</t>
  </si>
  <si>
    <t>SOA UN Equity</t>
  </si>
  <si>
    <t>Solutia Inc</t>
  </si>
  <si>
    <t>ABWTQ UN Equity</t>
  </si>
  <si>
    <t>Resolute FP US Inc</t>
  </si>
  <si>
    <t>ALK UN Equity</t>
  </si>
  <si>
    <t>Alaska Air Group Inc</t>
  </si>
  <si>
    <t>SKYW UW Equity</t>
  </si>
  <si>
    <t>SkyWest Inc</t>
  </si>
  <si>
    <t>UNFI UW Equity</t>
  </si>
  <si>
    <t>United Natural Foods Inc</t>
  </si>
  <si>
    <t>FDP UN Equity</t>
  </si>
  <si>
    <t>Fresh Del Monte Produce Inc</t>
  </si>
  <si>
    <t>HOV UN Equity</t>
  </si>
  <si>
    <t>Hovnanian Enterprises Inc</t>
  </si>
  <si>
    <t>AXL UN Equity</t>
  </si>
  <si>
    <t>American Axle &amp; Manufacturing Holdings I</t>
  </si>
  <si>
    <t>IMKTA UW Equity</t>
  </si>
  <si>
    <t>Ingles Markets Inc</t>
  </si>
  <si>
    <t>SEB UA Equity</t>
  </si>
  <si>
    <t>Seaboard Corp</t>
  </si>
  <si>
    <t>WLK UN Equity</t>
  </si>
  <si>
    <t>Westlake Chemical Corp</t>
  </si>
  <si>
    <t>Materials</t>
  </si>
  <si>
    <t>0111145D UN Equity</t>
  </si>
  <si>
    <t>Nicor Inc</t>
  </si>
  <si>
    <t>ROC UN Equity</t>
  </si>
  <si>
    <t>Rockwood Holdings Inc</t>
  </si>
  <si>
    <t>GRA UN Equity</t>
  </si>
  <si>
    <t>WR Grace &amp; Co</t>
  </si>
  <si>
    <t>WOR UN Equity</t>
  </si>
  <si>
    <t>Worthington Industries Inc</t>
  </si>
  <si>
    <t>PSS UN Equity</t>
  </si>
  <si>
    <t>Payless Inc</t>
  </si>
  <si>
    <t>UAM UN Equity</t>
  </si>
  <si>
    <t>Universal American Corp</t>
  </si>
  <si>
    <t>RYL UN Equity</t>
  </si>
  <si>
    <t>Ryland Group Inc/The</t>
  </si>
  <si>
    <t>1073675D UW Equity</t>
  </si>
  <si>
    <t>Charming Shoppes Inc</t>
  </si>
  <si>
    <t>ORH UN Equity</t>
  </si>
  <si>
    <t>Odyssey Re Holdings Corp</t>
  </si>
  <si>
    <t>CVI UN Equity</t>
  </si>
  <si>
    <t>CVR Energy Inc</t>
  </si>
  <si>
    <t>CTB UN Equity</t>
  </si>
  <si>
    <t>Cooper Tire &amp; Rubber Co</t>
  </si>
  <si>
    <t>SLGN UW Equity</t>
  </si>
  <si>
    <t>Silgan Holdings Inc</t>
  </si>
  <si>
    <t>CNC UN Equity</t>
  </si>
  <si>
    <t>Centene Corp</t>
  </si>
  <si>
    <t>BHE UN Equity</t>
  </si>
  <si>
    <t>Benchmark Electronics Inc</t>
  </si>
  <si>
    <t>RCII UW Equity</t>
  </si>
  <si>
    <t>Rent-A-Center Inc/TX</t>
  </si>
  <si>
    <t>CAA UN Equity</t>
  </si>
  <si>
    <t>CalAtlantic Group Inc/old</t>
  </si>
  <si>
    <t>JBLU UW Equity</t>
  </si>
  <si>
    <t>JetBlue Airways Corp</t>
  </si>
  <si>
    <t>RAH UN Equity</t>
  </si>
  <si>
    <t>TreeHouse Private Brands Inc</t>
  </si>
  <si>
    <t>SYX UN Equity</t>
  </si>
  <si>
    <t>Systemax Inc</t>
  </si>
  <si>
    <t>AMKR UW Equity</t>
  </si>
  <si>
    <t>Amkor Technology Inc</t>
  </si>
  <si>
    <t>RGS UN Equity</t>
  </si>
  <si>
    <t>Regis Corp</t>
  </si>
  <si>
    <t>GVA UN Equity</t>
  </si>
  <si>
    <t>Granite Construction Inc</t>
  </si>
  <si>
    <t>SUSS UQ Equity</t>
  </si>
  <si>
    <t>Susser Holdings Corp</t>
  </si>
  <si>
    <t>TSCO UW Equity</t>
  </si>
  <si>
    <t>Tractor Supply Co</t>
  </si>
  <si>
    <t>MLI UN Equity</t>
  </si>
  <si>
    <t>Mueller Industries Inc</t>
  </si>
  <si>
    <t>RHDCQ UN Equity</t>
  </si>
  <si>
    <t>RH Donnelley Corp</t>
  </si>
  <si>
    <t>SBH UN Equity</t>
  </si>
  <si>
    <t>Sally Beauty Holdings Inc</t>
  </si>
  <si>
    <t>POL UN Equity</t>
  </si>
  <si>
    <t>PolyOne Corp</t>
  </si>
  <si>
    <t>WGL UN Equity</t>
  </si>
  <si>
    <t>WGL Holdings Inc</t>
  </si>
  <si>
    <t>8374857Q UN Equity</t>
  </si>
  <si>
    <t>Perot Systems Corp</t>
  </si>
  <si>
    <t>PNX UN Equity</t>
  </si>
  <si>
    <t>Phoenix Cos Inc/The</t>
  </si>
  <si>
    <t>Financials</t>
  </si>
  <si>
    <t>HNI UN Equity</t>
  </si>
  <si>
    <t>HNI Corp</t>
  </si>
  <si>
    <t>JACK UW Equity</t>
  </si>
  <si>
    <t>Jack in the Box Inc</t>
  </si>
  <si>
    <t>UFPI UW Equity</t>
  </si>
  <si>
    <t>Universal Forest Products Inc</t>
  </si>
  <si>
    <t>SPSNQ UW Equity</t>
  </si>
  <si>
    <t>Spansion Inc/Old</t>
  </si>
  <si>
    <t>MOH UN Equity</t>
  </si>
  <si>
    <t>Molina Healthcare Inc</t>
  </si>
  <si>
    <t>SPTN UW Equity</t>
  </si>
  <si>
    <t>SpartanNash Co</t>
  </si>
  <si>
    <t>UTSI UW Equity</t>
  </si>
  <si>
    <t>UTStarcom Holdings Corp</t>
  </si>
  <si>
    <t>GPK UN Equity</t>
  </si>
  <si>
    <t>Graphic Packaging Holding Co</t>
  </si>
  <si>
    <t>CACI UN Equity</t>
  </si>
  <si>
    <t>CACI International Inc</t>
  </si>
  <si>
    <t>CBRL UW Equity</t>
  </si>
  <si>
    <t>Cracker Barrel Old Country Store Inc</t>
  </si>
  <si>
    <t>ANDE UW Equity</t>
  </si>
  <si>
    <t>Andersons Inc/The</t>
  </si>
  <si>
    <t>CAL UN Equity</t>
  </si>
  <si>
    <t>Caleres Inc</t>
  </si>
  <si>
    <t>VISI UN Equity</t>
  </si>
  <si>
    <t>Volt Information Sciences Inc</t>
  </si>
  <si>
    <t>CAB UN Equity</t>
  </si>
  <si>
    <t>Cabela's Inc</t>
  </si>
  <si>
    <t>MTH UN Equity</t>
  </si>
  <si>
    <t>Meritage Homes Corp</t>
  </si>
  <si>
    <t>WMK UN Equity</t>
  </si>
  <si>
    <t>Weis Markets Inc</t>
  </si>
  <si>
    <t>AOS UN Equity</t>
  </si>
  <si>
    <t>AO Smith Corp</t>
  </si>
  <si>
    <t>AAI UN Equity</t>
  </si>
  <si>
    <t>AirTran Holdings Inc</t>
  </si>
  <si>
    <t>TLB UN Equity</t>
  </si>
  <si>
    <t>Talbots Inc/The</t>
  </si>
  <si>
    <t>ZQKSQ UN Equity</t>
  </si>
  <si>
    <t>Boardriders Inc</t>
  </si>
  <si>
    <t>GLBC UW Equity</t>
  </si>
  <si>
    <t>Global Crossing Ltd</t>
  </si>
  <si>
    <t>MNI UN Equity</t>
  </si>
  <si>
    <t>McClatchy Co/The</t>
  </si>
  <si>
    <t>VCI UN Equity</t>
  </si>
  <si>
    <t>Valassis Communications Inc</t>
  </si>
  <si>
    <t>PHH UN Equity</t>
  </si>
  <si>
    <t>PHH Corp</t>
  </si>
  <si>
    <t>SR UN Equity</t>
  </si>
  <si>
    <t>Spire Inc</t>
  </si>
  <si>
    <t>SCHL UW Equity</t>
  </si>
  <si>
    <t>Scholastic Corp</t>
  </si>
  <si>
    <t>FOE UN Equity</t>
  </si>
  <si>
    <t>Ferro Corp</t>
  </si>
  <si>
    <t>SCSC UW Equity</t>
  </si>
  <si>
    <t>ScanSource Inc</t>
  </si>
  <si>
    <t>0975679D UN Equity</t>
  </si>
  <si>
    <t>MPS Group Inc</t>
  </si>
  <si>
    <t>PLCE UW Equity</t>
  </si>
  <si>
    <t>Children's Place Inc/The</t>
  </si>
  <si>
    <t>MGLN UW Equity</t>
  </si>
  <si>
    <t>Magellan Health Inc</t>
  </si>
  <si>
    <t>SWX UN Equity</t>
  </si>
  <si>
    <t>Southwest Gas Holdings Inc</t>
  </si>
  <si>
    <t>BGG UN Equity</t>
  </si>
  <si>
    <t>Briggs &amp; Stratton Corp</t>
  </si>
  <si>
    <t>UVV UN Equity</t>
  </si>
  <si>
    <t>Universal Corp/VA</t>
  </si>
  <si>
    <t>1627457D UN Equity</t>
  </si>
  <si>
    <t>Pep Boys-Manny Moe &amp; Jack/The</t>
  </si>
  <si>
    <t>ZLC UN Equity</t>
  </si>
  <si>
    <t>Zale Corp</t>
  </si>
  <si>
    <t>HAYZQ UQ Equity</t>
  </si>
  <si>
    <t>Hayes Lemmerz International Inc/Post Ban</t>
  </si>
  <si>
    <t>NNI UN Equity</t>
  </si>
  <si>
    <t>Nelnet Inc</t>
  </si>
  <si>
    <t>EMS UN Equity</t>
  </si>
  <si>
    <t>Envision Healthcare Corp/CO</t>
  </si>
  <si>
    <t>STC UN Equity</t>
  </si>
  <si>
    <t>Stewart Information Services Corp</t>
  </si>
  <si>
    <t>AIT UN Equity</t>
  </si>
  <si>
    <t>Applied Industrial Technologies Inc</t>
  </si>
  <si>
    <t>PNY UN Equity</t>
  </si>
  <si>
    <t>Piedmont Natural Gas Co Inc</t>
  </si>
  <si>
    <t>FBNIQ UN Equity</t>
  </si>
  <si>
    <t>Furniture Brands International Inc</t>
  </si>
  <si>
    <t>BZH UN Equity</t>
  </si>
  <si>
    <t>Beazer Homes USA Inc</t>
  </si>
  <si>
    <t>WERN UW Equity</t>
  </si>
  <si>
    <t>Werner Enterprises Inc</t>
  </si>
  <si>
    <t>GLAE UN Equity</t>
  </si>
  <si>
    <t>GlassBridge Enterprises Inc</t>
  </si>
  <si>
    <t>UHAL UW Equity</t>
  </si>
  <si>
    <t>AMERCO</t>
  </si>
  <si>
    <t>CVOVQ UN Equity</t>
  </si>
  <si>
    <t>Cenveo Inc</t>
  </si>
  <si>
    <t>FLO UN Equity</t>
  </si>
  <si>
    <t>Flowers Foods Inc</t>
  </si>
  <si>
    <t>BDC UN Equity</t>
  </si>
  <si>
    <t>Belden Inc</t>
  </si>
  <si>
    <t>RUSHA UW Equity</t>
  </si>
  <si>
    <t>Rush Enterprises Inc</t>
  </si>
  <si>
    <t>AYI UN Equity</t>
  </si>
  <si>
    <t>Acuity Brands Inc</t>
  </si>
  <si>
    <t>ENS UN Equity</t>
  </si>
  <si>
    <t>EnerSys</t>
  </si>
  <si>
    <t>IBKR UW Equity</t>
  </si>
  <si>
    <t>Interactive Brokers Group Inc</t>
  </si>
  <si>
    <t>0700161D UN Equity</t>
  </si>
  <si>
    <t>SFN Group Inc</t>
  </si>
  <si>
    <t>MLHR UW Equity</t>
  </si>
  <si>
    <t>Herman Miller Inc</t>
  </si>
  <si>
    <t>PYX UN Equity</t>
  </si>
  <si>
    <t>Pyxus International Inc</t>
  </si>
  <si>
    <t>AHL UN Equity</t>
  </si>
  <si>
    <t>Aspen Insurance Holdings Ltd</t>
  </si>
  <si>
    <t>SHLM UW Equity</t>
  </si>
  <si>
    <t>A Schulman Inc</t>
  </si>
  <si>
    <t>TUP UN Equity</t>
  </si>
  <si>
    <t>Tupperware Brands Corp</t>
  </si>
  <si>
    <t>SHS UN Equity</t>
  </si>
  <si>
    <t>Danfoss Power Solutions Inc</t>
  </si>
  <si>
    <t>PACR UW Equity</t>
  </si>
  <si>
    <t>XPO Intermodal Inc</t>
  </si>
  <si>
    <t>ACCO UN Equity</t>
  </si>
  <si>
    <t>ACCO Brands Corp</t>
  </si>
  <si>
    <t>POOL UW Equity</t>
  </si>
  <si>
    <t>Pool Corp</t>
  </si>
  <si>
    <t>LEU UN Equity</t>
  </si>
  <si>
    <t>Centrus Energy Corp</t>
  </si>
  <si>
    <t>PNM UN Equity</t>
  </si>
  <si>
    <t>PNM Resources Inc</t>
  </si>
  <si>
    <t>MOG/A UN Equity</t>
  </si>
  <si>
    <t>Moog Inc</t>
  </si>
  <si>
    <t>JAS UN Equity</t>
  </si>
  <si>
    <t>Jo-Ann Stores LLC</t>
  </si>
  <si>
    <t>IDT UN Equity</t>
  </si>
  <si>
    <t>IDT Corp</t>
  </si>
  <si>
    <t>1625512D UN Equity</t>
  </si>
  <si>
    <t>Retail Ventures Inc</t>
  </si>
  <si>
    <t>WRC UN Equity</t>
  </si>
  <si>
    <t>Warnaco Group Inc/The</t>
  </si>
  <si>
    <t>MWA UN Equity</t>
  </si>
  <si>
    <t>Mueller Water Products Inc</t>
  </si>
  <si>
    <t>CHSI UW Equity</t>
  </si>
  <si>
    <t>Catalyst Health Solutions Inc</t>
  </si>
  <si>
    <t>PSSI UW Equity</t>
  </si>
  <si>
    <t>McKesson Medical-Surgical Top Holdings I</t>
  </si>
  <si>
    <t>MOD UN Equity</t>
  </si>
  <si>
    <t>Modine Manufacturing Co</t>
  </si>
  <si>
    <t>SIGI UW Equity</t>
  </si>
  <si>
    <t>Selective Insurance Group Inc</t>
  </si>
  <si>
    <t>PLXS UW Equity</t>
  </si>
  <si>
    <t>Plexus Corp</t>
  </si>
  <si>
    <t>ARCB UW Equity</t>
  </si>
  <si>
    <t>ArcBest Corp</t>
  </si>
  <si>
    <t>BEZ UN Equity</t>
  </si>
  <si>
    <t>Baldor Electric Co</t>
  </si>
  <si>
    <t>RBC UN Equity</t>
  </si>
  <si>
    <t>Regal Beloit Corp</t>
  </si>
  <si>
    <t>CNXN UW Equity</t>
  </si>
  <si>
    <t>PC Connection Inc</t>
  </si>
  <si>
    <t>BECN UW Equity</t>
  </si>
  <si>
    <t>Beacon Roofing Supply Inc</t>
  </si>
  <si>
    <t>FRED UW Equity</t>
  </si>
  <si>
    <t>Fred's Inc</t>
  </si>
  <si>
    <t>PII UN Equity</t>
  </si>
  <si>
    <t>Polaris Industries Inc</t>
  </si>
  <si>
    <t>CBCGQ UN Equity</t>
  </si>
  <si>
    <t>Colonial BancGroup Inc/The</t>
  </si>
  <si>
    <t>0948669D UN Equity</t>
  </si>
  <si>
    <t>American Greetings Corp</t>
  </si>
  <si>
    <t>1369764D UN Equity</t>
  </si>
  <si>
    <t>RSC Holdings Inc</t>
  </si>
  <si>
    <t>NCS UN Equity</t>
  </si>
  <si>
    <t>NCI Building Systems Inc</t>
  </si>
  <si>
    <t>DTGF UN Equity</t>
  </si>
  <si>
    <t>Dollar Thrifty Automotive Group Inc</t>
  </si>
  <si>
    <t>TW UN Equity</t>
  </si>
  <si>
    <t>Towers Watson &amp; Co</t>
  </si>
  <si>
    <t>WSO UN Equity</t>
  </si>
  <si>
    <t>Watsco Inc</t>
  </si>
  <si>
    <t>POR UN Equity</t>
  </si>
  <si>
    <t>Portland General Electric Co</t>
  </si>
  <si>
    <t>BOBE UW Equity</t>
  </si>
  <si>
    <t>Bob Evans Farms Inc/DE</t>
  </si>
  <si>
    <t>WR UN Equity</t>
  </si>
  <si>
    <t>Westar Energy Inc</t>
  </si>
  <si>
    <t>ATLC UW Equity</t>
  </si>
  <si>
    <t>Atlanticus Holdings Corp</t>
  </si>
  <si>
    <t>MW UN Equity</t>
  </si>
  <si>
    <t>Men's Wearhouse Inc/The</t>
  </si>
  <si>
    <t>SAFM UW Equity</t>
  </si>
  <si>
    <t>Sanderson Farms Inc</t>
  </si>
  <si>
    <t>EHC UN Equity</t>
  </si>
  <si>
    <t>Encompass Health Corp</t>
  </si>
  <si>
    <t>CHS UN Equity</t>
  </si>
  <si>
    <t>Chico's FAS Inc</t>
  </si>
  <si>
    <t>CENTA UW Equity</t>
  </si>
  <si>
    <t>Central Garden &amp; Pet Co</t>
  </si>
  <si>
    <t>LPX UN Equity</t>
  </si>
  <si>
    <t>Louisiana-Pacific Corp</t>
  </si>
  <si>
    <t>ZZ UN Equity</t>
  </si>
  <si>
    <t>Sealy Corp</t>
  </si>
  <si>
    <t>CNK UN Equity</t>
  </si>
  <si>
    <t>Cinemark Holdings Inc</t>
  </si>
  <si>
    <t>ATU UN Equity</t>
  </si>
  <si>
    <t>Actuant Corp</t>
  </si>
  <si>
    <t>FLTWQ UN Equity</t>
  </si>
  <si>
    <t>Fleetwood Enterprises Inc</t>
  </si>
  <si>
    <t>HUBG UW Equity</t>
  </si>
  <si>
    <t>Hub Group Inc</t>
  </si>
  <si>
    <t>CPX UN Equity</t>
  </si>
  <si>
    <t>SPN Fairway Acquisition Inc/TX</t>
  </si>
  <si>
    <t>PCH UN Equity</t>
  </si>
  <si>
    <t>PotlatchDeltic Corp</t>
  </si>
  <si>
    <t>Real Estate</t>
  </si>
  <si>
    <t>SRZ UN Equity</t>
  </si>
  <si>
    <t>Sunrise Senior Living LLC</t>
  </si>
  <si>
    <t>VRSZQ UN Equity</t>
  </si>
  <si>
    <t>Verso Corp</t>
  </si>
  <si>
    <t>TDY UN Equity</t>
  </si>
  <si>
    <t>Teledyne Technologies Inc</t>
  </si>
  <si>
    <t>DLX UN Equity</t>
  </si>
  <si>
    <t>Deluxe Corp</t>
  </si>
  <si>
    <t>IVC UN Equity</t>
  </si>
  <si>
    <t>Invacare Corp</t>
  </si>
  <si>
    <t>BLDR UW Equity</t>
  </si>
  <si>
    <t>Builders FirstSource Inc</t>
  </si>
  <si>
    <t>CW UN Equity</t>
  </si>
  <si>
    <t>Curtiss-Wright Corp</t>
  </si>
  <si>
    <t>AROPQ UN Equity</t>
  </si>
  <si>
    <t>ARO Liquidation Inc</t>
  </si>
  <si>
    <t>SBRA UW Equity</t>
  </si>
  <si>
    <t>Sabra Health Care REIT Inc</t>
  </si>
  <si>
    <t>0967702D UN Equity</t>
  </si>
  <si>
    <t>HealthSpring Inc</t>
  </si>
  <si>
    <t>AVRNQ UN Equity</t>
  </si>
  <si>
    <t>Aventine Renewable Energy Holdings Inc/O</t>
  </si>
  <si>
    <t>DFG UN Equity</t>
  </si>
  <si>
    <t>Delphi Financial Group Inc</t>
  </si>
  <si>
    <t>NSP UN Equity</t>
  </si>
  <si>
    <t>Insperity Inc</t>
  </si>
  <si>
    <t>AAWW UW Equity</t>
  </si>
  <si>
    <t>Atlas Air Worldwide Holdings Inc</t>
  </si>
  <si>
    <t>GTS UN Equity</t>
  </si>
  <si>
    <t>Triple-S Management Corp</t>
  </si>
  <si>
    <t>SSI UN Equity</t>
  </si>
  <si>
    <t>Stage Stores Inc</t>
  </si>
  <si>
    <t>TTWO UW Equity</t>
  </si>
  <si>
    <t>Take-Two Interactive Software Inc</t>
  </si>
  <si>
    <t>CKR UN Equity</t>
  </si>
  <si>
    <t>CKE Restaurants Inc</t>
  </si>
  <si>
    <t>BRC UN Equity</t>
  </si>
  <si>
    <t>Brady Corp</t>
  </si>
  <si>
    <t>BLC UN Equity</t>
  </si>
  <si>
    <t>Belo Corp</t>
  </si>
  <si>
    <t>PIR UN Equity</t>
  </si>
  <si>
    <t>Pier 1 Imports Inc</t>
  </si>
  <si>
    <t>CAKE UW Equity</t>
  </si>
  <si>
    <t>Cheesecake Factory Inc/The</t>
  </si>
  <si>
    <t>SRX UN Equity</t>
  </si>
  <si>
    <t>SRA International Inc</t>
  </si>
  <si>
    <t>KALU UW Equity</t>
  </si>
  <si>
    <t>Kaiser Aluminum Corp</t>
  </si>
  <si>
    <t>GCO UN Equity</t>
  </si>
  <si>
    <t>Genesco Inc</t>
  </si>
  <si>
    <t>AAN UN Equity</t>
  </si>
  <si>
    <t>Aaron's Inc</t>
  </si>
  <si>
    <t>ARJ UN Equity</t>
  </si>
  <si>
    <t>Arch Chemicals Inc</t>
  </si>
  <si>
    <t>ESL UN Equity</t>
  </si>
  <si>
    <t>Esterline Technologies Corp</t>
  </si>
  <si>
    <t>8397627Q UW Equity</t>
  </si>
  <si>
    <t>Psychiatric Solutions Inc</t>
  </si>
  <si>
    <t>MFW UN Equity</t>
  </si>
  <si>
    <t>M&amp;F Worldwide Corp</t>
  </si>
  <si>
    <t>DPZ UN Equity</t>
  </si>
  <si>
    <t>Domino's Pizza Inc</t>
  </si>
  <si>
    <t>BIO UN Equity</t>
  </si>
  <si>
    <t>Bio-Rad Laboratories Inc</t>
  </si>
  <si>
    <t>SMRT UW Equity</t>
  </si>
  <si>
    <t>Stein Mart Inc</t>
  </si>
  <si>
    <t>PSUNQ UW Equity</t>
  </si>
  <si>
    <t>Pacific Sunwear of California Inc</t>
  </si>
  <si>
    <t>LZB UN Equity</t>
  </si>
  <si>
    <t>La-Z-Boy Inc</t>
  </si>
  <si>
    <t>MANT UW Equity</t>
  </si>
  <si>
    <t>ManTech International Corp/VA</t>
  </si>
  <si>
    <t>ASNA UW Equity</t>
  </si>
  <si>
    <t>Ascena Retail Group Inc</t>
  </si>
  <si>
    <t>B UN Equity</t>
  </si>
  <si>
    <t>Barnes Group Inc</t>
  </si>
  <si>
    <t>TBL UN Equity</t>
  </si>
  <si>
    <t>Timberland LLC/DE</t>
  </si>
  <si>
    <t>COKE UW Equity</t>
  </si>
  <si>
    <t>Coca-Cola Bottling Co Consolidated</t>
  </si>
  <si>
    <t>RSCR UW Equity</t>
  </si>
  <si>
    <t>Res-Care Inc</t>
  </si>
  <si>
    <t>FOSL UW Equity</t>
  </si>
  <si>
    <t>Fossil Group Inc</t>
  </si>
  <si>
    <t>CASLQ UN Equity</t>
  </si>
  <si>
    <t>AM Castle &amp; Co</t>
  </si>
  <si>
    <t>AVA UN Equity</t>
  </si>
  <si>
    <t>Avista Corp</t>
  </si>
  <si>
    <t>CRI UN Equity</t>
  </si>
  <si>
    <t>Carter's Inc</t>
  </si>
  <si>
    <t>DSW UN Equity</t>
  </si>
  <si>
    <t>DSW Inc</t>
  </si>
  <si>
    <t>ODFL UW Equity</t>
  </si>
  <si>
    <t>Old Dominion Freight Line Inc</t>
  </si>
  <si>
    <t>FUL UN Equity</t>
  </si>
  <si>
    <t>HB Fuller Co</t>
  </si>
  <si>
    <t>SEH UN Equity</t>
  </si>
  <si>
    <t>Spartech Corp</t>
  </si>
  <si>
    <t>SKX UN Equity</t>
  </si>
  <si>
    <t>Skechers U.S.A. Inc</t>
  </si>
  <si>
    <t>TBI UN Equity</t>
  </si>
  <si>
    <t>TrueBlue Inc</t>
  </si>
  <si>
    <t>AIR UN Equity</t>
  </si>
  <si>
    <t>AAR Corp</t>
  </si>
  <si>
    <t>RAMP UW Equity</t>
  </si>
  <si>
    <t>LiveRamp Holdings Inc</t>
  </si>
  <si>
    <t>WTS UN Equity</t>
  </si>
  <si>
    <t>Watts Water Technologies Inc</t>
  </si>
  <si>
    <t>UNS UN Equity</t>
  </si>
  <si>
    <t>UNS Energy Corp</t>
  </si>
  <si>
    <t>PTP UN Equity</t>
  </si>
  <si>
    <t>Platinum Underwriters Holdings Ltd</t>
  </si>
  <si>
    <t>NEU UN Equity</t>
  </si>
  <si>
    <t>NewMarket Corp</t>
  </si>
  <si>
    <t>TTEC UW Equity</t>
  </si>
  <si>
    <t>TTEC Holdings Inc</t>
  </si>
  <si>
    <t>8251545Q UW Equity</t>
  </si>
  <si>
    <t>Atlas Energy Inc</t>
  </si>
  <si>
    <t>RT UN Equity</t>
  </si>
  <si>
    <t>Ruby Tuesday Inc</t>
  </si>
  <si>
    <t>WAB UN Equity</t>
  </si>
  <si>
    <t>Wabtec Corp</t>
  </si>
  <si>
    <t>COLM UW Equity</t>
  </si>
  <si>
    <t>Columbia Sportswear Co</t>
  </si>
  <si>
    <t>KBAL UW Equity</t>
  </si>
  <si>
    <t>Kimball International Inc</t>
  </si>
  <si>
    <t>CBB UN Equity</t>
  </si>
  <si>
    <t>Cincinnati Bell Inc</t>
  </si>
  <si>
    <t>JCG UN Equity</t>
  </si>
  <si>
    <t>J Crew Group Inc</t>
  </si>
  <si>
    <t>SCL UN Equity</t>
  </si>
  <si>
    <t>Stepan Co</t>
  </si>
  <si>
    <t>KOP UN Equity</t>
  </si>
  <si>
    <t>Koppers Holdings Inc</t>
  </si>
  <si>
    <t>PALM UW Equity</t>
  </si>
  <si>
    <t>Palm Inc</t>
  </si>
  <si>
    <t>HPY UN Equity</t>
  </si>
  <si>
    <t>Heartland Payment Systems Inc</t>
  </si>
  <si>
    <t>VM UN Equity</t>
  </si>
  <si>
    <t>Virgin Mobile USA Inc</t>
  </si>
  <si>
    <t>ROCK UW Equity</t>
  </si>
  <si>
    <t>Gibraltar Industries Inc</t>
  </si>
  <si>
    <t>COMS UW Equity</t>
  </si>
  <si>
    <t>3Com Corp</t>
  </si>
  <si>
    <t>MCCC UW Equity</t>
  </si>
  <si>
    <t>Mediacom Communications Corp</t>
  </si>
  <si>
    <t>RJETQ UW Equity</t>
  </si>
  <si>
    <t>Republic Airways Holdings Inc</t>
  </si>
  <si>
    <t>GBX UN Equity</t>
  </si>
  <si>
    <t>Greenbrier Cos Inc/The</t>
  </si>
  <si>
    <t>FINL UW Equity</t>
  </si>
  <si>
    <t>Finish Line Inc/The</t>
  </si>
  <si>
    <t>OLN UN Equity</t>
  </si>
  <si>
    <t>Olin Corp</t>
  </si>
  <si>
    <t>CJHBQ UN Equity</t>
  </si>
  <si>
    <t>Champion Enterprises Inc</t>
  </si>
  <si>
    <t>GFF UN Equity</t>
  </si>
  <si>
    <t>Griffon Corp</t>
  </si>
  <si>
    <t>FSS UN Equity</t>
  </si>
  <si>
    <t>Federal Signal Corp</t>
  </si>
  <si>
    <t>STE UN Equity</t>
  </si>
  <si>
    <t>STERIS PLC</t>
  </si>
  <si>
    <t>WEN UN Equity</t>
  </si>
  <si>
    <t>Wendy's Co/The</t>
  </si>
  <si>
    <t>WWD UW Equity</t>
  </si>
  <si>
    <t>Woodward Inc</t>
  </si>
  <si>
    <t>HGGGQ UN Equity</t>
  </si>
  <si>
    <t>hhgregg Inc</t>
  </si>
  <si>
    <t>FBP UN Equity</t>
  </si>
  <si>
    <t>First BanCorp/Puerto Rico</t>
  </si>
  <si>
    <t>TTEK UW Equity</t>
  </si>
  <si>
    <t>Tetra Tech Inc</t>
  </si>
  <si>
    <t>1558151D UN Equity</t>
  </si>
  <si>
    <t>Wausau Paper Corp</t>
  </si>
  <si>
    <t>IBI UN Equity</t>
  </si>
  <si>
    <t>Interline Brands Inc</t>
  </si>
  <si>
    <t>OTTR UW Equity</t>
  </si>
  <si>
    <t>Otter Tail Corp</t>
  </si>
  <si>
    <t>DY UN Equity</t>
  </si>
  <si>
    <t>Dycom Industries Inc</t>
  </si>
  <si>
    <t>GTIV UW Equity</t>
  </si>
  <si>
    <t>Gentiva Health Services Inc</t>
  </si>
  <si>
    <t>PMC UN Equity</t>
  </si>
  <si>
    <t>PharMerica Corp</t>
  </si>
  <si>
    <t>ELNK UW Equity</t>
  </si>
  <si>
    <t>EarthLink Holdings Corp</t>
  </si>
  <si>
    <t>PCMI UQ Equity</t>
  </si>
  <si>
    <t>PCM Inc</t>
  </si>
  <si>
    <t>HRZL UN Equity</t>
  </si>
  <si>
    <t>Matson Alaska Inc</t>
  </si>
  <si>
    <t>NFLX UW Equity</t>
  </si>
  <si>
    <t>Netflix Inc</t>
  </si>
  <si>
    <t>NWE UN Equity</t>
  </si>
  <si>
    <t>NorthWestern Corp</t>
  </si>
  <si>
    <t>NDN UN Equity</t>
  </si>
  <si>
    <t>99 Cents Only Stores LLC</t>
  </si>
  <si>
    <t>WWW UN Equity</t>
  </si>
  <si>
    <t>Wolverine World Wide Inc</t>
  </si>
  <si>
    <t>CHG UN Equity</t>
  </si>
  <si>
    <t>CH Energy Group Inc</t>
  </si>
  <si>
    <t>RTW UN Equity</t>
  </si>
  <si>
    <t>RTW RetailWinds Inc</t>
  </si>
  <si>
    <t>1468826D UN Equity</t>
  </si>
  <si>
    <t>NFP Corp</t>
  </si>
  <si>
    <t>ALTE UW Equity</t>
  </si>
  <si>
    <t>Alterra Capital Holdings Ltd</t>
  </si>
  <si>
    <t>IT UN Equity</t>
  </si>
  <si>
    <t>Gartner Inc</t>
  </si>
  <si>
    <t>CDI UN Equity</t>
  </si>
  <si>
    <t>CDI Corp</t>
  </si>
  <si>
    <t>PPMIQ UN Equity</t>
  </si>
  <si>
    <t>PMI Group Inc/The/Old</t>
  </si>
  <si>
    <t>WIRE UW Equity</t>
  </si>
  <si>
    <t>Encore Wire Corp</t>
  </si>
  <si>
    <t>SXT UN Equity</t>
  </si>
  <si>
    <t>Sensient Technologies Corp</t>
  </si>
  <si>
    <t>HSON UQ Equity</t>
  </si>
  <si>
    <t>Hudson Global Inc</t>
  </si>
  <si>
    <t>CLW UN Equity</t>
  </si>
  <si>
    <t>Clearwater Paper Corp</t>
  </si>
  <si>
    <t>LNY UN Equity</t>
  </si>
  <si>
    <t>Landry's Inc</t>
  </si>
  <si>
    <t>HXL UN Equity</t>
  </si>
  <si>
    <t>Hexcel Corp</t>
  </si>
  <si>
    <t>BTH UN Equity</t>
  </si>
  <si>
    <t>Partylite Inc</t>
  </si>
  <si>
    <t>AMN UN Equity</t>
  </si>
  <si>
    <t>AMN Healthcare Services Inc</t>
  </si>
  <si>
    <t>PRXL UW Equity</t>
  </si>
  <si>
    <t>PAREXEL International Corp</t>
  </si>
  <si>
    <t>HHS UN Equity</t>
  </si>
  <si>
    <t>Harte-Hanks Inc</t>
  </si>
  <si>
    <t>THS UN Equity</t>
  </si>
  <si>
    <t>TreeHouse Foods Inc</t>
  </si>
  <si>
    <t>GLT UN Equity</t>
  </si>
  <si>
    <t>PH Glatfelter Co</t>
  </si>
  <si>
    <t>NUS UN Equity</t>
  </si>
  <si>
    <t>Nu Skin Enterprises Inc</t>
  </si>
  <si>
    <t>GFGFQ UN Equity</t>
  </si>
  <si>
    <t>Guaranty Financial Group Inc</t>
  </si>
  <si>
    <t>MTN UN Equity</t>
  </si>
  <si>
    <t>Vail Resorts Inc</t>
  </si>
  <si>
    <t>CWTRQ UW Equity</t>
  </si>
  <si>
    <t>Coldwater Creek Inc</t>
  </si>
  <si>
    <t>TGI UN Equity</t>
  </si>
  <si>
    <t>Triumph Group Inc</t>
  </si>
  <si>
    <t>RDEN UW Equity</t>
  </si>
  <si>
    <t>Elizabeth Arden Inc</t>
  </si>
  <si>
    <t>TECUA UQ Equity</t>
  </si>
  <si>
    <t>Tecumseh Products Co</t>
  </si>
  <si>
    <t>AHT UN Equity</t>
  </si>
  <si>
    <t>Ashford Hospitality Trust Inc</t>
  </si>
  <si>
    <t>VLGEA UW Equity</t>
  </si>
  <si>
    <t>Village Super Market Inc</t>
  </si>
  <si>
    <t>ISLE UW Equity</t>
  </si>
  <si>
    <t>Isle of Capri Casinos Inc</t>
  </si>
  <si>
    <t>NDSN UW Equity</t>
  </si>
  <si>
    <t>Nordson Corp</t>
  </si>
  <si>
    <t>ELY UN Equity</t>
  </si>
  <si>
    <t>Callaway Golf Co</t>
  </si>
  <si>
    <t>PSMT UW Equity</t>
  </si>
  <si>
    <t>PriceSmart Inc</t>
  </si>
  <si>
    <t>BGCP UW Equity</t>
  </si>
  <si>
    <t>BGC Partners Inc</t>
  </si>
  <si>
    <t>STFC UW Equity</t>
  </si>
  <si>
    <t>State Auto Financial Corp</t>
  </si>
  <si>
    <t>FIX UN Equity</t>
  </si>
  <si>
    <t>Comfort Systems USA Inc</t>
  </si>
  <si>
    <t>TPX UN Equity</t>
  </si>
  <si>
    <t>Tempur Sealy International Inc</t>
  </si>
  <si>
    <t>WNC UN Equity</t>
  </si>
  <si>
    <t>Wabash National Corp</t>
  </si>
  <si>
    <t>CHE UN Equity</t>
  </si>
  <si>
    <t>Chemed Corp</t>
  </si>
  <si>
    <t>IPCC UW Equity</t>
  </si>
  <si>
    <t>Infinity Property &amp; Casualty Corp</t>
  </si>
  <si>
    <t>CGX UN Equity</t>
  </si>
  <si>
    <t>Consolidated Graphics Inc</t>
  </si>
  <si>
    <t>AIN UN Equity</t>
  </si>
  <si>
    <t>Albany International Corp</t>
  </si>
  <si>
    <t>PFCB UW Equity</t>
  </si>
  <si>
    <t>PF Chang's China Bistro Inc</t>
  </si>
  <si>
    <t>1236053D UN Equity</t>
  </si>
  <si>
    <t>EnergySolutions Inc</t>
  </si>
  <si>
    <t>SCHSQ UW Equity</t>
  </si>
  <si>
    <t>School Specialty Inc/Old</t>
  </si>
  <si>
    <t>KAMN UW Equity</t>
  </si>
  <si>
    <t>Kaman Corp</t>
  </si>
  <si>
    <t>ORB UN Equity</t>
  </si>
  <si>
    <t>Orbital Sciences Corp</t>
  </si>
  <si>
    <t>TWTC UW Equity</t>
  </si>
  <si>
    <t>tw telecom inc</t>
  </si>
  <si>
    <t>CBRI UN Equity</t>
  </si>
  <si>
    <t>CMTSU Liquidation Inc</t>
  </si>
  <si>
    <t>TILE UW Equity</t>
  </si>
  <si>
    <t>Interface Inc</t>
  </si>
  <si>
    <t>ASCA UW Equity</t>
  </si>
  <si>
    <t>Ameristar Casinos Inc</t>
  </si>
  <si>
    <t>MTX UN Equity</t>
  </si>
  <si>
    <t>Minerals Technologies Inc</t>
  </si>
  <si>
    <t>PKOH UW Equity</t>
  </si>
  <si>
    <t>Park-Ohio Holdings Corp</t>
  </si>
  <si>
    <t>PTC UW Equity</t>
  </si>
  <si>
    <t>PTC Inc</t>
  </si>
  <si>
    <t>COCOQ UW Equity</t>
  </si>
  <si>
    <t>Corinthian Colleges Inc</t>
  </si>
  <si>
    <t>TRS UN Equity</t>
  </si>
  <si>
    <t>TriMas Corp</t>
  </si>
  <si>
    <t>STCN UW Equity</t>
  </si>
  <si>
    <t>Steel Connect Inc</t>
  </si>
  <si>
    <t>PZZA UW Equity</t>
  </si>
  <si>
    <t>Papa John's International Inc</t>
  </si>
  <si>
    <t>SHO UN Equity</t>
  </si>
  <si>
    <t>Sunstone Hotel Investors Inc</t>
  </si>
  <si>
    <t>HAIN UW Equity</t>
  </si>
  <si>
    <t>Hain Celestial Group Inc/The</t>
  </si>
  <si>
    <t>KNL UN Equity</t>
  </si>
  <si>
    <t>Knoll Inc</t>
  </si>
  <si>
    <t>CRD/B UN Equity</t>
  </si>
  <si>
    <t>Crawford &amp; Co</t>
  </si>
  <si>
    <t>ACLI UW Equity</t>
  </si>
  <si>
    <t>American Commercial Lines Inc</t>
  </si>
  <si>
    <t>PAET UW Equity</t>
  </si>
  <si>
    <t>PAETEC Holding LLC</t>
  </si>
  <si>
    <t>MTZ UN Equity</t>
  </si>
  <si>
    <t>MasTec Inc</t>
  </si>
  <si>
    <t>WHCI UN Equity</t>
  </si>
  <si>
    <t>W Holding Co Inc</t>
  </si>
  <si>
    <t>KFRC UW Equity</t>
  </si>
  <si>
    <t>Kforce Inc</t>
  </si>
  <si>
    <t>NWN UN Equity</t>
  </si>
  <si>
    <t>Northwest Natural Holding Co</t>
  </si>
  <si>
    <t>CNL UN Equity</t>
  </si>
  <si>
    <t>Cleco Corporate Holdings LLC</t>
  </si>
  <si>
    <t>THQIQ UW Equity</t>
  </si>
  <si>
    <t>THQ Inc</t>
  </si>
  <si>
    <t>NPO UN Equity</t>
  </si>
  <si>
    <t>EnPro Industries Inc</t>
  </si>
  <si>
    <t>ZEUS UW Equity</t>
  </si>
  <si>
    <t>Olympic Steel Inc</t>
  </si>
  <si>
    <t>LEE UN Equity</t>
  </si>
  <si>
    <t>Lee Enterprises Inc</t>
  </si>
  <si>
    <t>TXI UN Equity</t>
  </si>
  <si>
    <t>Texas Industries Inc</t>
  </si>
  <si>
    <t>1608358D UN Equity</t>
  </si>
  <si>
    <t>Pulse Electronics Corp</t>
  </si>
  <si>
    <t>SY UN Equity</t>
  </si>
  <si>
    <t>Sybase Inc</t>
  </si>
  <si>
    <t>GEO UN Equity</t>
  </si>
  <si>
    <t>GEO Group Inc/The</t>
  </si>
  <si>
    <t>UNF UN Equity</t>
  </si>
  <si>
    <t>UniFirst Corp/MA</t>
  </si>
  <si>
    <t>FBC UN Equity</t>
  </si>
  <si>
    <t>Flagstar Bancorp Inc</t>
  </si>
  <si>
    <t>FCH UN Equity</t>
  </si>
  <si>
    <t>FelCor Lodging Trust Inc</t>
  </si>
  <si>
    <t>OMG UN Equity</t>
  </si>
  <si>
    <t>Vectra Co</t>
  </si>
  <si>
    <t>WST UN Equity</t>
  </si>
  <si>
    <t>West Pharmaceutical Services Inc</t>
  </si>
  <si>
    <t>BWY UN Equity</t>
  </si>
  <si>
    <t>BWAY Holding Co</t>
  </si>
  <si>
    <t>BBOX UW Equity</t>
  </si>
  <si>
    <t>Black Box Corp</t>
  </si>
  <si>
    <t>MHO UN Equity</t>
  </si>
  <si>
    <t>M/I Homes Inc</t>
  </si>
  <si>
    <t>TWB UN Equity</t>
  </si>
  <si>
    <t>Tween Brands Inc</t>
  </si>
  <si>
    <t>BRS UN Equity</t>
  </si>
  <si>
    <t>Bristow Group Inc</t>
  </si>
  <si>
    <t>VARI UW Equity</t>
  </si>
  <si>
    <t>Varian Inc</t>
  </si>
  <si>
    <t>BEE UN Equity</t>
  </si>
  <si>
    <t>Strategic Hotels &amp; Resorts Inc</t>
  </si>
  <si>
    <t>GTI UN Equity</t>
  </si>
  <si>
    <t>GrafTech International Ltd</t>
  </si>
  <si>
    <t>VVI UN Equity</t>
  </si>
  <si>
    <t>Viad Corp</t>
  </si>
  <si>
    <t>HEES UW Equity</t>
  </si>
  <si>
    <t>H&amp;E Equipment Services Inc</t>
  </si>
  <si>
    <t>GK UW Equity</t>
  </si>
  <si>
    <t>G&amp;K Services Inc</t>
  </si>
  <si>
    <t>CYCL UW Equity</t>
  </si>
  <si>
    <t>Centennial Communications Corp</t>
  </si>
  <si>
    <t>ARGO UW Equity</t>
  </si>
  <si>
    <t>Argo Group International Holdings Ltd</t>
  </si>
  <si>
    <t>TSFG UW Equity</t>
  </si>
  <si>
    <t>South Financial Group Inc/The</t>
  </si>
  <si>
    <t>ARRS UW Equity</t>
  </si>
  <si>
    <t>ARRIS International PLC</t>
  </si>
  <si>
    <t>NP UN Equity</t>
  </si>
  <si>
    <t>Neenah Inc</t>
  </si>
  <si>
    <t>MSA UN Equity</t>
  </si>
  <si>
    <t>MSA Safety Inc</t>
  </si>
  <si>
    <t>VR UN Equity</t>
  </si>
  <si>
    <t>Validus Holdings Ltd</t>
  </si>
  <si>
    <t>HA UQ Equity</t>
  </si>
  <si>
    <t>Hawaiian Holdings Inc</t>
  </si>
  <si>
    <t>UIL UN Equity</t>
  </si>
  <si>
    <t>UIL Holdings Corp/Old</t>
  </si>
  <si>
    <t>LANC UW Equity</t>
  </si>
  <si>
    <t>Lancaster Colony Corp</t>
  </si>
  <si>
    <t>ETH UN Equity</t>
  </si>
  <si>
    <t>Ethan Allen Interiors Inc</t>
  </si>
  <si>
    <t>CHUX UW Equity</t>
  </si>
  <si>
    <t>O'Charleys Inc</t>
  </si>
  <si>
    <t>VTIV UW Equity</t>
  </si>
  <si>
    <t>inVentiv Health Inc</t>
  </si>
  <si>
    <t>SAIA UW Equity</t>
  </si>
  <si>
    <t>Saia Inc</t>
  </si>
  <si>
    <t>QTM UN Equity</t>
  </si>
  <si>
    <t>Quantum Corp</t>
  </si>
  <si>
    <t>FVE UA Equity</t>
  </si>
  <si>
    <t>Five Star Senior Living Inc</t>
  </si>
  <si>
    <t>SIXFQ UN Equity</t>
  </si>
  <si>
    <t>Six Flags Inc</t>
  </si>
  <si>
    <t>HUGH UW Equity</t>
  </si>
  <si>
    <t>Hughes Communications Inc</t>
  </si>
  <si>
    <t>GFIG UW Equity</t>
  </si>
  <si>
    <t>GFI Group Inc</t>
  </si>
  <si>
    <t>MERC UQ Equity</t>
  </si>
  <si>
    <t>Mercer International Inc</t>
  </si>
  <si>
    <t>HGIC UW Equity</t>
  </si>
  <si>
    <t>Harleysville Group Inc</t>
  </si>
  <si>
    <t>SUP UN Equity</t>
  </si>
  <si>
    <t>Superior Industries International Inc</t>
  </si>
  <si>
    <t>SJI UN Equity</t>
  </si>
  <si>
    <t>South Jersey Industries Inc</t>
  </si>
  <si>
    <t>RFMD UW Equity</t>
  </si>
  <si>
    <t>RF Micro Devices Inc</t>
  </si>
  <si>
    <t>MTRN UN Equity</t>
  </si>
  <si>
    <t>Materion Corp</t>
  </si>
  <si>
    <t>XCOOQ UN Equity</t>
  </si>
  <si>
    <t>EXCO Resources Inc</t>
  </si>
  <si>
    <t>MCRS UW Equity</t>
  </si>
  <si>
    <t>MICROS Systems Inc</t>
  </si>
  <si>
    <t>WGRP UN Equity</t>
  </si>
  <si>
    <t>Willbros Group Inc</t>
  </si>
  <si>
    <t>CLH UN Equity</t>
  </si>
  <si>
    <t>Clean Harbors Inc</t>
  </si>
  <si>
    <t>DENN UR Equity</t>
  </si>
  <si>
    <t>Denny's Corp</t>
  </si>
  <si>
    <t>IBAS UQ Equity</t>
  </si>
  <si>
    <t>iBasis Inc</t>
  </si>
  <si>
    <t>MEG UN Equity</t>
  </si>
  <si>
    <t>Media General Inc</t>
  </si>
  <si>
    <t>CRBC UW Equity</t>
  </si>
  <si>
    <t>Citizens Republic Bancorp Inc</t>
  </si>
  <si>
    <t>PLCM UW Equity</t>
  </si>
  <si>
    <t>Polycom Inc</t>
  </si>
  <si>
    <t>AVID UW Equity</t>
  </si>
  <si>
    <t>Avid Technology Inc</t>
  </si>
  <si>
    <t>CSH UN Equity</t>
  </si>
  <si>
    <t>Cash America International Inc</t>
  </si>
  <si>
    <t>TG UN Equity</t>
  </si>
  <si>
    <t>Tredegar Corp</t>
  </si>
  <si>
    <t>9876567D UN Equity</t>
  </si>
  <si>
    <t>Pinnacle Entertainment Inc/Old</t>
  </si>
  <si>
    <t>PAY UN Equity</t>
  </si>
  <si>
    <t>VeriFone Systems Inc</t>
  </si>
  <si>
    <t>CLC UN Equity</t>
  </si>
  <si>
    <t>CLARCOR Inc</t>
  </si>
  <si>
    <t>GYMB UW Equity</t>
  </si>
  <si>
    <t>Gymboree Corp/The</t>
  </si>
  <si>
    <t>FLWS UW Equity</t>
  </si>
  <si>
    <t>1-800-Flowers.com Inc</t>
  </si>
  <si>
    <t>MYE UN Equity</t>
  </si>
  <si>
    <t>Myers Industries Inc</t>
  </si>
  <si>
    <t>CODI UW Equity</t>
  </si>
  <si>
    <t>Compass Diversified Holdings</t>
  </si>
  <si>
    <t>BID UN Equity</t>
  </si>
  <si>
    <t>Sotheby's</t>
  </si>
  <si>
    <t>EEFT UW Equity</t>
  </si>
  <si>
    <t>Euronet Worldwide Inc</t>
  </si>
  <si>
    <t>CALM UQ Equity</t>
  </si>
  <si>
    <t>Cal-Maine Foods Inc</t>
  </si>
  <si>
    <t>FFG UN Equity</t>
  </si>
  <si>
    <t>FBL Financial Group Inc</t>
  </si>
  <si>
    <t>ULTA UW Equity</t>
  </si>
  <si>
    <t>Ulta Beauty Inc</t>
  </si>
  <si>
    <t>RASF UN Equity</t>
  </si>
  <si>
    <t>RAIT Financial Trust</t>
  </si>
  <si>
    <t>BYI UN Equity</t>
  </si>
  <si>
    <t>Bally Technologies Inc</t>
  </si>
  <si>
    <t>BGFV UW Equity</t>
  </si>
  <si>
    <t>Big 5 Sporting Goods Corp</t>
  </si>
  <si>
    <t>0838256D UW Equity</t>
  </si>
  <si>
    <t>Knight Capital Group LLC</t>
  </si>
  <si>
    <t>ROL UN Equity</t>
  </si>
  <si>
    <t>Rollins Inc</t>
  </si>
  <si>
    <t>1087925D UR Equity</t>
  </si>
  <si>
    <t>Force Protection Inc</t>
  </si>
  <si>
    <t>HMN UN Equity</t>
  </si>
  <si>
    <t>Horace Mann Educators Corp</t>
  </si>
  <si>
    <t>HW UN Equity</t>
  </si>
  <si>
    <t>Headwaters Inc</t>
  </si>
  <si>
    <t>HZO UN Equity</t>
  </si>
  <si>
    <t>MarineMax Inc</t>
  </si>
  <si>
    <t>TUES UW Equity</t>
  </si>
  <si>
    <t>Tuesday Morning Corp</t>
  </si>
  <si>
    <t>LORL UW Equity</t>
  </si>
  <si>
    <t>Loral Space &amp; Communications Inc</t>
  </si>
  <si>
    <t>APOG UW Equity</t>
  </si>
  <si>
    <t>Apogee Enterprises Inc</t>
  </si>
  <si>
    <t>CUB UN Equity</t>
  </si>
  <si>
    <t>Cubic Corp</t>
  </si>
  <si>
    <t>MENT UW Equity</t>
  </si>
  <si>
    <t>Mentor Graphics Corp</t>
  </si>
  <si>
    <t>IDA UN Equity</t>
  </si>
  <si>
    <t>IDACORP Inc</t>
  </si>
  <si>
    <t>EE UN Equity</t>
  </si>
  <si>
    <t>El Paso Electric Co</t>
  </si>
  <si>
    <t>BAS UN Equity</t>
  </si>
  <si>
    <t>Basic Energy Services Inc</t>
  </si>
  <si>
    <t>ZNT UN Equity</t>
  </si>
  <si>
    <t>Zenith National Insurance Corp</t>
  </si>
  <si>
    <t>4107485Q UN Equity</t>
  </si>
  <si>
    <t>Valeant Pharmaceuticals International</t>
  </si>
  <si>
    <t>ASTE UW Equity</t>
  </si>
  <si>
    <t>Astec Industries Inc</t>
  </si>
  <si>
    <t>NX UN Equity</t>
  </si>
  <si>
    <t>Quanex Building Products Corp</t>
  </si>
  <si>
    <t>LAYN UW Equity</t>
  </si>
  <si>
    <t>Layne Christensen Co</t>
  </si>
  <si>
    <t>SRCTQ UN Equity</t>
  </si>
  <si>
    <t>Standard Register Co/The</t>
  </si>
  <si>
    <t>CCIX UQ Equity</t>
  </si>
  <si>
    <t>Coleman Cable Inc</t>
  </si>
  <si>
    <t>PERY UW Equity</t>
  </si>
  <si>
    <t>Perry Ellis International Inc</t>
  </si>
  <si>
    <t>STSA UW Equity</t>
  </si>
  <si>
    <t>Sterling Financial Corp/WA</t>
  </si>
  <si>
    <t>SWKS UW Equity</t>
  </si>
  <si>
    <t>Skyworks Solutions Inc</t>
  </si>
  <si>
    <t>OWW UN Equity</t>
  </si>
  <si>
    <t>Orbitz Worldwide Inc</t>
  </si>
  <si>
    <t>CMP UN Equity</t>
  </si>
  <si>
    <t>Compass Minerals International Inc</t>
  </si>
  <si>
    <t>JAKK UW Equity</t>
  </si>
  <si>
    <t>JAKKS Pacific Inc</t>
  </si>
  <si>
    <t>PLT UN Equity</t>
  </si>
  <si>
    <t>Plantronics Inc</t>
  </si>
  <si>
    <t>RWT UN Equity</t>
  </si>
  <si>
    <t>Redwood Trust Inc</t>
  </si>
  <si>
    <t>PVAHQ UN Equity</t>
  </si>
  <si>
    <t>Penn Virginia Corp</t>
  </si>
  <si>
    <t>LWSN UW Equity</t>
  </si>
  <si>
    <t>Infor US Inc</t>
  </si>
  <si>
    <t>BNE UN Equity</t>
  </si>
  <si>
    <t>Donnelley Financial LLC</t>
  </si>
  <si>
    <t>KEM UN Equity</t>
  </si>
  <si>
    <t>KEMET Corp</t>
  </si>
  <si>
    <t>IN UN Equity</t>
  </si>
  <si>
    <t>Intermec Inc</t>
  </si>
  <si>
    <t>ICO UN Equity</t>
  </si>
  <si>
    <t>International Coal Group Inc</t>
  </si>
  <si>
    <t>CROX UW Equity</t>
  </si>
  <si>
    <t>Crocs Inc</t>
  </si>
  <si>
    <t>CATO UN Equity</t>
  </si>
  <si>
    <t>Cato Corp/The</t>
  </si>
  <si>
    <t>FADV UW Equity</t>
  </si>
  <si>
    <t>First Advantage Corp</t>
  </si>
  <si>
    <t>ALE UN Equity</t>
  </si>
  <si>
    <t>ALLETE Inc</t>
  </si>
  <si>
    <t>RECN UW Equity</t>
  </si>
  <si>
    <t>Resources Connection Inc</t>
  </si>
  <si>
    <t>TWI UN Equity</t>
  </si>
  <si>
    <t>Titan International Inc</t>
  </si>
  <si>
    <t>KFY UN Equity</t>
  </si>
  <si>
    <t>Korn/Ferry International</t>
  </si>
  <si>
    <t>CKP UN Equity</t>
  </si>
  <si>
    <t>Checkpoint Systems Inc</t>
  </si>
  <si>
    <t>FMER UW Equity</t>
  </si>
  <si>
    <t>FirstMerit Corp</t>
  </si>
  <si>
    <t>MWIV UW Equity</t>
  </si>
  <si>
    <t>MWI Veterinary Supply Inc</t>
  </si>
  <si>
    <t>VG UN Equity</t>
  </si>
  <si>
    <t>Vonage Holdings Corp</t>
  </si>
  <si>
    <t>1536637D UN Equity</t>
  </si>
  <si>
    <t>Buckeye Technologies Inc</t>
  </si>
  <si>
    <t>CONN UW Equity</t>
  </si>
  <si>
    <t>Conn's Inc</t>
  </si>
  <si>
    <t>1681507D UW Equity</t>
  </si>
  <si>
    <t>Charlotte Russe Holding Inc</t>
  </si>
  <si>
    <t>EWBC UW Equity</t>
  </si>
  <si>
    <t>East West Bancorp Inc</t>
  </si>
  <si>
    <t>SBP UN Equity</t>
  </si>
  <si>
    <t>Santander BanCorp</t>
  </si>
  <si>
    <t>MATW UW Equity</t>
  </si>
  <si>
    <t>Matthews International Corp</t>
  </si>
  <si>
    <t>IESC UQ Equity</t>
  </si>
  <si>
    <t>IES Holdings Inc</t>
  </si>
  <si>
    <t>RAIL UW Equity</t>
  </si>
  <si>
    <t>FreightCar America Inc</t>
  </si>
  <si>
    <t>SSD UN Equity</t>
  </si>
  <si>
    <t>Simpson Manufacturing Co Inc</t>
  </si>
  <si>
    <t>LBY UN Equity</t>
  </si>
  <si>
    <t>Libbey Inc</t>
  </si>
  <si>
    <t>IBOC UW Equity</t>
  </si>
  <si>
    <t>International Bancshares Corp</t>
  </si>
  <si>
    <t>SONC UW Equity</t>
  </si>
  <si>
    <t>Sonic Corp</t>
  </si>
  <si>
    <t>RMIXQ UQ Equity</t>
  </si>
  <si>
    <t>US Concrete Inc/Old</t>
  </si>
  <si>
    <t>OVTI UW Equity</t>
  </si>
  <si>
    <t>OmniVision Technologies Inc</t>
  </si>
  <si>
    <t>SVVS UW Equity</t>
  </si>
  <si>
    <t>SAVVIS Inc</t>
  </si>
  <si>
    <t>SF UN Equity</t>
  </si>
  <si>
    <t>Stifel Financial Corp</t>
  </si>
  <si>
    <t>RBN UN Equity</t>
  </si>
  <si>
    <t>Robbins &amp; Myers Inc</t>
  </si>
  <si>
    <t>AEPI UW Equity</t>
  </si>
  <si>
    <t>AEP Industries Inc</t>
  </si>
  <si>
    <t>CEC UN Equity</t>
  </si>
  <si>
    <t>CEC Entertainment Inc</t>
  </si>
  <si>
    <t>HVT UN Equity</t>
  </si>
  <si>
    <t>Haverty Furniture Cos Inc</t>
  </si>
  <si>
    <t>AEL UN Equity</t>
  </si>
  <si>
    <t>American Equity Investment Life Holding</t>
  </si>
  <si>
    <t>PWAVQ UW Equity</t>
  </si>
  <si>
    <t>Powerwave Technologies Inc</t>
  </si>
  <si>
    <t>MKSI UW Equity</t>
  </si>
  <si>
    <t>MKS Instruments Inc</t>
  </si>
  <si>
    <t>NTRI UW Equity</t>
  </si>
  <si>
    <t>Nutrisystem Inc</t>
  </si>
  <si>
    <t>GSIH UN Equity</t>
  </si>
  <si>
    <t>General Steel Holdings Inc</t>
  </si>
  <si>
    <t>AGYS UW Equity</t>
  </si>
  <si>
    <t>Agilysys Inc</t>
  </si>
  <si>
    <t>1248911D UN Equity</t>
  </si>
  <si>
    <t>Par Pharmaceutical Cos Inc</t>
  </si>
  <si>
    <t>NCI UN Equity</t>
  </si>
  <si>
    <t>Navigant Consulting Inc</t>
  </si>
  <si>
    <t>RRGB UW Equity</t>
  </si>
  <si>
    <t>Red Robin Gourmet Burgers Inc</t>
  </si>
  <si>
    <t>LNCE UW Equity</t>
  </si>
  <si>
    <t>Snyder's-Lance Inc</t>
  </si>
  <si>
    <t>OSTK UQ Equity</t>
  </si>
  <si>
    <t>Overstock.com Inc</t>
  </si>
  <si>
    <t>SIRO UW Equity</t>
  </si>
  <si>
    <t>Sirona Dental Systems Inc</t>
  </si>
  <si>
    <t>CRDN UW Equity</t>
  </si>
  <si>
    <t>Ceradyne Inc</t>
  </si>
  <si>
    <t>UCBHQ UW Equity</t>
  </si>
  <si>
    <t>UCBH Holdings Inc</t>
  </si>
  <si>
    <t>GSIC UW Equity</t>
  </si>
  <si>
    <t>Radial Commerce Inc</t>
  </si>
  <si>
    <t>RHP UN Equity</t>
  </si>
  <si>
    <t>Ryman Hospitality Properties Inc</t>
  </si>
  <si>
    <t>AJRD UN Equity</t>
  </si>
  <si>
    <t>Aerojet Rocketdyne Holdings Inc</t>
  </si>
  <si>
    <t>MMS UN Equity</t>
  </si>
  <si>
    <t>MAXIMUS Inc</t>
  </si>
  <si>
    <t>FICO UN Equity</t>
  </si>
  <si>
    <t>Fair Isaac Corp</t>
  </si>
  <si>
    <t>ACO UN Equity</t>
  </si>
  <si>
    <t>AMCOL International Corp</t>
  </si>
  <si>
    <t>1339658D UW Equity</t>
  </si>
  <si>
    <t>Pacific Capital Bancorp</t>
  </si>
  <si>
    <t>CITP UQ Equity</t>
  </si>
  <si>
    <t>COMSYS IT Partners Inc</t>
  </si>
  <si>
    <t>JKHY UW Equity</t>
  </si>
  <si>
    <t>Jack Henry &amp; Associates Inc</t>
  </si>
  <si>
    <t>AHC UN Equity</t>
  </si>
  <si>
    <t>AH Belo Corp</t>
  </si>
  <si>
    <t>TVTY UW Equity</t>
  </si>
  <si>
    <t>Tivity Health Inc</t>
  </si>
  <si>
    <t>TXRH UW Equity</t>
  </si>
  <si>
    <t>Texas Roadhouse Inc</t>
  </si>
  <si>
    <t>CORSQ UW Equity</t>
  </si>
  <si>
    <t>Corus Bankshares Inc</t>
  </si>
  <si>
    <t>MTRX UQ Equity</t>
  </si>
  <si>
    <t>Matrix Service Co</t>
  </si>
  <si>
    <t>MFLX UW Equity</t>
  </si>
  <si>
    <t>Multi-Fineline Electronix Inc</t>
  </si>
  <si>
    <t>HOTT UW Equity</t>
  </si>
  <si>
    <t>Hot Topic Inc</t>
  </si>
  <si>
    <t>NTGR UW Equity</t>
  </si>
  <si>
    <t>NETGEAR Inc</t>
  </si>
  <si>
    <t>ICFI UW Equity</t>
  </si>
  <si>
    <t>ICF International Inc</t>
  </si>
  <si>
    <t>SRI UN Equity</t>
  </si>
  <si>
    <t>Stoneridge Inc</t>
  </si>
  <si>
    <t>BKR UA Equity</t>
  </si>
  <si>
    <t>Michael Baker Corp</t>
  </si>
  <si>
    <t>CTDBQ UN Equity</t>
  </si>
  <si>
    <t>Citadel Broadcasting Corp/Old</t>
  </si>
  <si>
    <t>AVNW UQ Equity</t>
  </si>
  <si>
    <t>Aviat Networks Inc</t>
  </si>
  <si>
    <t>CCRN UW Equity</t>
  </si>
  <si>
    <t>Cross Country Healthcare Inc</t>
  </si>
  <si>
    <t>SBGI UW Equity</t>
  </si>
  <si>
    <t>Sinclair Broadcast Group Inc</t>
  </si>
  <si>
    <t>MRH UN Equity</t>
  </si>
  <si>
    <t>Montpelier Re Holdings Ltd</t>
  </si>
  <si>
    <t>SWM UN Equity</t>
  </si>
  <si>
    <t>Schweitzer-Mauduit International Inc</t>
  </si>
  <si>
    <t>TDG UN Equity</t>
  </si>
  <si>
    <t>TransDigm Group Inc</t>
  </si>
  <si>
    <t>9876444D UN Equity</t>
  </si>
  <si>
    <t>Knight Transportation Inc</t>
  </si>
  <si>
    <t>UFI UN Equity</t>
  </si>
  <si>
    <t>Unifi Inc</t>
  </si>
  <si>
    <t>DRH UN Equity</t>
  </si>
  <si>
    <t>DiamondRock Hospitality Co</t>
  </si>
  <si>
    <t>IO UN Equity</t>
  </si>
  <si>
    <t>ION Geophysical Corp</t>
  </si>
  <si>
    <t>RHB UN Equity</t>
  </si>
  <si>
    <t>RehabCare Group Inc</t>
  </si>
  <si>
    <t>SYKE UW Equity</t>
  </si>
  <si>
    <t>Sykes Enterprises Inc</t>
  </si>
  <si>
    <t>AEA UN Equity</t>
  </si>
  <si>
    <t>Advance America Cash Advance Centers Inc</t>
  </si>
  <si>
    <t>TRMK UW Equity</t>
  </si>
  <si>
    <t>Trustmark Corp</t>
  </si>
  <si>
    <t>PRA UN Equity</t>
  </si>
  <si>
    <t>ProAssurance Corp</t>
  </si>
  <si>
    <t>UMBF UW Equity</t>
  </si>
  <si>
    <t>UMB Financial Corp</t>
  </si>
  <si>
    <t>ARII UW Equity</t>
  </si>
  <si>
    <t>American Railcar Industries Inc</t>
  </si>
  <si>
    <t>AMED UW Equity</t>
  </si>
  <si>
    <t>Amedisys Inc</t>
  </si>
  <si>
    <t>SXI UN Equity</t>
  </si>
  <si>
    <t>Standex International Corp</t>
  </si>
  <si>
    <t>CVGI UW Equity</t>
  </si>
  <si>
    <t>Commercial Vehicle Group Inc</t>
  </si>
  <si>
    <t>BKH UN Equity</t>
  </si>
  <si>
    <t>Black Hills Corp</t>
  </si>
  <si>
    <t>OXM UN Equity</t>
  </si>
  <si>
    <t>Oxford Industries Inc</t>
  </si>
  <si>
    <t>CNMD UW Equity</t>
  </si>
  <si>
    <t>CONMED Corp</t>
  </si>
  <si>
    <t>WTFC UW Equity</t>
  </si>
  <si>
    <t>Wintrust Financial Corp</t>
  </si>
  <si>
    <t>RES UN Equity</t>
  </si>
  <si>
    <t>RPC Inc</t>
  </si>
  <si>
    <t>1330361D UN Equity</t>
  </si>
  <si>
    <t>ICE Data Services Inc</t>
  </si>
  <si>
    <t>IUSA UW Equity</t>
  </si>
  <si>
    <t>infoGroup Inc</t>
  </si>
  <si>
    <t>ARC UN Equity</t>
  </si>
  <si>
    <t>ARC Document Solutions Inc</t>
  </si>
  <si>
    <t>DS UN Equity</t>
  </si>
  <si>
    <t>Drive Shack Inc</t>
  </si>
  <si>
    <t>BEBE UW Equity</t>
  </si>
  <si>
    <t>bebe stores inc</t>
  </si>
  <si>
    <t>CRK UN Equity</t>
  </si>
  <si>
    <t>Comstock Resources Inc</t>
  </si>
  <si>
    <t>CTS UN Equity</t>
  </si>
  <si>
    <t>CTS Corp</t>
  </si>
  <si>
    <t>SPAR UW Equity</t>
  </si>
  <si>
    <t>Spartan Motors Inc</t>
  </si>
  <si>
    <t>ULH UW Equity</t>
  </si>
  <si>
    <t>Universal Logistics Holdings Inc</t>
  </si>
  <si>
    <t>NAVG UW Equity</t>
  </si>
  <si>
    <t>Navigators Group Inc/The</t>
  </si>
  <si>
    <t>SMOD UW Equity</t>
  </si>
  <si>
    <t>SMART Worldwide Holdings Inc</t>
  </si>
  <si>
    <t>SAFT UW Equity</t>
  </si>
  <si>
    <t>Safety Insurance Group Inc</t>
  </si>
  <si>
    <t>TTMI UW Equity</t>
  </si>
  <si>
    <t>TTM Technologies Inc</t>
  </si>
  <si>
    <t>LCII UN Equity</t>
  </si>
  <si>
    <t>LCI Industries</t>
  </si>
  <si>
    <t>GTLS UW Equity</t>
  </si>
  <si>
    <t>Chart Industries Inc</t>
  </si>
  <si>
    <t>CIR UN Equity</t>
  </si>
  <si>
    <t>CIRCOR International Inc</t>
  </si>
  <si>
    <t>SIVB UW Equity</t>
  </si>
  <si>
    <t>SVB Financial Group</t>
  </si>
  <si>
    <t>TNC UN Equity</t>
  </si>
  <si>
    <t>Tennant Co</t>
  </si>
  <si>
    <t>LHO UN Equity</t>
  </si>
  <si>
    <t>LaSalle Hotel Properties</t>
  </si>
  <si>
    <t>SCVL UW Equity</t>
  </si>
  <si>
    <t>Shoe Carnival Inc</t>
  </si>
  <si>
    <t>1508335D UN Equity</t>
  </si>
  <si>
    <t>Life Time Fitness Inc</t>
  </si>
  <si>
    <t>PKD UN Equity</t>
  </si>
  <si>
    <t>Parker Drilling Co</t>
  </si>
  <si>
    <t>VSEC UQ Equity</t>
  </si>
  <si>
    <t>VSE Corp</t>
  </si>
  <si>
    <t>HELE UW Equity</t>
  </si>
  <si>
    <t>Helen of Troy Ltd</t>
  </si>
  <si>
    <t>RLI UN Equity</t>
  </si>
  <si>
    <t>RLI Corp</t>
  </si>
  <si>
    <t>0966576D UN Equity</t>
  </si>
  <si>
    <t>WMS Industries Inc</t>
  </si>
  <si>
    <t>HSII UW Equity</t>
  </si>
  <si>
    <t>Heidrick &amp; Struggles International Inc</t>
  </si>
  <si>
    <t>SUSQ UW Equity</t>
  </si>
  <si>
    <t>Susquehanna Bancshares Inc</t>
  </si>
  <si>
    <t>1550887D UN Equity</t>
  </si>
  <si>
    <t>Bluegreen Vacations Corp</t>
  </si>
  <si>
    <t>CNVR UW Equity</t>
  </si>
  <si>
    <t>Conversant Inc</t>
  </si>
  <si>
    <t>DAR UN Equity</t>
  </si>
  <si>
    <t>Darling Ingredients Inc</t>
  </si>
  <si>
    <t>TIBX UW Equity</t>
  </si>
  <si>
    <t>TIBCO Software Inc</t>
  </si>
  <si>
    <t>CBZ UN Equity</t>
  </si>
  <si>
    <t>CBIZ Inc</t>
  </si>
  <si>
    <t>EXXIQ UR Equity</t>
  </si>
  <si>
    <t>Energy XXI Ltd</t>
  </si>
  <si>
    <t>CATY UW Equity</t>
  </si>
  <si>
    <t>Cathay General Bancorp</t>
  </si>
  <si>
    <t>GRB UN Equity</t>
  </si>
  <si>
    <t>Gerber Scientific Inc</t>
  </si>
  <si>
    <t>POWL UW Equity</t>
  </si>
  <si>
    <t>Powell Industries Inc</t>
  </si>
  <si>
    <t>UFCS UW Equity</t>
  </si>
  <si>
    <t>United Fire Group Inc</t>
  </si>
  <si>
    <t>HNGR UN Equity</t>
  </si>
  <si>
    <t>Hanger Inc</t>
  </si>
  <si>
    <t>HAYN UW Equity</t>
  </si>
  <si>
    <t>Haynes International Inc</t>
  </si>
  <si>
    <t>RCNI UW Equity</t>
  </si>
  <si>
    <t>Sidera Networks Inc</t>
  </si>
  <si>
    <t>GEN UN Equity</t>
  </si>
  <si>
    <t>Genesis Healthcare Inc</t>
  </si>
  <si>
    <t>CPKI UW Equity</t>
  </si>
  <si>
    <t>California Pizza Kitchen Inc</t>
  </si>
  <si>
    <t>HTCH UW Equity</t>
  </si>
  <si>
    <t>Hutchinson Technology Inc</t>
  </si>
  <si>
    <t>1449779D UN Equity</t>
  </si>
  <si>
    <t>Ameron International Corp</t>
  </si>
  <si>
    <t>QSFT UW Equity</t>
  </si>
  <si>
    <t>Quest Software Inc/CA</t>
  </si>
  <si>
    <t>JJSF UW Equity</t>
  </si>
  <si>
    <t>J&amp;J Snack Foods Corp</t>
  </si>
  <si>
    <t>RTI UN Equity</t>
  </si>
  <si>
    <t>RTI International Metals Inc</t>
  </si>
  <si>
    <t>ENTG UW Equity</t>
  </si>
  <si>
    <t>Entegris Inc</t>
  </si>
  <si>
    <t>SP UW Equity</t>
  </si>
  <si>
    <t>SP Plus Corp</t>
  </si>
  <si>
    <t>ESE UN Equity</t>
  </si>
  <si>
    <t>ESCO Technologies Inc</t>
  </si>
  <si>
    <t>CDVIQ UN Equity</t>
  </si>
  <si>
    <t>Cal Dive International Inc</t>
  </si>
  <si>
    <t>CMCO UW Equity</t>
  </si>
  <si>
    <t>Columbus McKinnon Corp/NY</t>
  </si>
  <si>
    <t>OSIS UQ Equity</t>
  </si>
  <si>
    <t>OSI Systems Inc</t>
  </si>
  <si>
    <t>EFII UW Equity</t>
  </si>
  <si>
    <t>Electronics For Imaging Inc</t>
  </si>
  <si>
    <t>BKE UN Equity</t>
  </si>
  <si>
    <t>Buckle Inc/The</t>
  </si>
  <si>
    <t>SWC UN Equity</t>
  </si>
  <si>
    <t>Stillwater Mining Co</t>
  </si>
  <si>
    <t>ONB UN Equity</t>
  </si>
  <si>
    <t>Old National Bancorp/IN</t>
  </si>
  <si>
    <t>XRM UN Equity</t>
  </si>
  <si>
    <t>Xerium Technologies Inc</t>
  </si>
  <si>
    <t>GBLI UW Equity</t>
  </si>
  <si>
    <t>Global Indemnity Ltd</t>
  </si>
  <si>
    <t>MDTH UW Equity</t>
  </si>
  <si>
    <t>MedCath Corp</t>
  </si>
  <si>
    <t>UCBI UW Equity</t>
  </si>
  <si>
    <t>United Community Banks Inc/GA</t>
  </si>
  <si>
    <t>NR UN Equity</t>
  </si>
  <si>
    <t>Newpark Resources Inc</t>
  </si>
  <si>
    <t>WTSLQ UQ Equity</t>
  </si>
  <si>
    <t>Seal123 Inc</t>
  </si>
  <si>
    <t>EBF UN Equity</t>
  </si>
  <si>
    <t>Ennis Inc</t>
  </si>
  <si>
    <t>BH UN Equity</t>
  </si>
  <si>
    <t>Biglari Holdings Inc</t>
  </si>
  <si>
    <t>FFEDQ UN Equity</t>
  </si>
  <si>
    <t>FirstFed Financial Corp</t>
  </si>
  <si>
    <t>GETI UW Equity</t>
  </si>
  <si>
    <t>GenTek Inc</t>
  </si>
  <si>
    <t>ATPAQ UW Equity</t>
  </si>
  <si>
    <t>ATP Oil &amp; Gas Corp/United States</t>
  </si>
  <si>
    <t>UAA UN Equity</t>
  </si>
  <si>
    <t>Under Armour Inc</t>
  </si>
  <si>
    <t>GVHR UW Equity</t>
  </si>
  <si>
    <t>Gevity HR Inc</t>
  </si>
  <si>
    <t>WGO UN Equity</t>
  </si>
  <si>
    <t>Winnebago Industries Inc</t>
  </si>
  <si>
    <t>0313624D UN Equity</t>
  </si>
  <si>
    <t>Stanley Inc</t>
  </si>
  <si>
    <t>JOSB UW Equity</t>
  </si>
  <si>
    <t>Jos A Bank Clothiers Inc</t>
  </si>
  <si>
    <t>AMWD UW Equity</t>
  </si>
  <si>
    <t>American Woodmark Corp</t>
  </si>
  <si>
    <t>IOSP UW Equity</t>
  </si>
  <si>
    <t>Innospec Inc</t>
  </si>
  <si>
    <t>FELE UW Equity</t>
  </si>
  <si>
    <t>Franklin Electric Co Inc</t>
  </si>
  <si>
    <t>KVPHQ UN Equity</t>
  </si>
  <si>
    <t>AMAG Pharma USA Inc</t>
  </si>
  <si>
    <t>EVRI UN Equity</t>
  </si>
  <si>
    <t>Everi Holdings Inc</t>
  </si>
  <si>
    <t>AVCT UW Equity</t>
  </si>
  <si>
    <t>Avocent Corp</t>
  </si>
  <si>
    <t>COHR UW Equity</t>
  </si>
  <si>
    <t>Coherent Inc</t>
  </si>
  <si>
    <t>NHC UA Equity</t>
  </si>
  <si>
    <t>National HealthCare Corp</t>
  </si>
  <si>
    <t>LUFK UW Equity</t>
  </si>
  <si>
    <t>Lufkin Industries Inc</t>
  </si>
  <si>
    <t>FEIC UW Equity</t>
  </si>
  <si>
    <t>FEI Co</t>
  </si>
  <si>
    <t>IPSU UQ Equity</t>
  </si>
  <si>
    <t>Imperial Sugar Co</t>
  </si>
  <si>
    <t>HTLD UW Equity</t>
  </si>
  <si>
    <t>Heartland Express Inc</t>
  </si>
  <si>
    <t>VOXX UQ Equity</t>
  </si>
  <si>
    <t>VOXX International Corp</t>
  </si>
  <si>
    <t>LXU UN Equity</t>
  </si>
  <si>
    <t>LSB Industries Inc</t>
  </si>
  <si>
    <t>BPFH UW Equity</t>
  </si>
  <si>
    <t>Boston Private Financial Holdings Inc</t>
  </si>
  <si>
    <t>AIMC UW Equity</t>
  </si>
  <si>
    <t>Altra Industrial Motion Corp</t>
  </si>
  <si>
    <t>BHS UN Equity</t>
  </si>
  <si>
    <t>Brookfield Homes Corp</t>
  </si>
  <si>
    <t>AI UN Equity</t>
  </si>
  <si>
    <t>Arlington Asset Investment Corp</t>
  </si>
  <si>
    <t>JRN UN Equity</t>
  </si>
  <si>
    <t>Journal Communications Inc</t>
  </si>
  <si>
    <t>HEI UN Equity</t>
  </si>
  <si>
    <t>HEICO Corp</t>
  </si>
  <si>
    <t>IPCR UW Equity</t>
  </si>
  <si>
    <t>IPC Holdings Ltd</t>
  </si>
  <si>
    <t>CWST UW Equity</t>
  </si>
  <si>
    <t>Casella Waste Systems Inc</t>
  </si>
  <si>
    <t>IPHS UQ Equity</t>
  </si>
  <si>
    <t>Innophos Holdings Inc</t>
  </si>
  <si>
    <t>HCSG UW Equity</t>
  </si>
  <si>
    <t>Healthcare Services Group Inc</t>
  </si>
  <si>
    <t>CBK UN Equity</t>
  </si>
  <si>
    <t>Christopher &amp; Banks Corp</t>
  </si>
  <si>
    <t>RSTI UW Equity</t>
  </si>
  <si>
    <t>Rofin-Sinar Technologies Inc</t>
  </si>
  <si>
    <t>ZEP UN Equity</t>
  </si>
  <si>
    <t>Zep Inc</t>
  </si>
  <si>
    <t>VSAT UW Equity</t>
  </si>
  <si>
    <t>ViaSat Inc</t>
  </si>
  <si>
    <t>AFSI UW Equity</t>
  </si>
  <si>
    <t>AmTrust Financial Services Inc</t>
  </si>
  <si>
    <t>DLLR UW Equity</t>
  </si>
  <si>
    <t>DFC Global Corp</t>
  </si>
  <si>
    <t>ALY UN Equity</t>
  </si>
  <si>
    <t>Allis-Chalmers Energy Inc</t>
  </si>
  <si>
    <t>3695043Q UN Equity</t>
  </si>
  <si>
    <t>NATCO Group Inc</t>
  </si>
  <si>
    <t>KNDL UW Equity</t>
  </si>
  <si>
    <t>Kendle International LLC</t>
  </si>
  <si>
    <t>RNWK UW Equity</t>
  </si>
  <si>
    <t>RealNetworks Inc</t>
  </si>
  <si>
    <t>ASGN UQ Equity</t>
  </si>
  <si>
    <t>ASGN Inc</t>
  </si>
  <si>
    <t>FIZZ UW Equity</t>
  </si>
  <si>
    <t>National Beverage Corp</t>
  </si>
  <si>
    <t>CGIP UW Equity</t>
  </si>
  <si>
    <t>Celadon Group Inc</t>
  </si>
  <si>
    <t>FSR UN Equity</t>
  </si>
  <si>
    <t>Flagstone Reinsurance Holdings SA</t>
  </si>
  <si>
    <t>NSTC UW Equity</t>
  </si>
  <si>
    <t>Ness Technologies Inc</t>
  </si>
  <si>
    <t>ADVBQ UW Equity</t>
  </si>
  <si>
    <t>Advanta Corp</t>
  </si>
  <si>
    <t>TRK UN Equity</t>
  </si>
  <si>
    <t>Speedway Motorsports Inc</t>
  </si>
  <si>
    <t>MRTN UW Equity</t>
  </si>
  <si>
    <t>Marten Transport Ltd</t>
  </si>
  <si>
    <t>PGI UN Equity</t>
  </si>
  <si>
    <t>Premiere Global Services Inc</t>
  </si>
  <si>
    <t>MOV UN Equity</t>
  </si>
  <si>
    <t>Movado Group Inc</t>
  </si>
  <si>
    <t>1411788D UN Equity</t>
  </si>
  <si>
    <t>Cascade Corp</t>
  </si>
  <si>
    <t>PHHMQ UQ Equity</t>
  </si>
  <si>
    <t>Palm Harbor Homes Inc</t>
  </si>
  <si>
    <t>UMPQ UW Equity</t>
  </si>
  <si>
    <t>Umpqua Holdings Corp</t>
  </si>
  <si>
    <t>PIKE UN Equity</t>
  </si>
  <si>
    <t>Pike Corp</t>
  </si>
  <si>
    <t>MEI UN Equity</t>
  </si>
  <si>
    <t>Methode Electronics Inc</t>
  </si>
  <si>
    <t>IART UW Equity</t>
  </si>
  <si>
    <t>Integra LifeSciences Holdings Corp</t>
  </si>
  <si>
    <t>1052394D UN Equity</t>
  </si>
  <si>
    <t>MPG Office Trust Inc</t>
  </si>
  <si>
    <t>HURN UW Equity</t>
  </si>
  <si>
    <t>Huron Consulting Group Inc</t>
  </si>
  <si>
    <t>BRKR UW Equity</t>
  </si>
  <si>
    <t>Bruker Corp</t>
  </si>
  <si>
    <t>SAPE UW Equity</t>
  </si>
  <si>
    <t>Sapient Corp</t>
  </si>
  <si>
    <t>OUTR UW Equity</t>
  </si>
  <si>
    <t>Coinstar LLC</t>
  </si>
  <si>
    <t>MBFI UW Equity</t>
  </si>
  <si>
    <t>MB Financial Inc</t>
  </si>
  <si>
    <t>ESC UN Equity</t>
  </si>
  <si>
    <t>Emeritus Corp</t>
  </si>
  <si>
    <t>KWR UN Equity</t>
  </si>
  <si>
    <t>Quaker Chemical Corp</t>
  </si>
  <si>
    <t>ZINCQ UW Equity</t>
  </si>
  <si>
    <t>American Zinc Recycling LLC</t>
  </si>
  <si>
    <t>SGK UN Equity</t>
  </si>
  <si>
    <t>Schawk Inc</t>
  </si>
  <si>
    <t>SMCI UQ Equity</t>
  </si>
  <si>
    <t>Super Micro Computer Inc</t>
  </si>
  <si>
    <t>SLH UN Equity</t>
  </si>
  <si>
    <t>Solera Holdings Inc</t>
  </si>
  <si>
    <t>IPCS UW Equity</t>
  </si>
  <si>
    <t>iPCS Inc</t>
  </si>
  <si>
    <t>MGEE UW Equity</t>
  </si>
  <si>
    <t>MGE Energy Inc</t>
  </si>
  <si>
    <t>FMBI UW Equity</t>
  </si>
  <si>
    <t>First Midwest Bancorp Inc/IL</t>
  </si>
  <si>
    <t>PPO UN Equity</t>
  </si>
  <si>
    <t>Polypore International LP</t>
  </si>
  <si>
    <t>LFUS UW Equity</t>
  </si>
  <si>
    <t>Littelfuse Inc</t>
  </si>
  <si>
    <t>FNFG UW Equity</t>
  </si>
  <si>
    <t>First Niagara Financial Group Inc</t>
  </si>
  <si>
    <t>CMTL UW Equity</t>
  </si>
  <si>
    <t>Comtech Telecommunications Corp</t>
  </si>
  <si>
    <t>DMND UW Equity</t>
  </si>
  <si>
    <t>Diamond Foods Inc</t>
  </si>
  <si>
    <t>1535857D UW Equity</t>
  </si>
  <si>
    <t>ATC Technology Corp/IL</t>
  </si>
  <si>
    <t>STNR UW Equity</t>
  </si>
  <si>
    <t>Steiner Leisure Ltd</t>
  </si>
  <si>
    <t>STEI UW Equity</t>
  </si>
  <si>
    <t>Stewart Enterprises Inc</t>
  </si>
  <si>
    <t>BRKS UW Equity</t>
  </si>
  <si>
    <t>Brooks Automation Inc</t>
  </si>
  <si>
    <t>1631929D UN Equity</t>
  </si>
  <si>
    <t>Berry Petroleum Co LLC</t>
  </si>
  <si>
    <t>PJC UN Equity</t>
  </si>
  <si>
    <t>Piper Jaffray Cos</t>
  </si>
  <si>
    <t>9876541D UW Equity</t>
  </si>
  <si>
    <t>National Western Life Insurance Co</t>
  </si>
  <si>
    <t>CYMI UW Equity</t>
  </si>
  <si>
    <t>Cymer Inc</t>
  </si>
  <si>
    <t>HIBB UW Equity</t>
  </si>
  <si>
    <t>Hibbett Sports Inc</t>
  </si>
  <si>
    <t>JRCCQ UQ Equity</t>
  </si>
  <si>
    <t>James River Coal Co</t>
  </si>
  <si>
    <t>GIII UW Equity</t>
  </si>
  <si>
    <t>G-III Apparel Group Ltd</t>
  </si>
  <si>
    <t>DRLCQ UN Equity</t>
  </si>
  <si>
    <t>Doral Financial Corp</t>
  </si>
  <si>
    <t>HAE UN Equity</t>
  </si>
  <si>
    <t>Haemonetics Corp</t>
  </si>
  <si>
    <t>GWR UN Equity</t>
  </si>
  <si>
    <t>Genesee &amp; Wyoming Inc</t>
  </si>
  <si>
    <t>GLDD UQ Equity</t>
  </si>
  <si>
    <t>Great Lakes Dredge &amp; Dock Corp</t>
  </si>
  <si>
    <t>PRGS UW Equity</t>
  </si>
  <si>
    <t>Progress Software Corp</t>
  </si>
  <si>
    <t>BLT UN Equity</t>
  </si>
  <si>
    <t>Blount International Inc</t>
  </si>
  <si>
    <t>MSCC UW Equity</t>
  </si>
  <si>
    <t>Microsemi Corp</t>
  </si>
  <si>
    <t>UNTD UW Equity</t>
  </si>
  <si>
    <t>United Online Inc</t>
  </si>
  <si>
    <t>GRBEQ UN Equity</t>
  </si>
  <si>
    <t>Grubb &amp; Ellis Co</t>
  </si>
  <si>
    <t>PWER UQ Equity</t>
  </si>
  <si>
    <t>Power-One Inc</t>
  </si>
  <si>
    <t>KCP UN Equity</t>
  </si>
  <si>
    <t>Kenneth Cole Productions Inc</t>
  </si>
  <si>
    <t>LAWS UW Equity</t>
  </si>
  <si>
    <t>Lawson Products Inc/DE</t>
  </si>
  <si>
    <t>FSTR UW Equity</t>
  </si>
  <si>
    <t>LB Foster Co</t>
  </si>
  <si>
    <t>ZRAN UW Equity</t>
  </si>
  <si>
    <t>Zoran Corp</t>
  </si>
  <si>
    <t>CFX UN Equity</t>
  </si>
  <si>
    <t>Colfax Corp</t>
  </si>
  <si>
    <t>HME UN Equity</t>
  </si>
  <si>
    <t>Home Properties Inc</t>
  </si>
  <si>
    <t>UBSI UW Equity</t>
  </si>
  <si>
    <t>United Bankshares Inc/WV</t>
  </si>
  <si>
    <t>ALG UN Equity</t>
  </si>
  <si>
    <t>Alamo Group Inc</t>
  </si>
  <si>
    <t>WLBAQ UA Equity</t>
  </si>
  <si>
    <t>Westmoreland Coal Co</t>
  </si>
  <si>
    <t>NLS UN Equity</t>
  </si>
  <si>
    <t>Nautilus Inc</t>
  </si>
  <si>
    <t>MIDD UW Equity</t>
  </si>
  <si>
    <t>Middleby Corp/The</t>
  </si>
  <si>
    <t>NTLS UW Equity</t>
  </si>
  <si>
    <t>NTELOS Holdings Corp</t>
  </si>
  <si>
    <t>GMCR UW Equity</t>
  </si>
  <si>
    <t>Keurig Green Mountain Inc</t>
  </si>
  <si>
    <t>DAKT UW Equity</t>
  </si>
  <si>
    <t>Daktronics Inc</t>
  </si>
  <si>
    <t>CSS UN Equity</t>
  </si>
  <si>
    <t>CSS Industries Inc</t>
  </si>
  <si>
    <t>TR UN Equity</t>
  </si>
  <si>
    <t>Tootsie Roll Industries Inc</t>
  </si>
  <si>
    <t>AEGN UW Equity</t>
  </si>
  <si>
    <t>Aegion Corp</t>
  </si>
  <si>
    <t>DRQ UN Equity</t>
  </si>
  <si>
    <t>Dril-Quip Inc</t>
  </si>
  <si>
    <t>THMD UR Equity</t>
  </si>
  <si>
    <t>Victor Technologies Group Inc</t>
  </si>
  <si>
    <t>OFIX UW Equity</t>
  </si>
  <si>
    <t>Orthofix Medical Inc</t>
  </si>
  <si>
    <t>EDE UN Equity</t>
  </si>
  <si>
    <t>Empire District Electric Co/The</t>
  </si>
  <si>
    <t>RCRC UW Equity</t>
  </si>
  <si>
    <t>TOMY Holdings Inc</t>
  </si>
  <si>
    <t>ELX UN Equity</t>
  </si>
  <si>
    <t>Emulex Corp</t>
  </si>
  <si>
    <t>WSII UQ Equity</t>
  </si>
  <si>
    <t>Waste Services Inc</t>
  </si>
  <si>
    <t>OCN UN Equity</t>
  </si>
  <si>
    <t>Ocwen Financial Corp</t>
  </si>
  <si>
    <t>ARDNA UQ Equity</t>
  </si>
  <si>
    <t>Arden Group Inc</t>
  </si>
  <si>
    <t>MVL UN Equity</t>
  </si>
  <si>
    <t>Marvel Entertainment LLC</t>
  </si>
  <si>
    <t>WWE UN Equity</t>
  </si>
  <si>
    <t>World Wrestling Entertainment Inc</t>
  </si>
  <si>
    <t>FBRC UW Equity</t>
  </si>
  <si>
    <t>FBR &amp; Co</t>
  </si>
  <si>
    <t>DIN UN Equity</t>
  </si>
  <si>
    <t>Dine Brands Global Inc</t>
  </si>
  <si>
    <t>MMR UN Equity</t>
  </si>
  <si>
    <t>McMoRan Exploration Co</t>
  </si>
  <si>
    <t>TISI UW Equity</t>
  </si>
  <si>
    <t>Team Inc</t>
  </si>
  <si>
    <t>ECLP UW Equity</t>
  </si>
  <si>
    <t>Eclipsys Corp</t>
  </si>
  <si>
    <t>SWS UN Equity</t>
  </si>
  <si>
    <t>SWS Group Inc</t>
  </si>
  <si>
    <t>ADTN UW Equity</t>
  </si>
  <si>
    <t>ADTRAN Inc</t>
  </si>
  <si>
    <t>TQNT UW Equity</t>
  </si>
  <si>
    <t>Qorvo US Inc</t>
  </si>
  <si>
    <t>LNN UN Equity</t>
  </si>
  <si>
    <t>Lindsay Corp</t>
  </si>
  <si>
    <t>BBW UN Equity</t>
  </si>
  <si>
    <t>Build-A-Bear Workshop Inc</t>
  </si>
  <si>
    <t>CLMS UW Equity</t>
  </si>
  <si>
    <t>Calamos Asset Management Inc</t>
  </si>
  <si>
    <t>PRK UA Equity</t>
  </si>
  <si>
    <t>Park National Corp</t>
  </si>
  <si>
    <t>CLUB UQ Equity</t>
  </si>
  <si>
    <t>Town Sports International Holdings Inc</t>
  </si>
  <si>
    <t>GIFI UW Equity</t>
  </si>
  <si>
    <t>Gulf Island Fabrication Inc</t>
  </si>
  <si>
    <t>BGS UN Equity</t>
  </si>
  <si>
    <t>B&amp;G Foods Inc</t>
  </si>
  <si>
    <t>PDGI UW Equity</t>
  </si>
  <si>
    <t>inVentiv Health Clinical Inc</t>
  </si>
  <si>
    <t>ETM UN Equity</t>
  </si>
  <si>
    <t>Entercom Communications Corp</t>
  </si>
  <si>
    <t>PEI UN Equity</t>
  </si>
  <si>
    <t>Pennsylvania Real Estate Investment Trus</t>
  </si>
  <si>
    <t>SUR UN Equity</t>
  </si>
  <si>
    <t>CNA Surety Corp</t>
  </si>
  <si>
    <t>MRX UN Equity</t>
  </si>
  <si>
    <t>Medicis Pharmaceutical Corp</t>
  </si>
  <si>
    <t>DXLG UW Equity</t>
  </si>
  <si>
    <t>Destination XL Group Inc</t>
  </si>
  <si>
    <t>HWC UW Equity</t>
  </si>
  <si>
    <t>Hancock Whitney Corp</t>
  </si>
  <si>
    <t>AMMD UW Equity</t>
  </si>
  <si>
    <t>Astora Women's Health Holdings LLC</t>
  </si>
  <si>
    <t>FORM UW Equity</t>
  </si>
  <si>
    <t>FormFactor Inc</t>
  </si>
  <si>
    <t>PEIX UQ Equity</t>
  </si>
  <si>
    <t>Pacific Ethanol Inc</t>
  </si>
  <si>
    <t>MTSC UW Equity</t>
  </si>
  <si>
    <t>MTS Systems Corp</t>
  </si>
  <si>
    <t>EZPW UW Equity</t>
  </si>
  <si>
    <t>EZCORP Inc</t>
  </si>
  <si>
    <t>ASYTQ UQ Equity</t>
  </si>
  <si>
    <t>Asyst Technologies Inc</t>
  </si>
  <si>
    <t>PPD UN Equity</t>
  </si>
  <si>
    <t>Pre-Paid Legal Services Inc</t>
  </si>
  <si>
    <t>PMACA UQ Equity</t>
  </si>
  <si>
    <t>PMA Cos Inc</t>
  </si>
  <si>
    <t>1667233D UW Equity</t>
  </si>
  <si>
    <t>Dynamex Inc</t>
  </si>
  <si>
    <t>PBKS UW Equity</t>
  </si>
  <si>
    <t>Provident Bankshares Corp</t>
  </si>
  <si>
    <t>ERPLQ UN Equity</t>
  </si>
  <si>
    <t>Energy Partners Ltd/Old</t>
  </si>
  <si>
    <t>0356428Q UQ Equity</t>
  </si>
  <si>
    <t>ICT Group Inc</t>
  </si>
  <si>
    <t>PHIIK UQ Equity</t>
  </si>
  <si>
    <t>PHI Inc</t>
  </si>
  <si>
    <t>KDN UN Equity</t>
  </si>
  <si>
    <t>Kaydon Corp</t>
  </si>
  <si>
    <t>FNB UN Equity</t>
  </si>
  <si>
    <t>FNB Corp/PA</t>
  </si>
  <si>
    <t>PMCS UW Equity</t>
  </si>
  <si>
    <t>Microsemi Storage Solutions Inc</t>
  </si>
  <si>
    <t>DECK UW Equity</t>
  </si>
  <si>
    <t>Deckers Outdoor Corp</t>
  </si>
  <si>
    <t>LAB UN Equity</t>
  </si>
  <si>
    <t>LaBranche &amp; Co Inc</t>
  </si>
  <si>
    <t>MRVC UQ Equity</t>
  </si>
  <si>
    <t>MRV Communications Inc</t>
  </si>
  <si>
    <t>ICOC UW Equity</t>
  </si>
  <si>
    <t>ICO Inc</t>
  </si>
  <si>
    <t>EMCI UW Equity</t>
  </si>
  <si>
    <t>EMC Insurance Group Inc</t>
  </si>
  <si>
    <t>DSCM UQ Equity</t>
  </si>
  <si>
    <t>drugstore.com Inc</t>
  </si>
  <si>
    <t>NEWP UW Equity</t>
  </si>
  <si>
    <t>Newport Corp</t>
  </si>
  <si>
    <t>1618448D UN Equity</t>
  </si>
  <si>
    <t>Alliance HealthCare Services Inc</t>
  </si>
  <si>
    <t>CXR UN Equity</t>
  </si>
  <si>
    <t>Cox Radio Inc</t>
  </si>
  <si>
    <t>DXPE UW Equity</t>
  </si>
  <si>
    <t>DXP Enterprises Inc/TX</t>
  </si>
  <si>
    <t>LF UN Equity</t>
  </si>
  <si>
    <t>LeapFrog Enterprises Inc</t>
  </si>
  <si>
    <t>FNSR UW Equity</t>
  </si>
  <si>
    <t>Finisar Corp</t>
  </si>
  <si>
    <t>MNRO UW Equity</t>
  </si>
  <si>
    <t>Monro Inc</t>
  </si>
  <si>
    <t>KCLI UR Equity</t>
  </si>
  <si>
    <t>Kansas City Life Insurance Co</t>
  </si>
  <si>
    <t>NWBI UW Equity</t>
  </si>
  <si>
    <t>Northwest Bancshares Inc</t>
  </si>
  <si>
    <t>CTRN UW Equity</t>
  </si>
  <si>
    <t>Citi Trends Inc</t>
  </si>
  <si>
    <t>HIW UN Equity</t>
  </si>
  <si>
    <t>Highwoods Properties Inc</t>
  </si>
  <si>
    <t>FR UN Equity</t>
  </si>
  <si>
    <t>First Industrial Realty Trust Inc</t>
  </si>
  <si>
    <t>NAL UN Equity</t>
  </si>
  <si>
    <t>NewAlliance Bancshares Inc</t>
  </si>
  <si>
    <t>TITN UQ Equity</t>
  </si>
  <si>
    <t>Titan Machinery Inc</t>
  </si>
  <si>
    <t>TKLC UW Equity</t>
  </si>
  <si>
    <t>Tekelec Global Inc</t>
  </si>
  <si>
    <t>LXP UN Equity</t>
  </si>
  <si>
    <t>Lexington Realty Trust</t>
  </si>
  <si>
    <t>ROG UN Equity</t>
  </si>
  <si>
    <t>Rogers Corp</t>
  </si>
  <si>
    <t>SHOO UW Equity</t>
  </si>
  <si>
    <t>Steven Madden Ltd</t>
  </si>
  <si>
    <t>EIG UN Equity</t>
  </si>
  <si>
    <t>Employers Holdings Inc</t>
  </si>
  <si>
    <t>MIFI UW Equity</t>
  </si>
  <si>
    <t>Novatel Wireless Inc</t>
  </si>
  <si>
    <t>EPIC UW Equity</t>
  </si>
  <si>
    <t>Epicor Software Corp/Old</t>
  </si>
  <si>
    <t>KKD UN Equity</t>
  </si>
  <si>
    <t>Krispy Kreme Doughnuts Inc</t>
  </si>
  <si>
    <t>KBW UN Equity</t>
  </si>
  <si>
    <t>KBW LLC</t>
  </si>
  <si>
    <t>ITC UN Equity</t>
  </si>
  <si>
    <t>ITC Holdings Corp</t>
  </si>
  <si>
    <t>RDNT UQ Equity</t>
  </si>
  <si>
    <t>RadNet Inc</t>
  </si>
  <si>
    <t>LDSH UW Equity</t>
  </si>
  <si>
    <t>ATI Ladish LLC</t>
  </si>
  <si>
    <t>SPOK UW Equity</t>
  </si>
  <si>
    <t>Spok Holdings Inc</t>
  </si>
  <si>
    <t>CHTT UW Equity</t>
  </si>
  <si>
    <t>Chattem Inc</t>
  </si>
  <si>
    <t>USNA UW Equity</t>
  </si>
  <si>
    <t>USANA Health Sciences Inc</t>
  </si>
  <si>
    <t>PLAB UW Equity</t>
  </si>
  <si>
    <t>Photronics Inc</t>
  </si>
  <si>
    <t>MFB UN Equity</t>
  </si>
  <si>
    <t>Maidenform Brands LLC</t>
  </si>
  <si>
    <t>NNBR UW Equity</t>
  </si>
  <si>
    <t>NN Inc</t>
  </si>
  <si>
    <t>NPK UN Equity</t>
  </si>
  <si>
    <t>National Presto Industries Inc</t>
  </si>
  <si>
    <t>CSGS UW Equity</t>
  </si>
  <si>
    <t>CSG Systems International Inc</t>
  </si>
  <si>
    <t>TORZ UR Equity</t>
  </si>
  <si>
    <t>Sutor Technology Group Ltd</t>
  </si>
  <si>
    <t>ATHR UW Equity</t>
  </si>
  <si>
    <t>Qualcomm Atheros Inc</t>
  </si>
  <si>
    <t>PES UA Equity</t>
  </si>
  <si>
    <t>Pioneer Energy Services Corp</t>
  </si>
  <si>
    <t>1023767D UN Equity</t>
  </si>
  <si>
    <t>NorthStar Realty Finance Corp</t>
  </si>
  <si>
    <t>ELS UN Equity</t>
  </si>
  <si>
    <t>Equity LifeStyle Properties Inc</t>
  </si>
  <si>
    <t>AMFIQ UW Equity</t>
  </si>
  <si>
    <t>Amcore Financial Inc</t>
  </si>
  <si>
    <t>ALOG UW Equity</t>
  </si>
  <si>
    <t>Analogic Corp</t>
  </si>
  <si>
    <t>MTEX UW Equity</t>
  </si>
  <si>
    <t>Mannatech Inc</t>
  </si>
  <si>
    <t>1507755D UQ Equity</t>
  </si>
  <si>
    <t>Silicon Storage Technology Inc</t>
  </si>
  <si>
    <t>TWGP UW Equity</t>
  </si>
  <si>
    <t>Tower Group International Ltd</t>
  </si>
  <si>
    <t>ENSG UW Equity</t>
  </si>
  <si>
    <t>Ensign Group Inc/The</t>
  </si>
  <si>
    <t>CHDN UW Equity</t>
  </si>
  <si>
    <t>Churchill Downs Inc</t>
  </si>
  <si>
    <t>KSWS UW Equity</t>
  </si>
  <si>
    <t>K-Swiss Inc</t>
  </si>
  <si>
    <t>OFC UN Equity</t>
  </si>
  <si>
    <t>Corporate Office Properties Trust</t>
  </si>
  <si>
    <t>CLP UN Equity</t>
  </si>
  <si>
    <t>Colonial Properties Trust</t>
  </si>
  <si>
    <t>LVB UN Equity</t>
  </si>
  <si>
    <t>Steinway Musical Instruments Inc</t>
  </si>
  <si>
    <t>NPBC UW Equity</t>
  </si>
  <si>
    <t>National Penn Bancshares Inc</t>
  </si>
  <si>
    <t>LL UN Equity</t>
  </si>
  <si>
    <t>Lumber Liquidators Holdings Inc</t>
  </si>
  <si>
    <t>ODSY UW Equity</t>
  </si>
  <si>
    <t>Odyssey HealthCare Inc</t>
  </si>
  <si>
    <t>PNSNQ UW Equity</t>
  </si>
  <si>
    <t>Penson Worldwide Inc</t>
  </si>
  <si>
    <t>ACLS UW Equity</t>
  </si>
  <si>
    <t>Axcelis Technologies Inc</t>
  </si>
  <si>
    <t>UCTT UW Equity</t>
  </si>
  <si>
    <t>Ultra Clean Holdings Inc</t>
  </si>
  <si>
    <t>BAGL UQ Equity</t>
  </si>
  <si>
    <t>Einstein Noah Restaurant Group Inc</t>
  </si>
  <si>
    <t>VECO UW Equity</t>
  </si>
  <si>
    <t>Veeco Instruments Inc</t>
  </si>
  <si>
    <t>IHC UN Equity</t>
  </si>
  <si>
    <t>Independence Holding Co</t>
  </si>
  <si>
    <t>DIOD UW Equity</t>
  </si>
  <si>
    <t>Diodes Inc</t>
  </si>
  <si>
    <t>CMPR UW Equity</t>
  </si>
  <si>
    <t>Cimpress NV</t>
  </si>
  <si>
    <t>GHL UN Equity</t>
  </si>
  <si>
    <t>Greenhill &amp; Co Inc</t>
  </si>
  <si>
    <t>SFL UN Equity</t>
  </si>
  <si>
    <t>Ship Finance International Ltd</t>
  </si>
  <si>
    <t>ZOLL UW Equity</t>
  </si>
  <si>
    <t>Zoll Medical Corp</t>
  </si>
  <si>
    <t>AIRM UW Equity</t>
  </si>
  <si>
    <t>Air Methods Corp</t>
  </si>
  <si>
    <t>1667565D UN Equity</t>
  </si>
  <si>
    <t>LIN Media LLC</t>
  </si>
  <si>
    <t>CPF UN Equity</t>
  </si>
  <si>
    <t>Central Pacific Financial Corp</t>
  </si>
  <si>
    <t>CRAI UW Equity</t>
  </si>
  <si>
    <t>CRA International Inc</t>
  </si>
  <si>
    <t>PB UW Equity</t>
  </si>
  <si>
    <t>Prosperity Bancshares Inc</t>
  </si>
  <si>
    <t>FWRD UW Equity</t>
  </si>
  <si>
    <t>Forward Air Corp</t>
  </si>
  <si>
    <t>INFA UW Equity</t>
  </si>
  <si>
    <t>Informatica LLC</t>
  </si>
  <si>
    <t>HPR UN Equity</t>
  </si>
  <si>
    <t>HighPoint Resources Corp</t>
  </si>
  <si>
    <t>IPAR UW Equity</t>
  </si>
  <si>
    <t>Inter Parfums Inc</t>
  </si>
  <si>
    <t>ID UN Equity</t>
  </si>
  <si>
    <t>L-1 Identity Solutions Inc</t>
  </si>
  <si>
    <t>FCFS UW Equity</t>
  </si>
  <si>
    <t>FirstCash Inc</t>
  </si>
  <si>
    <t>APPCQ UA Equity</t>
  </si>
  <si>
    <t>American Apparel LLC</t>
  </si>
  <si>
    <t>MFA UN Equity</t>
  </si>
  <si>
    <t>MFA Financial Inc</t>
  </si>
  <si>
    <t>1321686D UW Equity</t>
  </si>
  <si>
    <t>Wright Medical Group Inc</t>
  </si>
  <si>
    <t>ALSK UW Equity</t>
  </si>
  <si>
    <t>Alaska Communications Systems Group Inc</t>
  </si>
  <si>
    <t>INVHY UA Equity</t>
  </si>
  <si>
    <t>Invitel Holdings A/S</t>
  </si>
  <si>
    <t>AEIS UW Equity</t>
  </si>
  <si>
    <t>Advanced Energy Industries Inc</t>
  </si>
  <si>
    <t>PACW UW Equity</t>
  </si>
  <si>
    <t>PacWest Bancorp</t>
  </si>
  <si>
    <t>NWPX UW Equity</t>
  </si>
  <si>
    <t>Northwest Pipe Co</t>
  </si>
  <si>
    <t>ZUMZ UW Equity</t>
  </si>
  <si>
    <t>Zumiez Inc</t>
  </si>
  <si>
    <t>FCF UN Equity</t>
  </si>
  <si>
    <t>First Commonwealth Financial Corp</t>
  </si>
  <si>
    <t>VGR UN Equity</t>
  </si>
  <si>
    <t>Vector Group Ltd</t>
  </si>
  <si>
    <t>CATM UQ Equity</t>
  </si>
  <si>
    <t>Cardtronics PLC</t>
  </si>
  <si>
    <t>SMSC UW Equity</t>
  </si>
  <si>
    <t>Standard Microsystems Corp</t>
  </si>
  <si>
    <t>DNEX UW Equity</t>
  </si>
  <si>
    <t>Dionex Corp</t>
  </si>
  <si>
    <t>SVR UN Equity</t>
  </si>
  <si>
    <t>Syniverse Holdings Inc</t>
  </si>
  <si>
    <t>CCMP UW Equity</t>
  </si>
  <si>
    <t>Cabot Microelectronics Corp</t>
  </si>
  <si>
    <t>JDAS UQ Equity</t>
  </si>
  <si>
    <t>JDA Software Group Inc</t>
  </si>
  <si>
    <t>MNT UN Equity</t>
  </si>
  <si>
    <t>Mentor Corp</t>
  </si>
  <si>
    <t>CVBF UW Equity</t>
  </si>
  <si>
    <t>CVB Financial Corp</t>
  </si>
  <si>
    <t>CWEI UQ Equity</t>
  </si>
  <si>
    <t>Clayton Williams Energy Inc</t>
  </si>
  <si>
    <t>AFFX UW Equity</t>
  </si>
  <si>
    <t>Affymetrix Inc</t>
  </si>
  <si>
    <t>MCS UN Equity</t>
  </si>
  <si>
    <t>Marcus Corp/The</t>
  </si>
  <si>
    <t>AYR UN Equity</t>
  </si>
  <si>
    <t>Aircastle Ltd</t>
  </si>
  <si>
    <t>XPRT UW Equity</t>
  </si>
  <si>
    <t>LECG Corp</t>
  </si>
  <si>
    <t>CPII UW Equity</t>
  </si>
  <si>
    <t>CPI International LLC</t>
  </si>
  <si>
    <t>GBCI UW Equity</t>
  </si>
  <si>
    <t>Glacier Bancorp Inc</t>
  </si>
  <si>
    <t>DCO UN Equity</t>
  </si>
  <si>
    <t>Ducommun Inc</t>
  </si>
  <si>
    <t>CWT UN Equity</t>
  </si>
  <si>
    <t>California Water Service Group</t>
  </si>
  <si>
    <t>KAI UN Equity</t>
  </si>
  <si>
    <t>Kadant Inc</t>
  </si>
  <si>
    <t>ACIW UW Equity</t>
  </si>
  <si>
    <t>ACI Worldwide Inc</t>
  </si>
  <si>
    <t>NBTB UW Equity</t>
  </si>
  <si>
    <t>NBT Bancorp Inc</t>
  </si>
  <si>
    <t>PLFE UW Equity</t>
  </si>
  <si>
    <t>Presidential Life LLC</t>
  </si>
  <si>
    <t>ATMI UW Equity</t>
  </si>
  <si>
    <t>Entegris Professional Solutions Inc</t>
  </si>
  <si>
    <t>1477069D UW Equity</t>
  </si>
  <si>
    <t>Rosetta Resources Inc</t>
  </si>
  <si>
    <t>ENG UQ Equity</t>
  </si>
  <si>
    <t>ENGlobal Corp</t>
  </si>
  <si>
    <t>SYUT UW Equity</t>
  </si>
  <si>
    <t>Synutra International Inc</t>
  </si>
  <si>
    <t>RAX UN Equity</t>
  </si>
  <si>
    <t>Rackspace Hosting Inc</t>
  </si>
  <si>
    <t>EXTR UQ Equity</t>
  </si>
  <si>
    <t>Extreme Networks Inc</t>
  </si>
  <si>
    <t>SYNA UW Equity</t>
  </si>
  <si>
    <t>Synaptics Inc</t>
  </si>
  <si>
    <t>CRN UN Equity</t>
  </si>
  <si>
    <t>GEO Reentry Inc</t>
  </si>
  <si>
    <t>ALGT UW Equity</t>
  </si>
  <si>
    <t>Allegiant Travel Co</t>
  </si>
  <si>
    <t>ACET UW Equity</t>
  </si>
  <si>
    <t>Aceto Corp</t>
  </si>
  <si>
    <t>HWCC UW Equity</t>
  </si>
  <si>
    <t>Houston Wire &amp; Cable Co</t>
  </si>
  <si>
    <t>GEOKQ UA Equity</t>
  </si>
  <si>
    <t>Geokinetics Inc</t>
  </si>
  <si>
    <t>VQ UN Equity</t>
  </si>
  <si>
    <t>Venoco LLC</t>
  </si>
  <si>
    <t>DUF UN Equity</t>
  </si>
  <si>
    <t>Deerfield Duff &amp; Phelps LLC</t>
  </si>
  <si>
    <t>TBSIQ UW Equity</t>
  </si>
  <si>
    <t>TBS International PLC</t>
  </si>
  <si>
    <t>CBCRQ UN Equity</t>
  </si>
  <si>
    <t>Capitol Bancorp Ltd</t>
  </si>
  <si>
    <t>IIIN UW Equity</t>
  </si>
  <si>
    <t>Insteel Industries Inc</t>
  </si>
  <si>
    <t>SGI UW Equity</t>
  </si>
  <si>
    <t>Silicon Graphics International Corp</t>
  </si>
  <si>
    <t>MAA UN Equity</t>
  </si>
  <si>
    <t>Mid-America Apartment Communities Inc</t>
  </si>
  <si>
    <t>MATK UW Equity</t>
  </si>
  <si>
    <t>Martek Biosciences Corp</t>
  </si>
  <si>
    <t>1667208D UN Equity</t>
  </si>
  <si>
    <t>Calgon Carbon Corp</t>
  </si>
  <si>
    <t>SWSI UW Equity</t>
  </si>
  <si>
    <t>Nabors Completion &amp; Production Services</t>
  </si>
  <si>
    <t>MSTR UW Equity</t>
  </si>
  <si>
    <t>MicroStrategy Inc</t>
  </si>
  <si>
    <t>CPD UA Equity</t>
  </si>
  <si>
    <t>Caraco Pharmaceutical Laboratories Ltd</t>
  </si>
  <si>
    <t>1611364D UW Equity</t>
  </si>
  <si>
    <t>Digital River Inc</t>
  </si>
  <si>
    <t>ABCWQ UW Equity</t>
  </si>
  <si>
    <t>Anchor BanCorp Wisconsin Inc/Old</t>
  </si>
  <si>
    <t>PONE UQ Equity</t>
  </si>
  <si>
    <t>Protection One Inc</t>
  </si>
  <si>
    <t>KNOL UQ Equity</t>
  </si>
  <si>
    <t>Knology Inc</t>
  </si>
  <si>
    <t>AP UN Equity</t>
  </si>
  <si>
    <t>Ampco-Pittsburgh Corp</t>
  </si>
  <si>
    <t>WRLD UW Equity</t>
  </si>
  <si>
    <t>World Acceptance Corp</t>
  </si>
  <si>
    <t>PENX UQ Equity</t>
  </si>
  <si>
    <t>Penford Corp</t>
  </si>
  <si>
    <t>UTI UN Equity</t>
  </si>
  <si>
    <t>Universal Technical Institute Inc</t>
  </si>
  <si>
    <t>SAM UN Equity</t>
  </si>
  <si>
    <t>Boston Beer Co Inc/The</t>
  </si>
  <si>
    <t>OSIP UW Equity</t>
  </si>
  <si>
    <t>OSI Pharmaceuticals Inc</t>
  </si>
  <si>
    <t>0954772D UW Equity</t>
  </si>
  <si>
    <t>Argon ST Inc</t>
  </si>
  <si>
    <t>MIG UN Equity</t>
  </si>
  <si>
    <t>Ameritrust Group Inc</t>
  </si>
  <si>
    <t>DGICA UW Equity</t>
  </si>
  <si>
    <t>Donegal Group Inc</t>
  </si>
  <si>
    <t>CRR UN Equity</t>
  </si>
  <si>
    <t>CARBO Ceramics Inc</t>
  </si>
  <si>
    <t>EVR UN Equity</t>
  </si>
  <si>
    <t>Evercore Inc</t>
  </si>
  <si>
    <t>PLA UN Equity</t>
  </si>
  <si>
    <t>Playboy Enterprises Inc</t>
  </si>
  <si>
    <t>RDDYQ UN Equity</t>
  </si>
  <si>
    <t>Reddy Ice Holdings Inc/Old</t>
  </si>
  <si>
    <t>HOS UN Equity</t>
  </si>
  <si>
    <t>Hornbeck Offshore Services Inc</t>
  </si>
  <si>
    <t>LDL UN Equity</t>
  </si>
  <si>
    <t>Lydall Inc</t>
  </si>
  <si>
    <t>IBKC UW Equity</t>
  </si>
  <si>
    <t>IBERIABANK Corp</t>
  </si>
  <si>
    <t>ARB UN Equity</t>
  </si>
  <si>
    <t>Nielsen Audio Inc</t>
  </si>
  <si>
    <t>AMSF UW Equity</t>
  </si>
  <si>
    <t>AMERISAFE Inc</t>
  </si>
  <si>
    <t>SYNT UW Equity</t>
  </si>
  <si>
    <t>Syntel Inc</t>
  </si>
  <si>
    <t>FCSX UW Equity</t>
  </si>
  <si>
    <t>FCStone Group Inc</t>
  </si>
  <si>
    <t>MANH UW Equity</t>
  </si>
  <si>
    <t>Manhattan Associates Inc</t>
  </si>
  <si>
    <t>WEX UN Equity</t>
  </si>
  <si>
    <t>WEX Inc</t>
  </si>
  <si>
    <t>MEA UA Equity</t>
  </si>
  <si>
    <t>Metalico Inc</t>
  </si>
  <si>
    <t>PVTB UW Equity</t>
  </si>
  <si>
    <t>PrivateBancorp Inc</t>
  </si>
  <si>
    <t>BANR UW Equity</t>
  </si>
  <si>
    <t>Banner Corp</t>
  </si>
  <si>
    <t>MYGN UW Equity</t>
  </si>
  <si>
    <t>Myriad Genetics Inc</t>
  </si>
  <si>
    <t>PFS UN Equity</t>
  </si>
  <si>
    <t>Provident Financial Services Inc</t>
  </si>
  <si>
    <t>FACO UN Equity</t>
  </si>
  <si>
    <t>First Acceptance Corp</t>
  </si>
  <si>
    <t>NCMI UQ Equity</t>
  </si>
  <si>
    <t>National CineMedia Inc</t>
  </si>
  <si>
    <t>OFG UN Equity</t>
  </si>
  <si>
    <t>OFG Bancorp</t>
  </si>
  <si>
    <t>SBNY UW Equity</t>
  </si>
  <si>
    <t>Signature Bank/New York NY</t>
  </si>
  <si>
    <t>TWIN UW Equity</t>
  </si>
  <si>
    <t>Twin Disc Inc</t>
  </si>
  <si>
    <t>KIDBQ UN Equity</t>
  </si>
  <si>
    <t>Kid Brands Inc</t>
  </si>
  <si>
    <t>GBL UN Equity</t>
  </si>
  <si>
    <t>GAMCO Investors Inc</t>
  </si>
  <si>
    <t>ROLL UW Equity</t>
  </si>
  <si>
    <t>RBC Bearings Inc</t>
  </si>
  <si>
    <t>BWLD UW Equity</t>
  </si>
  <si>
    <t>Buffalo Wild Wings Inc</t>
  </si>
  <si>
    <t>SIRF UW Equity</t>
  </si>
  <si>
    <t>SiRF Technology Holdings Inc</t>
  </si>
  <si>
    <t>CNSL UQ Equity</t>
  </si>
  <si>
    <t>Consolidated Communications Holdings Inc</t>
  </si>
  <si>
    <t>CV UN Equity</t>
  </si>
  <si>
    <t>Central Vermont Public Service Corp</t>
  </si>
  <si>
    <t>TREX UN Equity</t>
  </si>
  <si>
    <t>Trex Co Inc</t>
  </si>
  <si>
    <t>3499164Q UW Equity</t>
  </si>
  <si>
    <t>Wind River Systems Inc</t>
  </si>
  <si>
    <t>WAL UN Equity</t>
  </si>
  <si>
    <t>Western Alliance Bancorp</t>
  </si>
  <si>
    <t>CMLSQ UW Equity</t>
  </si>
  <si>
    <t>CM Wind Down Topco Inc</t>
  </si>
  <si>
    <t>ARBA UQ Equity</t>
  </si>
  <si>
    <t>Ariba Inc</t>
  </si>
  <si>
    <t>KLIC UQ Equity</t>
  </si>
  <si>
    <t>Kulicke &amp; Soffa Industries Inc</t>
  </si>
  <si>
    <t>MSO UN Equity</t>
  </si>
  <si>
    <t>Martha Stewart Living Omnimedia Inc</t>
  </si>
  <si>
    <t>LINC UQ Equity</t>
  </si>
  <si>
    <t>Lincoln Educational Services Corp</t>
  </si>
  <si>
    <t>DORM UW Equity</t>
  </si>
  <si>
    <t>Dorman Products Inc</t>
  </si>
  <si>
    <t>9876555D UN Equity</t>
  </si>
  <si>
    <t>Gramercy Property Trust Inc</t>
  </si>
  <si>
    <t>PBH UN Equity</t>
  </si>
  <si>
    <t>Prestige Consumer Healthcare Inc</t>
  </si>
  <si>
    <t>ACPIQ UN Equity</t>
  </si>
  <si>
    <t>Anthracite Capital Inc</t>
  </si>
  <si>
    <t>TNS UN Equity</t>
  </si>
  <si>
    <t>TNS Inc</t>
  </si>
  <si>
    <t>RSYS UW Equity</t>
  </si>
  <si>
    <t>Radisys Corp</t>
  </si>
  <si>
    <t>1237140D UW Equity</t>
  </si>
  <si>
    <t>Dawson Geophysical Co/old</t>
  </si>
  <si>
    <t>SBIB UW Equity</t>
  </si>
  <si>
    <t>Sterling Bancshares Inc/TX</t>
  </si>
  <si>
    <t>SRCE UW Equity</t>
  </si>
  <si>
    <t>1st Source Corp</t>
  </si>
  <si>
    <t>MHGC UQ Equity</t>
  </si>
  <si>
    <t>Morgans Hotel Group Co</t>
  </si>
  <si>
    <t>HAFC UW Equity</t>
  </si>
  <si>
    <t>Hanmi Financial Corp</t>
  </si>
  <si>
    <t>SIMG UW Equity</t>
  </si>
  <si>
    <t>Silicon Image Inc</t>
  </si>
  <si>
    <t>9993333D UW Equity</t>
  </si>
  <si>
    <t>Sonus Inc</t>
  </si>
  <si>
    <t>AZZ UN Equity</t>
  </si>
  <si>
    <t>AZZ Inc</t>
  </si>
  <si>
    <t>ISBC UW Equity</t>
  </si>
  <si>
    <t>Investors Bancorp Inc</t>
  </si>
  <si>
    <t>NILE UW Equity</t>
  </si>
  <si>
    <t>Blue Nile Inc</t>
  </si>
  <si>
    <t>ARTC UW Equity</t>
  </si>
  <si>
    <t>ArthroCare Corp</t>
  </si>
  <si>
    <t>RUTH UW Equity</t>
  </si>
  <si>
    <t>Ruth's Hospitality Group Inc</t>
  </si>
  <si>
    <t>ITGR UN Equity</t>
  </si>
  <si>
    <t>Integer Holdings Corp</t>
  </si>
  <si>
    <t>MINI UW Equity</t>
  </si>
  <si>
    <t>Mobile Mini Inc</t>
  </si>
  <si>
    <t>SWIM UQ Equity</t>
  </si>
  <si>
    <t>Thinkorswim Group Inc</t>
  </si>
  <si>
    <t>LUB UN Equity</t>
  </si>
  <si>
    <t>Luby's Inc</t>
  </si>
  <si>
    <t>WDFC UW Equity</t>
  </si>
  <si>
    <t>WD-40 Co</t>
  </si>
  <si>
    <t>HOFT UW Equity</t>
  </si>
  <si>
    <t>Hooker Furniture Corp</t>
  </si>
  <si>
    <t>IIVI UW Equity</t>
  </si>
  <si>
    <t>II-VI Inc</t>
  </si>
  <si>
    <t>BJRI UW Equity</t>
  </si>
  <si>
    <t>BJ's Restaurants Inc</t>
  </si>
  <si>
    <t>PRM UN Equity</t>
  </si>
  <si>
    <t>RentPath LLC</t>
  </si>
  <si>
    <t>FTBK UW Equity</t>
  </si>
  <si>
    <t>Frontier Financial Corp</t>
  </si>
  <si>
    <t>CMO UN Equity</t>
  </si>
  <si>
    <t>Capstead Mortgage Corp</t>
  </si>
  <si>
    <t>HLIT UW Equity</t>
  </si>
  <si>
    <t>Harmonic Inc</t>
  </si>
  <si>
    <t>TCBI UW Equity</t>
  </si>
  <si>
    <t>Texas Capital Bancshares Inc</t>
  </si>
  <si>
    <t>PDCE UW Equity</t>
  </si>
  <si>
    <t>PDC Energy Inc</t>
  </si>
  <si>
    <t>CBU UN Equity</t>
  </si>
  <si>
    <t>Community Bank System Inc</t>
  </si>
  <si>
    <t>PPS UN Equity</t>
  </si>
  <si>
    <t>Post Properties Inc</t>
  </si>
  <si>
    <t>GTN UN Equity</t>
  </si>
  <si>
    <t>Gray Television Inc</t>
  </si>
  <si>
    <t>IGTE UQ Equity</t>
  </si>
  <si>
    <t>IGATE Corp</t>
  </si>
  <si>
    <t>STRL UW Equity</t>
  </si>
  <si>
    <t>Sterling Construction Co Inc</t>
  </si>
  <si>
    <t>GLFMQ UN Equity</t>
  </si>
  <si>
    <t>Gulfmark Offshore Inc</t>
  </si>
  <si>
    <t>AIRV UQ Equity</t>
  </si>
  <si>
    <t>Airvana Inc</t>
  </si>
  <si>
    <t>GRC UA Equity</t>
  </si>
  <si>
    <t>Gorman-Rupp Co/The</t>
  </si>
  <si>
    <t>BCSI UW Equity</t>
  </si>
  <si>
    <t>Blue Coat Systems LLC</t>
  </si>
  <si>
    <t>LYTS UW Equity</t>
  </si>
  <si>
    <t>LSI Industries Inc</t>
  </si>
  <si>
    <t>IXYS UQ Equity</t>
  </si>
  <si>
    <t>IXYS Corp</t>
  </si>
  <si>
    <t>NCIT UW Equity</t>
  </si>
  <si>
    <t>NCI Inc</t>
  </si>
  <si>
    <t>CVGW UW Equity</t>
  </si>
  <si>
    <t>Calavo Growers Inc</t>
  </si>
  <si>
    <t>GRT UN Equity</t>
  </si>
  <si>
    <t>Glimcher Realty Trust</t>
  </si>
  <si>
    <t>BLX UN Equity</t>
  </si>
  <si>
    <t>Bladex</t>
  </si>
  <si>
    <t>CRVL UW Equity</t>
  </si>
  <si>
    <t>CorVel Corp</t>
  </si>
  <si>
    <t>SKY UN Equity</t>
  </si>
  <si>
    <t>Skyline Champion Corp</t>
  </si>
  <si>
    <t>AWR UN Equity</t>
  </si>
  <si>
    <t>American States Water Co</t>
  </si>
  <si>
    <t>BRLI UW Equity</t>
  </si>
  <si>
    <t>Bio-Reference Laboratories Inc</t>
  </si>
  <si>
    <t>TWPG UQ Equity</t>
  </si>
  <si>
    <t>Thomas Weisel Partners Group Inc</t>
  </si>
  <si>
    <t>BRNC UQ Equity</t>
  </si>
  <si>
    <t>Bronco Drilling Co Inc</t>
  </si>
  <si>
    <t>BANF UW Equity</t>
  </si>
  <si>
    <t>BancFirst Corp</t>
  </si>
  <si>
    <t>LHCG UW Equity</t>
  </si>
  <si>
    <t>LHC Group Inc</t>
  </si>
  <si>
    <t>O UN Equity</t>
  </si>
  <si>
    <t>Realty Income Corp</t>
  </si>
  <si>
    <t>ORA UN Equity</t>
  </si>
  <si>
    <t>Ormat Technologies Inc</t>
  </si>
  <si>
    <t>AOBC UW Equity</t>
  </si>
  <si>
    <t>American Outdoor Brands Corp</t>
  </si>
  <si>
    <t>WABC UW Equity</t>
  </si>
  <si>
    <t>Westamerica Bancorporation</t>
  </si>
  <si>
    <t>CBST UW Equity</t>
  </si>
  <si>
    <t>Cubist Pharmaceuticals LLC</t>
  </si>
  <si>
    <t>CXO UN Equity</t>
  </si>
  <si>
    <t>Concho Resources Inc</t>
  </si>
  <si>
    <t>HYC UN Equity</t>
  </si>
  <si>
    <t>Hypercom Corp</t>
  </si>
  <si>
    <t>CNS UN Equity</t>
  </si>
  <si>
    <t>Cohen &amp; Steers Inc</t>
  </si>
  <si>
    <t>AVHI UW Equity</t>
  </si>
  <si>
    <t>AV Homes Inc</t>
  </si>
  <si>
    <t>HOGS UW Equity</t>
  </si>
  <si>
    <t>Zhongpin Inc</t>
  </si>
  <si>
    <t>SPSS UW Equity</t>
  </si>
  <si>
    <t>SPSS Inc</t>
  </si>
  <si>
    <t>SMA UN Equity</t>
  </si>
  <si>
    <t>Symmetry Medical Inc</t>
  </si>
  <si>
    <t>MDCI UW Equity</t>
  </si>
  <si>
    <t>Medical Action Industries Inc</t>
  </si>
  <si>
    <t>HIL UN Equity</t>
  </si>
  <si>
    <t>Hill International Inc</t>
  </si>
  <si>
    <t>FRM UN Equity</t>
  </si>
  <si>
    <t>Furmanite Corp</t>
  </si>
  <si>
    <t>UDRL UW Equity</t>
  </si>
  <si>
    <t>Union Drilling Inc</t>
  </si>
  <si>
    <t>INWK UW Equity</t>
  </si>
  <si>
    <t>InnerWorkings Inc</t>
  </si>
  <si>
    <t>ELMG UW Equity</t>
  </si>
  <si>
    <t>EMS Technologies Inc</t>
  </si>
  <si>
    <t>WSBC UW Equity</t>
  </si>
  <si>
    <t>WesBanco Inc</t>
  </si>
  <si>
    <t>MOVE UW Equity</t>
  </si>
  <si>
    <t>Move Inc</t>
  </si>
  <si>
    <t>PRSC UW Equity</t>
  </si>
  <si>
    <t>Providence Service Corp/The</t>
  </si>
  <si>
    <t>SMTC UW Equity</t>
  </si>
  <si>
    <t>Semtech Corp</t>
  </si>
  <si>
    <t>AGM UN Equity</t>
  </si>
  <si>
    <t>Federal Agricultural Mortgage Corp</t>
  </si>
  <si>
    <t>ALGN UW Equity</t>
  </si>
  <si>
    <t>Align Technology Inc</t>
  </si>
  <si>
    <t>EVVV UW Equity</t>
  </si>
  <si>
    <t>ev3 Inc</t>
  </si>
  <si>
    <t>OPXT UW Equity</t>
  </si>
  <si>
    <t>Oclaro Fiber Optics Inc</t>
  </si>
  <si>
    <t>FRCMQ UN Equity</t>
  </si>
  <si>
    <t>FairPoint Communications Inc/Old</t>
  </si>
  <si>
    <t>NATL UQ Equity</t>
  </si>
  <si>
    <t>National Interstate Corp</t>
  </si>
  <si>
    <t>MDRX UW Equity</t>
  </si>
  <si>
    <t>Allscripts Healthcare Solutions Inc</t>
  </si>
  <si>
    <t>MGRC UW Equity</t>
  </si>
  <si>
    <t>McGrath RentCorp</t>
  </si>
  <si>
    <t>CRRC UW Equity</t>
  </si>
  <si>
    <t>Courier Corp</t>
  </si>
  <si>
    <t>CBEY UW Equity</t>
  </si>
  <si>
    <t>Cbeyond Inc</t>
  </si>
  <si>
    <t>0908110D UA Equity</t>
  </si>
  <si>
    <t>Ducommun LaBarge Technologies Inc/St Lou</t>
  </si>
  <si>
    <t>JHTXQ UN Equity</t>
  </si>
  <si>
    <t>Jackson Hewitt Tax Service Inc</t>
  </si>
  <si>
    <t>PROJ UW Equity</t>
  </si>
  <si>
    <t>Deltek Inc</t>
  </si>
  <si>
    <t>LGN UA Equity</t>
  </si>
  <si>
    <t>Lodgian Inc</t>
  </si>
  <si>
    <t>CPHL UQ Equity</t>
  </si>
  <si>
    <t>Ocean I Corp</t>
  </si>
  <si>
    <t>PSB UN Equity</t>
  </si>
  <si>
    <t>PS Business Parks Inc</t>
  </si>
  <si>
    <t>LULU UW Equity</t>
  </si>
  <si>
    <t>Lululemon Athletica Inc</t>
  </si>
  <si>
    <t>HALL UQ Equity</t>
  </si>
  <si>
    <t>Hallmark Financial Services Inc</t>
  </si>
  <si>
    <t>CACH UW Equity</t>
  </si>
  <si>
    <t>Cache Inc</t>
  </si>
  <si>
    <t>ABR UN Equity</t>
  </si>
  <si>
    <t>Arbor Realty Trust Inc</t>
  </si>
  <si>
    <t>NKTR UW Equity</t>
  </si>
  <si>
    <t>Nektar Therapeutics</t>
  </si>
  <si>
    <t>UEIC UW Equity</t>
  </si>
  <si>
    <t>Universal Electronics Inc</t>
  </si>
  <si>
    <t>1437361D UQ Equity</t>
  </si>
  <si>
    <t>TiVo Solutions Inc</t>
  </si>
  <si>
    <t>FRME UW Equity</t>
  </si>
  <si>
    <t>First Merchants Corp</t>
  </si>
  <si>
    <t>CHFC UW Equity</t>
  </si>
  <si>
    <t>Chemical Financial Corp</t>
  </si>
  <si>
    <t>VLCM UW Equity</t>
  </si>
  <si>
    <t>Volcom LLC</t>
  </si>
  <si>
    <t>MTSN UW Equity</t>
  </si>
  <si>
    <t>Mattson Technology Inc</t>
  </si>
  <si>
    <t>SYMSQ UQ Equity</t>
  </si>
  <si>
    <t>Syms Corp</t>
  </si>
  <si>
    <t>BMR UN Equity</t>
  </si>
  <si>
    <t>BioMed Realty Trust Inc</t>
  </si>
  <si>
    <t>CKXE UW Equity</t>
  </si>
  <si>
    <t>CORE Media Group Inc</t>
  </si>
  <si>
    <t>FARM UQ Equity</t>
  </si>
  <si>
    <t>Farmer Brothers Co</t>
  </si>
  <si>
    <t>FSYS UQ Equity</t>
  </si>
  <si>
    <t>Fuel Systems Solutions Inc</t>
  </si>
  <si>
    <t>BXMT UN Equity</t>
  </si>
  <si>
    <t>Blackstone Mortgage Trust Inc</t>
  </si>
  <si>
    <t>FFBC UW Equity</t>
  </si>
  <si>
    <t>First Financial Bancorp</t>
  </si>
  <si>
    <t>LQDT UW Equity</t>
  </si>
  <si>
    <t>Liquidity Services Inc</t>
  </si>
  <si>
    <t>PQUEQ UN Equity</t>
  </si>
  <si>
    <t>PetroQuest Energy Inc</t>
  </si>
  <si>
    <t>GAIA UQ Equity</t>
  </si>
  <si>
    <t>Gaia Inc</t>
  </si>
  <si>
    <t>QADB UW Equity</t>
  </si>
  <si>
    <t>QAD Inc</t>
  </si>
  <si>
    <t>AAON UW Equity</t>
  </si>
  <si>
    <t>AAON Inc</t>
  </si>
  <si>
    <t>BLUD UW Equity</t>
  </si>
  <si>
    <t>Immucor Inc</t>
  </si>
  <si>
    <t>ITWO UQ Equity</t>
  </si>
  <si>
    <t>i2 Technologies Inc</t>
  </si>
  <si>
    <t>DCT UN Equity</t>
  </si>
  <si>
    <t>DCT Industrial Trust Inc</t>
  </si>
  <si>
    <t>BELFB UW Equity</t>
  </si>
  <si>
    <t>Bel Fuse Inc</t>
  </si>
  <si>
    <t>PDLI UW Equity</t>
  </si>
  <si>
    <t>PDL BioPharma Inc</t>
  </si>
  <si>
    <t>CPK UN Equity</t>
  </si>
  <si>
    <t>Chesapeake Utilities Corp</t>
  </si>
  <si>
    <t>MCRL UW Equity</t>
  </si>
  <si>
    <t>Micrel Inc</t>
  </si>
  <si>
    <t>TRIDQ UW Equity</t>
  </si>
  <si>
    <t>Trident Microsystems Inc</t>
  </si>
  <si>
    <t>MDCO UW Equity</t>
  </si>
  <si>
    <t>Medicines Co/The</t>
  </si>
  <si>
    <t>BLKB UW Equity</t>
  </si>
  <si>
    <t>Blackbaud Inc</t>
  </si>
  <si>
    <t>KS UQ Equity</t>
  </si>
  <si>
    <t>KapStone Paper and Packaging Corp</t>
  </si>
  <si>
    <t>MASI UQ Equity</t>
  </si>
  <si>
    <t>Masimo Corp</t>
  </si>
  <si>
    <t>STBA UW Equity</t>
  </si>
  <si>
    <t>S&amp;T Bancorp Inc</t>
  </si>
  <si>
    <t>ENERQ UW Equity</t>
  </si>
  <si>
    <t>Energy Conversion Devices Inc</t>
  </si>
  <si>
    <t>TGH UN Equity</t>
  </si>
  <si>
    <t>Textainer Group Holdings Ltd</t>
  </si>
  <si>
    <t>WRE UN Equity</t>
  </si>
  <si>
    <t>Washington Real Estate Investment Trust</t>
  </si>
  <si>
    <t>TRMAQ UQ Equity</t>
  </si>
  <si>
    <t>Trico Marine Services Inc/United States</t>
  </si>
  <si>
    <t>GMRRQ UN Equity</t>
  </si>
  <si>
    <t>Gener8 Maritime Inc/Old</t>
  </si>
  <si>
    <t>PRST UW Equity</t>
  </si>
  <si>
    <t>Presstek Inc</t>
  </si>
  <si>
    <t>PLPC UQ Equity</t>
  </si>
  <si>
    <t>Preformed Line Products Co</t>
  </si>
  <si>
    <t>SBX UN Equity</t>
  </si>
  <si>
    <t>SeaBright Holdings Inc</t>
  </si>
  <si>
    <t>UEPS UW Equity</t>
  </si>
  <si>
    <t>Net 1 UEPS Technologies Inc</t>
  </si>
  <si>
    <t>OXPS UW Equity</t>
  </si>
  <si>
    <t>OptionsXpress Holdings Inc</t>
  </si>
  <si>
    <t>ECPG UW Equity</t>
  </si>
  <si>
    <t>Encore Capital Group Inc</t>
  </si>
  <si>
    <t>EQY UN Equity</t>
  </si>
  <si>
    <t>Equity One Inc</t>
  </si>
  <si>
    <t>RADS UW Equity</t>
  </si>
  <si>
    <t>Radiant Systems Inc</t>
  </si>
  <si>
    <t>CBM UN Equity</t>
  </si>
  <si>
    <t>Cambrex Corp</t>
  </si>
  <si>
    <t>IWA UN Equity</t>
  </si>
  <si>
    <t>Iowa Telecommunications Services Inc</t>
  </si>
  <si>
    <t>RNST UW Equity</t>
  </si>
  <si>
    <t>Renasant Corp</t>
  </si>
  <si>
    <t>CRMT UW Equity</t>
  </si>
  <si>
    <t>America's Car-Mart Inc/TX</t>
  </si>
  <si>
    <t>EVC UN Equity</t>
  </si>
  <si>
    <t>Entravision Communications Corp</t>
  </si>
  <si>
    <t>PEET UW Equity</t>
  </si>
  <si>
    <t>Peet's Coffee &amp; Tea Inc</t>
  </si>
  <si>
    <t>CMD UN Equity</t>
  </si>
  <si>
    <t>Cantel Medical Corp</t>
  </si>
  <si>
    <t>EXR UN Equity</t>
  </si>
  <si>
    <t>Extra Space Storage Inc</t>
  </si>
  <si>
    <t>IRBT UQ Equity</t>
  </si>
  <si>
    <t>iRobot Corp</t>
  </si>
  <si>
    <t>1448021D UN Equity</t>
  </si>
  <si>
    <t>Parkway Properties Inc/Md</t>
  </si>
  <si>
    <t>DSPG UW Equity</t>
  </si>
  <si>
    <t>DSP Group Inc</t>
  </si>
  <si>
    <t>AACC UW Equity</t>
  </si>
  <si>
    <t>Asset Acceptance Capital Corp</t>
  </si>
  <si>
    <t>HTLF UW Equity</t>
  </si>
  <si>
    <t>Heartland Financial USA Inc</t>
  </si>
  <si>
    <t>ESIO UW Equity</t>
  </si>
  <si>
    <t>Electro Scientific Industries Inc</t>
  </si>
  <si>
    <t>MSCS UW Equity</t>
  </si>
  <si>
    <t>MSC Software Corp</t>
  </si>
  <si>
    <t>AMCC UW Equity</t>
  </si>
  <si>
    <t>Applied Micro Circuits Corp</t>
  </si>
  <si>
    <t>INFN UQ Equity</t>
  </si>
  <si>
    <t>Infinera Corp</t>
  </si>
  <si>
    <t>CBAT UQ Equity</t>
  </si>
  <si>
    <t>CBAK Energy Technology Inc</t>
  </si>
  <si>
    <t>1626799D UW Equity</t>
  </si>
  <si>
    <t>Flanders Corp</t>
  </si>
  <si>
    <t>MPX UN Equity</t>
  </si>
  <si>
    <t>Marine Products Corp</t>
  </si>
  <si>
    <t>1310350D UQ Equity</t>
  </si>
  <si>
    <t>Flow International Corp</t>
  </si>
  <si>
    <t>GTATQ UW Equity</t>
  </si>
  <si>
    <t>GT Advanced Technologies Inc</t>
  </si>
  <si>
    <t>PTVCB UQ Equity</t>
  </si>
  <si>
    <t>Protective Insurance Corp</t>
  </si>
  <si>
    <t>BUSE UW Equity</t>
  </si>
  <si>
    <t>First Busey Corp</t>
  </si>
  <si>
    <t>HT UN Equity</t>
  </si>
  <si>
    <t>Hersha Hospitality Trust</t>
  </si>
  <si>
    <t>DDE UN Equity</t>
  </si>
  <si>
    <t>Dover Downs Gaming &amp; Entertainment Inc</t>
  </si>
  <si>
    <t>PKE UN Equity</t>
  </si>
  <si>
    <t>Park Electrochemical Corp</t>
  </si>
  <si>
    <t>COHU UW Equity</t>
  </si>
  <si>
    <t>Cohu Inc</t>
  </si>
  <si>
    <t>ALKS UW Equity</t>
  </si>
  <si>
    <t>Alkermes PLC</t>
  </si>
  <si>
    <t>FGXI UQ Equity</t>
  </si>
  <si>
    <t>FGX International Holdings Ltd</t>
  </si>
  <si>
    <t>RISK UN Equity</t>
  </si>
  <si>
    <t>RiskMetrics Group LLC</t>
  </si>
  <si>
    <t>CSR UN Equity</t>
  </si>
  <si>
    <t>China Security &amp; Surveillance Technology</t>
  </si>
  <si>
    <t>CACC UQ Equity</t>
  </si>
  <si>
    <t>Credit Acceptance Corp</t>
  </si>
  <si>
    <t>BBBB UW Equity</t>
  </si>
  <si>
    <t>Blackboard Inc</t>
  </si>
  <si>
    <t>EMKR UQ Equity</t>
  </si>
  <si>
    <t>EMCORE Corp</t>
  </si>
  <si>
    <t>SMTL UW Equity</t>
  </si>
  <si>
    <t>Semitool Inc</t>
  </si>
  <si>
    <t>LNDC UW Equity</t>
  </si>
  <si>
    <t>Landec Corp</t>
  </si>
  <si>
    <t>HNBC UW Equity</t>
  </si>
  <si>
    <t>Harleysville National Corp</t>
  </si>
  <si>
    <t>RBCAA UW Equity</t>
  </si>
  <si>
    <t>Republic Bancorp Inc/KY</t>
  </si>
  <si>
    <t>LSR UP Equity</t>
  </si>
  <si>
    <t>Life Sciences Research Inc</t>
  </si>
  <si>
    <t>FFCH UW Equity</t>
  </si>
  <si>
    <t>First Financial Holdings Inc/Old</t>
  </si>
  <si>
    <t>RVBD UW Equity</t>
  </si>
  <si>
    <t>Riverbed Technology Inc</t>
  </si>
  <si>
    <t>SUI UN Equity</t>
  </si>
  <si>
    <t>Sun Communities Inc</t>
  </si>
  <si>
    <t>SLXP UW Equity</t>
  </si>
  <si>
    <t>Salix Pharmaceuticals Ltd</t>
  </si>
  <si>
    <t>EPR UN Equity</t>
  </si>
  <si>
    <t>EPR Properties</t>
  </si>
  <si>
    <t>WSFS UW Equity</t>
  </si>
  <si>
    <t>WSFS Financial Corp</t>
  </si>
  <si>
    <t>OCLR UQ Equity</t>
  </si>
  <si>
    <t>Oclaro Inc</t>
  </si>
  <si>
    <t>ALX UN Equity</t>
  </si>
  <si>
    <t>Alexander's Inc</t>
  </si>
  <si>
    <t>BMI UN Equity</t>
  </si>
  <si>
    <t>Badger Meter Inc</t>
  </si>
  <si>
    <t>1676829D UW Equity</t>
  </si>
  <si>
    <t>Thoratec LLC</t>
  </si>
  <si>
    <t>CRWN UQ Equity</t>
  </si>
  <si>
    <t>Crown Media Holdings Inc</t>
  </si>
  <si>
    <t>IDCC UW Equity</t>
  </si>
  <si>
    <t>InterDigital Inc</t>
  </si>
  <si>
    <t>INAP UW Equity</t>
  </si>
  <si>
    <t>Internap Corp</t>
  </si>
  <si>
    <t>RAVN UW Equity</t>
  </si>
  <si>
    <t>Raven Industries Inc</t>
  </si>
  <si>
    <t>TRAK UW Equity</t>
  </si>
  <si>
    <t>Dealertrack Technologies Inc</t>
  </si>
  <si>
    <t>CTBI UW Equity</t>
  </si>
  <si>
    <t>Community Trust Bancorp Inc</t>
  </si>
  <si>
    <t>TOMO UW Equity</t>
  </si>
  <si>
    <t>TomoTherapy Inc</t>
  </si>
  <si>
    <t>WEYS UW Equity</t>
  </si>
  <si>
    <t>Weyco Group Inc</t>
  </si>
  <si>
    <t>RHIEQ UQ Equity</t>
  </si>
  <si>
    <t>Sonar Entertainment Inc</t>
  </si>
  <si>
    <t>DSCP UW Equity</t>
  </si>
  <si>
    <t>Datascope Corp</t>
  </si>
  <si>
    <t>ANAD UQ Equity</t>
  </si>
  <si>
    <t>II-VI OptoElectronic Devices Inc</t>
  </si>
  <si>
    <t>FPIC UW Equity</t>
  </si>
  <si>
    <t>FPIC Insurance Group Inc</t>
  </si>
  <si>
    <t>USAP UW Equity</t>
  </si>
  <si>
    <t>Universal Stainless &amp; Alloy Products Inc</t>
  </si>
  <si>
    <t>CUBE UN Equity</t>
  </si>
  <si>
    <t>CubeSmart</t>
  </si>
  <si>
    <t>ALC UN Equity</t>
  </si>
  <si>
    <t>Assisted Living Concepts LLC</t>
  </si>
  <si>
    <t>IBNKQ UQ Equity</t>
  </si>
  <si>
    <t>Integra Bank Corp</t>
  </si>
  <si>
    <t>SKT UN Equity</t>
  </si>
  <si>
    <t>Tanger Factory Outlet Centers Inc</t>
  </si>
  <si>
    <t>LSCC UQ Equity</t>
  </si>
  <si>
    <t>Lattice Semiconductor Corp</t>
  </si>
  <si>
    <t>VIEWF UW Equity</t>
  </si>
  <si>
    <t>Viewtran Group Inc</t>
  </si>
  <si>
    <t>MEAS UW Equity</t>
  </si>
  <si>
    <t>Measurement Specialties Inc</t>
  </si>
  <si>
    <t>PRGX UQ Equity</t>
  </si>
  <si>
    <t>PRGX Global Inc</t>
  </si>
  <si>
    <t>CPLA UW Equity</t>
  </si>
  <si>
    <t>Capella Education Co</t>
  </si>
  <si>
    <t>LRN UP Equity</t>
  </si>
  <si>
    <t>K12 Inc</t>
  </si>
  <si>
    <t>CGNX UW Equity</t>
  </si>
  <si>
    <t>Cognex Corp</t>
  </si>
  <si>
    <t>IWOV UQ Equity</t>
  </si>
  <si>
    <t>Interwoven Inc</t>
  </si>
  <si>
    <t>SASR UW Equity</t>
  </si>
  <si>
    <t>Sandy Spring Bancorp Inc</t>
  </si>
  <si>
    <t>ANH UN Equity</t>
  </si>
  <si>
    <t>Anworth Mortgage Asset Corp</t>
  </si>
  <si>
    <t>GLNG UW Equity</t>
  </si>
  <si>
    <t>Golar LNG Ltd</t>
  </si>
  <si>
    <t>CCBG UW Equity</t>
  </si>
  <si>
    <t>Capital City Bank Group Inc</t>
  </si>
  <si>
    <t>HURC UW Equity</t>
  </si>
  <si>
    <t>Hurco Cos Inc</t>
  </si>
  <si>
    <t>REX UN Equity</t>
  </si>
  <si>
    <t>REX American Resources Corp</t>
  </si>
  <si>
    <t>IRET UW Equity</t>
  </si>
  <si>
    <t>Investors Real Estate Trust</t>
  </si>
  <si>
    <t>HL UN Equity</t>
  </si>
  <si>
    <t>Hecla Mining Co</t>
  </si>
  <si>
    <t>SNBC UW Equity</t>
  </si>
  <si>
    <t>Sun Bancorp Inc/NJ</t>
  </si>
  <si>
    <t>ULTRF UW Equity</t>
  </si>
  <si>
    <t>Ultrapetrol Bahamas Ltd</t>
  </si>
  <si>
    <t>SIGM UQ Equity</t>
  </si>
  <si>
    <t>Sigma Designs Inc</t>
  </si>
  <si>
    <t>PRAA UW Equity</t>
  </si>
  <si>
    <t>PRA Group Inc</t>
  </si>
  <si>
    <t>JCOM UW Equity</t>
  </si>
  <si>
    <t>j2 Global Inc</t>
  </si>
  <si>
    <t>TYL UN Equity</t>
  </si>
  <si>
    <t>Tyler Technologies Inc</t>
  </si>
  <si>
    <t>ABCO UW Equity</t>
  </si>
  <si>
    <t>Advisory Board Co/The</t>
  </si>
  <si>
    <t>PRFT UW Equity</t>
  </si>
  <si>
    <t>Perficient Inc</t>
  </si>
  <si>
    <t>FFIN UW Equity</t>
  </si>
  <si>
    <t>First Financial Bankshares Inc</t>
  </si>
  <si>
    <t>TTES UW Equity</t>
  </si>
  <si>
    <t>T-3 Energy Services Inc</t>
  </si>
  <si>
    <t>SWWC UW Equity</t>
  </si>
  <si>
    <t>Southwest Water Co</t>
  </si>
  <si>
    <t>UCFC UW Equity</t>
  </si>
  <si>
    <t>United Community Financial Corp/OH</t>
  </si>
  <si>
    <t>WCBO UW Equity</t>
  </si>
  <si>
    <t>West Coast Bancorp/OR</t>
  </si>
  <si>
    <t>AVD UN Equity</t>
  </si>
  <si>
    <t>American Vanguard Corp</t>
  </si>
  <si>
    <t>FPFCQ UW Equity</t>
  </si>
  <si>
    <t>First Place Financial Corp/OH</t>
  </si>
  <si>
    <t>IVAC UQ Equity</t>
  </si>
  <si>
    <t>Intevac Inc</t>
  </si>
  <si>
    <t>AVAV UW Equity</t>
  </si>
  <si>
    <t>Aerovironment Inc</t>
  </si>
  <si>
    <t>CNQR UW Equity</t>
  </si>
  <si>
    <t>Concur Technologies Inc</t>
  </si>
  <si>
    <t>CDE UN Equity</t>
  </si>
  <si>
    <t>Coeur Mining Inc</t>
  </si>
  <si>
    <t>ADVS UW Equity</t>
  </si>
  <si>
    <t>Advent Software Inc</t>
  </si>
  <si>
    <t>SFNC UW Equity</t>
  </si>
  <si>
    <t>Simmons First National Corp</t>
  </si>
  <si>
    <t>LAVA UQ Equity</t>
  </si>
  <si>
    <t>Magma Design Automation Inc</t>
  </si>
  <si>
    <t>OMCL UW Equity</t>
  </si>
  <si>
    <t>Omnicell Inc</t>
  </si>
  <si>
    <t>HR UN Equity</t>
  </si>
  <si>
    <t>Healthcare Realty Trust Inc</t>
  </si>
  <si>
    <t>FORR UW Equity</t>
  </si>
  <si>
    <t>Forrester Research Inc</t>
  </si>
  <si>
    <t>COLB UW Equity</t>
  </si>
  <si>
    <t>Columbia Banking System Inc</t>
  </si>
  <si>
    <t>CHCO UW Equity</t>
  </si>
  <si>
    <t>City Holding Co</t>
  </si>
  <si>
    <t>WBSN UW Equity</t>
  </si>
  <si>
    <t>Websense LLC</t>
  </si>
  <si>
    <t>1507028D UR Equity</t>
  </si>
  <si>
    <t>Aristotle Corp/The</t>
  </si>
  <si>
    <t>RTKHQ UA Equity</t>
  </si>
  <si>
    <t>Rentech Inc</t>
  </si>
  <si>
    <t>UTHR UW Equity</t>
  </si>
  <si>
    <t>United Therapeutics Corp</t>
  </si>
  <si>
    <t>ARAY UQ Equity</t>
  </si>
  <si>
    <t>Accuray Inc</t>
  </si>
  <si>
    <t>ORN UQ Equity</t>
  </si>
  <si>
    <t>Orion Group Holdings Inc</t>
  </si>
  <si>
    <t>LABL UW Equity</t>
  </si>
  <si>
    <t>Multi-Color Corp</t>
  </si>
  <si>
    <t>MRCY UW Equity</t>
  </si>
  <si>
    <t>Mercury Systems Inc</t>
  </si>
  <si>
    <t>MBHIQ UQ Equity</t>
  </si>
  <si>
    <t>Midwest Banc Holdings Inc</t>
  </si>
  <si>
    <t>FFIC UW Equity</t>
  </si>
  <si>
    <t>Flushing Financial Corp</t>
  </si>
  <si>
    <t>AVNX UQ Equity</t>
  </si>
  <si>
    <t>Oclaro North America Inc</t>
  </si>
  <si>
    <t>SYMM UQ Equity</t>
  </si>
  <si>
    <t>Microsemi Frequency &amp; Time Corp</t>
  </si>
  <si>
    <t>MMSI UW Equity</t>
  </si>
  <si>
    <t>Merit Medical Systems Inc</t>
  </si>
  <si>
    <t>TRST UW Equity</t>
  </si>
  <si>
    <t>TrustCo Bank Corp NY</t>
  </si>
  <si>
    <t>SJW UN Equity</t>
  </si>
  <si>
    <t>SJW Group</t>
  </si>
  <si>
    <t>RVHLQ UA Equity</t>
  </si>
  <si>
    <t>Riviera Holdings Corp</t>
  </si>
  <si>
    <t>EXPO UW Equity</t>
  </si>
  <si>
    <t>Exponent Inc</t>
  </si>
  <si>
    <t>1638692D UW Equity</t>
  </si>
  <si>
    <t>FUJIFILM SonoSite Inc</t>
  </si>
  <si>
    <t>SONE UQ Equity</t>
  </si>
  <si>
    <t>S1 Corp</t>
  </si>
  <si>
    <t>1492800D UW Equity</t>
  </si>
  <si>
    <t>Green Bankshares Inc</t>
  </si>
  <si>
    <t>VPHM UW Equity</t>
  </si>
  <si>
    <t>Shire ViroPharma Inc</t>
  </si>
  <si>
    <t>BKMU UW Equity</t>
  </si>
  <si>
    <t>Bank Mutual Corp</t>
  </si>
  <si>
    <t>FMR UN Equity</t>
  </si>
  <si>
    <t>First Mercury Financial Corp</t>
  </si>
  <si>
    <t>KTII UW Equity</t>
  </si>
  <si>
    <t>K-Tron International Inc</t>
  </si>
  <si>
    <t>OZK UW Equity</t>
  </si>
  <si>
    <t>Bank OZK</t>
  </si>
  <si>
    <t>SNWL UW Equity</t>
  </si>
  <si>
    <t>SonicWALL Inc</t>
  </si>
  <si>
    <t>HOPE UW Equity</t>
  </si>
  <si>
    <t>Hope Bancorp Inc</t>
  </si>
  <si>
    <t>CVLT UW Equity</t>
  </si>
  <si>
    <t>CommVault Systems Inc</t>
  </si>
  <si>
    <t>ISHCQ UN Equity</t>
  </si>
  <si>
    <t>International Shipholding Corp</t>
  </si>
  <si>
    <t>0852980D UQ Equity</t>
  </si>
  <si>
    <t>Actel Corp</t>
  </si>
  <si>
    <t>GCOM UW Equity</t>
  </si>
  <si>
    <t>Globecomm Systems Inc</t>
  </si>
  <si>
    <t>VICR UW Equity</t>
  </si>
  <si>
    <t>Vicor Corp</t>
  </si>
  <si>
    <t>XPER UW Equity</t>
  </si>
  <si>
    <t>Xperi Corp</t>
  </si>
  <si>
    <t>LSI UN Equity</t>
  </si>
  <si>
    <t>Life Storage Inc</t>
  </si>
  <si>
    <t>OKSB UW Equity</t>
  </si>
  <si>
    <t>Southwest Bancorp Inc</t>
  </si>
  <si>
    <t>CSGP UW Equity</t>
  </si>
  <si>
    <t>CoStar Group Inc</t>
  </si>
  <si>
    <t>TOWN UW Equity</t>
  </si>
  <si>
    <t>Towne Bank/Portsmouth VA</t>
  </si>
  <si>
    <t>DCOM UW Equity</t>
  </si>
  <si>
    <t>Dime Community Bancshares Inc</t>
  </si>
  <si>
    <t>AMRI UQ Equity</t>
  </si>
  <si>
    <t>Albany Molecular Research Inc</t>
  </si>
  <si>
    <t>CACB UR Equity</t>
  </si>
  <si>
    <t>Cascade Bancorp</t>
  </si>
  <si>
    <t>VIGN UQ Equity</t>
  </si>
  <si>
    <t>Vignette Corp</t>
  </si>
  <si>
    <t>INDB UW Equity</t>
  </si>
  <si>
    <t>Independent Bank Corp/Rockland MA</t>
  </si>
  <si>
    <t>FARO UW Equity</t>
  </si>
  <si>
    <t>FARO Technologies Inc</t>
  </si>
  <si>
    <t>NNN UN Equity</t>
  </si>
  <si>
    <t>National Retail Properties Inc</t>
  </si>
  <si>
    <t>POWI UW Equity</t>
  </si>
  <si>
    <t>Power Integrations Inc</t>
  </si>
  <si>
    <t>NYM UN Equity</t>
  </si>
  <si>
    <t>ProSight Specialty Insurance Group Inc</t>
  </si>
  <si>
    <t>IPCM UQ Equity</t>
  </si>
  <si>
    <t>IPC Healthcare Inc</t>
  </si>
  <si>
    <t>IRC UN Equity</t>
  </si>
  <si>
    <t>IRC Retail Centers Inc</t>
  </si>
  <si>
    <t>CSU UN Equity</t>
  </si>
  <si>
    <t>Capital Senior Living Corp</t>
  </si>
  <si>
    <t>IPGP UW Equity</t>
  </si>
  <si>
    <t>IPG Photonics Corp</t>
  </si>
  <si>
    <t>STEC UW Equity</t>
  </si>
  <si>
    <t>HGST Technologies Santa Ana Inc</t>
  </si>
  <si>
    <t>MDAS UW Equity</t>
  </si>
  <si>
    <t>MedAssets Inc</t>
  </si>
  <si>
    <t>52257Q UN Equity</t>
  </si>
  <si>
    <t>Financial Federal Corp</t>
  </si>
  <si>
    <t>PETS UW Equity</t>
  </si>
  <si>
    <t>PetMed Express Inc</t>
  </si>
  <si>
    <t>ICUI UW Equity</t>
  </si>
  <si>
    <t>ICU Medical Inc</t>
  </si>
  <si>
    <t>SNH UN Equity</t>
  </si>
  <si>
    <t>Senior Housing Properties Trust</t>
  </si>
  <si>
    <t>OSBC UW Equity</t>
  </si>
  <si>
    <t>Old Second Bancorp Inc</t>
  </si>
  <si>
    <t>WOLF UQ Equity</t>
  </si>
  <si>
    <t>Great Wolf Resorts Inc</t>
  </si>
  <si>
    <t>TMRK UQ Equity</t>
  </si>
  <si>
    <t>Terremark Worldwide Inc</t>
  </si>
  <si>
    <t>BIDZ UR Equity</t>
  </si>
  <si>
    <t>Bidz.com Inc</t>
  </si>
  <si>
    <t>NAT UN Equity</t>
  </si>
  <si>
    <t>Nordic American Tankers Ltd</t>
  </si>
  <si>
    <t>ATNI UW Equity</t>
  </si>
  <si>
    <t>ATN International Inc</t>
  </si>
  <si>
    <t>SFLY UW Equity</t>
  </si>
  <si>
    <t>Shutterfly Inc</t>
  </si>
  <si>
    <t>NXGN UW Equity</t>
  </si>
  <si>
    <t>NextGen Healthcare Inc</t>
  </si>
  <si>
    <t>APSG UW Equity</t>
  </si>
  <si>
    <t>Raytheon Applied Signal Technology Inc</t>
  </si>
  <si>
    <t>CRAY UQ Equity</t>
  </si>
  <si>
    <t>Cray Inc</t>
  </si>
  <si>
    <t>EF UW Equity</t>
  </si>
  <si>
    <t>Pinnacle Summer Investments Inc</t>
  </si>
  <si>
    <t>CCOI UW Equity</t>
  </si>
  <si>
    <t>Cogent Communications Holdings Inc</t>
  </si>
  <si>
    <t>ZOLT UW Equity</t>
  </si>
  <si>
    <t>Zoltek Cos Inc</t>
  </si>
  <si>
    <t>ENZN UQ Equity</t>
  </si>
  <si>
    <t>Enzon Pharmaceuticals Inc</t>
  </si>
  <si>
    <t>GNKOQ UN Equity</t>
  </si>
  <si>
    <t>Genco Shipping &amp; Trading Ltd</t>
  </si>
  <si>
    <t>DGII UW Equity</t>
  </si>
  <si>
    <t>Digi International Inc</t>
  </si>
  <si>
    <t>ARCC UW Equity</t>
  </si>
  <si>
    <t>Ares Capital Corp</t>
  </si>
  <si>
    <t>GEOY UQ Equity</t>
  </si>
  <si>
    <t>GeoEye Inc</t>
  </si>
  <si>
    <t>EBS UN Equity</t>
  </si>
  <si>
    <t>Emergent BioSolutions Inc</t>
  </si>
  <si>
    <t>COBZ UW Equity</t>
  </si>
  <si>
    <t>CoBiz Financial Inc</t>
  </si>
  <si>
    <t>ACAP UW Equity</t>
  </si>
  <si>
    <t>American Physicians Capital Inc</t>
  </si>
  <si>
    <t>CSCX UQ Equity</t>
  </si>
  <si>
    <t>Cardiac Science Corp</t>
  </si>
  <si>
    <t>GSOL UW Equity</t>
  </si>
  <si>
    <t>Global Sources Ltd</t>
  </si>
  <si>
    <t>WASH UW Equity</t>
  </si>
  <si>
    <t>Washington Trust Bancorp Inc</t>
  </si>
  <si>
    <t>KNXA UW Equity</t>
  </si>
  <si>
    <t>Kenexa Corp</t>
  </si>
  <si>
    <t>CRUS UW Equity</t>
  </si>
  <si>
    <t>Cirrus Logic Inc</t>
  </si>
  <si>
    <t>LTRE UQ Equity</t>
  </si>
  <si>
    <t>Learning Tree International Inc</t>
  </si>
  <si>
    <t>ASI UN Equity</t>
  </si>
  <si>
    <t>American Safety Insurance Holdings Ltd</t>
  </si>
  <si>
    <t>WIBC UW Equity</t>
  </si>
  <si>
    <t>Wilshire Bancorp Inc</t>
  </si>
  <si>
    <t>MDS UN Equity</t>
  </si>
  <si>
    <t>Midas Inc</t>
  </si>
  <si>
    <t>SEAC UQ Equity</t>
  </si>
  <si>
    <t>Seachange International Inc</t>
  </si>
  <si>
    <t>EXLS UW Equity</t>
  </si>
  <si>
    <t>ExlService Holdings Inc</t>
  </si>
  <si>
    <t>SSB UW Equity</t>
  </si>
  <si>
    <t>South State Corp</t>
  </si>
  <si>
    <t>SHFL UW Equity</t>
  </si>
  <si>
    <t>SHFL Entertainment Inc</t>
  </si>
  <si>
    <t>ARUN UQ Equity</t>
  </si>
  <si>
    <t>Aruba Networks Inc</t>
  </si>
  <si>
    <t>FOR UN Equity</t>
  </si>
  <si>
    <t>Forestar Group Inc</t>
  </si>
  <si>
    <t>NL UN Equity</t>
  </si>
  <si>
    <t>NL Industries Inc</t>
  </si>
  <si>
    <t>HCKT UQ Equity</t>
  </si>
  <si>
    <t>Hackett Group Inc/The</t>
  </si>
  <si>
    <t>SHF UN Equity</t>
  </si>
  <si>
    <t>Schiff Nutrition International Inc</t>
  </si>
  <si>
    <t>BBND UQ Equity</t>
  </si>
  <si>
    <t>BigBand Networks Inc</t>
  </si>
  <si>
    <t>TMP UA Equity</t>
  </si>
  <si>
    <t>Tompkins Financial Corp</t>
  </si>
  <si>
    <t>OPLK UQ Equity</t>
  </si>
  <si>
    <t>Oplink Communications Inc</t>
  </si>
  <si>
    <t>BCPC UW Equity</t>
  </si>
  <si>
    <t>Balchem Corp</t>
  </si>
  <si>
    <t>NEWS UQ Equity</t>
  </si>
  <si>
    <t>NewStar Financial Inc</t>
  </si>
  <si>
    <t>SFE UN Equity</t>
  </si>
  <si>
    <t>Safeguard Scientifics Inc</t>
  </si>
  <si>
    <t>ENDRQ UA Equity</t>
  </si>
  <si>
    <t>Endeavour International Corp</t>
  </si>
  <si>
    <t>SBCF UW Equity</t>
  </si>
  <si>
    <t>Seacoast Banking Corp of Florida</t>
  </si>
  <si>
    <t>EPIQ UW Equity</t>
  </si>
  <si>
    <t>Epiq Systems Inc</t>
  </si>
  <si>
    <t>GBNK UW Equity</t>
  </si>
  <si>
    <t>Guaranty Bancorp</t>
  </si>
  <si>
    <t>CDIIQ UQ Equity</t>
  </si>
  <si>
    <t>CD International Enterprises Inc</t>
  </si>
  <si>
    <t>MCGC UW Equity</t>
  </si>
  <si>
    <t>MCG Capital Corp</t>
  </si>
  <si>
    <t>XXIA UW Equity</t>
  </si>
  <si>
    <t>Ixia</t>
  </si>
  <si>
    <t>CIA UN Equity</t>
  </si>
  <si>
    <t>Citizens Inc/TX</t>
  </si>
  <si>
    <t>PNFP UW Equity</t>
  </si>
  <si>
    <t>Pinnacle Financial Partners Inc</t>
  </si>
  <si>
    <t>TRLG UQ Equity</t>
  </si>
  <si>
    <t>True Religion Apparel Inc</t>
  </si>
  <si>
    <t>MSFG UW Equity</t>
  </si>
  <si>
    <t>MainSource Financial Group Inc</t>
  </si>
  <si>
    <t>BNCL UW Equity</t>
  </si>
  <si>
    <t>Beneficial Bancorp Inc</t>
  </si>
  <si>
    <t>LSE UN Equity</t>
  </si>
  <si>
    <t>CapLease Inc</t>
  </si>
  <si>
    <t>AXR UN Equity</t>
  </si>
  <si>
    <t>AMREP Corp</t>
  </si>
  <si>
    <t>FRPH UW Equity</t>
  </si>
  <si>
    <t>FRP Holdings Inc</t>
  </si>
  <si>
    <t>AXYS UW Equity</t>
  </si>
  <si>
    <t>Axsys Technologies Inc</t>
  </si>
  <si>
    <t>CPE UN Equity</t>
  </si>
  <si>
    <t>Callon Petroleum Co</t>
  </si>
  <si>
    <t>STL UW Equity</t>
  </si>
  <si>
    <t>Sterling Bancorp/DE</t>
  </si>
  <si>
    <t>THFF UW Equity</t>
  </si>
  <si>
    <t>First Financial Corp/IN</t>
  </si>
  <si>
    <t>NTCT UW Equity</t>
  </si>
  <si>
    <t>NetScout Systems Inc</t>
  </si>
  <si>
    <t>LMIA UW Equity</t>
  </si>
  <si>
    <t>LMI Aerospace Inc</t>
  </si>
  <si>
    <t>HOMB UW Equity</t>
  </si>
  <si>
    <t>Home BancShares Inc/AR</t>
  </si>
  <si>
    <t>FBNC UW Equity</t>
  </si>
  <si>
    <t>First Bancorp/Southern Pines NC</t>
  </si>
  <si>
    <t>SXCL UQ Equity</t>
  </si>
  <si>
    <t>Steel Excel Inc</t>
  </si>
  <si>
    <t>SNHY UW Equity</t>
  </si>
  <si>
    <t>Sun Hydraulics Corp</t>
  </si>
  <si>
    <t>PLKI UQ Equity</t>
  </si>
  <si>
    <t>Popeyes Louisiana Kitchen Inc</t>
  </si>
  <si>
    <t>ASEI UW Equity</t>
  </si>
  <si>
    <t>American Science &amp; Engineering Inc</t>
  </si>
  <si>
    <t>ANGO UW Equity</t>
  </si>
  <si>
    <t>AngioDynamics Inc</t>
  </si>
  <si>
    <t>UBSH UW Equity</t>
  </si>
  <si>
    <t>Union Bankshares Corp</t>
  </si>
  <si>
    <t>ECOL UW Equity</t>
  </si>
  <si>
    <t>US Ecology Inc</t>
  </si>
  <si>
    <t>CUZ UN Equity</t>
  </si>
  <si>
    <t>Cousins Properties Inc</t>
  </si>
  <si>
    <t>VRTU UQ Equity</t>
  </si>
  <si>
    <t>Virtusa Corp</t>
  </si>
  <si>
    <t>BOOM UW Equity</t>
  </si>
  <si>
    <t>DMC Global Inc</t>
  </si>
  <si>
    <t>PSEM UW Equity</t>
  </si>
  <si>
    <t>Pericom Semiconductor Corp</t>
  </si>
  <si>
    <t>ABCB UW Equity</t>
  </si>
  <si>
    <t>Ameris Bancorp</t>
  </si>
  <si>
    <t>XAN UN Equity</t>
  </si>
  <si>
    <t>Exantas Capital Corp</t>
  </si>
  <si>
    <t>PEGA UW Equity</t>
  </si>
  <si>
    <t>Pegasystems Inc</t>
  </si>
  <si>
    <t>AOBI UN Equity</t>
  </si>
  <si>
    <t>American Oriental Bioengineering Inc</t>
  </si>
  <si>
    <t>FSCI UQ Equity</t>
  </si>
  <si>
    <t>Sinclair Television of Seattle Inc</t>
  </si>
  <si>
    <t>ISYS UW Equity</t>
  </si>
  <si>
    <t>Integral Systems Inc/MD</t>
  </si>
  <si>
    <t>RTEC UW Equity</t>
  </si>
  <si>
    <t>Rudolph Technologies Inc</t>
  </si>
  <si>
    <t>ICON UW Equity</t>
  </si>
  <si>
    <t>Iconix Brand Group Inc</t>
  </si>
  <si>
    <t>MCRI UW Equity</t>
  </si>
  <si>
    <t>Monarch Casino &amp; Resort Inc</t>
  </si>
  <si>
    <t>OHI UN Equity</t>
  </si>
  <si>
    <t>Omega Healthcare Investors Inc</t>
  </si>
  <si>
    <t>ZIGO UW Equity</t>
  </si>
  <si>
    <t>Zygo Corp</t>
  </si>
  <si>
    <t>FTK UN Equity</t>
  </si>
  <si>
    <t>Flotek Industries Inc</t>
  </si>
  <si>
    <t>BHLB UW Equity</t>
  </si>
  <si>
    <t>Berkshire Hills Bancorp Inc</t>
  </si>
  <si>
    <t>MWYGQ UN Equity</t>
  </si>
  <si>
    <t>Midway Games Inc</t>
  </si>
  <si>
    <t>0891179D UN Equity</t>
  </si>
  <si>
    <t>Sterling Bancorp/Old</t>
  </si>
  <si>
    <t>OME UN Equity</t>
  </si>
  <si>
    <t>Omega Protein Corp</t>
  </si>
  <si>
    <t>DDD UQ Equity</t>
  </si>
  <si>
    <t>3D Systems Corp</t>
  </si>
  <si>
    <t>HITT UW Equity</t>
  </si>
  <si>
    <t>Hittite Microwave Corp</t>
  </si>
  <si>
    <t>REXI UW Equity</t>
  </si>
  <si>
    <t>Resource America Inc</t>
  </si>
  <si>
    <t>LBAI UW Equity</t>
  </si>
  <si>
    <t>Lakeland Bancorp Inc</t>
  </si>
  <si>
    <t>TCBK UW Equity</t>
  </si>
  <si>
    <t>TriCo Bancshares</t>
  </si>
  <si>
    <t>MSWP UW Equity</t>
  </si>
  <si>
    <t>Mission West Properties Inc</t>
  </si>
  <si>
    <t>NUVA UW Equity</t>
  </si>
  <si>
    <t>NuVasive Inc</t>
  </si>
  <si>
    <t>MLP UN Equity</t>
  </si>
  <si>
    <t>Maui Land &amp; Pineapple Co Inc</t>
  </si>
  <si>
    <t>CDR UN Equity</t>
  </si>
  <si>
    <t>Cedar Realty Trust Inc</t>
  </si>
  <si>
    <t>RPT UN Equity</t>
  </si>
  <si>
    <t>RPT Realty</t>
  </si>
  <si>
    <t>HRLY UQ Equity</t>
  </si>
  <si>
    <t>Herley Industries Inc</t>
  </si>
  <si>
    <t>FCBC UW Equity</t>
  </si>
  <si>
    <t>First Community Bankshares Inc</t>
  </si>
  <si>
    <t>DOLNQ UN Equity</t>
  </si>
  <si>
    <t>Dolan LLC</t>
  </si>
  <si>
    <t>AEC UN Equity</t>
  </si>
  <si>
    <t>Associated Estates Realty Corp</t>
  </si>
  <si>
    <t>USPH UW Equity</t>
  </si>
  <si>
    <t>US Physical Therapy Inc</t>
  </si>
  <si>
    <t>NHWK UQ Equity</t>
  </si>
  <si>
    <t>Nighthawk Radiology Holdings Inc</t>
  </si>
  <si>
    <t>TRAD UW Equity</t>
  </si>
  <si>
    <t>TradeStation Group Inc</t>
  </si>
  <si>
    <t>ULTI UQ Equity</t>
  </si>
  <si>
    <t>Ultimate Software Group Inc/The</t>
  </si>
  <si>
    <t>DPTRQ UW Equity</t>
  </si>
  <si>
    <t>Par Pacific Holdings Inc</t>
  </si>
  <si>
    <t>EGP UN Equity</t>
  </si>
  <si>
    <t>EastGroup Properties Inc</t>
  </si>
  <si>
    <t>TMR UN Equity</t>
  </si>
  <si>
    <t>Meridian Resource Corp/The</t>
  </si>
  <si>
    <t>BFS UN Equity</t>
  </si>
  <si>
    <t>Saul Centers Inc</t>
  </si>
  <si>
    <t>BRKL UW Equity</t>
  </si>
  <si>
    <t>Brookline Bancorp Inc</t>
  </si>
  <si>
    <t>ACC UN Equity</t>
  </si>
  <si>
    <t>American Campus Communities Inc</t>
  </si>
  <si>
    <t>HMSY UW Equity</t>
  </si>
  <si>
    <t>HMS Holdings Corp</t>
  </si>
  <si>
    <t>REVUQ UQ Equity</t>
  </si>
  <si>
    <t>Education Holdings 1 Inc</t>
  </si>
  <si>
    <t>PNRG UR Equity</t>
  </si>
  <si>
    <t>PrimeEnergy Corp</t>
  </si>
  <si>
    <t>TNK UN Equity</t>
  </si>
  <si>
    <t>Teekay Tankers Ltd</t>
  </si>
  <si>
    <t>8249434Q UQ Equity</t>
  </si>
  <si>
    <t>Starent Networks Corp</t>
  </si>
  <si>
    <t>FUQI UQ Equity</t>
  </si>
  <si>
    <t>Fuqi International Inc</t>
  </si>
  <si>
    <t>ELRC UW Equity</t>
  </si>
  <si>
    <t>Electro Rent Corp</t>
  </si>
  <si>
    <t>PZN UN Equity</t>
  </si>
  <si>
    <t>Pzena Investment Management Inc</t>
  </si>
  <si>
    <t>TSYS UQ Equity</t>
  </si>
  <si>
    <t>TeleCommunication Systems Inc</t>
  </si>
  <si>
    <t>UVSP UW Equity</t>
  </si>
  <si>
    <t>Univest Corp of Pennsylvania</t>
  </si>
  <si>
    <t>OMTR UQ Equity</t>
  </si>
  <si>
    <t>Omniture LLC</t>
  </si>
  <si>
    <t>DHX UN Equity</t>
  </si>
  <si>
    <t>DHI Group Inc</t>
  </si>
  <si>
    <t>EFSC UW Equity</t>
  </si>
  <si>
    <t>Enterprise Financial Services Corp</t>
  </si>
  <si>
    <t>CVCO UW Equity</t>
  </si>
  <si>
    <t>Cavco Industries Inc</t>
  </si>
  <si>
    <t>SHEN UW Equity</t>
  </si>
  <si>
    <t>Shenandoah Telecommunications Co</t>
  </si>
  <si>
    <t>CALP UQ Equity</t>
  </si>
  <si>
    <t>Caliper Life Sciences Inc</t>
  </si>
  <si>
    <t>BIRT UW Equity</t>
  </si>
  <si>
    <t>Actuate Corp</t>
  </si>
  <si>
    <t>BCOR UW Equity</t>
  </si>
  <si>
    <t>Blucora Inc</t>
  </si>
  <si>
    <t>PMFG UQ Equity</t>
  </si>
  <si>
    <t>PMFG Inc</t>
  </si>
  <si>
    <t>VIVO UW Equity</t>
  </si>
  <si>
    <t>Meridian Bioscience Inc</t>
  </si>
  <si>
    <t>KRG UN Equity</t>
  </si>
  <si>
    <t>Kite Realty Group Trust</t>
  </si>
  <si>
    <t>MCHX UQ Equity</t>
  </si>
  <si>
    <t>Marchex Inc</t>
  </si>
  <si>
    <t>METR UW Equity</t>
  </si>
  <si>
    <t>Metro Bancorp Inc</t>
  </si>
  <si>
    <t>PEBO UW Equity</t>
  </si>
  <si>
    <t>Peoples Bancorp Inc/OH</t>
  </si>
  <si>
    <t>CRA UW Equity</t>
  </si>
  <si>
    <t>Celera Corp</t>
  </si>
  <si>
    <t>FFKT UW Equity</t>
  </si>
  <si>
    <t>Farmers Capital Bank Corp</t>
  </si>
  <si>
    <t>ULBI UQ Equity</t>
  </si>
  <si>
    <t>Ultralife Corp</t>
  </si>
  <si>
    <t>ELON UQ Equity</t>
  </si>
  <si>
    <t>Echelon Corp</t>
  </si>
  <si>
    <t>LKFN UW Equity</t>
  </si>
  <si>
    <t>Lakeland Financial Corp</t>
  </si>
  <si>
    <t>SDXC UW Equity</t>
  </si>
  <si>
    <t>Switch &amp; Data Facilities Co Inc</t>
  </si>
  <si>
    <t>ARTG UQ Equity</t>
  </si>
  <si>
    <t>Art Technology Group Inc</t>
  </si>
  <si>
    <t>ICXT UQ Equity</t>
  </si>
  <si>
    <t>FLIR Detection Inc</t>
  </si>
  <si>
    <t>XCRA UQ Equity</t>
  </si>
  <si>
    <t>Xcerra Corp</t>
  </si>
  <si>
    <t>ORCC UW Equity</t>
  </si>
  <si>
    <t>Online Resources Corp</t>
  </si>
  <si>
    <t>JERT UN Equity</t>
  </si>
  <si>
    <t>JER Investors Trust Inc</t>
  </si>
  <si>
    <t>GEOS UW Equity</t>
  </si>
  <si>
    <t>Geospace Technologies Corp</t>
  </si>
  <si>
    <t>PFWD UQ Equity</t>
  </si>
  <si>
    <t>Phase Forward Inc</t>
  </si>
  <si>
    <t>KTEC UQ Equity</t>
  </si>
  <si>
    <t>Key Technology Inc</t>
  </si>
  <si>
    <t>MPWR UQ Equity</t>
  </si>
  <si>
    <t>Monolithic Power Systems Inc</t>
  </si>
  <si>
    <t>SNIC UW Equity</t>
  </si>
  <si>
    <t>Sonic Solutions LLC</t>
  </si>
  <si>
    <t>ASIA UQ Equity</t>
  </si>
  <si>
    <t>AsiaInfo-Linkage Inc</t>
  </si>
  <si>
    <t>CRZO UW Equity</t>
  </si>
  <si>
    <t>Carrizo Oil &amp; Gas Inc</t>
  </si>
  <si>
    <t>SBSI UW Equity</t>
  </si>
  <si>
    <t>Southside Bancshares Inc</t>
  </si>
  <si>
    <t>AFAM UQ Equity</t>
  </si>
  <si>
    <t>Almost Family Inc</t>
  </si>
  <si>
    <t>ANEN UW Equity</t>
  </si>
  <si>
    <t>Anaren Inc</t>
  </si>
  <si>
    <t>HTH UN Equity</t>
  </si>
  <si>
    <t>Hilltop Holdings Inc</t>
  </si>
  <si>
    <t>EPAY UQ Equity</t>
  </si>
  <si>
    <t>Bottomline Technologies DE Inc</t>
  </si>
  <si>
    <t>VOLC UQ Equity</t>
  </si>
  <si>
    <t>Volcano Corp</t>
  </si>
  <si>
    <t>CHDX UQ Equity</t>
  </si>
  <si>
    <t>Chindex International Inc</t>
  </si>
  <si>
    <t>CPHD UQ Equity</t>
  </si>
  <si>
    <t>Cepheid</t>
  </si>
  <si>
    <t>FSP UA Equity</t>
  </si>
  <si>
    <t>Franklin Street Properties Corp</t>
  </si>
  <si>
    <t>SHOR UQ Equity</t>
  </si>
  <si>
    <t>ShoreTel Inc</t>
  </si>
  <si>
    <t>DEL UN Equity</t>
  </si>
  <si>
    <t>Deltic Timber Corp</t>
  </si>
  <si>
    <t>FSIN UW Equity</t>
  </si>
  <si>
    <t>Fushi Copperweld Inc</t>
  </si>
  <si>
    <t>TLEO UQ Equity</t>
  </si>
  <si>
    <t>Taleo Corp</t>
  </si>
  <si>
    <t>INTL UQ Equity</t>
  </si>
  <si>
    <t>INTL. FCStone Inc</t>
  </si>
  <si>
    <t>NZ UP Equity</t>
  </si>
  <si>
    <t>Netezza LLC</t>
  </si>
  <si>
    <t>FISI UW Equity</t>
  </si>
  <si>
    <t>Financial Institutions Inc</t>
  </si>
  <si>
    <t>GLRE UW Equity</t>
  </si>
  <si>
    <t>Greenlight Capital Re Ltd</t>
  </si>
  <si>
    <t>MHLD UW Equity</t>
  </si>
  <si>
    <t>Maiden Holdings Ltd</t>
  </si>
  <si>
    <t>USLM UQ Equity</t>
  </si>
  <si>
    <t>United States Lime &amp; Minerals Inc</t>
  </si>
  <si>
    <t>SMMX UW Equity</t>
  </si>
  <si>
    <t>Symyx Technologies Inc</t>
  </si>
  <si>
    <t>EGY UN Equity</t>
  </si>
  <si>
    <t>VAALCO Energy Inc</t>
  </si>
  <si>
    <t>REGN UQ Equity</t>
  </si>
  <si>
    <t>Regeneron Pharmaceuticals Inc</t>
  </si>
  <si>
    <t>EGLE UW Equity</t>
  </si>
  <si>
    <t>Eagle Bulk Shipping Inc</t>
  </si>
  <si>
    <t>BEXP UW Equity</t>
  </si>
  <si>
    <t>Brigham Exploration Co</t>
  </si>
  <si>
    <t>CTBK UR Equity</t>
  </si>
  <si>
    <t>City Bank/Lynnwood WA</t>
  </si>
  <si>
    <t>FPO UN Equity</t>
  </si>
  <si>
    <t>First Potomac Realty Trust</t>
  </si>
  <si>
    <t>CYNO UQ Equity</t>
  </si>
  <si>
    <t>Cynosure Inc</t>
  </si>
  <si>
    <t>EXAC UW Equity</t>
  </si>
  <si>
    <t>Exactech Inc</t>
  </si>
  <si>
    <t>PMTI UW Equity</t>
  </si>
  <si>
    <t>Palomar Medical Technologies Inc</t>
  </si>
  <si>
    <t>DDUP UQ Equity</t>
  </si>
  <si>
    <t>Data Domain Inc</t>
  </si>
  <si>
    <t>SNCR UQ Equity</t>
  </si>
  <si>
    <t>Synchronoss Technologies Inc</t>
  </si>
  <si>
    <t>PSTRQ UQ Equity</t>
  </si>
  <si>
    <t>PostRock Energy Corp</t>
  </si>
  <si>
    <t>AINV UW Equity</t>
  </si>
  <si>
    <t>Apollo Investment Corp</t>
  </si>
  <si>
    <t>ADY UP Equity</t>
  </si>
  <si>
    <t>Flying Crane International Inc</t>
  </si>
  <si>
    <t>1553838D UQ Equity</t>
  </si>
  <si>
    <t>Entropic Communications Inc</t>
  </si>
  <si>
    <t>SYBT UW Equity</t>
  </si>
  <si>
    <t>Stock Yards Bancorp Inc</t>
  </si>
  <si>
    <t>UNCA UQ Equity</t>
  </si>
  <si>
    <t>Unica Corp</t>
  </si>
  <si>
    <t>GDPMQ UN Equity</t>
  </si>
  <si>
    <t>Goodrich Petroleum Corp</t>
  </si>
  <si>
    <t>CAC UW Equity</t>
  </si>
  <si>
    <t>Camden National Corp</t>
  </si>
  <si>
    <t>OSPN UR Equity</t>
  </si>
  <si>
    <t>OneSpan Inc</t>
  </si>
  <si>
    <t>EDR UN Equity</t>
  </si>
  <si>
    <t>Education Realty Trust Inc</t>
  </si>
  <si>
    <t>BTFG UW Equity</t>
  </si>
  <si>
    <t>BancTrust Financial Group Inc</t>
  </si>
  <si>
    <t>BABY UQ Equity</t>
  </si>
  <si>
    <t>Natus Medical Inc</t>
  </si>
  <si>
    <t>QDEL UQ Equity</t>
  </si>
  <si>
    <t>Quidel Corp</t>
  </si>
  <si>
    <t>CFNL UW Equity</t>
  </si>
  <si>
    <t>Cardinal Financial Corp</t>
  </si>
  <si>
    <t>7586674Q UN Equity</t>
  </si>
  <si>
    <t>3PAR Inc</t>
  </si>
  <si>
    <t>CLNE UQ Equity</t>
  </si>
  <si>
    <t>Clean Energy Fuels Corp</t>
  </si>
  <si>
    <t>OCFC UW Equity</t>
  </si>
  <si>
    <t>OceanFirst Financial Corp</t>
  </si>
  <si>
    <t>CYBS UW Equity</t>
  </si>
  <si>
    <t>Cybersource Corp</t>
  </si>
  <si>
    <t>MCF UA Equity</t>
  </si>
  <si>
    <t>Contango Oil &amp; Gas Co</t>
  </si>
  <si>
    <t>IFLO UQ Equity</t>
  </si>
  <si>
    <t>I-Flow Corp</t>
  </si>
  <si>
    <t>ALCO UW Equity</t>
  </si>
  <si>
    <t>Alico Inc</t>
  </si>
  <si>
    <t>STBC UQ Equity</t>
  </si>
  <si>
    <t>State Bancorp Inc/NY</t>
  </si>
  <si>
    <t>STEL UW Equity</t>
  </si>
  <si>
    <t>StellarOne Corp</t>
  </si>
  <si>
    <t>1616228D UQ Equity</t>
  </si>
  <si>
    <t>Parallel Petroleum Corp</t>
  </si>
  <si>
    <t>SCMR UW Equity</t>
  </si>
  <si>
    <t>Sycamore Networks Inc</t>
  </si>
  <si>
    <t>EPAX UW Equity</t>
  </si>
  <si>
    <t>Ambassadors Group Inc</t>
  </si>
  <si>
    <t>NASB UR Equity</t>
  </si>
  <si>
    <t>NASB Financial Inc</t>
  </si>
  <si>
    <t>XNPT UQ Equity</t>
  </si>
  <si>
    <t>XenoPort Inc</t>
  </si>
  <si>
    <t>EXEL UW Equity</t>
  </si>
  <si>
    <t>Exelixis Inc</t>
  </si>
  <si>
    <t>APKT UQ Equity</t>
  </si>
  <si>
    <t>Acme Packet Inc</t>
  </si>
  <si>
    <t>CHRD UQ Equity</t>
  </si>
  <si>
    <t>Chordiant Software Inc</t>
  </si>
  <si>
    <t>AMSC UQ Equity</t>
  </si>
  <si>
    <t>American Superconductor Corp</t>
  </si>
  <si>
    <t>EBTX UQ Equity</t>
  </si>
  <si>
    <t>Encore Bancshares Inc</t>
  </si>
  <si>
    <t>UTEK UQ Equity</t>
  </si>
  <si>
    <t>Ultratech Inc</t>
  </si>
  <si>
    <t>0625767D UW Equity</t>
  </si>
  <si>
    <t>Stratasys Inc</t>
  </si>
  <si>
    <t>RNOW UQ Equity</t>
  </si>
  <si>
    <t>RightNow Technologies Inc</t>
  </si>
  <si>
    <t>POWR UW Equity</t>
  </si>
  <si>
    <t>PowerSecure International Inc</t>
  </si>
  <si>
    <t>BDBD UQ Equity</t>
  </si>
  <si>
    <t>Boulder Brands Inc</t>
  </si>
  <si>
    <t>LTXB UW Equity</t>
  </si>
  <si>
    <t>LegacyTexas Financial Group Inc</t>
  </si>
  <si>
    <t>CPSI UW Equity</t>
  </si>
  <si>
    <t>Computer Programs &amp; Systems Inc</t>
  </si>
  <si>
    <t>1465949D UQ Equity</t>
  </si>
  <si>
    <t>OpenTV Corp</t>
  </si>
  <si>
    <t>ININ UQ Equity</t>
  </si>
  <si>
    <t>Interactive Intelligence Group Inc</t>
  </si>
  <si>
    <t>AATI UW Equity</t>
  </si>
  <si>
    <t>Advanced Analogic Technologies Inc</t>
  </si>
  <si>
    <t>NETL UQ Equity</t>
  </si>
  <si>
    <t>Netlogic I LLC</t>
  </si>
  <si>
    <t>QUMU UW Equity</t>
  </si>
  <si>
    <t>Qumu Corp</t>
  </si>
  <si>
    <t>N UN Equity</t>
  </si>
  <si>
    <t>NetSuite Inc</t>
  </si>
  <si>
    <t>OVEN UQ Equity</t>
  </si>
  <si>
    <t>TurboChef Technologies Inc</t>
  </si>
  <si>
    <t>RLRN UW Equity</t>
  </si>
  <si>
    <t>Renaissance Learning Inc</t>
  </si>
  <si>
    <t>MPR UN Equity</t>
  </si>
  <si>
    <t>Met-Pro Corp</t>
  </si>
  <si>
    <t>GPOR UW Equity</t>
  </si>
  <si>
    <t>Gulfport Energy Corp</t>
  </si>
  <si>
    <t>1440013D UW Equity</t>
  </si>
  <si>
    <t>Cogent Inc</t>
  </si>
  <si>
    <t>TYPE UW Equity</t>
  </si>
  <si>
    <t>Monotype Imaging Holdings Inc</t>
  </si>
  <si>
    <t>MIPS UW Equity</t>
  </si>
  <si>
    <t>Imagination Technologies LLC</t>
  </si>
  <si>
    <t>WSBF UW Equity</t>
  </si>
  <si>
    <t>Waterstone Financial Inc</t>
  </si>
  <si>
    <t>LLNW UQ Equity</t>
  </si>
  <si>
    <t>Limelight Networks Inc</t>
  </si>
  <si>
    <t>AROW UW Equity</t>
  </si>
  <si>
    <t>Arrow Financial Corp</t>
  </si>
  <si>
    <t>OMPI UW Equity</t>
  </si>
  <si>
    <t>TBD-OMP Inc</t>
  </si>
  <si>
    <t>NEOG UW Equity</t>
  </si>
  <si>
    <t>Neogen Corp</t>
  </si>
  <si>
    <t>WATG UQ Equity</t>
  </si>
  <si>
    <t>Wonder Auto Technology Inc</t>
  </si>
  <si>
    <t>CALD UQ Equity</t>
  </si>
  <si>
    <t>Callidus Software Inc</t>
  </si>
  <si>
    <t>BFIN UW Equity</t>
  </si>
  <si>
    <t>BankFinancial Corp</t>
  </si>
  <si>
    <t>AKR UN Equity</t>
  </si>
  <si>
    <t>Acadia Realty Trust</t>
  </si>
  <si>
    <t>1576198D UQ Equity</t>
  </si>
  <si>
    <t>ArcSight LLC</t>
  </si>
  <si>
    <t>1384851D UW Equity</t>
  </si>
  <si>
    <t>OPNET Technologies Inc</t>
  </si>
  <si>
    <t>BSRR UW Equity</t>
  </si>
  <si>
    <t>Sierra Bancorp</t>
  </si>
  <si>
    <t>ATHN UQ Equity</t>
  </si>
  <si>
    <t>athenahealth Inc</t>
  </si>
  <si>
    <t>FCEL UQ Equity</t>
  </si>
  <si>
    <t>FuelCell Energy Inc</t>
  </si>
  <si>
    <t>AAXN UW Equity</t>
  </si>
  <si>
    <t>Axon Enterprise Inc</t>
  </si>
  <si>
    <t>SDTHQ UW Equity</t>
  </si>
  <si>
    <t>ShengdaTech Inc</t>
  </si>
  <si>
    <t>ABAX UW Equity</t>
  </si>
  <si>
    <t>Abaxis Inc</t>
  </si>
  <si>
    <t>1464150D UN Equity</t>
  </si>
  <si>
    <t>Arena Resources Inc</t>
  </si>
  <si>
    <t>9876547D UW Equity</t>
  </si>
  <si>
    <t>Kearny Financial Corp</t>
  </si>
  <si>
    <t>SCNB UW Equity</t>
  </si>
  <si>
    <t>Suffolk Bancorp</t>
  </si>
  <si>
    <t>ENTU UQ Equity</t>
  </si>
  <si>
    <t>Entrust Inc/US</t>
  </si>
  <si>
    <t>ERT UW Equity</t>
  </si>
  <si>
    <t>ERT Operating Co</t>
  </si>
  <si>
    <t>XOXO UW Equity</t>
  </si>
  <si>
    <t>XO Group Inc</t>
  </si>
  <si>
    <t>GSAT UW Equity</t>
  </si>
  <si>
    <t>Globalstar Inc</t>
  </si>
  <si>
    <t>KOPN UQ Equity</t>
  </si>
  <si>
    <t>Kopin Corp</t>
  </si>
  <si>
    <t>WTBA UW Equity</t>
  </si>
  <si>
    <t>West Bancorporation Inc</t>
  </si>
  <si>
    <t>DGIT UQ Equity</t>
  </si>
  <si>
    <t>Digital Generation Inc</t>
  </si>
  <si>
    <t>CASS UW Equity</t>
  </si>
  <si>
    <t>Cass Information Systems Inc</t>
  </si>
  <si>
    <t>TPGI UQ Equity</t>
  </si>
  <si>
    <t>Thomas Properties Group Inc</t>
  </si>
  <si>
    <t>SRDX UW Equity</t>
  </si>
  <si>
    <t>Surmodics Inc</t>
  </si>
  <si>
    <t>MPW UN Equity</t>
  </si>
  <si>
    <t>Medical Properties Trust Inc</t>
  </si>
  <si>
    <t>ESGR UW Equity</t>
  </si>
  <si>
    <t>Enstar Group Ltd</t>
  </si>
  <si>
    <t>LTS UA Equity</t>
  </si>
  <si>
    <t>Ladenburg Thalmann Financial Services In</t>
  </si>
  <si>
    <t>AUXL UQ Equity</t>
  </si>
  <si>
    <t>Auxilium Pharmaceuticals LLC</t>
  </si>
  <si>
    <t>8251517Q UW Equity</t>
  </si>
  <si>
    <t>Bankrate Inc/Old</t>
  </si>
  <si>
    <t>CRY UN Equity</t>
  </si>
  <si>
    <t>CryoLife Inc</t>
  </si>
  <si>
    <t>TTGT UQ Equity</t>
  </si>
  <si>
    <t>TechTarget Inc</t>
  </si>
  <si>
    <t>RTIX UQ Equity</t>
  </si>
  <si>
    <t>RTI Surgical Inc</t>
  </si>
  <si>
    <t>TXCOQ UW Equity</t>
  </si>
  <si>
    <t>Reorganized TXCO Inc</t>
  </si>
  <si>
    <t>NCOC UQ Equity</t>
  </si>
  <si>
    <t>National Coal Corp</t>
  </si>
  <si>
    <t>SCMP UQ Equity</t>
  </si>
  <si>
    <t>Sucampo Pharmaceuticals Inc</t>
  </si>
  <si>
    <t>PRWT UR Equity</t>
  </si>
  <si>
    <t>Premierwest Bancorp</t>
  </si>
  <si>
    <t>TUNE UQ Equity</t>
  </si>
  <si>
    <t>Microtune Inc</t>
  </si>
  <si>
    <t>MVC UN Equity</t>
  </si>
  <si>
    <t>MVC Capital Inc</t>
  </si>
  <si>
    <t>YDKN UW Equity</t>
  </si>
  <si>
    <t>Yadkin Financial Corp</t>
  </si>
  <si>
    <t>LDR UN Equity</t>
  </si>
  <si>
    <t>Landauer Inc</t>
  </si>
  <si>
    <t>INET UW Equity</t>
  </si>
  <si>
    <t>Internet Brands Inc</t>
  </si>
  <si>
    <t>EXAR UW Equity</t>
  </si>
  <si>
    <t>Exar Corp</t>
  </si>
  <si>
    <t>AMSWA UW Equity</t>
  </si>
  <si>
    <t>American Software Inc/GA</t>
  </si>
  <si>
    <t>ISLN UQ Equity</t>
  </si>
  <si>
    <t>Isilon Systems Inc</t>
  </si>
  <si>
    <t>ATRI UW Equity</t>
  </si>
  <si>
    <t>Atrion Corp</t>
  </si>
  <si>
    <t>MKTX UW Equity</t>
  </si>
  <si>
    <t>MarketAxess Holdings Inc</t>
  </si>
  <si>
    <t>GOGL UW Equity</t>
  </si>
  <si>
    <t>Golden Ocean Group Ltd</t>
  </si>
  <si>
    <t>SMTB UW Equity</t>
  </si>
  <si>
    <t>Smithtown Bancorp Inc</t>
  </si>
  <si>
    <t>EHTH UQ Equity</t>
  </si>
  <si>
    <t>eHealth Inc</t>
  </si>
  <si>
    <t>CPSL UR Equity</t>
  </si>
  <si>
    <t>China Precision Steel Inc</t>
  </si>
  <si>
    <t>SCOR UQ Equity</t>
  </si>
  <si>
    <t>comScore Inc</t>
  </si>
  <si>
    <t>HTBK UW Equity</t>
  </si>
  <si>
    <t>Heritage Commerce Corp</t>
  </si>
  <si>
    <t>CCGM UW Equity</t>
  </si>
  <si>
    <t>China CGame Inc</t>
  </si>
  <si>
    <t>GHM UA Equity</t>
  </si>
  <si>
    <t>Graham Corp</t>
  </si>
  <si>
    <t>PGC UW Equity</t>
  </si>
  <si>
    <t>Peapack Gladstone Financial Corp</t>
  </si>
  <si>
    <t>NPSP UQ Equity</t>
  </si>
  <si>
    <t>Shire-Nps Pharmaceuticals Inc</t>
  </si>
  <si>
    <t>VRAD UQ Equity</t>
  </si>
  <si>
    <t>Virtual Radiologic Corp</t>
  </si>
  <si>
    <t>MSEX UW Equity</t>
  </si>
  <si>
    <t>Middlesex Water Co</t>
  </si>
  <si>
    <t>DNBK UW Equity</t>
  </si>
  <si>
    <t>Danvers Bancorp Inc</t>
  </si>
  <si>
    <t>DVD UN Equity</t>
  </si>
  <si>
    <t>Dover Motorsports Inc</t>
  </si>
  <si>
    <t>STMP UQ Equity</t>
  </si>
  <si>
    <t>Stamps.com Inc</t>
  </si>
  <si>
    <t>EGOV UW Equity</t>
  </si>
  <si>
    <t>NIC Inc</t>
  </si>
  <si>
    <t>IQNT UQ Equity</t>
  </si>
  <si>
    <t>Inteliquent Inc</t>
  </si>
  <si>
    <t>MELI UQ Equity</t>
  </si>
  <si>
    <t>MercadoLibre Inc</t>
  </si>
  <si>
    <t>DIVX UQ Equity</t>
  </si>
  <si>
    <t>NLD LLC</t>
  </si>
  <si>
    <t>IRIS UQ Equity</t>
  </si>
  <si>
    <t>Iris International Inc</t>
  </si>
  <si>
    <t>XOMA UQ Equity</t>
  </si>
  <si>
    <t>XOMA Corp</t>
  </si>
  <si>
    <t>CSFL UW Equity</t>
  </si>
  <si>
    <t>CenterState Bank Corp</t>
  </si>
  <si>
    <t>1434849D UW Equity</t>
  </si>
  <si>
    <t>Noven Pharmaceuticals Inc</t>
  </si>
  <si>
    <t>SPNC UQ Equity</t>
  </si>
  <si>
    <t>Spectranetics Corp/The</t>
  </si>
  <si>
    <t>CVTX UQ Equity</t>
  </si>
  <si>
    <t>CV Therapeutics Inc</t>
  </si>
  <si>
    <t>DBTK UQ Equity</t>
  </si>
  <si>
    <t>Double-Take Software Inc</t>
  </si>
  <si>
    <t>OSUR UQ Equity</t>
  </si>
  <si>
    <t>OraSure Technologies Inc</t>
  </si>
  <si>
    <t>VALU UQ Equity</t>
  </si>
  <si>
    <t>Value Line Inc</t>
  </si>
  <si>
    <t>SUPX UW Equity</t>
  </si>
  <si>
    <t>Supertex Inc</t>
  </si>
  <si>
    <t>WEB UQ Equity</t>
  </si>
  <si>
    <t>Web.com Group Inc</t>
  </si>
  <si>
    <t>HK UQ Equity</t>
  </si>
  <si>
    <t>Halcon Resources Corp</t>
  </si>
  <si>
    <t>FNLC UW Equity</t>
  </si>
  <si>
    <t>First Bancorp Inc/ME</t>
  </si>
  <si>
    <t>PLXT UQ Equity</t>
  </si>
  <si>
    <t>PLX Technology Inc</t>
  </si>
  <si>
    <t>DHT UN Equity</t>
  </si>
  <si>
    <t>DHT Holdings Inc</t>
  </si>
  <si>
    <t>UBA UN Equity</t>
  </si>
  <si>
    <t>Urstadt Biddle Properties Inc</t>
  </si>
  <si>
    <t>CZNC UR Equity</t>
  </si>
  <si>
    <t>Citizens &amp; Northern Corp</t>
  </si>
  <si>
    <t>OESX UQ Equity</t>
  </si>
  <si>
    <t>Orion Energy Systems Inc</t>
  </si>
  <si>
    <t>GTY UN Equity</t>
  </si>
  <si>
    <t>Getty Realty Corp</t>
  </si>
  <si>
    <t>FTEK UW Equity</t>
  </si>
  <si>
    <t>Fuel Tech Inc</t>
  </si>
  <si>
    <t>FSBK UW Equity</t>
  </si>
  <si>
    <t>First South Bancorp Inc/NC</t>
  </si>
  <si>
    <t>ATEC UQ Equity</t>
  </si>
  <si>
    <t>Alphatec Holdings Inc</t>
  </si>
  <si>
    <t>SHBI UW Equity</t>
  </si>
  <si>
    <t>Shore Bancshares Inc</t>
  </si>
  <si>
    <t>KNSY UW Equity</t>
  </si>
  <si>
    <t>DSM Biomedical Inc</t>
  </si>
  <si>
    <t>ACCL UQ Equity</t>
  </si>
  <si>
    <t>Biovia Corp</t>
  </si>
  <si>
    <t>UCAP UA Equity</t>
  </si>
  <si>
    <t>United Capital Corp</t>
  </si>
  <si>
    <t>UBNK UW Equity</t>
  </si>
  <si>
    <t>United Financial Bancorp Inc</t>
  </si>
  <si>
    <t>GUID UQ Equity</t>
  </si>
  <si>
    <t>Guidance Software Inc</t>
  </si>
  <si>
    <t>ENZ UN Equity</t>
  </si>
  <si>
    <t>Enzo Biochem Inc</t>
  </si>
  <si>
    <t>1495787D UQ Equity</t>
  </si>
  <si>
    <t>Endo Pharmaceuticals Solutions Inc</t>
  </si>
  <si>
    <t>FALC UQ Equity</t>
  </si>
  <si>
    <t>FalconStor Software Inc</t>
  </si>
  <si>
    <t>KEYN UQ Equity</t>
  </si>
  <si>
    <t>Keynote Systems Inc</t>
  </si>
  <si>
    <t>ORIT UW Equity</t>
  </si>
  <si>
    <t>Oritani Financial Corp</t>
  </si>
  <si>
    <t>MIND UW Equity</t>
  </si>
  <si>
    <t>Mitcham Industries Inc</t>
  </si>
  <si>
    <t>BMTC UW Equity</t>
  </si>
  <si>
    <t>Bryn Mawr Bank Corp</t>
  </si>
  <si>
    <t>PGNX UQ Equity</t>
  </si>
  <si>
    <t>Progenics Pharmaceuticals Inc</t>
  </si>
  <si>
    <t>LMNX UQ Equity</t>
  </si>
  <si>
    <t>Luminex Corp</t>
  </si>
  <si>
    <t>LTC UN Equity</t>
  </si>
  <si>
    <t>LTC Properties Inc</t>
  </si>
  <si>
    <t>VLTR UW Equity</t>
  </si>
  <si>
    <t>Volterra Semiconductor Corp</t>
  </si>
  <si>
    <t>OFLX UQ Equity</t>
  </si>
  <si>
    <t>Omega Flex Inc</t>
  </si>
  <si>
    <t>PTEC UQ Equity</t>
  </si>
  <si>
    <t>Phoenix Technologies Ltd</t>
  </si>
  <si>
    <t>SMSI UW Equity</t>
  </si>
  <si>
    <t>Smith Micro Software Inc</t>
  </si>
  <si>
    <t>PCBK UW Equity</t>
  </si>
  <si>
    <t>Pacific Continental Corp</t>
  </si>
  <si>
    <t>BEAT UQ Equity</t>
  </si>
  <si>
    <t>BioTelemetry Inc</t>
  </si>
  <si>
    <t>NGS UN Equity</t>
  </si>
  <si>
    <t>Natural Gas Services Group Inc</t>
  </si>
  <si>
    <t>ALXN UQ Equity</t>
  </si>
  <si>
    <t>Alexion Pharmaceuticals Inc</t>
  </si>
  <si>
    <t>VNUS UQ Equity</t>
  </si>
  <si>
    <t>Vnus Medical Technologies Inc</t>
  </si>
  <si>
    <t>NFBK UW Equity</t>
  </si>
  <si>
    <t>Northfield Bancorp Inc</t>
  </si>
  <si>
    <t>1556530D UW Equity</t>
  </si>
  <si>
    <t>LoopNet Inc</t>
  </si>
  <si>
    <t>VTAL UW Equity</t>
  </si>
  <si>
    <t>Vital Images Inc</t>
  </si>
  <si>
    <t>PCTI UQ Equity</t>
  </si>
  <si>
    <t>PC-Tel Inc</t>
  </si>
  <si>
    <t>ESLRQ UQ Equity</t>
  </si>
  <si>
    <t>Evergreen Solar Inc</t>
  </si>
  <si>
    <t>PHX UN Equity</t>
  </si>
  <si>
    <t>Panhandle Oil and Gas Inc</t>
  </si>
  <si>
    <t>IONS UQ Equity</t>
  </si>
  <si>
    <t>Ionis Pharmaceuticals Inc</t>
  </si>
  <si>
    <t>RGLD UW Equity</t>
  </si>
  <si>
    <t>Royal Gold Inc</t>
  </si>
  <si>
    <t>MEND UQ Equity</t>
  </si>
  <si>
    <t>Micrus Endovascular LLC</t>
  </si>
  <si>
    <t>APEI UQ Equity</t>
  </si>
  <si>
    <t>American Public Education Inc</t>
  </si>
  <si>
    <t>BKCC UW Equity</t>
  </si>
  <si>
    <t>BlackRock Capital Investment Corp</t>
  </si>
  <si>
    <t>IDIX UQ Equity</t>
  </si>
  <si>
    <t>Idenix Pharmaceuticals LLC</t>
  </si>
  <si>
    <t>1294243D UN Equity</t>
  </si>
  <si>
    <t>Cogdell Spencer Inc</t>
  </si>
  <si>
    <t>GMXRQ UW Equity</t>
  </si>
  <si>
    <t>Thunderbird Resources Equity Inc</t>
  </si>
  <si>
    <t>BFRM UQ Equity</t>
  </si>
  <si>
    <t>Merz Aesthetics Inc</t>
  </si>
  <si>
    <t>FFNW UW Equity</t>
  </si>
  <si>
    <t>First Financial Northwest Inc</t>
  </si>
  <si>
    <t>UBFO UW Equity</t>
  </si>
  <si>
    <t>United Security Bancshares/Fresno CA</t>
  </si>
  <si>
    <t>ITMN UW Equity</t>
  </si>
  <si>
    <t>InterMune Inc</t>
  </si>
  <si>
    <t>PTIE UQ Equity</t>
  </si>
  <si>
    <t>Pain Therapeutics Inc</t>
  </si>
  <si>
    <t>ASRT UQ Equity</t>
  </si>
  <si>
    <t>Assertio Therapeutics Inc</t>
  </si>
  <si>
    <t>TST UQ Equity</t>
  </si>
  <si>
    <t>TheStreet Inc</t>
  </si>
  <si>
    <t>HRBN UQ Equity</t>
  </si>
  <si>
    <t>Harbin Electric Inc</t>
  </si>
  <si>
    <t>JAZZ UQ Equity</t>
  </si>
  <si>
    <t>Jazz Pharmaceuticals PLC</t>
  </si>
  <si>
    <t>0977894D UW Equity</t>
  </si>
  <si>
    <t>United Financial Bancorp Inc/Old</t>
  </si>
  <si>
    <t>CAI UN Equity</t>
  </si>
  <si>
    <t>CAI International Inc</t>
  </si>
  <si>
    <t>CPTS UQ Equity</t>
  </si>
  <si>
    <t>Bayer Essure Inc</t>
  </si>
  <si>
    <t>GHDX UQ Equity</t>
  </si>
  <si>
    <t>Genomic Health Inc</t>
  </si>
  <si>
    <t>REXXQ UQ Equity</t>
  </si>
  <si>
    <t>Rex Energy Corp</t>
  </si>
  <si>
    <t>MFIN UW Equity</t>
  </si>
  <si>
    <t>Medallion Financial Corp</t>
  </si>
  <si>
    <t>HTGC UW Equity</t>
  </si>
  <si>
    <t>Hercules Capital Inc</t>
  </si>
  <si>
    <t>THRM UQ Equity</t>
  </si>
  <si>
    <t>Gentherm Inc</t>
  </si>
  <si>
    <t>NHI UN Equity</t>
  </si>
  <si>
    <t>National Health Investors Inc</t>
  </si>
  <si>
    <t>PRO UN Equity</t>
  </si>
  <si>
    <t>PROS Holdings Inc</t>
  </si>
  <si>
    <t>PSEC UW Equity</t>
  </si>
  <si>
    <t>Prospect Capital Corp</t>
  </si>
  <si>
    <t>DFT UN Equity</t>
  </si>
  <si>
    <t>DuPont Fabros Technology Inc</t>
  </si>
  <si>
    <t>APAGF UR Equity</t>
  </si>
  <si>
    <t>Apco Oil and Gas International Inc</t>
  </si>
  <si>
    <t>1377691D UW Equity</t>
  </si>
  <si>
    <t>Bolt Technology Corp</t>
  </si>
  <si>
    <t>1667717D UQ Equity</t>
  </si>
  <si>
    <t>DemandTec Inc</t>
  </si>
  <si>
    <t>ENOC UQ Equity</t>
  </si>
  <si>
    <t>EnerNOC Inc</t>
  </si>
  <si>
    <t>FRHC UA Equity</t>
  </si>
  <si>
    <t>Freedom Holding Corp/NV</t>
  </si>
  <si>
    <t>ABBC UW Equity</t>
  </si>
  <si>
    <t>Abington Bancorp Inc</t>
  </si>
  <si>
    <t>NXTM UQ Equity</t>
  </si>
  <si>
    <t>NxStage Medical Inc</t>
  </si>
  <si>
    <t>RICK UQ Equity</t>
  </si>
  <si>
    <t>RCI Hospitality Holdings Inc</t>
  </si>
  <si>
    <t>TWLL UQ Equity</t>
  </si>
  <si>
    <t>Techwell Inc</t>
  </si>
  <si>
    <t>GRIF UQ Equity</t>
  </si>
  <si>
    <t>Griffin Industrial Realty Inc</t>
  </si>
  <si>
    <t>GXDX UQ Equity</t>
  </si>
  <si>
    <t>Genoptix Inc</t>
  </si>
  <si>
    <t>WRESQ UQ Equity</t>
  </si>
  <si>
    <t>Warren Resources Inc</t>
  </si>
  <si>
    <t>WAVE UQ Equity</t>
  </si>
  <si>
    <t>Nextwave Wireless Inc</t>
  </si>
  <si>
    <t>CTWS UW Equity</t>
  </si>
  <si>
    <t>Connecticut Water Service Inc</t>
  </si>
  <si>
    <t>ABMD UQ Equity</t>
  </si>
  <si>
    <t>ABIOMED Inc</t>
  </si>
  <si>
    <t>VOCS UQ Equity</t>
  </si>
  <si>
    <t>Vocus Inc</t>
  </si>
  <si>
    <t>1336447D UQ Equity</t>
  </si>
  <si>
    <t>Orthovita Inc</t>
  </si>
  <si>
    <t>ESSA UW Equity</t>
  </si>
  <si>
    <t>ESSA Bancorp Inc</t>
  </si>
  <si>
    <t>MXWL UQ Equity</t>
  </si>
  <si>
    <t>Maxwell Technologies Inc</t>
  </si>
  <si>
    <t>WNEB UW Equity</t>
  </si>
  <si>
    <t>Western New England Bancorp Inc</t>
  </si>
  <si>
    <t>MEDX UQ Equity</t>
  </si>
  <si>
    <t>Medarex Inc</t>
  </si>
  <si>
    <t>GROW UR Equity</t>
  </si>
  <si>
    <t>US Global Investors Inc</t>
  </si>
  <si>
    <t>FIRE UQ Equity</t>
  </si>
  <si>
    <t>Sourcefire Inc</t>
  </si>
  <si>
    <t>COMV UQ Equity</t>
  </si>
  <si>
    <t>Comverge Inc</t>
  </si>
  <si>
    <t>HQSM UA Equity</t>
  </si>
  <si>
    <t>HQ Sustainable Maritime Industries Inc</t>
  </si>
  <si>
    <t>ATLO UR Equity</t>
  </si>
  <si>
    <t>Ames National Corp</t>
  </si>
  <si>
    <t>VVUS UQ Equity</t>
  </si>
  <si>
    <t>VIVUS Inc</t>
  </si>
  <si>
    <t>EBSB UW Equity</t>
  </si>
  <si>
    <t>Meridian Bancorp Inc</t>
  </si>
  <si>
    <t>CAVM UQ Equity</t>
  </si>
  <si>
    <t>Cavium Inc</t>
  </si>
  <si>
    <t>DTSI UW Equity</t>
  </si>
  <si>
    <t>DTS Inc/CA</t>
  </si>
  <si>
    <t>ACTA UQ Equity</t>
  </si>
  <si>
    <t>Actua Corp</t>
  </si>
  <si>
    <t>AKRX UQ Equity</t>
  </si>
  <si>
    <t>Akorn Inc</t>
  </si>
  <si>
    <t>AUTH UQ Equity</t>
  </si>
  <si>
    <t>AuthenTec Inc</t>
  </si>
  <si>
    <t>FUR UN Equity</t>
  </si>
  <si>
    <t>Winthrop Realty Trust</t>
  </si>
  <si>
    <t>CML UP Equity</t>
  </si>
  <si>
    <t>Compellent Technologies Inc</t>
  </si>
  <si>
    <t>1313821D UW Equity</t>
  </si>
  <si>
    <t>Home Federal Bancorp Inc/Idaho</t>
  </si>
  <si>
    <t>GMET UQ Equity</t>
  </si>
  <si>
    <t>GeoMet Inc</t>
  </si>
  <si>
    <t>0967872D UQ Equity</t>
  </si>
  <si>
    <t>Global Traffic Network Inc</t>
  </si>
  <si>
    <t>ALNY UQ Equity</t>
  </si>
  <si>
    <t>Alnylam Pharmaceuticals Inc</t>
  </si>
  <si>
    <t>CTCT UQ Equity</t>
  </si>
  <si>
    <t>Constant Contact Inc</t>
  </si>
  <si>
    <t>LXRX UQ Equity</t>
  </si>
  <si>
    <t>Lexicon Pharmaceuticals Inc</t>
  </si>
  <si>
    <t>ROMA UW Equity</t>
  </si>
  <si>
    <t>Roma Financial Corp</t>
  </si>
  <si>
    <t>SYNO UQ Equity</t>
  </si>
  <si>
    <t>Synovis Life Technologies Inc</t>
  </si>
  <si>
    <t>QCOR UR Equity</t>
  </si>
  <si>
    <t>Mallinckrodt ARD Inc</t>
  </si>
  <si>
    <t>CSKI UQ Equity</t>
  </si>
  <si>
    <t>China Sky One Medical Inc</t>
  </si>
  <si>
    <t>OHAI UW Equity</t>
  </si>
  <si>
    <t>OHA Investment Corp</t>
  </si>
  <si>
    <t>CWCO UW Equity</t>
  </si>
  <si>
    <t>Consolidated Water Co Ltd</t>
  </si>
  <si>
    <t>NRCIB UQ Equity</t>
  </si>
  <si>
    <t>National Research Corp</t>
  </si>
  <si>
    <t>ISPH UQ Equity</t>
  </si>
  <si>
    <t>Inspire Pharmaceuticals Inc</t>
  </si>
  <si>
    <t>EVEIQ UP Equity</t>
  </si>
  <si>
    <t>Evergreen Energy Inc</t>
  </si>
  <si>
    <t>AXAS UR Equity</t>
  </si>
  <si>
    <t>Abraxas Petroleum Corp</t>
  </si>
  <si>
    <t>SPRT UW Equity</t>
  </si>
  <si>
    <t>Support.com Inc</t>
  </si>
  <si>
    <t>GLCH UQ Equity</t>
  </si>
  <si>
    <t>Gleacher &amp; Co Inc</t>
  </si>
  <si>
    <t>OUTD UQ Equity</t>
  </si>
  <si>
    <t>Outdoor Channel Holdings Inc</t>
  </si>
  <si>
    <t>CFSG UR Equity</t>
  </si>
  <si>
    <t>China Fire &amp; Security Group Inc</t>
  </si>
  <si>
    <t>APXSQ UA Equity</t>
  </si>
  <si>
    <t>Apex Silver Mines Ltd</t>
  </si>
  <si>
    <t>CANOQ UA Equity</t>
  </si>
  <si>
    <t>Cano Petroleum Inc</t>
  </si>
  <si>
    <t>AFFY UQ Equity</t>
  </si>
  <si>
    <t>Affymax Inc</t>
  </si>
  <si>
    <t>EBIX UW Equity</t>
  </si>
  <si>
    <t>Ebix Inc</t>
  </si>
  <si>
    <t>FXCB UQ Equity</t>
  </si>
  <si>
    <t>Fox Chase Bancorp Inc</t>
  </si>
  <si>
    <t>DHIL UQ Equity</t>
  </si>
  <si>
    <t>Diamond Hill Investment Group Inc</t>
  </si>
  <si>
    <t>KCAP UW Equity</t>
  </si>
  <si>
    <t>KCAP Financial Inc</t>
  </si>
  <si>
    <t>HGSI UQ Equity</t>
  </si>
  <si>
    <t>Human Genome Sciences Inc</t>
  </si>
  <si>
    <t>ZAZA UQ Equity</t>
  </si>
  <si>
    <t>Toreador Resources Corp</t>
  </si>
  <si>
    <t>CHKE UW Equity</t>
  </si>
  <si>
    <t>Cherokee Inc</t>
  </si>
  <si>
    <t>SQNM UQ Equity</t>
  </si>
  <si>
    <t>Sequenom Inc</t>
  </si>
  <si>
    <t>CTO UA Equity</t>
  </si>
  <si>
    <t>Consolidated-Tomoka Land Co</t>
  </si>
  <si>
    <t>IMGN UQ Equity</t>
  </si>
  <si>
    <t>ImmunoGen Inc</t>
  </si>
  <si>
    <t>CSBK UW Equity</t>
  </si>
  <si>
    <t>Clifton Bancorp Inc</t>
  </si>
  <si>
    <t>ACOR UQ Equity</t>
  </si>
  <si>
    <t>Acorda Therapeutics Inc</t>
  </si>
  <si>
    <t>MNR UW Equity</t>
  </si>
  <si>
    <t>Monmouth Real Estate Investment Corp</t>
  </si>
  <si>
    <t>AMPLQ UQ Equity</t>
  </si>
  <si>
    <t>Ampal-American Israel Corp</t>
  </si>
  <si>
    <t>STXS UQ Equity</t>
  </si>
  <si>
    <t>Stereotaxis Inc</t>
  </si>
  <si>
    <t>AREX UQ Equity</t>
  </si>
  <si>
    <t>Approach Resources Inc</t>
  </si>
  <si>
    <t>GEOI UQ Equity</t>
  </si>
  <si>
    <t>GeoResources Inc</t>
  </si>
  <si>
    <t>LWAY UQ Equity</t>
  </si>
  <si>
    <t>Lifeway Foods Inc</t>
  </si>
  <si>
    <t>1523381D UW Equity</t>
  </si>
  <si>
    <t>Somanetics Corp</t>
  </si>
  <si>
    <t>OLP UN Equity</t>
  </si>
  <si>
    <t>One Liberty Properties Inc</t>
  </si>
  <si>
    <t>ZGEN UQ Equity</t>
  </si>
  <si>
    <t>ZymoGenetics Inc</t>
  </si>
  <si>
    <t>LPHIQ UQ Equity</t>
  </si>
  <si>
    <t>Life Partners Holdings Inc</t>
  </si>
  <si>
    <t>WHG UN Equity</t>
  </si>
  <si>
    <t>Westwood Holdings Group Inc</t>
  </si>
  <si>
    <t>FEEDQ UQ Equity</t>
  </si>
  <si>
    <t>AgFeed Industries Inc Nevada</t>
  </si>
  <si>
    <t>ERII UQ Equity</t>
  </si>
  <si>
    <t>Energy Recovery Inc</t>
  </si>
  <si>
    <t>IMMR UQ Equity</t>
  </si>
  <si>
    <t>Immersion Corp</t>
  </si>
  <si>
    <t>PCAP UW Equity</t>
  </si>
  <si>
    <t>Patriot Capital Funding Inc</t>
  </si>
  <si>
    <t>ADC UN Equity</t>
  </si>
  <si>
    <t>Agree Realty Corp</t>
  </si>
  <si>
    <t>INCY UQ Equity</t>
  </si>
  <si>
    <t>Incyte Corp</t>
  </si>
  <si>
    <t>RBCN UQ Equity</t>
  </si>
  <si>
    <t>Rubicon Technology Inc</t>
  </si>
  <si>
    <t>CLDA UQ Equity</t>
  </si>
  <si>
    <t>Clinical Data Inc</t>
  </si>
  <si>
    <t>PICO UQ Equity</t>
  </si>
  <si>
    <t>PICO Holdings Inc</t>
  </si>
  <si>
    <t>EPHC UR Equity</t>
  </si>
  <si>
    <t>Epoch Holding Corp</t>
  </si>
  <si>
    <t>CEVA UQ Equity</t>
  </si>
  <si>
    <t>CEVA Inc</t>
  </si>
  <si>
    <t>TRC UN Equity</t>
  </si>
  <si>
    <t>Tejon Ranch Co</t>
  </si>
  <si>
    <t>BFSB UQ Equity</t>
  </si>
  <si>
    <t>Brooklyn Federal Bancorp Inc</t>
  </si>
  <si>
    <t>WEST UR Equity</t>
  </si>
  <si>
    <t>Andalay Solar Inc</t>
  </si>
  <si>
    <t>ABAT UR Equity</t>
  </si>
  <si>
    <t>Advanced Battery Technologies Inc</t>
  </si>
  <si>
    <t>GTE UA Equity</t>
  </si>
  <si>
    <t>Gran Tierra Energy Inc</t>
  </si>
  <si>
    <t>CPST UQ Equity</t>
  </si>
  <si>
    <t>Capstone Turbine Corp</t>
  </si>
  <si>
    <t>WWR UQ Equity</t>
  </si>
  <si>
    <t>Westwater Resources Inc</t>
  </si>
  <si>
    <t>BJGP UQ Equity</t>
  </si>
  <si>
    <t>BMP Sunstone Corp</t>
  </si>
  <si>
    <t>DRRX UQ Equity</t>
  </si>
  <si>
    <t>Durect Corp</t>
  </si>
  <si>
    <t>TAOP UW Equity</t>
  </si>
  <si>
    <t>Taoping Inc</t>
  </si>
  <si>
    <t>CYBX UQ Equity</t>
  </si>
  <si>
    <t>Cyberonics Inc</t>
  </si>
  <si>
    <t>JNP UQ Equity</t>
  </si>
  <si>
    <t>Juniper Pharmaceuticals Inc</t>
  </si>
  <si>
    <t>ARRY UQ Equity</t>
  </si>
  <si>
    <t>Array BioPharma Inc</t>
  </si>
  <si>
    <t>ORBC UQ Equity</t>
  </si>
  <si>
    <t>ORBCOMM Inc</t>
  </si>
  <si>
    <t>STRS UW Equity</t>
  </si>
  <si>
    <t>Stratus Properties Inc</t>
  </si>
  <si>
    <t>UHT UN Equity</t>
  </si>
  <si>
    <t>Universal Health Realty Income Trust</t>
  </si>
  <si>
    <t>CBIO UQ Equity</t>
  </si>
  <si>
    <t>Catalyst Biosciences Inc</t>
  </si>
  <si>
    <t>FTWRQ UQ Equity</t>
  </si>
  <si>
    <t>FiberTower Corp</t>
  </si>
  <si>
    <t>QTWWQ UQ Equity</t>
  </si>
  <si>
    <t>Quantum Fuel Systems Technologies Worldw</t>
  </si>
  <si>
    <t>DYAX UQ Equity</t>
  </si>
  <si>
    <t>Dyax Corp</t>
  </si>
  <si>
    <t>EVOQ UQ Equity</t>
  </si>
  <si>
    <t>EVOQ Properties Inc</t>
  </si>
  <si>
    <t>MAXY UQ Equity</t>
  </si>
  <si>
    <t>Maxygen Inc</t>
  </si>
  <si>
    <t>SGEN UQ Equity</t>
  </si>
  <si>
    <t>Seattle Genetics Inc</t>
  </si>
  <si>
    <t>GSXN UA Equity</t>
  </si>
  <si>
    <t>Badlands Energy Inc</t>
  </si>
  <si>
    <t>INVA UQ Equity</t>
  </si>
  <si>
    <t>Innoviva Inc</t>
  </si>
  <si>
    <t>MNTA UQ Equity</t>
  </si>
  <si>
    <t>Momenta Pharmaceuticals Inc</t>
  </si>
  <si>
    <t>VLNCQ UR Equity</t>
  </si>
  <si>
    <t>Valence Technology Inc</t>
  </si>
  <si>
    <t>NVEC UR Equity</t>
  </si>
  <si>
    <t>NVE Corp</t>
  </si>
  <si>
    <t>ARNA UQ Equity</t>
  </si>
  <si>
    <t>Arena Pharmaceuticals Inc</t>
  </si>
  <si>
    <t>RDN UN Equity</t>
  </si>
  <si>
    <t>Radian Group Inc</t>
  </si>
  <si>
    <t>RGEN UQ Equity</t>
  </si>
  <si>
    <t>Repligen Corp</t>
  </si>
  <si>
    <t>FXEN UQ Equity</t>
  </si>
  <si>
    <t>FX Energy Inc</t>
  </si>
  <si>
    <t>ESCRQ UW Equity</t>
  </si>
  <si>
    <t>Escalera Resources Co</t>
  </si>
  <si>
    <t>BAXSQ UQ Equity</t>
  </si>
  <si>
    <t>Baxano Surgical Inc</t>
  </si>
  <si>
    <t>OCSL UN Equity</t>
  </si>
  <si>
    <t>Oaktree Specialty Lending Corp</t>
  </si>
  <si>
    <t>PLUG UQ Equity</t>
  </si>
  <si>
    <t>Plug Power Inc</t>
  </si>
  <si>
    <t>OSIR UQ Equity</t>
  </si>
  <si>
    <t>Osiris Therapeutics Inc</t>
  </si>
  <si>
    <t>SVNTQ UQ Equity</t>
  </si>
  <si>
    <t>Savient Pharmaceuticals Inc</t>
  </si>
  <si>
    <t>CYPB UQ Equity</t>
  </si>
  <si>
    <t>Cypress Bioscience Inc</t>
  </si>
  <si>
    <t>GAIN UW Equity</t>
  </si>
  <si>
    <t>Gladstone Investment Corp</t>
  </si>
  <si>
    <t>CYTK UQ Equity</t>
  </si>
  <si>
    <t>Cytokinetics Inc</t>
  </si>
  <si>
    <t>PODD UQ Equity</t>
  </si>
  <si>
    <t>Insulet Corp</t>
  </si>
  <si>
    <t>LGND UQ Equity</t>
  </si>
  <si>
    <t>Ligand Pharmaceuticals Inc</t>
  </si>
  <si>
    <t>RIGL UQ Equity</t>
  </si>
  <si>
    <t>Rigel Pharmaceuticals Inc</t>
  </si>
  <si>
    <t>EGT UA Equity</t>
  </si>
  <si>
    <t>Entertainment Gaming Asia Inc</t>
  </si>
  <si>
    <t>SFYWQ UN Equity</t>
  </si>
  <si>
    <t>Swift Energy Co/Texas</t>
  </si>
  <si>
    <t>OLED UQ Equity</t>
  </si>
  <si>
    <t>Universal Display Corp</t>
  </si>
  <si>
    <t>HNR UN Equity</t>
  </si>
  <si>
    <t>Harvest Natural Resources Inc</t>
  </si>
  <si>
    <t>MVIS UQ Equity</t>
  </si>
  <si>
    <t>MicroVision Inc</t>
  </si>
  <si>
    <t>MBRKQ UQ Equity</t>
  </si>
  <si>
    <t>MiddleBrook Pharmaceuticals Inc</t>
  </si>
  <si>
    <t>HNSN UQ Equity</t>
  </si>
  <si>
    <t>Hansen Medical Inc</t>
  </si>
  <si>
    <t>CGNT UR Equity</t>
  </si>
  <si>
    <t>Cogentix Medical Inc</t>
  </si>
  <si>
    <t>TVLYQ UA Equity</t>
  </si>
  <si>
    <t>Tri-Valley Corp</t>
  </si>
  <si>
    <t>ARQL UQ Equity</t>
  </si>
  <si>
    <t>ArQule Inc</t>
  </si>
  <si>
    <t>ADLR UQ Equity</t>
  </si>
  <si>
    <t>Adolor Corp</t>
  </si>
  <si>
    <t>SGMO UQ Equity</t>
  </si>
  <si>
    <t>Sangamo Therapeutics Inc</t>
  </si>
  <si>
    <t>IDRA UQ Equity</t>
  </si>
  <si>
    <t>Idera Pharmaceuticals Inc</t>
  </si>
  <si>
    <t>GERN UQ Equity</t>
  </si>
  <si>
    <t>Geron Corp</t>
  </si>
  <si>
    <t>ACAD UQ Equity</t>
  </si>
  <si>
    <t>ACADIA Pharmaceuticals Inc</t>
  </si>
  <si>
    <t>GTXI UQ Equity</t>
  </si>
  <si>
    <t>GTx Inc</t>
  </si>
  <si>
    <t>BMTI UQ Equity</t>
  </si>
  <si>
    <t>BioMimetic Therapeutics Inc</t>
  </si>
  <si>
    <t>ACUR UR Equity</t>
  </si>
  <si>
    <t>Acura Pharmaceuticals Inc</t>
  </si>
  <si>
    <t>OMEX UR Equity</t>
  </si>
  <si>
    <t>Odyssey Marine Exploration Inc</t>
  </si>
  <si>
    <t>CYTX UQ Equity</t>
  </si>
  <si>
    <t>Cytori Therapeutics Inc</t>
  </si>
  <si>
    <t>LNG UA Equity</t>
  </si>
  <si>
    <t>Cheniere Energy Inc</t>
  </si>
  <si>
    <t>CEXE UQ Equity</t>
  </si>
  <si>
    <t>Circle Entertainment Inc</t>
  </si>
  <si>
    <t>CLDX UQ Equity</t>
  </si>
  <si>
    <t>Celldex Therapeutics Inc</t>
  </si>
  <si>
    <t>HUSA UQ Equity</t>
  </si>
  <si>
    <t>Houston American Energy Corp</t>
  </si>
  <si>
    <t>DXCM UQ Equity</t>
  </si>
  <si>
    <t>DexCom Inc</t>
  </si>
  <si>
    <t>HALO UQ Equity</t>
  </si>
  <si>
    <t>Halozyme Therapeutics Inc</t>
  </si>
  <si>
    <t>IMMU UQ Equity</t>
  </si>
  <si>
    <t>Immunomedics Inc</t>
  </si>
  <si>
    <t>ARIA UQ Equity</t>
  </si>
  <si>
    <t>ARIAD Pharmaceuticals Inc</t>
  </si>
  <si>
    <t>RDEA UQ Equity</t>
  </si>
  <si>
    <t>Ardea Biosciences Inc</t>
  </si>
  <si>
    <t>AMAG UQ Equity</t>
  </si>
  <si>
    <t>AMAG Pharmaceuticals Inc</t>
  </si>
  <si>
    <t>TMTA UQ Equity</t>
  </si>
  <si>
    <t>Transmeta Corp</t>
  </si>
  <si>
    <t>BPZRQ UA Equity</t>
  </si>
  <si>
    <t>BPZ Resources Inc</t>
  </si>
  <si>
    <t>AEZ UA Equity</t>
  </si>
  <si>
    <t>Hess Bakken Investments I Corp</t>
  </si>
  <si>
    <t>1664784D UQ Equity</t>
  </si>
  <si>
    <t>Gilead Pharmasset LLC</t>
  </si>
  <si>
    <t>FOLD UQ Equity</t>
  </si>
  <si>
    <t>Amicus Therapeutics Inc</t>
  </si>
  <si>
    <t>YTEN UQ Equity</t>
  </si>
  <si>
    <t>Yield10 Bioscience Inc</t>
  </si>
  <si>
    <t>NVAX UQ Equity</t>
  </si>
  <si>
    <t>Novavax Inc</t>
  </si>
  <si>
    <t>BCONQ UR Equity</t>
  </si>
  <si>
    <t>BP Fly Corp</t>
  </si>
  <si>
    <t>CEGE UQ Equity</t>
  </si>
  <si>
    <t>Cell Genesys Inc</t>
  </si>
  <si>
    <t>NBIX UW Equity</t>
  </si>
  <si>
    <t>Neurocrine Biosciences Inc</t>
  </si>
  <si>
    <t>NSPH UQ Equity</t>
  </si>
  <si>
    <t>Nanosphere Inc</t>
  </si>
  <si>
    <t>GRHHQ UA Equity</t>
  </si>
  <si>
    <t>GreenHunter Resources Inc</t>
  </si>
  <si>
    <t>ASTI UQ Equity</t>
  </si>
  <si>
    <t>Ascent Solar Technologies Inc</t>
  </si>
  <si>
    <t>OPK UA Equity</t>
  </si>
  <si>
    <t>OPKO Health Inc</t>
  </si>
  <si>
    <t>OPTR UQ Equity</t>
  </si>
  <si>
    <t>Optimer Pharmaceuticals LLC</t>
  </si>
  <si>
    <t>DNDNQ UQ Equity</t>
  </si>
  <si>
    <t>Dendreon Corp</t>
  </si>
  <si>
    <t>MDGL UQ Equity</t>
  </si>
  <si>
    <t>Madrigal Pharmaceuticals Inc</t>
  </si>
  <si>
    <t>MIPIQ UQ Equity</t>
  </si>
  <si>
    <t>Molecular Insight Pharmaceuticals Inc</t>
  </si>
  <si>
    <t>RCPIQ UQ Equity</t>
  </si>
  <si>
    <t>Rock Creek Pharmaceuticals Inc</t>
  </si>
  <si>
    <t>CDZI UQ Equity</t>
  </si>
  <si>
    <t>Cadiz Inc</t>
  </si>
  <si>
    <t>MDTL UQ Equity</t>
  </si>
  <si>
    <t>Medis Technologies Ltd</t>
  </si>
  <si>
    <t>MARK UQ Equity</t>
  </si>
  <si>
    <t>Remark Holdings Inc</t>
  </si>
  <si>
    <t>NC UN Equity</t>
  </si>
  <si>
    <t>NACCO Industries Inc</t>
  </si>
  <si>
    <t>SES UQ Equity</t>
  </si>
  <si>
    <t>Synthesis Energy Systems Inc</t>
  </si>
  <si>
    <t>RZTIQ UN Equity</t>
  </si>
  <si>
    <t>Cyrq Energy Inc</t>
  </si>
  <si>
    <t>PRKR UQ Equity</t>
  </si>
  <si>
    <t>ParkerVision Inc</t>
  </si>
  <si>
    <t>HEVVQ UA Equity</t>
  </si>
  <si>
    <t>Ener1 Inc</t>
  </si>
  <si>
    <t>HTM UA Equity</t>
  </si>
  <si>
    <t>US Geothermal Inc</t>
  </si>
  <si>
    <t>OREXQ UQ Equity</t>
  </si>
  <si>
    <t>Orexigen Therapeutics Inc</t>
  </si>
  <si>
    <t>RNN UA Equity</t>
  </si>
  <si>
    <t>Rexahn Pharmaceuticals Inc</t>
  </si>
  <si>
    <t>MNKD UQ Equity</t>
  </si>
  <si>
    <t>MannKind Corp</t>
  </si>
  <si>
    <t>1455797D UN Equity</t>
  </si>
  <si>
    <t>TAL International Group Inc</t>
  </si>
  <si>
    <t>1481878D UN Equity</t>
  </si>
  <si>
    <t>DynCorp International Inc</t>
  </si>
  <si>
    <t>9999900D UN Equity</t>
  </si>
  <si>
    <t>Waste Connections US Inc</t>
  </si>
  <si>
    <t>9999997D UN Equity</t>
  </si>
  <si>
    <t>Talos Petroleum LLC</t>
  </si>
  <si>
    <t>AGNC UQ Equity</t>
  </si>
  <si>
    <t>AGNC Investment Corp</t>
  </si>
  <si>
    <t>ALBO UQ Equity</t>
  </si>
  <si>
    <t>Albireo Pharma Inc</t>
  </si>
  <si>
    <t>ALTH UQ Equity</t>
  </si>
  <si>
    <t>Allos Therapeutics Inc</t>
  </si>
  <si>
    <t>ALXA UQ Equity</t>
  </si>
  <si>
    <t>Alexza Pharmaceuticals Inc</t>
  </si>
  <si>
    <t>AMSG UW Equity</t>
  </si>
  <si>
    <t>Amsurg Corp</t>
  </si>
  <si>
    <t>ANVGQ UA Equity</t>
  </si>
  <si>
    <t>Hycroft Mining Corp</t>
  </si>
  <si>
    <t>BZ UN Equity</t>
  </si>
  <si>
    <t>Boise Inc</t>
  </si>
  <si>
    <t>CADX UQ Equity</t>
  </si>
  <si>
    <t>Mallinckrodt Hospital Products Inc</t>
  </si>
  <si>
    <t>CGRB UQ Equity</t>
  </si>
  <si>
    <t>Cougar Biotechnology Inc</t>
  </si>
  <si>
    <t>CIM UN Equity</t>
  </si>
  <si>
    <t>Chimera Investment Corp</t>
  </si>
  <si>
    <t>DMRC UQ Equity</t>
  </si>
  <si>
    <t>Digimarc Corp</t>
  </si>
  <si>
    <t>FACT UQ Equity</t>
  </si>
  <si>
    <t>AbbVie Biotherapeutics Inc</t>
  </si>
  <si>
    <t>GGLR UA Equity</t>
  </si>
  <si>
    <t>GeoGlobal Resources Inc</t>
  </si>
  <si>
    <t>GMO UA Equity</t>
  </si>
  <si>
    <t>General Moly Inc</t>
  </si>
  <si>
    <t>GNCMA UW Equity</t>
  </si>
  <si>
    <t>GCI Liberty Inc/AK</t>
  </si>
  <si>
    <t>HTS UN Equity</t>
  </si>
  <si>
    <t>Hatteras Financial Corp</t>
  </si>
  <si>
    <t>JAV UA Equity</t>
  </si>
  <si>
    <t>Javelin Pharmaceuticals Inc</t>
  </si>
  <si>
    <t>KED UN Equity</t>
  </si>
  <si>
    <t>Kayne Anderson Energy Development Co</t>
  </si>
  <si>
    <t>LOPE UQ Equity</t>
  </si>
  <si>
    <t>Grand Canyon Education Inc</t>
  </si>
  <si>
    <t>MAPP UQ Equity</t>
  </si>
  <si>
    <t>MAP Pharmaceuticals Inc</t>
  </si>
  <si>
    <t>MDVN UQ Equity</t>
  </si>
  <si>
    <t>Medivation Inc</t>
  </si>
  <si>
    <t>MEIP UQ Equity</t>
  </si>
  <si>
    <t>MEI Pharma Inc</t>
  </si>
  <si>
    <t>NOG UA Equity</t>
  </si>
  <si>
    <t>Northern Oil and Gas Inc</t>
  </si>
  <si>
    <t>OBQI UA Equity</t>
  </si>
  <si>
    <t>Oilsands Quest Inc</t>
  </si>
  <si>
    <t>ONXX UQ Equity</t>
  </si>
  <si>
    <t>Onyx Pharmaceuticals Inc</t>
  </si>
  <si>
    <t>PCOA UQ Equity</t>
  </si>
  <si>
    <t>Pendrell Corp</t>
  </si>
  <si>
    <t>PLX UA Equity</t>
  </si>
  <si>
    <t>Protalix BioTherapeutics Inc</t>
  </si>
  <si>
    <t>POZN UQ Equity</t>
  </si>
  <si>
    <t>POZEN Inc</t>
  </si>
  <si>
    <t>RKT UN Equity</t>
  </si>
  <si>
    <t>WestRock RKT Co</t>
  </si>
  <si>
    <t>ROVI UW Equity</t>
  </si>
  <si>
    <t>Rovi Corp</t>
  </si>
  <si>
    <t>SFSF UQ Equity</t>
  </si>
  <si>
    <t>SuccessFactors Inc</t>
  </si>
  <si>
    <t>SLPHQ UA Equity</t>
  </si>
  <si>
    <t>Sulphco Inc</t>
  </si>
  <si>
    <t>TIPT UN Equity</t>
  </si>
  <si>
    <t>Tiptree Inc</t>
  </si>
  <si>
    <t>TSTRQ UQ Equity</t>
  </si>
  <si>
    <t>TerreStar Corp</t>
  </si>
  <si>
    <t>TURN UQ Equity</t>
  </si>
  <si>
    <t>180 Degree Capital Corp</t>
  </si>
  <si>
    <t>VXRT UQ Equity</t>
  </si>
  <si>
    <t>Vaxart Inc</t>
  </si>
  <si>
    <t>WINT UQ Equity</t>
  </si>
  <si>
    <t>Windtree Therapeutics Inc</t>
  </si>
  <si>
    <t>GLAD UW Equity</t>
  </si>
  <si>
    <t>Gladstone Capital Corp</t>
  </si>
  <si>
    <t>PNNT UW Equity</t>
  </si>
  <si>
    <t>PennantPark Investment Corp</t>
  </si>
  <si>
    <t>FMD UN Equity</t>
  </si>
  <si>
    <t>First Marblehead Corp/The</t>
  </si>
  <si>
    <t>CSWC UQ Equity</t>
  </si>
  <si>
    <t>Capital Southwest Corp</t>
  </si>
  <si>
    <t>AGO UN Equity</t>
  </si>
  <si>
    <t>Assured Guaranty Ltd</t>
  </si>
  <si>
    <t>PRSG UN Equity</t>
  </si>
  <si>
    <t>Primus Guaranty Ltd</t>
  </si>
  <si>
    <t>ABKFQ UN Equity</t>
  </si>
  <si>
    <t>Ambac Financial Group Inc/Old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</si>
</sst>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/>
  </cellStyleXfs>
  <cellXfs count="4">
    <xf numFmtId="0" fontId="0" fillId="0" borderId="0" xfId="0"/>
    <xf numFmtId="0" fontId="1" fillId="2" borderId="0" xfId="1" applyNumberFormat="1" applyFont="1" applyFill="1" applyBorder="1" applyAlignment="1" applyProtection="1"/>
    <xf numFmtId="0" fontId="1" fillId="2" borderId="0" xfId="1" applyNumberFormat="1" applyFont="1" applyFill="1" applyBorder="1" applyAlignment="1" applyProtection="1">
      <alignment wrapText="1"/>
    </xf>
    <xf numFmtId="0" fontId="0" fillId="0" borderId="0" xfId="0" quotePrefix="1"/>
  </cellXfs>
  <cellStyles count="2">
    <cellStyle name="blp_column_header" xfId="1" xr:uid="{05F5CB90-FDAC-4D94-BCF9-3D9176E2EB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E80C-41B0-4CC5-A607-F65C4BF2663F}">
  <sheetPr codeName="Feuil1"/>
  <dimension ref="A1:W1935"/>
  <sheetViews>
    <sheetView tabSelected="1" topLeftCell="A1902" zoomScale="65" workbookViewId="0">
      <selection activeCell="A1935" sqref="A1935"/>
    </sheetView>
  </sheetViews>
  <sheetFormatPr baseColWidth="10" defaultRowHeight="14.4" x14ac:dyDescent="0.55000000000000004"/>
  <sheetData>
    <row r="1" spans="1:23" x14ac:dyDescent="0.55000000000000004">
      <c r="A1" s="1" t="str">
        <f>"Ticker"</f>
        <v>Ticker</v>
      </c>
      <c r="B1" s="1" t="str">
        <f>"Nom"</f>
        <v>Nom</v>
      </c>
      <c r="C1" s="1" t="str">
        <f>"Secteur"</f>
        <v>Secteur</v>
      </c>
      <c r="D1" s="1" t="str">
        <f>"Cours"</f>
        <v>Cours</v>
      </c>
      <c r="E1" s="1" t="str">
        <f>"Capitalisation boursière"</f>
        <v>Capitalisation boursière</v>
      </c>
      <c r="F1" s="1" t="str">
        <f>"Revenu"</f>
        <v>Revenu</v>
      </c>
      <c r="G1" s="1" t="str">
        <f>"EBIT"</f>
        <v>EBIT</v>
      </c>
      <c r="H1" s="2" t="str">
        <f>"EV"</f>
        <v>EV</v>
      </c>
      <c r="I1" s="1" t="str">
        <f>"EBITDA:Y"</f>
        <v>EBITDA:Y</v>
      </c>
      <c r="J1" s="1" t="str">
        <f>"EV/EBITDA"</f>
        <v>EV/EBITDA</v>
      </c>
      <c r="K1" s="1" t="str">
        <f>"FCF:Y"</f>
        <v>FCF:Y</v>
      </c>
      <c r="L1" s="1" t="str">
        <f>"PER moy 5A:Y"</f>
        <v>PER moy 5A:Y</v>
      </c>
      <c r="M1" s="1" t="str">
        <f>"ROE:Y"</f>
        <v>ROE:Y</v>
      </c>
      <c r="N1" s="1" t="str">
        <f>"Pourcentage du flottant"</f>
        <v>Pourcentage du flottant</v>
      </c>
      <c r="O1" s="1" t="str">
        <f>"Dettes/Capital:Y"</f>
        <v>Dettes/Capital:Y</v>
      </c>
      <c r="P1" s="1" t="str">
        <f>"DPA annu brut"</f>
        <v>DPA annu brut</v>
      </c>
      <c r="Q1" s="1" t="str">
        <f>"BEst P/Act net:Y"</f>
        <v>BEst P/Act net:Y</v>
      </c>
      <c r="R1" s="1" t="str">
        <f>"PER"</f>
        <v>PER</v>
      </c>
      <c r="S1" s="1" t="str">
        <f>"Cr pér de  Revenu sur 5 Années"</f>
        <v>Cr pér de  Revenu sur 5 Années</v>
      </c>
      <c r="T1" s="1" t="str">
        <f>"Note SP"</f>
        <v>Note SP</v>
      </c>
      <c r="U1" s="1" t="str">
        <f>"Note SE"</f>
        <v>Note SE</v>
      </c>
      <c r="V1" s="1" t="str">
        <f>"Note LBO"</f>
        <v>Note LBO</v>
      </c>
      <c r="W1" s="1" t="str">
        <f>"Portefeuille"</f>
        <v>Portefeuille</v>
      </c>
    </row>
    <row r="2" spans="1:23" x14ac:dyDescent="0.55000000000000004">
      <c r="A2" t="s">
        <v>0</v>
      </c>
      <c r="B2" t="s">
        <v>1</v>
      </c>
      <c r="C2" t="s">
        <v>2</v>
      </c>
      <c r="D2">
        <v>11.02</v>
      </c>
      <c r="E2">
        <f>1420103296/(1000)</f>
        <v>1420103.2960000001</v>
      </c>
      <c r="F2">
        <f>20142999552/(1000)</f>
        <v>20142999.552000001</v>
      </c>
      <c r="G2">
        <f>0/(1000)</f>
        <v>0</v>
      </c>
      <c r="H2">
        <f>0/(1000)</f>
        <v>0</v>
      </c>
      <c r="I2">
        <f>0/(1000)</f>
        <v>0</v>
      </c>
      <c r="J2">
        <f t="shared" ref="J2:J65" si="0">(IF(I2=0,1000,H2/I2))/(1000)</f>
        <v>1</v>
      </c>
      <c r="K2">
        <f>0/(1000)</f>
        <v>0</v>
      </c>
      <c r="L2">
        <v>0</v>
      </c>
      <c r="M2">
        <v>0</v>
      </c>
      <c r="N2">
        <v>92.385735943586496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55000000000000004">
      <c r="A3" t="s">
        <v>3</v>
      </c>
      <c r="B3" t="s">
        <v>4</v>
      </c>
      <c r="C3" t="s">
        <v>5</v>
      </c>
      <c r="D3">
        <v>1.41</v>
      </c>
      <c r="E3">
        <f>108800256/(1000)</f>
        <v>108800.25599999999</v>
      </c>
      <c r="F3">
        <f>15994999808/(1000)</f>
        <v>15994999.808</v>
      </c>
      <c r="G3">
        <f>573800000/(1000)</f>
        <v>573800</v>
      </c>
      <c r="H3">
        <f>1925500288/(1000)</f>
        <v>1925500.2879999999</v>
      </c>
      <c r="I3">
        <f>870699968/(1000)</f>
        <v>870699.96799999999</v>
      </c>
      <c r="J3">
        <f t="shared" si="0"/>
        <v>2.2114394840542818E-3</v>
      </c>
      <c r="K3">
        <f>264700001/(1000)</f>
        <v>264700.00099999999</v>
      </c>
      <c r="L3">
        <v>0</v>
      </c>
      <c r="M3">
        <v>28.534294128418001</v>
      </c>
      <c r="N3">
        <v>99.013780430747701</v>
      </c>
      <c r="O3">
        <v>225.04814147949199</v>
      </c>
      <c r="P3">
        <v>0</v>
      </c>
      <c r="Q3">
        <v>0.106737317376964</v>
      </c>
      <c r="R3">
        <v>0.66666662909084795</v>
      </c>
      <c r="S3">
        <v>10.8869591168807</v>
      </c>
      <c r="T3">
        <v>0</v>
      </c>
      <c r="U3">
        <v>0</v>
      </c>
      <c r="V3">
        <v>0</v>
      </c>
      <c r="W3">
        <v>0</v>
      </c>
    </row>
    <row r="4" spans="1:23" x14ac:dyDescent="0.55000000000000004">
      <c r="A4" t="s">
        <v>6</v>
      </c>
      <c r="B4" t="s">
        <v>7</v>
      </c>
      <c r="C4" t="s">
        <v>8</v>
      </c>
      <c r="D4">
        <v>37</v>
      </c>
      <c r="E4">
        <f>1082545920/(1000)</f>
        <v>1082545.92</v>
      </c>
      <c r="F4">
        <f>13729555456/(1000)</f>
        <v>13729555.456</v>
      </c>
      <c r="G4">
        <f>85888000/(1000)</f>
        <v>85888</v>
      </c>
      <c r="H4">
        <f>984254920/(1000)</f>
        <v>984254.92</v>
      </c>
      <c r="I4">
        <f>92789000/(1000)</f>
        <v>92789</v>
      </c>
      <c r="J4">
        <f t="shared" si="0"/>
        <v>1.0607452607528909E-2</v>
      </c>
      <c r="K4">
        <f>-94507999/(1000)</f>
        <v>-94507.998999999996</v>
      </c>
      <c r="L4">
        <v>16.7718505859375</v>
      </c>
      <c r="M4">
        <v>14.238233566284199</v>
      </c>
      <c r="N4">
        <v>93.755897681415505</v>
      </c>
      <c r="O4">
        <v>9.3503103256225604</v>
      </c>
      <c r="P4">
        <v>7.5000002980232003E-2</v>
      </c>
      <c r="Q4">
        <v>0</v>
      </c>
      <c r="R4">
        <v>10.856807536041901</v>
      </c>
      <c r="S4">
        <v>620.95191704769695</v>
      </c>
      <c r="T4">
        <v>0</v>
      </c>
      <c r="U4">
        <v>0</v>
      </c>
      <c r="V4">
        <v>0</v>
      </c>
      <c r="W4">
        <v>0</v>
      </c>
    </row>
    <row r="5" spans="1:23" x14ac:dyDescent="0.55000000000000004">
      <c r="A5" t="s">
        <v>9</v>
      </c>
      <c r="B5" t="s">
        <v>10</v>
      </c>
      <c r="C5" t="s">
        <v>5</v>
      </c>
      <c r="D5">
        <v>7.73</v>
      </c>
      <c r="E5">
        <f>882014656/(1000)</f>
        <v>882014.65599999996</v>
      </c>
      <c r="F5">
        <f>11699999744/(1000)</f>
        <v>11699999.744000001</v>
      </c>
      <c r="G5">
        <f>387000000/(1000)</f>
        <v>387000</v>
      </c>
      <c r="H5">
        <f>2958014656/(1000)</f>
        <v>2958014.656</v>
      </c>
      <c r="I5">
        <f>599000000/(1000)</f>
        <v>599000</v>
      </c>
      <c r="J5">
        <f t="shared" si="0"/>
        <v>4.9382548514190321E-3</v>
      </c>
      <c r="K5">
        <f>-85999999/(1000)</f>
        <v>-85999.998999999996</v>
      </c>
      <c r="L5">
        <v>0</v>
      </c>
      <c r="M5">
        <v>35.450393676757798</v>
      </c>
      <c r="N5">
        <v>93.796297236060497</v>
      </c>
      <c r="O5">
        <v>218.76303100585901</v>
      </c>
      <c r="P5">
        <v>0</v>
      </c>
      <c r="Q5">
        <v>3.0593627513795099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55000000000000004">
      <c r="A6" t="s">
        <v>11</v>
      </c>
      <c r="B6" t="s">
        <v>12</v>
      </c>
      <c r="C6" t="s">
        <v>5</v>
      </c>
      <c r="D6">
        <v>0.35</v>
      </c>
      <c r="E6">
        <f>45696700/(1000)</f>
        <v>45696.7</v>
      </c>
      <c r="F6">
        <f>11265999872/(1000)</f>
        <v>11265999.872</v>
      </c>
      <c r="G6">
        <f>-63000000/(1000)</f>
        <v>-63000</v>
      </c>
      <c r="H6">
        <f>1779696700/(1000)</f>
        <v>1779696.7</v>
      </c>
      <c r="I6">
        <f>409000000/(1000)</f>
        <v>409000</v>
      </c>
      <c r="J6">
        <f t="shared" si="0"/>
        <v>4.3513366748166252E-3</v>
      </c>
      <c r="K6">
        <f>-82999999/(1000)</f>
        <v>-82999.998999999996</v>
      </c>
      <c r="L6">
        <v>0</v>
      </c>
      <c r="M6">
        <v>0</v>
      </c>
      <c r="N6">
        <v>99.061444759435204</v>
      </c>
      <c r="O6">
        <v>1399.01477050781</v>
      </c>
      <c r="P6">
        <v>0</v>
      </c>
      <c r="Q6">
        <v>0</v>
      </c>
      <c r="R6">
        <v>0</v>
      </c>
      <c r="S6">
        <v>-38.755099959540999</v>
      </c>
      <c r="T6">
        <v>0</v>
      </c>
      <c r="U6">
        <v>0</v>
      </c>
      <c r="V6">
        <v>0</v>
      </c>
      <c r="W6">
        <v>0</v>
      </c>
    </row>
    <row r="7" spans="1:23" x14ac:dyDescent="0.55000000000000004">
      <c r="A7" t="s">
        <v>13</v>
      </c>
      <c r="B7" t="s">
        <v>14</v>
      </c>
      <c r="C7" t="s">
        <v>2</v>
      </c>
      <c r="D7">
        <v>2.87</v>
      </c>
      <c r="E7">
        <f>170055248/(1000)</f>
        <v>170055.24799999999</v>
      </c>
      <c r="F7">
        <f>9621315584/(1000)</f>
        <v>9621315.5840000007</v>
      </c>
      <c r="G7">
        <f>233314000/(1000)</f>
        <v>233314</v>
      </c>
      <c r="H7">
        <f>1251147216/(1000)</f>
        <v>1251147.216</v>
      </c>
      <c r="I7">
        <f>488916992/(1000)</f>
        <v>488916.99200000003</v>
      </c>
      <c r="J7">
        <f t="shared" si="0"/>
        <v>2.5590176583594787E-3</v>
      </c>
      <c r="K7">
        <f>-1164999/(1000)</f>
        <v>-1164.999</v>
      </c>
      <c r="L7">
        <v>13.383708953857401</v>
      </c>
      <c r="M7">
        <v>-33.556144714355497</v>
      </c>
      <c r="N7">
        <v>98.625040218274407</v>
      </c>
      <c r="O7">
        <v>76.576629638671903</v>
      </c>
      <c r="P7">
        <v>0</v>
      </c>
      <c r="Q7">
        <v>0.100595857570466</v>
      </c>
      <c r="R7">
        <v>5.63407971417148</v>
      </c>
      <c r="S7">
        <v>266.64531502516201</v>
      </c>
      <c r="T7">
        <v>0</v>
      </c>
      <c r="U7">
        <v>0</v>
      </c>
      <c r="V7">
        <v>0</v>
      </c>
      <c r="W7">
        <v>0</v>
      </c>
    </row>
    <row r="8" spans="1:23" x14ac:dyDescent="0.55000000000000004">
      <c r="A8" t="s">
        <v>15</v>
      </c>
      <c r="B8" t="s">
        <v>16</v>
      </c>
      <c r="C8" t="s">
        <v>17</v>
      </c>
      <c r="D8">
        <v>21.45</v>
      </c>
      <c r="E8">
        <f>476653312/(1000)</f>
        <v>476653.31199999998</v>
      </c>
      <c r="F8">
        <f>8995625984/(1000)</f>
        <v>8995625.9839999992</v>
      </c>
      <c r="G8">
        <f>137740000/(1000)</f>
        <v>137740</v>
      </c>
      <c r="H8">
        <f>1570998272/(1000)</f>
        <v>1570998.2720000001</v>
      </c>
      <c r="I8">
        <f>246066000/(1000)</f>
        <v>246066</v>
      </c>
      <c r="J8">
        <f t="shared" si="0"/>
        <v>6.3844589337819935E-3</v>
      </c>
      <c r="K8">
        <f>48008001/(1000)</f>
        <v>48008.000999999997</v>
      </c>
      <c r="L8">
        <v>14.4444847106934</v>
      </c>
      <c r="M8">
        <v>8.5474128723144496</v>
      </c>
      <c r="N8">
        <v>99.367734179716294</v>
      </c>
      <c r="O8">
        <v>336.41213989257801</v>
      </c>
      <c r="P8">
        <v>0</v>
      </c>
      <c r="Q8">
        <v>1.1248034140640899</v>
      </c>
      <c r="R8">
        <v>12.6176478172875</v>
      </c>
      <c r="S8">
        <v>227.07084798625101</v>
      </c>
      <c r="T8">
        <v>0</v>
      </c>
      <c r="U8">
        <v>0</v>
      </c>
      <c r="V8">
        <v>0</v>
      </c>
      <c r="W8">
        <v>0</v>
      </c>
    </row>
    <row r="9" spans="1:23" x14ac:dyDescent="0.55000000000000004">
      <c r="A9" t="s">
        <v>18</v>
      </c>
      <c r="B9" t="s">
        <v>19</v>
      </c>
      <c r="C9" t="s">
        <v>20</v>
      </c>
      <c r="D9">
        <v>0.74</v>
      </c>
      <c r="E9">
        <f>74026936/(1000)</f>
        <v>74026.936000000002</v>
      </c>
      <c r="F9">
        <f>8721000448/(1000)</f>
        <v>8721000.4480000008</v>
      </c>
      <c r="G9">
        <f>125000000/(1000)</f>
        <v>125000</v>
      </c>
      <c r="H9">
        <f>1335026872/(1000)</f>
        <v>1335026.872</v>
      </c>
      <c r="I9">
        <f>404000000/(1000)</f>
        <v>404000</v>
      </c>
      <c r="J9">
        <f t="shared" si="0"/>
        <v>3.3045219603960395E-3</v>
      </c>
      <c r="K9">
        <f>-305999999/(1000)</f>
        <v>-305999.99900000001</v>
      </c>
      <c r="L9">
        <v>0</v>
      </c>
      <c r="M9">
        <v>0</v>
      </c>
      <c r="N9">
        <v>99.871047097343293</v>
      </c>
      <c r="O9">
        <v>0</v>
      </c>
      <c r="P9">
        <v>0</v>
      </c>
      <c r="Q9">
        <v>4.2675894061413998E-2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55000000000000004">
      <c r="A10" t="s">
        <v>21</v>
      </c>
      <c r="B10" t="s">
        <v>22</v>
      </c>
      <c r="C10" t="s">
        <v>20</v>
      </c>
      <c r="D10">
        <v>3.98</v>
      </c>
      <c r="E10">
        <f>159540288/(1000)</f>
        <v>159540.288</v>
      </c>
      <c r="F10">
        <f>8336932864/(1000)</f>
        <v>8336932.8640000001</v>
      </c>
      <c r="G10">
        <f>296572992/(1000)</f>
        <v>296572.99200000003</v>
      </c>
      <c r="H10">
        <f>1914446272/(1000)</f>
        <v>1914446.2720000001</v>
      </c>
      <c r="I10">
        <f>325167008/(1000)</f>
        <v>325167.00799999997</v>
      </c>
      <c r="J10">
        <f t="shared" si="0"/>
        <v>5.8875784593743295E-3</v>
      </c>
      <c r="K10">
        <f>-44243999/(1000)</f>
        <v>-44243.999000000003</v>
      </c>
      <c r="L10">
        <v>10.3872232437134</v>
      </c>
      <c r="M10">
        <v>10.4108209609985</v>
      </c>
      <c r="N10">
        <v>97.873186838661894</v>
      </c>
      <c r="O10">
        <v>196.34852600097699</v>
      </c>
      <c r="P10">
        <v>0.479999989271164</v>
      </c>
      <c r="Q10">
        <v>0.182359673766053</v>
      </c>
      <c r="R10">
        <v>2.2234636711525901</v>
      </c>
      <c r="S10">
        <v>29.109551622421701</v>
      </c>
      <c r="T10">
        <v>0</v>
      </c>
      <c r="U10">
        <v>0</v>
      </c>
      <c r="V10">
        <v>0</v>
      </c>
      <c r="W10">
        <v>0</v>
      </c>
    </row>
    <row r="11" spans="1:23" x14ac:dyDescent="0.55000000000000004">
      <c r="A11" t="s">
        <v>23</v>
      </c>
      <c r="B11" t="s">
        <v>24</v>
      </c>
      <c r="C11" t="s">
        <v>20</v>
      </c>
      <c r="D11">
        <v>3.97</v>
      </c>
      <c r="E11">
        <f>291614368/(1000)</f>
        <v>291614.36800000002</v>
      </c>
      <c r="F11">
        <f>7370805760/(1000)</f>
        <v>7370805.7599999998</v>
      </c>
      <c r="G11">
        <f>159948992/(1000)</f>
        <v>159948.992</v>
      </c>
      <c r="H11">
        <f>1684460320/(1000)</f>
        <v>1684460.32</v>
      </c>
      <c r="I11">
        <f>460808000/(1000)</f>
        <v>460808</v>
      </c>
      <c r="J11">
        <f t="shared" si="0"/>
        <v>3.6554493845592957E-3</v>
      </c>
      <c r="K11">
        <f>-141887999/(1000)</f>
        <v>-141887.99900000001</v>
      </c>
      <c r="L11">
        <v>53.909473419189503</v>
      </c>
      <c r="M11">
        <v>2.1107990741729701</v>
      </c>
      <c r="N11">
        <v>78.853194862906506</v>
      </c>
      <c r="O11">
        <v>54.888706207275398</v>
      </c>
      <c r="P11">
        <v>0.15999999642372101</v>
      </c>
      <c r="Q11">
        <v>0.114607393145526</v>
      </c>
      <c r="R11">
        <v>0</v>
      </c>
      <c r="S11">
        <v>-10.482627936280201</v>
      </c>
      <c r="T11">
        <v>0</v>
      </c>
      <c r="U11">
        <v>0</v>
      </c>
      <c r="V11">
        <v>0</v>
      </c>
      <c r="W11">
        <v>0</v>
      </c>
    </row>
    <row r="12" spans="1:23" x14ac:dyDescent="0.55000000000000004">
      <c r="A12" t="s">
        <v>25</v>
      </c>
      <c r="B12" t="s">
        <v>26</v>
      </c>
      <c r="C12" t="s">
        <v>8</v>
      </c>
      <c r="D12">
        <v>7.76</v>
      </c>
      <c r="E12">
        <f>530592320/(1000)</f>
        <v>530592.31999999995</v>
      </c>
      <c r="F12">
        <f>7305032192/(1000)</f>
        <v>7305032.1919999998</v>
      </c>
      <c r="G12">
        <f>389152000/(1000)</f>
        <v>389152</v>
      </c>
      <c r="H12">
        <f>1841847360/(1000)</f>
        <v>1841847.36</v>
      </c>
      <c r="I12">
        <f>455256992/(1000)</f>
        <v>455256.99200000003</v>
      </c>
      <c r="J12">
        <f t="shared" si="0"/>
        <v>4.0457310757788427E-3</v>
      </c>
      <c r="K12">
        <f>-163835999/(1000)</f>
        <v>-163835.99900000001</v>
      </c>
      <c r="L12">
        <v>0</v>
      </c>
      <c r="M12">
        <v>37.338802337646499</v>
      </c>
      <c r="N12">
        <v>43.670742317051797</v>
      </c>
      <c r="O12">
        <v>209.32337951660199</v>
      </c>
      <c r="P12">
        <v>0</v>
      </c>
      <c r="Q12">
        <v>0.74495761213663103</v>
      </c>
      <c r="R12">
        <v>9.1294116178598408</v>
      </c>
      <c r="S12">
        <v>0</v>
      </c>
      <c r="T12">
        <v>0</v>
      </c>
      <c r="U12">
        <v>0</v>
      </c>
      <c r="V12">
        <v>0</v>
      </c>
      <c r="W12">
        <v>0</v>
      </c>
    </row>
    <row r="13" spans="1:23" x14ac:dyDescent="0.55000000000000004">
      <c r="A13" t="s">
        <v>27</v>
      </c>
      <c r="B13" t="s">
        <v>28</v>
      </c>
      <c r="C13" t="s">
        <v>5</v>
      </c>
      <c r="D13">
        <v>16.100000000000001</v>
      </c>
      <c r="E13">
        <f>874007872/(1000)</f>
        <v>874007.87199999997</v>
      </c>
      <c r="F13">
        <f>7281448960/(1000)</f>
        <v>7281448.96</v>
      </c>
      <c r="G13">
        <f>23969000/(1000)</f>
        <v>23969</v>
      </c>
      <c r="H13">
        <f>741037872/(1000)</f>
        <v>741037.87199999997</v>
      </c>
      <c r="I13">
        <f>112429000/(1000)</f>
        <v>112429</v>
      </c>
      <c r="J13">
        <f t="shared" si="0"/>
        <v>6.5911630629108143E-3</v>
      </c>
      <c r="K13">
        <f>-9095999/(1000)</f>
        <v>-9095.9989999999998</v>
      </c>
      <c r="L13">
        <v>0</v>
      </c>
      <c r="M13">
        <v>1.5792249441146899</v>
      </c>
      <c r="N13">
        <v>99.436502336270294</v>
      </c>
      <c r="O13">
        <v>3.1098790168762198</v>
      </c>
      <c r="P13">
        <v>0</v>
      </c>
      <c r="Q13">
        <v>0</v>
      </c>
      <c r="R13">
        <v>73.181820312314798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55000000000000004">
      <c r="A14" t="s">
        <v>29</v>
      </c>
      <c r="B14" t="s">
        <v>30</v>
      </c>
      <c r="C14" t="s">
        <v>31</v>
      </c>
      <c r="D14">
        <v>0.47</v>
      </c>
      <c r="E14">
        <f>249667280/(1000)</f>
        <v>249667.28</v>
      </c>
      <c r="F14">
        <f>7202402816/(1000)</f>
        <v>7202402.8159999996</v>
      </c>
      <c r="G14">
        <f>180915008/(1000)</f>
        <v>180915.008</v>
      </c>
      <c r="H14">
        <f>861851280/(1000)</f>
        <v>861851.28</v>
      </c>
      <c r="I14">
        <f>277735008/(1000)</f>
        <v>277735.00799999997</v>
      </c>
      <c r="J14">
        <f t="shared" si="0"/>
        <v>3.1031424025594933E-3</v>
      </c>
      <c r="K14">
        <f>-82212999/(1000)</f>
        <v>-82212.998999999996</v>
      </c>
      <c r="L14">
        <v>0</v>
      </c>
      <c r="M14">
        <v>-52.040843963622997</v>
      </c>
      <c r="N14">
        <v>98.7152144837099</v>
      </c>
      <c r="O14">
        <v>212.94172668457</v>
      </c>
      <c r="P14">
        <v>0</v>
      </c>
      <c r="Q14">
        <v>0.24415584958450101</v>
      </c>
      <c r="R14">
        <v>0</v>
      </c>
      <c r="S14">
        <v>-30.4883321618914</v>
      </c>
      <c r="T14">
        <v>0</v>
      </c>
      <c r="U14">
        <v>0</v>
      </c>
      <c r="V14">
        <v>0</v>
      </c>
      <c r="W14">
        <v>0</v>
      </c>
    </row>
    <row r="15" spans="1:23" x14ac:dyDescent="0.55000000000000004">
      <c r="A15" t="s">
        <v>32</v>
      </c>
      <c r="B15" t="s">
        <v>33</v>
      </c>
      <c r="C15" t="s">
        <v>2</v>
      </c>
      <c r="D15">
        <v>2.85</v>
      </c>
      <c r="E15">
        <f>210745536/(1000)</f>
        <v>210745.53599999999</v>
      </c>
      <c r="F15">
        <f>7167000064/(1000)</f>
        <v>7167000.0640000002</v>
      </c>
      <c r="G15">
        <f>209000000/(1000)</f>
        <v>209000</v>
      </c>
      <c r="H15">
        <f>1091745536/(1000)</f>
        <v>1091745.5360000001</v>
      </c>
      <c r="I15">
        <f>354000000/(1000)</f>
        <v>354000</v>
      </c>
      <c r="J15">
        <f t="shared" si="0"/>
        <v>3.0840269378531078E-3</v>
      </c>
      <c r="K15">
        <f>-8999999/(1000)</f>
        <v>-8999.9989999999998</v>
      </c>
      <c r="L15">
        <v>0</v>
      </c>
      <c r="M15">
        <v>-20.099502563476602</v>
      </c>
      <c r="N15">
        <v>97.380648041151304</v>
      </c>
      <c r="O15">
        <v>242.64431762695301</v>
      </c>
      <c r="P15">
        <v>0.40000000596046398</v>
      </c>
      <c r="Q15">
        <v>0.374261325055048</v>
      </c>
      <c r="R15">
        <v>1.8152865545010399</v>
      </c>
      <c r="S15">
        <v>-7.9738080583853597</v>
      </c>
      <c r="T15">
        <v>0</v>
      </c>
      <c r="U15">
        <v>0</v>
      </c>
      <c r="V15">
        <v>0</v>
      </c>
      <c r="W15">
        <v>0</v>
      </c>
    </row>
    <row r="16" spans="1:23" x14ac:dyDescent="0.55000000000000004">
      <c r="A16" t="s">
        <v>34</v>
      </c>
      <c r="B16" t="s">
        <v>35</v>
      </c>
      <c r="C16" t="s">
        <v>31</v>
      </c>
      <c r="D16">
        <v>11.33</v>
      </c>
      <c r="E16">
        <f>362862496/(1000)</f>
        <v>362862.49599999998</v>
      </c>
      <c r="F16">
        <f>7004120064/(1000)</f>
        <v>7004120.0640000002</v>
      </c>
      <c r="G16">
        <f>112147000/(1000)</f>
        <v>112147</v>
      </c>
      <c r="H16">
        <f>772397504/(1000)</f>
        <v>772397.50399999996</v>
      </c>
      <c r="I16">
        <f>127912000/(1000)</f>
        <v>127912</v>
      </c>
      <c r="J16">
        <f t="shared" si="0"/>
        <v>6.0385069735443119E-3</v>
      </c>
      <c r="K16">
        <f>-175443999/(1000)</f>
        <v>-175443.99900000001</v>
      </c>
      <c r="L16">
        <v>0</v>
      </c>
      <c r="M16">
        <v>0</v>
      </c>
      <c r="N16">
        <v>58.059370906713497</v>
      </c>
      <c r="O16">
        <v>64.190139770507798</v>
      </c>
      <c r="P16">
        <v>0</v>
      </c>
      <c r="Q16">
        <v>0</v>
      </c>
      <c r="R16">
        <v>4.84188024020977</v>
      </c>
      <c r="S16">
        <v>85.890112634695498</v>
      </c>
      <c r="T16">
        <v>0</v>
      </c>
      <c r="U16">
        <v>0</v>
      </c>
      <c r="V16">
        <v>0</v>
      </c>
      <c r="W16">
        <v>0</v>
      </c>
    </row>
    <row r="17" spans="1:23" x14ac:dyDescent="0.55000000000000004">
      <c r="A17" t="s">
        <v>36</v>
      </c>
      <c r="B17" t="s">
        <v>37</v>
      </c>
      <c r="C17" t="s">
        <v>38</v>
      </c>
      <c r="D17">
        <v>37.65</v>
      </c>
      <c r="E17">
        <f>1557828992/(1000)</f>
        <v>1557828.9920000001</v>
      </c>
      <c r="F17">
        <f>6800465920/(1000)</f>
        <v>6800465.9199999999</v>
      </c>
      <c r="G17">
        <f>143212992/(1000)</f>
        <v>143212.992</v>
      </c>
      <c r="H17">
        <f>1740920000/(1000)</f>
        <v>1740920</v>
      </c>
      <c r="I17">
        <f>182352992/(1000)</f>
        <v>182352.992</v>
      </c>
      <c r="J17">
        <f t="shared" si="0"/>
        <v>9.5469779843261361E-3</v>
      </c>
      <c r="K17">
        <f>199756001/(1000)</f>
        <v>199756.00099999999</v>
      </c>
      <c r="L17">
        <v>18.146282196044901</v>
      </c>
      <c r="M17">
        <v>12.516643524169901</v>
      </c>
      <c r="N17">
        <v>97.606863789083903</v>
      </c>
      <c r="O17">
        <v>46.201812744140597</v>
      </c>
      <c r="P17">
        <v>0.53333336114883401</v>
      </c>
      <c r="Q17">
        <v>2.2225501971020698</v>
      </c>
      <c r="R17">
        <v>16.228448983600799</v>
      </c>
      <c r="S17">
        <v>71.738429825131306</v>
      </c>
      <c r="T17">
        <v>0</v>
      </c>
      <c r="U17">
        <v>0</v>
      </c>
      <c r="V17">
        <v>0</v>
      </c>
      <c r="W17">
        <v>0</v>
      </c>
    </row>
    <row r="18" spans="1:23" x14ac:dyDescent="0.55000000000000004">
      <c r="A18" t="s">
        <v>39</v>
      </c>
      <c r="B18" t="s">
        <v>40</v>
      </c>
      <c r="C18" t="s">
        <v>5</v>
      </c>
      <c r="D18">
        <v>6.27</v>
      </c>
      <c r="E18">
        <f>361548256/(1000)</f>
        <v>361548.25599999999</v>
      </c>
      <c r="F18">
        <f>6401129984/(1000)</f>
        <v>6401129.9840000002</v>
      </c>
      <c r="G18">
        <f>-39240000/(1000)</f>
        <v>-39240</v>
      </c>
      <c r="H18">
        <f>1357493280/(1000)</f>
        <v>1357493.28</v>
      </c>
      <c r="I18">
        <f>147548992/(1000)</f>
        <v>147548.992</v>
      </c>
      <c r="J18">
        <f t="shared" si="0"/>
        <v>9.2002884031901749E-3</v>
      </c>
      <c r="K18">
        <f>-158195007/(1000)</f>
        <v>-158195.00700000001</v>
      </c>
      <c r="L18">
        <v>0</v>
      </c>
      <c r="M18">
        <v>-37.859928131103501</v>
      </c>
      <c r="N18">
        <v>57.360499907978699</v>
      </c>
      <c r="O18">
        <v>233.40579223632801</v>
      </c>
      <c r="P18">
        <v>0</v>
      </c>
      <c r="Q18">
        <v>0</v>
      </c>
      <c r="R18">
        <v>0</v>
      </c>
      <c r="S18">
        <v>-40.699364988084596</v>
      </c>
      <c r="T18">
        <v>0</v>
      </c>
      <c r="U18">
        <v>0</v>
      </c>
      <c r="V18">
        <v>0</v>
      </c>
      <c r="W18">
        <v>0</v>
      </c>
    </row>
    <row r="19" spans="1:23" x14ac:dyDescent="0.55000000000000004">
      <c r="A19" t="s">
        <v>41</v>
      </c>
      <c r="B19" t="s">
        <v>42</v>
      </c>
      <c r="C19" t="s">
        <v>20</v>
      </c>
      <c r="D19">
        <v>10.77</v>
      </c>
      <c r="E19">
        <f>251050848/(1000)</f>
        <v>251050.848</v>
      </c>
      <c r="F19">
        <f>6392996864/(1000)</f>
        <v>6392996.8640000001</v>
      </c>
      <c r="G19">
        <f>197420992/(1000)</f>
        <v>197420.992</v>
      </c>
      <c r="H19">
        <f>1675792864/(1000)</f>
        <v>1675792.8640000001</v>
      </c>
      <c r="I19">
        <f>218318000/(1000)</f>
        <v>218318</v>
      </c>
      <c r="J19">
        <f t="shared" si="0"/>
        <v>7.6759262360410049E-3</v>
      </c>
      <c r="K19">
        <f>-142924991/(1000)</f>
        <v>-142924.99100000001</v>
      </c>
      <c r="L19">
        <v>10.917431831359901</v>
      </c>
      <c r="M19">
        <v>9.8672714233398402</v>
      </c>
      <c r="N19">
        <v>95.608790361843305</v>
      </c>
      <c r="O19">
        <v>223.35594177246099</v>
      </c>
      <c r="P19">
        <v>0.20000000298023199</v>
      </c>
      <c r="Q19">
        <v>0.341362938770299</v>
      </c>
      <c r="R19">
        <v>4.29083690301242</v>
      </c>
      <c r="S19">
        <v>51.695425406250997</v>
      </c>
      <c r="T19">
        <v>0</v>
      </c>
      <c r="U19">
        <v>0</v>
      </c>
      <c r="V19">
        <v>0</v>
      </c>
      <c r="W19">
        <v>0</v>
      </c>
    </row>
    <row r="20" spans="1:23" x14ac:dyDescent="0.55000000000000004">
      <c r="A20" t="s">
        <v>43</v>
      </c>
      <c r="B20" t="s">
        <v>44</v>
      </c>
      <c r="C20" t="s">
        <v>20</v>
      </c>
      <c r="D20">
        <v>2.95</v>
      </c>
      <c r="E20">
        <f>137942880/(1000)</f>
        <v>137942.88</v>
      </c>
      <c r="F20">
        <f>6184000000/(1000)</f>
        <v>6184000</v>
      </c>
      <c r="G20">
        <f>256000000/(1000)</f>
        <v>256000</v>
      </c>
      <c r="H20">
        <f>1569942880/(1000)</f>
        <v>1569942.88</v>
      </c>
      <c r="I20">
        <f>461000000/(1000)</f>
        <v>461000</v>
      </c>
      <c r="J20">
        <f t="shared" si="0"/>
        <v>3.4055160086767897E-3</v>
      </c>
      <c r="K20">
        <f>-11999999/(1000)</f>
        <v>-11999.999</v>
      </c>
      <c r="L20">
        <v>15.411370277404799</v>
      </c>
      <c r="M20">
        <v>-1.5974440574646001</v>
      </c>
      <c r="N20">
        <v>97.843898158351706</v>
      </c>
      <c r="O20">
        <v>318.79351806640602</v>
      </c>
      <c r="P20">
        <v>0</v>
      </c>
      <c r="Q20">
        <v>0.31200423812667899</v>
      </c>
      <c r="R20">
        <v>2.3600000768303899</v>
      </c>
      <c r="S20">
        <v>78.7799909101129</v>
      </c>
      <c r="T20">
        <v>0</v>
      </c>
      <c r="U20">
        <v>0</v>
      </c>
      <c r="V20">
        <v>0</v>
      </c>
      <c r="W20">
        <v>0</v>
      </c>
    </row>
    <row r="21" spans="1:23" x14ac:dyDescent="0.55000000000000004">
      <c r="A21" t="s">
        <v>45</v>
      </c>
      <c r="B21" t="s">
        <v>46</v>
      </c>
      <c r="C21" t="s">
        <v>5</v>
      </c>
      <c r="D21">
        <v>8.1799999999999998E-2</v>
      </c>
      <c r="E21">
        <f>33722336/(1000)</f>
        <v>33722.336000000003</v>
      </c>
      <c r="F21">
        <f>6001999872/(1000)</f>
        <v>6001999.8720000004</v>
      </c>
      <c r="G21">
        <f>782000000/(1000)</f>
        <v>782000</v>
      </c>
      <c r="H21">
        <f>20771723232/(1000)</f>
        <v>20771723.232000001</v>
      </c>
      <c r="I21">
        <f>2110000000/(1000)</f>
        <v>2110000</v>
      </c>
      <c r="J21">
        <f t="shared" si="0"/>
        <v>9.844418593364929E-3</v>
      </c>
      <c r="K21">
        <f>-916999999/(1000)</f>
        <v>-916999.99899999995</v>
      </c>
      <c r="L21">
        <v>0</v>
      </c>
      <c r="M21">
        <v>0</v>
      </c>
      <c r="N21">
        <v>87.627010068848506</v>
      </c>
      <c r="O21">
        <v>0</v>
      </c>
      <c r="P21">
        <v>0</v>
      </c>
      <c r="Q21">
        <v>0</v>
      </c>
      <c r="R21">
        <v>0</v>
      </c>
      <c r="S21">
        <v>31.449840204647501</v>
      </c>
      <c r="T21">
        <v>0</v>
      </c>
      <c r="U21">
        <v>0</v>
      </c>
      <c r="V21">
        <v>0</v>
      </c>
      <c r="W21">
        <v>0</v>
      </c>
    </row>
    <row r="22" spans="1:23" x14ac:dyDescent="0.55000000000000004">
      <c r="A22" t="s">
        <v>47</v>
      </c>
      <c r="B22" t="s">
        <v>48</v>
      </c>
      <c r="C22" t="s">
        <v>2</v>
      </c>
      <c r="D22">
        <v>22.43</v>
      </c>
      <c r="E22">
        <f>1468435968/(1000)</f>
        <v>1468435.9680000001</v>
      </c>
      <c r="F22">
        <f>5927151616/(1000)</f>
        <v>5927151.6160000004</v>
      </c>
      <c r="G22">
        <f>200168000/(1000)</f>
        <v>200168</v>
      </c>
      <c r="H22">
        <f>1328147968/(1000)</f>
        <v>1328147.9680000001</v>
      </c>
      <c r="I22">
        <f>237839008/(1000)</f>
        <v>237839.008</v>
      </c>
      <c r="J22">
        <f t="shared" si="0"/>
        <v>5.5842310274015275E-3</v>
      </c>
      <c r="K22">
        <f>237520001/(1000)</f>
        <v>237520.00099999999</v>
      </c>
      <c r="L22">
        <v>31.393842697143601</v>
      </c>
      <c r="M22">
        <v>15.8972005844116</v>
      </c>
      <c r="N22">
        <v>97.075497284917901</v>
      </c>
      <c r="O22">
        <v>25.676097869873001</v>
      </c>
      <c r="P22">
        <v>0</v>
      </c>
      <c r="Q22">
        <v>0</v>
      </c>
      <c r="R22">
        <v>8.5285170484804897</v>
      </c>
      <c r="S22">
        <v>49.371862903179498</v>
      </c>
      <c r="T22">
        <v>0</v>
      </c>
      <c r="U22">
        <v>0</v>
      </c>
      <c r="V22">
        <v>0</v>
      </c>
      <c r="W22">
        <v>0</v>
      </c>
    </row>
    <row r="23" spans="1:23" x14ac:dyDescent="0.55000000000000004">
      <c r="A23" t="s">
        <v>49</v>
      </c>
      <c r="B23" t="s">
        <v>50</v>
      </c>
      <c r="C23" t="s">
        <v>31</v>
      </c>
      <c r="D23">
        <v>30.12</v>
      </c>
      <c r="E23">
        <f>1063317312/(1000)</f>
        <v>1063317.3119999999</v>
      </c>
      <c r="F23">
        <f>5852899840/(1000)</f>
        <v>5852899.8399999999</v>
      </c>
      <c r="G23">
        <f>439100000/(1000)</f>
        <v>439100</v>
      </c>
      <c r="H23">
        <f>2188717248/(1000)</f>
        <v>2188717.2480000001</v>
      </c>
      <c r="I23">
        <f>483600000/(1000)</f>
        <v>483600</v>
      </c>
      <c r="J23">
        <f t="shared" si="0"/>
        <v>4.5258834739454095E-3</v>
      </c>
      <c r="K23">
        <f>102100001/(1000)</f>
        <v>102100.001</v>
      </c>
      <c r="L23">
        <v>16.609172821044901</v>
      </c>
      <c r="M23">
        <v>25.226390838623001</v>
      </c>
      <c r="N23">
        <v>83.197602348982201</v>
      </c>
      <c r="O23">
        <v>97.489982604980497</v>
      </c>
      <c r="P23">
        <v>0</v>
      </c>
      <c r="Q23">
        <v>1.0018293798170199</v>
      </c>
      <c r="R23">
        <v>4.8346710669373003</v>
      </c>
      <c r="S23">
        <v>132.248705092704</v>
      </c>
      <c r="T23">
        <v>0</v>
      </c>
      <c r="U23">
        <v>0</v>
      </c>
      <c r="V23">
        <v>0</v>
      </c>
      <c r="W23">
        <v>0</v>
      </c>
    </row>
    <row r="24" spans="1:23" x14ac:dyDescent="0.55000000000000004">
      <c r="A24" t="s">
        <v>51</v>
      </c>
      <c r="B24" t="s">
        <v>52</v>
      </c>
      <c r="C24" t="s">
        <v>20</v>
      </c>
      <c r="D24">
        <v>4.57</v>
      </c>
      <c r="E24">
        <f>146019264/(1000)</f>
        <v>146019.264</v>
      </c>
      <c r="F24">
        <f>5712967168/(1000)</f>
        <v>5712967.1679999996</v>
      </c>
      <c r="G24">
        <f>182320000/(1000)</f>
        <v>182320</v>
      </c>
      <c r="H24">
        <f>1345219264/(1000)</f>
        <v>1345219.264</v>
      </c>
      <c r="I24">
        <f>210803008/(1000)</f>
        <v>210803.008</v>
      </c>
      <c r="J24">
        <f t="shared" si="0"/>
        <v>6.3814045006416603E-3</v>
      </c>
      <c r="K24">
        <f>12202001/(1000)</f>
        <v>12202.001</v>
      </c>
      <c r="L24">
        <v>13.2379474639893</v>
      </c>
      <c r="M24">
        <v>8.5204896926879901</v>
      </c>
      <c r="N24">
        <v>94.798711180879707</v>
      </c>
      <c r="O24">
        <v>196.76289367675801</v>
      </c>
      <c r="P24">
        <v>0</v>
      </c>
      <c r="Q24">
        <v>0.24451578603937199</v>
      </c>
      <c r="R24">
        <v>3.2722327387713701</v>
      </c>
      <c r="S24">
        <v>29.391270245109801</v>
      </c>
      <c r="T24">
        <v>0</v>
      </c>
      <c r="U24">
        <v>0</v>
      </c>
      <c r="V24">
        <v>0</v>
      </c>
      <c r="W24">
        <v>0</v>
      </c>
    </row>
    <row r="25" spans="1:23" x14ac:dyDescent="0.55000000000000004">
      <c r="A25" t="s">
        <v>53</v>
      </c>
      <c r="B25" t="s">
        <v>54</v>
      </c>
      <c r="C25" t="s">
        <v>20</v>
      </c>
      <c r="D25">
        <v>4.21</v>
      </c>
      <c r="E25">
        <f>369136576/(1000)</f>
        <v>369136.576</v>
      </c>
      <c r="F25">
        <f>5671199744/(1000)</f>
        <v>5671199.7439999999</v>
      </c>
      <c r="G25">
        <f>173600000/(1000)</f>
        <v>173600</v>
      </c>
      <c r="H25">
        <f>752936608/(1000)</f>
        <v>752936.60800000001</v>
      </c>
      <c r="I25">
        <f>353700000/(1000)</f>
        <v>353700</v>
      </c>
      <c r="J25">
        <f t="shared" si="0"/>
        <v>2.128743590613514E-3</v>
      </c>
      <c r="K25">
        <f>106600001/(1000)</f>
        <v>106600.001</v>
      </c>
      <c r="L25">
        <v>15.1402788162231</v>
      </c>
      <c r="M25">
        <v>5.9287590980529803</v>
      </c>
      <c r="N25">
        <v>98.097988771992505</v>
      </c>
      <c r="O25">
        <v>38.4700736999512</v>
      </c>
      <c r="P25">
        <v>5.0000000745057997E-2</v>
      </c>
      <c r="Q25">
        <v>0.26009006311558902</v>
      </c>
      <c r="R25">
        <v>12.3823534658108</v>
      </c>
      <c r="S25">
        <v>52.784285424524199</v>
      </c>
      <c r="T25">
        <v>0</v>
      </c>
      <c r="U25">
        <v>0</v>
      </c>
      <c r="V25">
        <v>0</v>
      </c>
      <c r="W25">
        <v>0</v>
      </c>
    </row>
    <row r="26" spans="1:23" x14ac:dyDescent="0.55000000000000004">
      <c r="A26" t="s">
        <v>55</v>
      </c>
      <c r="B26" t="s">
        <v>56</v>
      </c>
      <c r="C26" t="s">
        <v>2</v>
      </c>
      <c r="D26">
        <v>13.01</v>
      </c>
      <c r="E26">
        <f>452566272/(1000)</f>
        <v>452566.272</v>
      </c>
      <c r="F26">
        <f>5667589120/(1000)</f>
        <v>5667589.1200000001</v>
      </c>
      <c r="G26">
        <f>80080000/(1000)</f>
        <v>80080</v>
      </c>
      <c r="H26">
        <f>453519267.3125/(1000)</f>
        <v>453519.26731249999</v>
      </c>
      <c r="I26">
        <f>122681000/(1000)</f>
        <v>122681</v>
      </c>
      <c r="J26">
        <f t="shared" si="0"/>
        <v>3.6967359844841496E-3</v>
      </c>
      <c r="K26">
        <f>27369001/(1000)</f>
        <v>27369.001</v>
      </c>
      <c r="L26">
        <v>60.054561614990199</v>
      </c>
      <c r="M26">
        <v>7.8893909454345703</v>
      </c>
      <c r="N26">
        <v>85.250699449319896</v>
      </c>
      <c r="O26">
        <v>12.448539733886699</v>
      </c>
      <c r="P26">
        <v>0.54000002145767201</v>
      </c>
      <c r="Q26">
        <v>0</v>
      </c>
      <c r="R26">
        <v>11.412280523630701</v>
      </c>
      <c r="S26">
        <v>39.7009056729786</v>
      </c>
      <c r="T26">
        <v>0</v>
      </c>
      <c r="U26">
        <v>0</v>
      </c>
      <c r="V26">
        <v>0</v>
      </c>
      <c r="W26">
        <v>0</v>
      </c>
    </row>
    <row r="27" spans="1:23" x14ac:dyDescent="0.55000000000000004">
      <c r="A27" t="s">
        <v>57</v>
      </c>
      <c r="B27" t="s">
        <v>58</v>
      </c>
      <c r="C27" t="s">
        <v>20</v>
      </c>
      <c r="D27">
        <v>21.52</v>
      </c>
      <c r="E27">
        <f>231075312/(1000)</f>
        <v>231075.31200000001</v>
      </c>
      <c r="F27">
        <f>5560900096/(1000)</f>
        <v>5560900.0959999999</v>
      </c>
      <c r="G27">
        <f>37700000/(1000)</f>
        <v>37700</v>
      </c>
      <c r="H27">
        <f>289775312/(1000)</f>
        <v>289775.31199999998</v>
      </c>
      <c r="I27">
        <f>53000000/(1000)</f>
        <v>53000</v>
      </c>
      <c r="J27">
        <f t="shared" si="0"/>
        <v>5.4674587169811321E-3</v>
      </c>
      <c r="K27">
        <f>45800001/(1000)</f>
        <v>45800.000999999997</v>
      </c>
      <c r="L27">
        <v>0</v>
      </c>
      <c r="M27">
        <v>9.9958524703979492</v>
      </c>
      <c r="N27">
        <v>93.997779463101395</v>
      </c>
      <c r="O27">
        <v>19.061914443969702</v>
      </c>
      <c r="P27">
        <v>0</v>
      </c>
      <c r="Q27">
        <v>0</v>
      </c>
      <c r="R27">
        <v>13.9107953641428</v>
      </c>
      <c r="S27">
        <v>0</v>
      </c>
      <c r="T27">
        <v>0</v>
      </c>
      <c r="U27">
        <v>0</v>
      </c>
      <c r="V27">
        <v>0</v>
      </c>
      <c r="W27">
        <v>0</v>
      </c>
    </row>
    <row r="28" spans="1:23" x14ac:dyDescent="0.55000000000000004">
      <c r="A28" t="s">
        <v>59</v>
      </c>
      <c r="B28" t="s">
        <v>60</v>
      </c>
      <c r="C28" t="s">
        <v>20</v>
      </c>
      <c r="D28">
        <v>1.26</v>
      </c>
      <c r="E28">
        <f>198976624/(1000)</f>
        <v>198976.62400000001</v>
      </c>
      <c r="F28">
        <f>5542400000/(1000)</f>
        <v>5542400</v>
      </c>
      <c r="G28">
        <f>-40200000/(1000)</f>
        <v>-40200</v>
      </c>
      <c r="H28">
        <f>1107976624/(1000)</f>
        <v>1107976.6240000001</v>
      </c>
      <c r="I28">
        <f>145500000/(1000)</f>
        <v>145500</v>
      </c>
      <c r="J28">
        <f t="shared" si="0"/>
        <v>7.6149596151202752E-3</v>
      </c>
      <c r="K28">
        <f>-130599999/(1000)</f>
        <v>-130599.999</v>
      </c>
      <c r="L28">
        <v>0</v>
      </c>
      <c r="M28">
        <v>-15.7738647460938</v>
      </c>
      <c r="N28">
        <v>96.259741717020702</v>
      </c>
      <c r="O28">
        <v>115.57114410400401</v>
      </c>
      <c r="P28">
        <v>0</v>
      </c>
      <c r="Q28">
        <v>0</v>
      </c>
      <c r="R28">
        <v>6.9345071434950603</v>
      </c>
      <c r="S28">
        <v>-0.42220983031944198</v>
      </c>
      <c r="T28">
        <v>0</v>
      </c>
      <c r="U28">
        <v>0</v>
      </c>
      <c r="V28">
        <v>0</v>
      </c>
      <c r="W28">
        <v>0</v>
      </c>
    </row>
    <row r="29" spans="1:23" x14ac:dyDescent="0.55000000000000004">
      <c r="A29" t="s">
        <v>61</v>
      </c>
      <c r="B29" t="s">
        <v>62</v>
      </c>
      <c r="C29" t="s">
        <v>17</v>
      </c>
      <c r="D29">
        <v>22.77</v>
      </c>
      <c r="E29">
        <f>1157292032/(1000)</f>
        <v>1157292.0319999999</v>
      </c>
      <c r="F29">
        <f>4827086848/(1000)</f>
        <v>4827086.8480000002</v>
      </c>
      <c r="G29">
        <f>143847008/(1000)</f>
        <v>143847.008</v>
      </c>
      <c r="H29">
        <f>1222185032/(1000)</f>
        <v>1222185.0319999999</v>
      </c>
      <c r="I29">
        <f>211454000/(1000)</f>
        <v>211454</v>
      </c>
      <c r="J29">
        <f t="shared" si="0"/>
        <v>5.779909729775743E-3</v>
      </c>
      <c r="K29">
        <f>86673001/(1000)</f>
        <v>86673.001000000004</v>
      </c>
      <c r="L29">
        <v>18.592391967773398</v>
      </c>
      <c r="M29">
        <v>13.919569015502899</v>
      </c>
      <c r="N29">
        <v>89.735233273842198</v>
      </c>
      <c r="O29">
        <v>33.333641052246101</v>
      </c>
      <c r="P29">
        <v>0.30000001192092901</v>
      </c>
      <c r="Q29">
        <v>1.6126062777841199</v>
      </c>
      <c r="R29">
        <v>13.463478989804599</v>
      </c>
      <c r="S29">
        <v>127.72028789712201</v>
      </c>
      <c r="T29">
        <v>0</v>
      </c>
      <c r="U29">
        <v>0</v>
      </c>
      <c r="V29">
        <v>0</v>
      </c>
      <c r="W29">
        <v>0</v>
      </c>
    </row>
    <row r="30" spans="1:23" x14ac:dyDescent="0.55000000000000004">
      <c r="A30" t="s">
        <v>63</v>
      </c>
      <c r="B30" t="s">
        <v>64</v>
      </c>
      <c r="C30" t="s">
        <v>31</v>
      </c>
      <c r="D30">
        <v>6.9</v>
      </c>
      <c r="E30">
        <f>314533728/(1000)</f>
        <v>314533.728</v>
      </c>
      <c r="F30">
        <f>4800431104/(1000)</f>
        <v>4800431.1040000003</v>
      </c>
      <c r="G30">
        <f>128697000/(1000)</f>
        <v>128697</v>
      </c>
      <c r="H30">
        <f>573109728/(1000)</f>
        <v>573109.728</v>
      </c>
      <c r="I30">
        <f>163230000/(1000)</f>
        <v>163230</v>
      </c>
      <c r="J30">
        <f t="shared" si="0"/>
        <v>3.5110563499356736E-3</v>
      </c>
      <c r="K30">
        <f>69441001/(1000)</f>
        <v>69441.001000000004</v>
      </c>
      <c r="L30">
        <v>16.333381652831999</v>
      </c>
      <c r="M30">
        <v>10.6165361404419</v>
      </c>
      <c r="N30">
        <v>97.715459662725394</v>
      </c>
      <c r="O30">
        <v>26.0902423858643</v>
      </c>
      <c r="P30">
        <v>0</v>
      </c>
      <c r="Q30">
        <v>0</v>
      </c>
      <c r="R30">
        <v>1.7602041319225199</v>
      </c>
      <c r="S30">
        <v>66.919551556373904</v>
      </c>
      <c r="T30">
        <v>0</v>
      </c>
      <c r="U30">
        <v>0</v>
      </c>
      <c r="V30">
        <v>0</v>
      </c>
      <c r="W30">
        <v>0</v>
      </c>
    </row>
    <row r="31" spans="1:23" x14ac:dyDescent="0.55000000000000004">
      <c r="A31" t="s">
        <v>65</v>
      </c>
      <c r="B31" t="s">
        <v>66</v>
      </c>
      <c r="C31" t="s">
        <v>17</v>
      </c>
      <c r="D31">
        <v>14.78</v>
      </c>
      <c r="E31">
        <f>654734784/(1000)</f>
        <v>654734.78399999999</v>
      </c>
      <c r="F31">
        <f>4662785024/(1000)</f>
        <v>4662785.0240000002</v>
      </c>
      <c r="G31">
        <f>57480000/(1000)</f>
        <v>57480</v>
      </c>
      <c r="H31">
        <f>1289338816/(1000)</f>
        <v>1289338.8160000001</v>
      </c>
      <c r="I31">
        <f>146802000/(1000)</f>
        <v>146802</v>
      </c>
      <c r="J31">
        <f t="shared" si="0"/>
        <v>8.7828423046007551E-3</v>
      </c>
      <c r="K31">
        <f>4063004.5/(1000)</f>
        <v>4063.0045</v>
      </c>
      <c r="L31">
        <v>0</v>
      </c>
      <c r="M31">
        <v>-5.83717918395996</v>
      </c>
      <c r="N31">
        <v>96.416602560072903</v>
      </c>
      <c r="O31">
        <v>90.870521545410199</v>
      </c>
      <c r="P31">
        <v>0</v>
      </c>
      <c r="Q31">
        <v>0.65311534604893495</v>
      </c>
      <c r="R31">
        <v>11.546875318323201</v>
      </c>
      <c r="S31">
        <v>223.12036204232501</v>
      </c>
      <c r="T31">
        <v>0</v>
      </c>
      <c r="U31">
        <v>0</v>
      </c>
      <c r="V31">
        <v>0</v>
      </c>
      <c r="W31">
        <v>0</v>
      </c>
    </row>
    <row r="32" spans="1:23" x14ac:dyDescent="0.55000000000000004">
      <c r="A32" t="s">
        <v>67</v>
      </c>
      <c r="B32" t="s">
        <v>68</v>
      </c>
      <c r="C32" t="s">
        <v>2</v>
      </c>
      <c r="D32">
        <v>33.49</v>
      </c>
      <c r="E32">
        <f>788287616/(1000)</f>
        <v>788287.61600000004</v>
      </c>
      <c r="F32">
        <f>4646398976/(1000)</f>
        <v>4646398.9759999998</v>
      </c>
      <c r="G32">
        <f>203904992/(1000)</f>
        <v>203904.992</v>
      </c>
      <c r="H32">
        <f>1238283616/(1000)</f>
        <v>1238283.6159999999</v>
      </c>
      <c r="I32">
        <f>246604992/(1000)</f>
        <v>246604.992</v>
      </c>
      <c r="J32">
        <f t="shared" si="0"/>
        <v>5.0213242074191259E-3</v>
      </c>
      <c r="K32">
        <f>199368993/(1000)</f>
        <v>199368.99299999999</v>
      </c>
      <c r="L32">
        <v>14.195987701416</v>
      </c>
      <c r="M32">
        <v>15.589799880981399</v>
      </c>
      <c r="N32">
        <v>96.503525775015305</v>
      </c>
      <c r="O32">
        <v>78.536674499511705</v>
      </c>
      <c r="P32">
        <v>0</v>
      </c>
      <c r="Q32">
        <v>0</v>
      </c>
      <c r="R32">
        <v>7.9360194133741899</v>
      </c>
      <c r="S32">
        <v>25.525294078510701</v>
      </c>
      <c r="T32">
        <v>0</v>
      </c>
      <c r="U32">
        <v>0</v>
      </c>
      <c r="V32">
        <v>0</v>
      </c>
      <c r="W32">
        <v>0</v>
      </c>
    </row>
    <row r="33" spans="1:23" x14ac:dyDescent="0.55000000000000004">
      <c r="A33" t="s">
        <v>69</v>
      </c>
      <c r="B33" t="s">
        <v>70</v>
      </c>
      <c r="C33" t="s">
        <v>2</v>
      </c>
      <c r="D33">
        <v>23.38</v>
      </c>
      <c r="E33">
        <f>1176542464/(1000)</f>
        <v>1176542.4639999999</v>
      </c>
      <c r="F33">
        <f>4628358144/(1000)</f>
        <v>4628358.1440000003</v>
      </c>
      <c r="G33">
        <f>140980992/(1000)</f>
        <v>140980.992</v>
      </c>
      <c r="H33">
        <f>837775456/(1000)</f>
        <v>837775.45600000001</v>
      </c>
      <c r="I33">
        <f>151924000/(1000)</f>
        <v>151924</v>
      </c>
      <c r="J33">
        <f t="shared" si="0"/>
        <v>5.5144378505041997E-3</v>
      </c>
      <c r="K33">
        <f>257644993/(1000)</f>
        <v>257644.99299999999</v>
      </c>
      <c r="L33">
        <v>36.076572418212898</v>
      </c>
      <c r="M33">
        <v>31.726596832275401</v>
      </c>
      <c r="N33">
        <v>53.626003610736603</v>
      </c>
      <c r="O33">
        <v>5.6285867691040004</v>
      </c>
      <c r="P33">
        <v>0</v>
      </c>
      <c r="Q33">
        <v>1.6270006504496899</v>
      </c>
      <c r="R33">
        <v>6.2015913207036002</v>
      </c>
      <c r="S33">
        <v>326.56065914794402</v>
      </c>
      <c r="T33">
        <v>0</v>
      </c>
      <c r="U33">
        <v>0</v>
      </c>
      <c r="V33">
        <v>0</v>
      </c>
      <c r="W33">
        <v>0</v>
      </c>
    </row>
    <row r="34" spans="1:23" x14ac:dyDescent="0.55000000000000004">
      <c r="A34" t="s">
        <v>71</v>
      </c>
      <c r="B34" t="s">
        <v>72</v>
      </c>
      <c r="C34" t="s">
        <v>8</v>
      </c>
      <c r="D34">
        <v>9.15</v>
      </c>
      <c r="E34">
        <f>428348096/(1000)</f>
        <v>428348.09600000002</v>
      </c>
      <c r="F34">
        <f>4542151168/(1000)</f>
        <v>4542151.1679999996</v>
      </c>
      <c r="G34">
        <f>178912992/(1000)</f>
        <v>178912.992</v>
      </c>
      <c r="H34">
        <f>1591420096/(1000)</f>
        <v>1591420.0959999999</v>
      </c>
      <c r="I34">
        <f>236316000/(1000)</f>
        <v>236316</v>
      </c>
      <c r="J34">
        <f t="shared" si="0"/>
        <v>6.7342883935069984E-3</v>
      </c>
      <c r="K34">
        <f>71904001/(1000)</f>
        <v>71904.001000000004</v>
      </c>
      <c r="L34">
        <v>0</v>
      </c>
      <c r="M34">
        <v>30.655200958251999</v>
      </c>
      <c r="N34">
        <v>19.426026744276299</v>
      </c>
      <c r="O34">
        <v>132.851150512695</v>
      </c>
      <c r="P34">
        <v>0.15999999642372101</v>
      </c>
      <c r="Q34">
        <v>0.93082397655610405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</row>
    <row r="35" spans="1:23" x14ac:dyDescent="0.55000000000000004">
      <c r="A35" t="s">
        <v>73</v>
      </c>
      <c r="B35" t="s">
        <v>74</v>
      </c>
      <c r="C35" t="s">
        <v>5</v>
      </c>
      <c r="D35">
        <v>44.89</v>
      </c>
      <c r="E35">
        <f>574515648/(1000)</f>
        <v>574515.64800000004</v>
      </c>
      <c r="F35">
        <f>4532635136/(1000)</f>
        <v>4532635.1359999999</v>
      </c>
      <c r="G35">
        <f>77954000/(1000)</f>
        <v>77954</v>
      </c>
      <c r="H35">
        <f>891979648/(1000)</f>
        <v>891979.64800000004</v>
      </c>
      <c r="I35">
        <f>116836000/(1000)</f>
        <v>116836</v>
      </c>
      <c r="J35">
        <f t="shared" si="0"/>
        <v>7.6344589681262634E-3</v>
      </c>
      <c r="K35">
        <f>62197001/(1000)</f>
        <v>62197.000999999997</v>
      </c>
      <c r="L35">
        <v>0</v>
      </c>
      <c r="M35">
        <v>12.714837074279799</v>
      </c>
      <c r="N35">
        <v>98.502146436770801</v>
      </c>
      <c r="O35">
        <v>98.908164978027301</v>
      </c>
      <c r="P35">
        <v>0.72000002861022905</v>
      </c>
      <c r="Q35">
        <v>0</v>
      </c>
      <c r="R35">
        <v>15.114477763373699</v>
      </c>
      <c r="S35">
        <v>16.981127338369699</v>
      </c>
      <c r="T35">
        <v>0</v>
      </c>
      <c r="U35">
        <v>0</v>
      </c>
      <c r="V35">
        <v>0</v>
      </c>
      <c r="W35">
        <v>0</v>
      </c>
    </row>
    <row r="36" spans="1:23" x14ac:dyDescent="0.55000000000000004">
      <c r="A36" t="s">
        <v>75</v>
      </c>
      <c r="B36" t="s">
        <v>76</v>
      </c>
      <c r="C36" t="s">
        <v>5</v>
      </c>
      <c r="D36">
        <v>4.3499999999999996</v>
      </c>
      <c r="E36">
        <f>355169248/(1000)</f>
        <v>355169.24800000002</v>
      </c>
      <c r="F36">
        <f>4300274688/(1000)</f>
        <v>4300274.6880000001</v>
      </c>
      <c r="G36">
        <f>74574000/(1000)</f>
        <v>74574</v>
      </c>
      <c r="H36">
        <f>439778248/(1000)</f>
        <v>439778.24800000002</v>
      </c>
      <c r="I36">
        <f>99321000/(1000)</f>
        <v>99321</v>
      </c>
      <c r="J36">
        <f t="shared" si="0"/>
        <v>4.4278475649661203E-3</v>
      </c>
      <c r="K36">
        <f>53054005/(1000)</f>
        <v>53054.004999999997</v>
      </c>
      <c r="L36">
        <v>17.7843017578125</v>
      </c>
      <c r="M36">
        <v>11.914132118225099</v>
      </c>
      <c r="N36">
        <v>60.877594089955103</v>
      </c>
      <c r="O36">
        <v>76.606719970703097</v>
      </c>
      <c r="P36">
        <v>0</v>
      </c>
      <c r="Q36">
        <v>0.53903346581567901</v>
      </c>
      <c r="R36">
        <v>8.6999999713152594</v>
      </c>
      <c r="S36">
        <v>236.99440902115799</v>
      </c>
      <c r="T36">
        <v>0</v>
      </c>
      <c r="U36">
        <v>0</v>
      </c>
      <c r="V36">
        <v>0</v>
      </c>
      <c r="W36">
        <v>0</v>
      </c>
    </row>
    <row r="37" spans="1:23" x14ac:dyDescent="0.55000000000000004">
      <c r="A37" t="s">
        <v>77</v>
      </c>
      <c r="B37" t="s">
        <v>78</v>
      </c>
      <c r="C37" t="s">
        <v>38</v>
      </c>
      <c r="D37">
        <v>13.02</v>
      </c>
      <c r="E37">
        <f>506674592/(1000)</f>
        <v>506674.592</v>
      </c>
      <c r="F37">
        <f>4220265984/(1000)</f>
        <v>4220265.9840000002</v>
      </c>
      <c r="G37">
        <f>59209000/(1000)</f>
        <v>59209</v>
      </c>
      <c r="H37">
        <f>622601592/(1000)</f>
        <v>622601.59199999995</v>
      </c>
      <c r="I37">
        <f>183488992/(1000)</f>
        <v>183488.992</v>
      </c>
      <c r="J37">
        <f t="shared" si="0"/>
        <v>3.3931277577676157E-3</v>
      </c>
      <c r="K37">
        <f>-23104999/(1000)</f>
        <v>-23104.999</v>
      </c>
      <c r="L37">
        <v>17.6760654449463</v>
      </c>
      <c r="M37">
        <v>-5.0460190773010298</v>
      </c>
      <c r="N37">
        <v>97.696780695907194</v>
      </c>
      <c r="O37">
        <v>33.8881645202637</v>
      </c>
      <c r="P37">
        <v>0</v>
      </c>
      <c r="Q37">
        <v>0.52059177683365299</v>
      </c>
      <c r="R37">
        <v>10.7603308991861</v>
      </c>
      <c r="S37">
        <v>35.231558848901102</v>
      </c>
      <c r="T37">
        <v>0</v>
      </c>
      <c r="U37">
        <v>0</v>
      </c>
      <c r="V37">
        <v>0</v>
      </c>
      <c r="W37">
        <v>0</v>
      </c>
    </row>
    <row r="38" spans="1:23" x14ac:dyDescent="0.55000000000000004">
      <c r="A38" t="s">
        <v>79</v>
      </c>
      <c r="B38" t="s">
        <v>80</v>
      </c>
      <c r="C38" t="s">
        <v>81</v>
      </c>
      <c r="D38">
        <v>5.74</v>
      </c>
      <c r="E38">
        <f>448820384/(1000)</f>
        <v>448820.38400000002</v>
      </c>
      <c r="F38">
        <f>4184980992/(1000)</f>
        <v>4184980.9920000001</v>
      </c>
      <c r="G38">
        <f>30916000/(1000)</f>
        <v>30916</v>
      </c>
      <c r="H38">
        <f>1150061408/(1000)</f>
        <v>1150061.4080000001</v>
      </c>
      <c r="I38">
        <f>151744000/(1000)</f>
        <v>151744</v>
      </c>
      <c r="J38">
        <f t="shared" si="0"/>
        <v>7.5789580345845637E-3</v>
      </c>
      <c r="K38">
        <f>-67038999/(1000)</f>
        <v>-67038.998999999996</v>
      </c>
      <c r="L38">
        <v>0</v>
      </c>
      <c r="M38">
        <v>-1.5854129791259799</v>
      </c>
      <c r="N38">
        <v>95.541593766181904</v>
      </c>
      <c r="O38">
        <v>84.900405883789105</v>
      </c>
      <c r="P38">
        <v>0</v>
      </c>
      <c r="Q38">
        <v>0</v>
      </c>
      <c r="R38">
        <v>17.3939370274053</v>
      </c>
      <c r="S38">
        <v>0</v>
      </c>
      <c r="T38">
        <v>0</v>
      </c>
      <c r="U38">
        <v>0</v>
      </c>
      <c r="V38">
        <v>0</v>
      </c>
      <c r="W38">
        <v>0</v>
      </c>
    </row>
    <row r="39" spans="1:23" x14ac:dyDescent="0.55000000000000004">
      <c r="A39" t="s">
        <v>82</v>
      </c>
      <c r="B39" t="s">
        <v>83</v>
      </c>
      <c r="C39" t="s">
        <v>8</v>
      </c>
      <c r="D39">
        <v>0</v>
      </c>
      <c r="E39">
        <f>283970368/(1000)</f>
        <v>283970.36800000002</v>
      </c>
      <c r="F39">
        <f>4097100032/(1000)</f>
        <v>4097100.0320000001</v>
      </c>
      <c r="G39">
        <f>156400000/(1000)</f>
        <v>156400</v>
      </c>
      <c r="H39">
        <f>480870368/(1000)</f>
        <v>480870.36800000002</v>
      </c>
      <c r="I39">
        <f>189500000/(1000)</f>
        <v>189500</v>
      </c>
      <c r="J39">
        <f t="shared" si="0"/>
        <v>2.5375745013192616E-3</v>
      </c>
      <c r="K39">
        <f>89800001/(1000)</f>
        <v>89800.001000000004</v>
      </c>
      <c r="L39">
        <v>0</v>
      </c>
      <c r="M39">
        <v>21.5491237640381</v>
      </c>
      <c r="N39">
        <v>26.3020536415207</v>
      </c>
      <c r="O39">
        <v>69.307319641113295</v>
      </c>
      <c r="P39">
        <v>0.15000000596046401</v>
      </c>
      <c r="Q39">
        <v>0.54367936389822102</v>
      </c>
      <c r="R39">
        <v>40.692314138824401</v>
      </c>
      <c r="S39">
        <v>0</v>
      </c>
      <c r="T39">
        <v>0</v>
      </c>
      <c r="U39">
        <v>0</v>
      </c>
      <c r="V39">
        <v>0</v>
      </c>
      <c r="W39">
        <v>0</v>
      </c>
    </row>
    <row r="40" spans="1:23" x14ac:dyDescent="0.55000000000000004">
      <c r="A40" t="s">
        <v>84</v>
      </c>
      <c r="B40" t="s">
        <v>85</v>
      </c>
      <c r="C40" t="s">
        <v>5</v>
      </c>
      <c r="D40">
        <v>27.65</v>
      </c>
      <c r="E40">
        <f>1341036032/(1000)</f>
        <v>1341036.0319999999</v>
      </c>
      <c r="F40">
        <f>3992397056/(1000)</f>
        <v>3992397.0559999999</v>
      </c>
      <c r="G40">
        <f>173784992/(1000)</f>
        <v>173784.992</v>
      </c>
      <c r="H40">
        <f>1648953024/(1000)</f>
        <v>1648953.024</v>
      </c>
      <c r="I40">
        <f>288190016/(1000)</f>
        <v>288190.016</v>
      </c>
      <c r="J40">
        <f t="shared" si="0"/>
        <v>5.7217562457125507E-3</v>
      </c>
      <c r="K40">
        <f>27688001/(1000)</f>
        <v>27688.001</v>
      </c>
      <c r="L40">
        <v>16.994386672973601</v>
      </c>
      <c r="M40">
        <v>12.400565147399901</v>
      </c>
      <c r="N40">
        <v>93.711184837545204</v>
      </c>
      <c r="O40">
        <v>39.9776802062988</v>
      </c>
      <c r="P40">
        <v>0.479999989271164</v>
      </c>
      <c r="Q40">
        <v>0</v>
      </c>
      <c r="R40">
        <v>13.8250000152737</v>
      </c>
      <c r="S40">
        <v>46.524013878125899</v>
      </c>
      <c r="T40">
        <v>0</v>
      </c>
      <c r="U40">
        <v>0</v>
      </c>
      <c r="V40">
        <v>0</v>
      </c>
      <c r="W40">
        <v>0</v>
      </c>
    </row>
    <row r="41" spans="1:23" x14ac:dyDescent="0.55000000000000004">
      <c r="A41" t="s">
        <v>86</v>
      </c>
      <c r="B41" t="s">
        <v>87</v>
      </c>
      <c r="C41" t="s">
        <v>5</v>
      </c>
      <c r="D41">
        <v>29.52</v>
      </c>
      <c r="E41">
        <f>1563500288/(1000)</f>
        <v>1563500.2879999999</v>
      </c>
      <c r="F41">
        <f>3945530112/(1000)</f>
        <v>3945530.1120000002</v>
      </c>
      <c r="G41">
        <f>198856000/(1000)</f>
        <v>198856</v>
      </c>
      <c r="H41">
        <f>1026995296/(1000)</f>
        <v>1026995.296</v>
      </c>
      <c r="I41">
        <f>230460000/(1000)</f>
        <v>230460</v>
      </c>
      <c r="J41">
        <f t="shared" si="0"/>
        <v>4.4562843703896552E-3</v>
      </c>
      <c r="K41">
        <f>310406017/(1000)</f>
        <v>310406.01699999999</v>
      </c>
      <c r="L41">
        <v>18.193508148193398</v>
      </c>
      <c r="M41">
        <v>13.8425617218018</v>
      </c>
      <c r="N41">
        <v>98.797109956691102</v>
      </c>
      <c r="O41">
        <v>42.607509613037102</v>
      </c>
      <c r="P41">
        <v>0</v>
      </c>
      <c r="Q41">
        <v>1.6936316661450601</v>
      </c>
      <c r="R41">
        <v>16.772727765712499</v>
      </c>
      <c r="S41">
        <v>239.937902473755</v>
      </c>
      <c r="T41">
        <v>0</v>
      </c>
      <c r="U41">
        <v>0</v>
      </c>
      <c r="V41">
        <v>0</v>
      </c>
      <c r="W41">
        <v>0</v>
      </c>
    </row>
    <row r="42" spans="1:23" x14ac:dyDescent="0.55000000000000004">
      <c r="A42" t="s">
        <v>88</v>
      </c>
      <c r="B42" t="s">
        <v>89</v>
      </c>
      <c r="C42" t="s">
        <v>8</v>
      </c>
      <c r="D42">
        <v>3.9</v>
      </c>
      <c r="E42">
        <f>180612512/(1000)</f>
        <v>180612.51199999999</v>
      </c>
      <c r="F42">
        <f>3856340992/(1000)</f>
        <v>3856340.9920000001</v>
      </c>
      <c r="G42">
        <f>78501000/(1000)</f>
        <v>78501</v>
      </c>
      <c r="H42">
        <f>1956464544/(1000)</f>
        <v>1956464.544</v>
      </c>
      <c r="I42">
        <f>187427008/(1000)</f>
        <v>187427.008</v>
      </c>
      <c r="J42">
        <f t="shared" si="0"/>
        <v>1.0438541194660696E-2</v>
      </c>
      <c r="K42">
        <f>-305127007/(1000)</f>
        <v>-305127.00699999998</v>
      </c>
      <c r="L42">
        <v>0</v>
      </c>
      <c r="M42">
        <v>4.6316041946411097</v>
      </c>
      <c r="N42">
        <v>82.610354460106507</v>
      </c>
      <c r="O42">
        <v>166.32009887695301</v>
      </c>
      <c r="P42">
        <v>1.2799999713897701</v>
      </c>
      <c r="Q42">
        <v>0</v>
      </c>
      <c r="R42">
        <v>9.2857145144268394</v>
      </c>
      <c r="S42">
        <v>752.24319215139997</v>
      </c>
      <c r="T42">
        <v>0</v>
      </c>
      <c r="U42">
        <v>0</v>
      </c>
      <c r="V42">
        <v>0</v>
      </c>
      <c r="W42">
        <v>0</v>
      </c>
    </row>
    <row r="43" spans="1:23" x14ac:dyDescent="0.55000000000000004">
      <c r="A43" t="s">
        <v>90</v>
      </c>
      <c r="B43" t="s">
        <v>91</v>
      </c>
      <c r="C43" t="s">
        <v>5</v>
      </c>
      <c r="D43">
        <v>0.4</v>
      </c>
      <c r="E43">
        <f>24215560/(1000)</f>
        <v>24215.56</v>
      </c>
      <c r="F43">
        <f>3820899840/(1000)</f>
        <v>3820899.84</v>
      </c>
      <c r="G43">
        <f>19700000/(1000)</f>
        <v>19700</v>
      </c>
      <c r="H43">
        <f>513215560/(1000)</f>
        <v>513215.56</v>
      </c>
      <c r="I43">
        <f>129600000/(1000)</f>
        <v>129600</v>
      </c>
      <c r="J43">
        <f t="shared" si="0"/>
        <v>3.9599966049382717E-3</v>
      </c>
      <c r="K43">
        <f>-53999999/(1000)</f>
        <v>-53999.999000000003</v>
      </c>
      <c r="L43">
        <v>30.774431228637699</v>
      </c>
      <c r="M43">
        <v>-28.134773254394499</v>
      </c>
      <c r="N43">
        <v>97.5214308387024</v>
      </c>
      <c r="O43">
        <v>115.63347625732401</v>
      </c>
      <c r="P43">
        <v>0</v>
      </c>
      <c r="Q43">
        <v>5.6127197202407997E-2</v>
      </c>
      <c r="R43">
        <v>0</v>
      </c>
      <c r="S43">
        <v>8.71197556582832</v>
      </c>
      <c r="T43">
        <v>0</v>
      </c>
      <c r="U43">
        <v>0</v>
      </c>
      <c r="V43">
        <v>0</v>
      </c>
      <c r="W43">
        <v>0</v>
      </c>
    </row>
    <row r="44" spans="1:23" x14ac:dyDescent="0.55000000000000004">
      <c r="A44" t="s">
        <v>92</v>
      </c>
      <c r="B44" t="s">
        <v>93</v>
      </c>
      <c r="C44" t="s">
        <v>94</v>
      </c>
      <c r="D44">
        <v>39.35</v>
      </c>
      <c r="E44">
        <f>1657429888/(1000)</f>
        <v>1657429.888</v>
      </c>
      <c r="F44">
        <f>3816209920/(1000)</f>
        <v>3816209.92</v>
      </c>
      <c r="G44">
        <f>201450000/(1000)</f>
        <v>201450</v>
      </c>
      <c r="H44">
        <f>2304039872/(1000)</f>
        <v>2304039.872</v>
      </c>
      <c r="I44">
        <f>240816992/(1000)</f>
        <v>240816.992</v>
      </c>
      <c r="J44">
        <f t="shared" si="0"/>
        <v>9.5675967582885511E-3</v>
      </c>
      <c r="K44">
        <f>52089001/(1000)</f>
        <v>52089.000999999997</v>
      </c>
      <c r="L44">
        <v>15.4553337097168</v>
      </c>
      <c r="M44">
        <v>16.6079216003418</v>
      </c>
      <c r="N44">
        <v>98.974836065707393</v>
      </c>
      <c r="O44">
        <v>95.388725280761705</v>
      </c>
      <c r="P44">
        <v>1.2400000095367401</v>
      </c>
      <c r="Q44">
        <v>2.2917879032773198</v>
      </c>
      <c r="R44">
        <v>74.245272666832307</v>
      </c>
      <c r="S44">
        <v>50.075213433596403</v>
      </c>
      <c r="T44">
        <v>0</v>
      </c>
      <c r="U44">
        <v>0</v>
      </c>
      <c r="V44">
        <v>0</v>
      </c>
      <c r="W44">
        <v>0</v>
      </c>
    </row>
    <row r="45" spans="1:23" x14ac:dyDescent="0.55000000000000004">
      <c r="A45" t="s">
        <v>95</v>
      </c>
      <c r="B45" t="s">
        <v>96</v>
      </c>
      <c r="C45" t="s">
        <v>20</v>
      </c>
      <c r="D45">
        <v>5.29</v>
      </c>
      <c r="E45">
        <f>399004608/(1000)</f>
        <v>399004.60800000001</v>
      </c>
      <c r="F45">
        <f>3696670976/(1000)</f>
        <v>3696670.9759999998</v>
      </c>
      <c r="G45">
        <f>126608000/(1000)</f>
        <v>126608</v>
      </c>
      <c r="H45">
        <f>938861632/(1000)</f>
        <v>938861.63199999998</v>
      </c>
      <c r="I45">
        <f>227768992/(1000)</f>
        <v>227768.992</v>
      </c>
      <c r="J45">
        <f t="shared" si="0"/>
        <v>4.1219905473349064E-3</v>
      </c>
      <c r="K45">
        <f>-55773999/(1000)</f>
        <v>-55773.999000000003</v>
      </c>
      <c r="L45">
        <v>0</v>
      </c>
      <c r="M45">
        <v>7.3289361000061</v>
      </c>
      <c r="N45">
        <v>95.198749472879697</v>
      </c>
      <c r="O45">
        <v>127.18563079834</v>
      </c>
      <c r="P45">
        <v>0</v>
      </c>
      <c r="Q45">
        <v>0</v>
      </c>
      <c r="R45">
        <v>11.4048197639486</v>
      </c>
      <c r="S45">
        <v>0</v>
      </c>
      <c r="T45">
        <v>0</v>
      </c>
      <c r="U45">
        <v>0</v>
      </c>
      <c r="V45">
        <v>0</v>
      </c>
      <c r="W45">
        <v>0</v>
      </c>
    </row>
    <row r="46" spans="1:23" x14ac:dyDescent="0.55000000000000004">
      <c r="A46" t="s">
        <v>97</v>
      </c>
      <c r="B46" t="s">
        <v>98</v>
      </c>
      <c r="C46" t="s">
        <v>2</v>
      </c>
      <c r="D46">
        <v>19.05</v>
      </c>
      <c r="E46">
        <f>971306176/(1000)</f>
        <v>971306.17599999998</v>
      </c>
      <c r="F46">
        <f>3623589888/(1000)</f>
        <v>3623589.8879999998</v>
      </c>
      <c r="G46">
        <f>99509000/(1000)</f>
        <v>99509</v>
      </c>
      <c r="H46">
        <f>1200596176/(1000)</f>
        <v>1200596.176</v>
      </c>
      <c r="I46">
        <f>127584000/(1000)</f>
        <v>127584</v>
      </c>
      <c r="J46">
        <f t="shared" si="0"/>
        <v>9.4102409079508398E-3</v>
      </c>
      <c r="K46">
        <f>34244001/(1000)</f>
        <v>34244.000999999997</v>
      </c>
      <c r="L46">
        <v>22.6619777679443</v>
      </c>
      <c r="M46">
        <v>7.2705512046814</v>
      </c>
      <c r="N46">
        <v>82.367532650221406</v>
      </c>
      <c r="O46">
        <v>35.711456298828097</v>
      </c>
      <c r="P46">
        <v>0.519999980926514</v>
      </c>
      <c r="Q46">
        <v>0</v>
      </c>
      <c r="R46">
        <v>17.477063462897</v>
      </c>
      <c r="S46">
        <v>60.160365756307797</v>
      </c>
      <c r="T46">
        <v>0</v>
      </c>
      <c r="U46">
        <v>0</v>
      </c>
      <c r="V46">
        <v>0</v>
      </c>
      <c r="W46">
        <v>0</v>
      </c>
    </row>
    <row r="47" spans="1:23" x14ac:dyDescent="0.55000000000000004">
      <c r="A47" t="s">
        <v>99</v>
      </c>
      <c r="B47" t="s">
        <v>100</v>
      </c>
      <c r="C47" t="s">
        <v>5</v>
      </c>
      <c r="D47">
        <v>4.5</v>
      </c>
      <c r="E47">
        <f>424546176/(1000)</f>
        <v>424546.17599999998</v>
      </c>
      <c r="F47">
        <f>3535000064/(1000)</f>
        <v>3535000.0639999998</v>
      </c>
      <c r="G47">
        <f>190000000/(1000)</f>
        <v>190000</v>
      </c>
      <c r="H47">
        <f>1790546176/(1000)</f>
        <v>1790546.176</v>
      </c>
      <c r="I47">
        <f>297000000/(1000)</f>
        <v>297000</v>
      </c>
      <c r="J47">
        <f t="shared" si="0"/>
        <v>6.028775003367003E-3</v>
      </c>
      <c r="K47">
        <f>-50999999/(1000)</f>
        <v>-50999.999000000003</v>
      </c>
      <c r="L47">
        <v>0</v>
      </c>
      <c r="M47">
        <v>0</v>
      </c>
      <c r="N47">
        <v>98.589944152438406</v>
      </c>
      <c r="O47">
        <v>0</v>
      </c>
      <c r="P47">
        <v>0</v>
      </c>
      <c r="Q47">
        <v>0.23065094552579099</v>
      </c>
      <c r="R47">
        <v>0.66469718659520405</v>
      </c>
      <c r="S47">
        <v>0</v>
      </c>
      <c r="T47">
        <v>0</v>
      </c>
      <c r="U47">
        <v>0</v>
      </c>
      <c r="V47">
        <v>0</v>
      </c>
      <c r="W47">
        <v>0</v>
      </c>
    </row>
    <row r="48" spans="1:23" x14ac:dyDescent="0.55000000000000004">
      <c r="A48" t="s">
        <v>101</v>
      </c>
      <c r="B48" t="s">
        <v>102</v>
      </c>
      <c r="C48" t="s">
        <v>5</v>
      </c>
      <c r="D48">
        <v>0.47</v>
      </c>
      <c r="E48">
        <f>25017066/(1000)</f>
        <v>25017.065999999999</v>
      </c>
      <c r="F48">
        <f>3529799936/(1000)</f>
        <v>3529799.9360000002</v>
      </c>
      <c r="G48">
        <f>41200000/(1000)</f>
        <v>41200</v>
      </c>
      <c r="H48">
        <f>2356417002/(1000)</f>
        <v>2356417.0019999999</v>
      </c>
      <c r="I48">
        <f>364400000/(1000)</f>
        <v>364400</v>
      </c>
      <c r="J48">
        <f t="shared" si="0"/>
        <v>6.4665669648737651E-3</v>
      </c>
      <c r="K48">
        <f>-16800003/(1000)</f>
        <v>-16800.003000000001</v>
      </c>
      <c r="L48">
        <v>0</v>
      </c>
      <c r="M48">
        <v>-13.505200386047401</v>
      </c>
      <c r="N48">
        <v>100.000002889629</v>
      </c>
      <c r="O48">
        <v>254.20591735839801</v>
      </c>
      <c r="P48">
        <v>0</v>
      </c>
      <c r="Q48">
        <v>1.203545075888E-2</v>
      </c>
      <c r="R48">
        <v>0</v>
      </c>
      <c r="S48">
        <v>43.821036787937103</v>
      </c>
      <c r="T48">
        <v>0</v>
      </c>
      <c r="U48">
        <v>0</v>
      </c>
      <c r="V48">
        <v>0</v>
      </c>
      <c r="W48">
        <v>0</v>
      </c>
    </row>
    <row r="49" spans="1:23" x14ac:dyDescent="0.55000000000000004">
      <c r="A49" t="s">
        <v>103</v>
      </c>
      <c r="B49" t="s">
        <v>104</v>
      </c>
      <c r="C49" t="s">
        <v>2</v>
      </c>
      <c r="D49">
        <v>29.25</v>
      </c>
      <c r="E49">
        <f>1059110336/(1000)</f>
        <v>1059110.3359999999</v>
      </c>
      <c r="F49">
        <f>3505999872/(1000)</f>
        <v>3505999.872</v>
      </c>
      <c r="G49">
        <f>226100000/(1000)</f>
        <v>226100</v>
      </c>
      <c r="H49">
        <f>1758210368/(1000)</f>
        <v>1758210.368</v>
      </c>
      <c r="I49">
        <f>403500000/(1000)</f>
        <v>403500</v>
      </c>
      <c r="J49">
        <f t="shared" si="0"/>
        <v>4.3573986815365548E-3</v>
      </c>
      <c r="K49">
        <f>-352399999/(1000)</f>
        <v>-352399.99900000001</v>
      </c>
      <c r="L49">
        <v>46.912570953369098</v>
      </c>
      <c r="M49">
        <v>13.092432975769</v>
      </c>
      <c r="N49">
        <v>99.532986504558707</v>
      </c>
      <c r="O49">
        <v>127.001953125</v>
      </c>
      <c r="P49">
        <v>0</v>
      </c>
      <c r="Q49">
        <v>1.0577399698019601</v>
      </c>
      <c r="R49">
        <v>0</v>
      </c>
      <c r="S49">
        <v>57.636784347317402</v>
      </c>
      <c r="T49">
        <v>0</v>
      </c>
      <c r="U49">
        <v>0</v>
      </c>
      <c r="V49">
        <v>0</v>
      </c>
      <c r="W49">
        <v>0</v>
      </c>
    </row>
    <row r="50" spans="1:23" x14ac:dyDescent="0.55000000000000004">
      <c r="A50" t="s">
        <v>105</v>
      </c>
      <c r="B50" t="s">
        <v>106</v>
      </c>
      <c r="C50" t="s">
        <v>2</v>
      </c>
      <c r="D50">
        <v>18.600000000000001</v>
      </c>
      <c r="E50">
        <f>1060793344/(1000)</f>
        <v>1060793.344</v>
      </c>
      <c r="F50">
        <f>3374331904/(1000)</f>
        <v>3374331.9040000001</v>
      </c>
      <c r="G50">
        <f>344524000/(1000)</f>
        <v>344524</v>
      </c>
      <c r="H50">
        <f>2128320320/(1000)</f>
        <v>2128320.3199999998</v>
      </c>
      <c r="I50">
        <f>553468032/(1000)</f>
        <v>553468.03200000001</v>
      </c>
      <c r="J50">
        <f t="shared" si="0"/>
        <v>3.8454259269666358E-3</v>
      </c>
      <c r="K50">
        <f>27624001/(1000)</f>
        <v>27624.001</v>
      </c>
      <c r="L50">
        <v>13.210578918456999</v>
      </c>
      <c r="M50">
        <v>13.133028030395501</v>
      </c>
      <c r="N50">
        <v>96.554562358492007</v>
      </c>
      <c r="O50">
        <v>148.550537109375</v>
      </c>
      <c r="P50">
        <v>0.15999999642372101</v>
      </c>
      <c r="Q50">
        <v>0.81436078183923499</v>
      </c>
      <c r="R50">
        <v>8.6915889003618503</v>
      </c>
      <c r="S50">
        <v>335.70857767801499</v>
      </c>
      <c r="T50">
        <v>0</v>
      </c>
      <c r="U50">
        <v>0</v>
      </c>
      <c r="V50">
        <v>0</v>
      </c>
      <c r="W50">
        <v>0</v>
      </c>
    </row>
    <row r="51" spans="1:23" x14ac:dyDescent="0.55000000000000004">
      <c r="A51" t="s">
        <v>107</v>
      </c>
      <c r="B51" t="s">
        <v>108</v>
      </c>
      <c r="C51" t="s">
        <v>17</v>
      </c>
      <c r="D51">
        <v>17.82</v>
      </c>
      <c r="E51">
        <f>764470912/(1000)</f>
        <v>764470.91200000001</v>
      </c>
      <c r="F51">
        <f>3365857024/(1000)</f>
        <v>3365857.0240000002</v>
      </c>
      <c r="G51">
        <f>92479000/(1000)</f>
        <v>92479</v>
      </c>
      <c r="H51">
        <f>1118888896/(1000)</f>
        <v>1118888.8959999999</v>
      </c>
      <c r="I51">
        <f>115023000/(1000)</f>
        <v>115023</v>
      </c>
      <c r="J51">
        <f t="shared" si="0"/>
        <v>9.7275231562383175E-3</v>
      </c>
      <c r="K51">
        <f>-41953999/(1000)</f>
        <v>-41953.999000000003</v>
      </c>
      <c r="L51">
        <v>25.104963302612301</v>
      </c>
      <c r="M51">
        <v>10.6917943954468</v>
      </c>
      <c r="N51">
        <v>92.679649901790597</v>
      </c>
      <c r="O51">
        <v>73.234451293945298</v>
      </c>
      <c r="P51">
        <v>0</v>
      </c>
      <c r="Q51">
        <v>0</v>
      </c>
      <c r="R51">
        <v>12.7285711563972</v>
      </c>
      <c r="S51">
        <v>143.92159707410099</v>
      </c>
      <c r="T51">
        <v>0</v>
      </c>
      <c r="U51">
        <v>0</v>
      </c>
      <c r="V51">
        <v>0</v>
      </c>
      <c r="W51">
        <v>0</v>
      </c>
    </row>
    <row r="52" spans="1:23" x14ac:dyDescent="0.55000000000000004">
      <c r="A52" t="s">
        <v>109</v>
      </c>
      <c r="B52" t="s">
        <v>110</v>
      </c>
      <c r="C52" t="s">
        <v>17</v>
      </c>
      <c r="D52">
        <v>22.42</v>
      </c>
      <c r="E52">
        <f>1424414336/(1000)</f>
        <v>1424414.3359999999</v>
      </c>
      <c r="F52">
        <f>3365499904/(1000)</f>
        <v>3365499.9040000001</v>
      </c>
      <c r="G52">
        <f>188100000/(1000)</f>
        <v>188100</v>
      </c>
      <c r="H52">
        <f>1860014336/(1000)</f>
        <v>1860014.3359999999</v>
      </c>
      <c r="I52">
        <f>269000000/(1000)</f>
        <v>269000</v>
      </c>
      <c r="J52">
        <f t="shared" si="0"/>
        <v>6.9145514349442374E-3</v>
      </c>
      <c r="K52">
        <f>71100001/(1000)</f>
        <v>71100.001000000004</v>
      </c>
      <c r="L52">
        <v>38.378799438476598</v>
      </c>
      <c r="M52">
        <v>15.0391025543213</v>
      </c>
      <c r="N52">
        <v>64.990430905789793</v>
      </c>
      <c r="O52">
        <v>17.294868469238299</v>
      </c>
      <c r="P52">
        <v>0</v>
      </c>
      <c r="Q52">
        <v>0.92798014146905905</v>
      </c>
      <c r="R52">
        <v>7.4485048110897703</v>
      </c>
      <c r="S52">
        <v>60.990191605685801</v>
      </c>
      <c r="T52">
        <v>0</v>
      </c>
      <c r="U52">
        <v>0</v>
      </c>
      <c r="V52">
        <v>0</v>
      </c>
      <c r="W52">
        <v>0</v>
      </c>
    </row>
    <row r="53" spans="1:23" x14ac:dyDescent="0.55000000000000004">
      <c r="A53" t="s">
        <v>111</v>
      </c>
      <c r="B53" t="s">
        <v>112</v>
      </c>
      <c r="C53" t="s">
        <v>20</v>
      </c>
      <c r="D53">
        <v>1.72</v>
      </c>
      <c r="E53">
        <f>136101680/(1000)</f>
        <v>136101.68</v>
      </c>
      <c r="F53">
        <f>3308111104/(1000)</f>
        <v>3308111.1039999998</v>
      </c>
      <c r="G53">
        <f>-354070016/(1000)</f>
        <v>-354070.016</v>
      </c>
      <c r="H53">
        <f>2062918704/(1000)</f>
        <v>2062918.7039999999</v>
      </c>
      <c r="I53">
        <f>-298760992/(1000)</f>
        <v>-298760.99200000003</v>
      </c>
      <c r="J53">
        <f t="shared" si="0"/>
        <v>-6.9049131554630794E-3</v>
      </c>
      <c r="K53">
        <f>456828001/(1000)</f>
        <v>456828.00099999999</v>
      </c>
      <c r="L53">
        <v>0</v>
      </c>
      <c r="M53">
        <v>-162.81074523925801</v>
      </c>
      <c r="N53">
        <v>80.881907648380803</v>
      </c>
      <c r="O53">
        <v>733.94305419921898</v>
      </c>
      <c r="P53">
        <v>0</v>
      </c>
      <c r="Q53">
        <v>0.90813092930876704</v>
      </c>
      <c r="R53">
        <v>0</v>
      </c>
      <c r="S53">
        <v>3.3185141998395502</v>
      </c>
      <c r="T53">
        <v>0</v>
      </c>
      <c r="U53">
        <v>0</v>
      </c>
      <c r="V53">
        <v>0</v>
      </c>
      <c r="W53">
        <v>0</v>
      </c>
    </row>
    <row r="54" spans="1:23" x14ac:dyDescent="0.55000000000000004">
      <c r="A54" t="s">
        <v>113</v>
      </c>
      <c r="B54" t="s">
        <v>114</v>
      </c>
      <c r="C54" t="s">
        <v>20</v>
      </c>
      <c r="D54">
        <v>2.89</v>
      </c>
      <c r="E54">
        <f>156941744/(1000)</f>
        <v>156941.74400000001</v>
      </c>
      <c r="F54">
        <f>3248199936/(1000)</f>
        <v>3248199.9360000002</v>
      </c>
      <c r="G54">
        <f>75600000/(1000)</f>
        <v>75600</v>
      </c>
      <c r="H54">
        <f>886341744/(1000)</f>
        <v>886341.74399999995</v>
      </c>
      <c r="I54">
        <f>305000000/(1000)</f>
        <v>305000</v>
      </c>
      <c r="J54">
        <f t="shared" si="0"/>
        <v>2.9060385049180324E-3</v>
      </c>
      <c r="K54">
        <f>181400001/(1000)</f>
        <v>181400.00099999999</v>
      </c>
      <c r="L54">
        <v>16.321022033691399</v>
      </c>
      <c r="M54">
        <v>4.3417038917541504</v>
      </c>
      <c r="N54">
        <v>83.835404832732493</v>
      </c>
      <c r="O54">
        <v>96.339958190917997</v>
      </c>
      <c r="P54">
        <v>7.9999998211861004E-2</v>
      </c>
      <c r="Q54">
        <v>0.50304615534782204</v>
      </c>
      <c r="R54">
        <v>0</v>
      </c>
      <c r="S54">
        <v>-6.6662836695138603</v>
      </c>
      <c r="T54">
        <v>0</v>
      </c>
      <c r="U54">
        <v>0</v>
      </c>
      <c r="V54">
        <v>0</v>
      </c>
      <c r="W54">
        <v>0</v>
      </c>
    </row>
    <row r="55" spans="1:23" x14ac:dyDescent="0.55000000000000004">
      <c r="A55" t="s">
        <v>115</v>
      </c>
      <c r="B55" t="s">
        <v>116</v>
      </c>
      <c r="C55" t="s">
        <v>17</v>
      </c>
      <c r="D55">
        <v>17.59</v>
      </c>
      <c r="E55">
        <f>431171360/(1000)</f>
        <v>431171.36</v>
      </c>
      <c r="F55">
        <f>3238046464/(1000)</f>
        <v>3238046.4640000002</v>
      </c>
      <c r="G55">
        <f>124776304/(1000)</f>
        <v>124776.304</v>
      </c>
      <c r="H55">
        <f>1144148576/(1000)</f>
        <v>1144148.5759999999</v>
      </c>
      <c r="I55">
        <f>193924896/(1000)</f>
        <v>193924.89600000001</v>
      </c>
      <c r="J55">
        <f t="shared" si="0"/>
        <v>5.8999571462964705E-3</v>
      </c>
      <c r="K55">
        <f>-159160159/(1000)</f>
        <v>-159160.15900000001</v>
      </c>
      <c r="L55">
        <v>12.1794176101685</v>
      </c>
      <c r="M55">
        <v>14.2227420806885</v>
      </c>
      <c r="N55">
        <v>89.761754547708094</v>
      </c>
      <c r="O55">
        <v>186.36413574218801</v>
      </c>
      <c r="P55">
        <v>0.66000002622604403</v>
      </c>
      <c r="Q55">
        <v>0</v>
      </c>
      <c r="R55">
        <v>8.0688073829703093</v>
      </c>
      <c r="S55">
        <v>62.626581330461498</v>
      </c>
      <c r="T55">
        <v>0</v>
      </c>
      <c r="U55">
        <v>0</v>
      </c>
      <c r="V55">
        <v>0</v>
      </c>
      <c r="W55">
        <v>0</v>
      </c>
    </row>
    <row r="56" spans="1:23" x14ac:dyDescent="0.55000000000000004">
      <c r="A56" t="s">
        <v>117</v>
      </c>
      <c r="B56" t="s">
        <v>118</v>
      </c>
      <c r="C56" t="s">
        <v>17</v>
      </c>
      <c r="D56">
        <v>1194</v>
      </c>
      <c r="E56">
        <f>1482350976/(1000)</f>
        <v>1482350.976</v>
      </c>
      <c r="F56">
        <f>3213300992/(1000)</f>
        <v>3213300.9920000001</v>
      </c>
      <c r="G56">
        <f>169915008/(1000)</f>
        <v>169915.008</v>
      </c>
      <c r="H56">
        <f>1548764984/(1000)</f>
        <v>1548764.9839999999</v>
      </c>
      <c r="I56">
        <f>249136000/(1000)</f>
        <v>249136</v>
      </c>
      <c r="J56">
        <f t="shared" si="0"/>
        <v>6.216544313146233E-3</v>
      </c>
      <c r="K56">
        <f>-20293999/(1000)</f>
        <v>-20293.999</v>
      </c>
      <c r="L56">
        <v>9.1205072402954102</v>
      </c>
      <c r="M56">
        <v>14.1802158355713</v>
      </c>
      <c r="N56">
        <v>26.967377736544499</v>
      </c>
      <c r="O56">
        <v>16.4206142425537</v>
      </c>
      <c r="P56">
        <v>3</v>
      </c>
      <c r="Q56">
        <v>0</v>
      </c>
      <c r="R56">
        <v>9.2694668320047704</v>
      </c>
      <c r="S56">
        <v>75.656736564582204</v>
      </c>
      <c r="T56">
        <v>0</v>
      </c>
      <c r="U56">
        <v>0</v>
      </c>
      <c r="V56">
        <v>0</v>
      </c>
      <c r="W56">
        <v>0</v>
      </c>
    </row>
    <row r="57" spans="1:23" x14ac:dyDescent="0.55000000000000004">
      <c r="A57" t="s">
        <v>119</v>
      </c>
      <c r="B57" t="s">
        <v>120</v>
      </c>
      <c r="C57" t="s">
        <v>121</v>
      </c>
      <c r="D57">
        <v>16.29</v>
      </c>
      <c r="E57">
        <f>1069521536/(1000)</f>
        <v>1069521.5360000001</v>
      </c>
      <c r="F57">
        <f>3192177920/(1000)</f>
        <v>3192177.92</v>
      </c>
      <c r="G57">
        <f>174720992/(1000)</f>
        <v>174720.992</v>
      </c>
      <c r="H57">
        <f>1563017536/(1000)</f>
        <v>1563017.5360000001</v>
      </c>
      <c r="I57">
        <f>278235008/(1000)</f>
        <v>278235.00799999997</v>
      </c>
      <c r="J57">
        <f t="shared" si="0"/>
        <v>5.6176163712655458E-3</v>
      </c>
      <c r="K57">
        <f>-73559007/(1000)</f>
        <v>-73559.006999999998</v>
      </c>
      <c r="L57">
        <v>0</v>
      </c>
      <c r="M57">
        <v>9.3267612457275408</v>
      </c>
      <c r="N57">
        <v>29.476766619662101</v>
      </c>
      <c r="O57">
        <v>39.747100830078097</v>
      </c>
      <c r="P57">
        <v>0.20999999344348899</v>
      </c>
      <c r="Q57">
        <v>0.78317314966543405</v>
      </c>
      <c r="R57">
        <v>12.066667398111299</v>
      </c>
      <c r="S57">
        <v>197.60374171618801</v>
      </c>
      <c r="T57">
        <v>0</v>
      </c>
      <c r="U57">
        <v>0</v>
      </c>
      <c r="V57">
        <v>0</v>
      </c>
      <c r="W57">
        <v>0</v>
      </c>
    </row>
    <row r="58" spans="1:23" x14ac:dyDescent="0.55000000000000004">
      <c r="A58" t="s">
        <v>122</v>
      </c>
      <c r="B58" t="s">
        <v>123</v>
      </c>
      <c r="C58" t="s">
        <v>5</v>
      </c>
      <c r="D58">
        <v>34.74</v>
      </c>
      <c r="E58">
        <f>1569935360/(1000)</f>
        <v>1569935.3600000001</v>
      </c>
      <c r="F58">
        <f>3176300032/(1000)</f>
        <v>3176300.0320000001</v>
      </c>
      <c r="G58">
        <f>196500000/(1000)</f>
        <v>196500</v>
      </c>
      <c r="H58">
        <f>2433135360/(1000)</f>
        <v>2433135.36</v>
      </c>
      <c r="I58">
        <f>380700000/(1000)</f>
        <v>380700</v>
      </c>
      <c r="J58">
        <f t="shared" si="0"/>
        <v>6.3912144996059886E-3</v>
      </c>
      <c r="K58">
        <f>79000001/(1000)</f>
        <v>79000.001000000004</v>
      </c>
      <c r="L58">
        <v>16.1724643707275</v>
      </c>
      <c r="M58">
        <v>14.875123977661101</v>
      </c>
      <c r="N58">
        <v>98.8167956679371</v>
      </c>
      <c r="O58">
        <v>91.768936157226605</v>
      </c>
      <c r="P58">
        <v>1.6799999475479099</v>
      </c>
      <c r="Q58">
        <v>1.62488321057638</v>
      </c>
      <c r="R58">
        <v>12.9626870237228</v>
      </c>
      <c r="S58">
        <v>67.402757713831306</v>
      </c>
      <c r="T58">
        <v>0</v>
      </c>
      <c r="U58">
        <v>0</v>
      </c>
      <c r="V58">
        <v>0</v>
      </c>
      <c r="W58">
        <v>0</v>
      </c>
    </row>
    <row r="59" spans="1:23" x14ac:dyDescent="0.55000000000000004">
      <c r="A59" t="s">
        <v>124</v>
      </c>
      <c r="B59" t="s">
        <v>125</v>
      </c>
      <c r="C59" t="s">
        <v>121</v>
      </c>
      <c r="D59">
        <v>10.8</v>
      </c>
      <c r="E59">
        <f>799830784/(1000)</f>
        <v>799830.78399999999</v>
      </c>
      <c r="F59">
        <f>3136399872/(1000)</f>
        <v>3136399.872</v>
      </c>
      <c r="G59">
        <f>389500000/(1000)</f>
        <v>389500</v>
      </c>
      <c r="H59">
        <f>3600630784/(1000)</f>
        <v>3600630.784</v>
      </c>
      <c r="I59">
        <f>602200000/(1000)</f>
        <v>602200</v>
      </c>
      <c r="J59">
        <f t="shared" si="0"/>
        <v>5.9791278379275987E-3</v>
      </c>
      <c r="K59">
        <f>141900001/(1000)</f>
        <v>141900.00099999999</v>
      </c>
      <c r="L59">
        <v>0</v>
      </c>
      <c r="M59">
        <v>23.542076110839801</v>
      </c>
      <c r="N59">
        <v>99.574250858376899</v>
      </c>
      <c r="O59">
        <v>147.61822509765599</v>
      </c>
      <c r="P59">
        <v>0</v>
      </c>
      <c r="Q59">
        <v>0.47140987615304702</v>
      </c>
      <c r="R59">
        <v>6.8789813220271396</v>
      </c>
      <c r="S59">
        <v>0</v>
      </c>
      <c r="T59">
        <v>0</v>
      </c>
      <c r="U59">
        <v>0</v>
      </c>
      <c r="V59">
        <v>0</v>
      </c>
      <c r="W59">
        <v>0</v>
      </c>
    </row>
    <row r="60" spans="1:23" x14ac:dyDescent="0.55000000000000004">
      <c r="A60" t="s">
        <v>126</v>
      </c>
      <c r="B60" t="s">
        <v>127</v>
      </c>
      <c r="C60" t="s">
        <v>121</v>
      </c>
      <c r="D60">
        <v>5.97</v>
      </c>
      <c r="E60">
        <f>430780288/(1000)</f>
        <v>430780.288</v>
      </c>
      <c r="F60">
        <f>3115200000/(1000)</f>
        <v>3115200</v>
      </c>
      <c r="G60">
        <f>235000000/(1000)</f>
        <v>235000</v>
      </c>
      <c r="H60">
        <f>961780288/(1000)</f>
        <v>961780.28799999994</v>
      </c>
      <c r="I60">
        <f>348400000/(1000)</f>
        <v>348400</v>
      </c>
      <c r="J60">
        <f t="shared" si="0"/>
        <v>2.7605633983926519E-3</v>
      </c>
      <c r="K60">
        <f>-48699999/(1000)</f>
        <v>-48699.999000000003</v>
      </c>
      <c r="L60">
        <v>9.1306495666503906</v>
      </c>
      <c r="M60">
        <v>0</v>
      </c>
      <c r="N60">
        <v>99.167375240911596</v>
      </c>
      <c r="O60">
        <v>0</v>
      </c>
      <c r="P60">
        <v>0</v>
      </c>
      <c r="Q60">
        <v>0</v>
      </c>
      <c r="R60">
        <v>2.8840578796232101</v>
      </c>
      <c r="S60">
        <v>71.428571428571402</v>
      </c>
      <c r="T60">
        <v>0</v>
      </c>
      <c r="U60">
        <v>0</v>
      </c>
      <c r="V60">
        <v>0</v>
      </c>
      <c r="W60">
        <v>0</v>
      </c>
    </row>
    <row r="61" spans="1:23" x14ac:dyDescent="0.55000000000000004">
      <c r="A61" t="s">
        <v>128</v>
      </c>
      <c r="B61" t="s">
        <v>129</v>
      </c>
      <c r="C61" t="s">
        <v>121</v>
      </c>
      <c r="D61">
        <v>11.02</v>
      </c>
      <c r="E61">
        <f>868475136/(1000)</f>
        <v>868475.13600000006</v>
      </c>
      <c r="F61">
        <f>3067161088/(1000)</f>
        <v>3067161.088</v>
      </c>
      <c r="G61">
        <f>124145000/(1000)</f>
        <v>124145</v>
      </c>
      <c r="H61">
        <f>1251304128/(1000)</f>
        <v>1251304.128</v>
      </c>
      <c r="I61">
        <f>187558000/(1000)</f>
        <v>187558</v>
      </c>
      <c r="J61">
        <f t="shared" si="0"/>
        <v>6.6715582806385221E-3</v>
      </c>
      <c r="K61">
        <f>133001001/(1000)</f>
        <v>133001.00099999999</v>
      </c>
      <c r="L61">
        <v>12.6712074279785</v>
      </c>
      <c r="M61">
        <v>11.7578010559082</v>
      </c>
      <c r="N61">
        <v>78.424039746543301</v>
      </c>
      <c r="O61">
        <v>41.017097473144503</v>
      </c>
      <c r="P61">
        <v>0.68000000715255704</v>
      </c>
      <c r="Q61">
        <v>1.0033414591261101</v>
      </c>
      <c r="R61">
        <v>13.8409517302188</v>
      </c>
      <c r="S61">
        <v>38.167180805978198</v>
      </c>
      <c r="T61">
        <v>0</v>
      </c>
      <c r="U61">
        <v>0</v>
      </c>
      <c r="V61">
        <v>0</v>
      </c>
      <c r="W61">
        <v>0</v>
      </c>
    </row>
    <row r="62" spans="1:23" x14ac:dyDescent="0.55000000000000004">
      <c r="A62" t="s">
        <v>130</v>
      </c>
      <c r="B62" t="s">
        <v>131</v>
      </c>
      <c r="C62" t="s">
        <v>5</v>
      </c>
      <c r="D62">
        <v>11.72</v>
      </c>
      <c r="E62">
        <f>747271872/(1000)</f>
        <v>747271.87199999997</v>
      </c>
      <c r="F62">
        <f>3035399936/(1000)</f>
        <v>3035399.9360000002</v>
      </c>
      <c r="G62">
        <f>91500000/(1000)</f>
        <v>91500</v>
      </c>
      <c r="H62">
        <f>1376971840/(1000)</f>
        <v>1376971.84</v>
      </c>
      <c r="I62">
        <f>208800000/(1000)</f>
        <v>208800</v>
      </c>
      <c r="J62">
        <f t="shared" si="0"/>
        <v>6.5946927203065142E-3</v>
      </c>
      <c r="K62">
        <f>25400001/(1000)</f>
        <v>25400.001</v>
      </c>
      <c r="L62">
        <v>25.5838928222656</v>
      </c>
      <c r="M62">
        <v>6.0869569778442401</v>
      </c>
      <c r="N62">
        <v>98.887555791094201</v>
      </c>
      <c r="O62">
        <v>128.07943725585901</v>
      </c>
      <c r="P62">
        <v>0</v>
      </c>
      <c r="Q62">
        <v>0</v>
      </c>
      <c r="R62">
        <v>8.8176192223395997</v>
      </c>
      <c r="S62">
        <v>5.4690688325083903</v>
      </c>
      <c r="T62">
        <v>0</v>
      </c>
      <c r="U62">
        <v>0</v>
      </c>
      <c r="V62">
        <v>0</v>
      </c>
      <c r="W62">
        <v>0</v>
      </c>
    </row>
    <row r="63" spans="1:23" x14ac:dyDescent="0.55000000000000004">
      <c r="A63" t="s">
        <v>132</v>
      </c>
      <c r="B63" t="s">
        <v>133</v>
      </c>
      <c r="C63" t="s">
        <v>38</v>
      </c>
      <c r="D63">
        <v>8.82</v>
      </c>
      <c r="E63">
        <f>597091968/(1000)</f>
        <v>597091.96799999999</v>
      </c>
      <c r="F63">
        <f>3034622976/(1000)</f>
        <v>3034622.9759999998</v>
      </c>
      <c r="G63">
        <f>97785000/(1000)</f>
        <v>97785</v>
      </c>
      <c r="H63">
        <f>409572960/(1000)</f>
        <v>409572.96</v>
      </c>
      <c r="I63">
        <f>110036000/(1000)</f>
        <v>110036</v>
      </c>
      <c r="J63">
        <f t="shared" si="0"/>
        <v>3.7221723799483806E-3</v>
      </c>
      <c r="K63">
        <f>346716993/(1000)</f>
        <v>346716.99300000002</v>
      </c>
      <c r="L63">
        <v>18.311738967895501</v>
      </c>
      <c r="M63">
        <v>8.5144815444946307</v>
      </c>
      <c r="N63">
        <v>35.164222089163097</v>
      </c>
      <c r="O63">
        <v>33.982425689697301</v>
      </c>
      <c r="P63">
        <v>0</v>
      </c>
      <c r="Q63">
        <v>0.56411893608619401</v>
      </c>
      <c r="R63">
        <v>6.3913041487683602</v>
      </c>
      <c r="S63">
        <v>815.35818111302899</v>
      </c>
      <c r="T63">
        <v>0</v>
      </c>
      <c r="U63">
        <v>0</v>
      </c>
      <c r="V63">
        <v>0</v>
      </c>
      <c r="W63">
        <v>0</v>
      </c>
    </row>
    <row r="64" spans="1:23" x14ac:dyDescent="0.55000000000000004">
      <c r="A64" t="s">
        <v>134</v>
      </c>
      <c r="B64" t="s">
        <v>135</v>
      </c>
      <c r="C64" t="s">
        <v>20</v>
      </c>
      <c r="D64">
        <v>17.670000000000002</v>
      </c>
      <c r="E64">
        <f>754941888/(1000)</f>
        <v>754941.88800000004</v>
      </c>
      <c r="F64">
        <f>3032593920/(1000)</f>
        <v>3032593.92</v>
      </c>
      <c r="G64">
        <f>-419608000/(1000)</f>
        <v>-419608</v>
      </c>
      <c r="H64">
        <f>1228042880/(1000)</f>
        <v>1228042.8799999999</v>
      </c>
      <c r="I64">
        <f>-365113984/(1000)</f>
        <v>-365113.984</v>
      </c>
      <c r="J64">
        <f t="shared" si="0"/>
        <v>-3.3634506861287454E-3</v>
      </c>
      <c r="K64">
        <f>195992993/(1000)</f>
        <v>195992.99299999999</v>
      </c>
      <c r="L64">
        <v>8.7566080093383807</v>
      </c>
      <c r="M64">
        <v>-25.3064994812012</v>
      </c>
      <c r="N64">
        <v>97.283762752599998</v>
      </c>
      <c r="O64">
        <v>70.295608520507798</v>
      </c>
      <c r="P64">
        <v>0.119999997317791</v>
      </c>
      <c r="Q64">
        <v>0.97525709251309101</v>
      </c>
      <c r="R64">
        <v>29.949153530200899</v>
      </c>
      <c r="S64">
        <v>5.4003994799233697</v>
      </c>
      <c r="T64">
        <v>0</v>
      </c>
      <c r="U64">
        <v>0</v>
      </c>
      <c r="V64">
        <v>0</v>
      </c>
      <c r="W64">
        <v>0</v>
      </c>
    </row>
    <row r="65" spans="1:23" x14ac:dyDescent="0.55000000000000004">
      <c r="A65" t="s">
        <v>136</v>
      </c>
      <c r="B65" t="s">
        <v>137</v>
      </c>
      <c r="C65" t="s">
        <v>5</v>
      </c>
      <c r="D65">
        <v>2.44</v>
      </c>
      <c r="E65">
        <f>277877216/(1000)</f>
        <v>277877.21600000001</v>
      </c>
      <c r="F65">
        <f>3009953024/(1000)</f>
        <v>3009953.0240000002</v>
      </c>
      <c r="G65">
        <f>33627000/(1000)</f>
        <v>33627</v>
      </c>
      <c r="H65">
        <f>405122216/(1000)</f>
        <v>405122.21600000001</v>
      </c>
      <c r="I65">
        <f>130876000/(1000)</f>
        <v>130876</v>
      </c>
      <c r="J65">
        <f t="shared" si="0"/>
        <v>3.0954660594761452E-3</v>
      </c>
      <c r="K65">
        <f>22136001/(1000)</f>
        <v>22136.001</v>
      </c>
      <c r="L65">
        <v>21.379358291626001</v>
      </c>
      <c r="M65">
        <v>-9.9420614242553693</v>
      </c>
      <c r="N65">
        <v>96.836519049988397</v>
      </c>
      <c r="O65">
        <v>43.123908996582003</v>
      </c>
      <c r="P65">
        <v>0</v>
      </c>
      <c r="Q65">
        <v>0.54222223493788002</v>
      </c>
      <c r="R65">
        <v>0</v>
      </c>
      <c r="S65">
        <v>24.769593970291002</v>
      </c>
      <c r="T65">
        <v>0</v>
      </c>
      <c r="U65">
        <v>0</v>
      </c>
      <c r="V65">
        <v>0</v>
      </c>
      <c r="W65">
        <v>0</v>
      </c>
    </row>
    <row r="66" spans="1:23" x14ac:dyDescent="0.55000000000000004">
      <c r="A66" t="s">
        <v>138</v>
      </c>
      <c r="B66" t="s">
        <v>139</v>
      </c>
      <c r="C66" t="s">
        <v>5</v>
      </c>
      <c r="D66">
        <v>51.81</v>
      </c>
      <c r="E66">
        <f>3113563392/(1000)</f>
        <v>3113563.392</v>
      </c>
      <c r="F66">
        <f>2989094912/(1000)</f>
        <v>2989094.912</v>
      </c>
      <c r="G66">
        <f>0/(1000)</f>
        <v>0</v>
      </c>
      <c r="H66">
        <f>2865429376/(1000)</f>
        <v>2865429.3760000002</v>
      </c>
      <c r="I66">
        <f>0/(1000)</f>
        <v>0</v>
      </c>
      <c r="J66">
        <f t="shared" ref="J66:J129" si="1">(IF(I66=0,1000,H66/I66))/(1000)</f>
        <v>1</v>
      </c>
      <c r="K66">
        <f>188742993/(1000)</f>
        <v>188742.99299999999</v>
      </c>
      <c r="L66">
        <v>0</v>
      </c>
      <c r="M66">
        <v>25.878974914550799</v>
      </c>
      <c r="N66">
        <v>28.361383703299101</v>
      </c>
      <c r="O66">
        <v>20.711530685424801</v>
      </c>
      <c r="P66">
        <v>0.30000001192092901</v>
      </c>
      <c r="Q66">
        <v>1.2116464781805301</v>
      </c>
      <c r="R66">
        <v>15.605422414176299</v>
      </c>
      <c r="S66">
        <v>76.716229606424093</v>
      </c>
      <c r="T66">
        <v>0</v>
      </c>
      <c r="U66">
        <v>0</v>
      </c>
      <c r="V66">
        <v>0</v>
      </c>
      <c r="W66">
        <v>0</v>
      </c>
    </row>
    <row r="67" spans="1:23" x14ac:dyDescent="0.55000000000000004">
      <c r="A67" t="s">
        <v>140</v>
      </c>
      <c r="B67" t="s">
        <v>141</v>
      </c>
      <c r="C67" t="s">
        <v>8</v>
      </c>
      <c r="D67">
        <v>4</v>
      </c>
      <c r="E67">
        <f>344588416/(1000)</f>
        <v>344588.41600000003</v>
      </c>
      <c r="F67">
        <f>2966863872/(1000)</f>
        <v>2966863.872</v>
      </c>
      <c r="G67">
        <f>228108000/(1000)</f>
        <v>228108</v>
      </c>
      <c r="H67">
        <f>795968416/(1000)</f>
        <v>795968.41599999997</v>
      </c>
      <c r="I67">
        <f>296513984/(1000)</f>
        <v>296513.984</v>
      </c>
      <c r="J67">
        <f t="shared" si="1"/>
        <v>2.6844211705037155E-3</v>
      </c>
      <c r="K67">
        <f>240392775663617/(1000)</f>
        <v>240392775663.617</v>
      </c>
      <c r="L67">
        <v>0</v>
      </c>
      <c r="M67">
        <v>-26.5602931976318</v>
      </c>
      <c r="N67">
        <v>99.558194825422703</v>
      </c>
      <c r="O67">
        <v>112.97528076171901</v>
      </c>
      <c r="P67">
        <v>0</v>
      </c>
      <c r="Q67">
        <v>0.55020632881627995</v>
      </c>
      <c r="R67">
        <v>2.42424248116513</v>
      </c>
      <c r="S67">
        <v>0</v>
      </c>
      <c r="T67">
        <v>0</v>
      </c>
      <c r="U67">
        <v>0</v>
      </c>
      <c r="V67">
        <v>0</v>
      </c>
      <c r="W67">
        <v>0</v>
      </c>
    </row>
    <row r="68" spans="1:23" x14ac:dyDescent="0.55000000000000004">
      <c r="A68" t="s">
        <v>142</v>
      </c>
      <c r="B68" t="s">
        <v>143</v>
      </c>
      <c r="C68" t="s">
        <v>20</v>
      </c>
      <c r="D68">
        <v>6.16</v>
      </c>
      <c r="E68">
        <f>362887456/(1000)</f>
        <v>362887.45600000001</v>
      </c>
      <c r="F68">
        <f>2932574976/(1000)</f>
        <v>2932574.9759999998</v>
      </c>
      <c r="G68">
        <f>137907008/(1000)</f>
        <v>137907.008</v>
      </c>
      <c r="H68">
        <f>826932448/(1000)</f>
        <v>826932.44799999997</v>
      </c>
      <c r="I68">
        <f>274839008/(1000)</f>
        <v>274839.00799999997</v>
      </c>
      <c r="J68">
        <f t="shared" si="1"/>
        <v>3.0087885050145433E-3</v>
      </c>
      <c r="K68">
        <f>231822001/(1000)</f>
        <v>231822.00099999999</v>
      </c>
      <c r="L68">
        <v>0</v>
      </c>
      <c r="M68">
        <v>16.697597503662099</v>
      </c>
      <c r="N68">
        <v>92.085932149632796</v>
      </c>
      <c r="O68">
        <v>62.518524169921903</v>
      </c>
      <c r="P68">
        <v>0.41999998688697798</v>
      </c>
      <c r="Q68">
        <v>0.59574465730258097</v>
      </c>
      <c r="R68">
        <v>0</v>
      </c>
      <c r="S68">
        <v>-11.933551384589601</v>
      </c>
      <c r="T68">
        <v>0</v>
      </c>
      <c r="U68">
        <v>0</v>
      </c>
      <c r="V68">
        <v>0</v>
      </c>
      <c r="W68">
        <v>0</v>
      </c>
    </row>
    <row r="69" spans="1:23" x14ac:dyDescent="0.55000000000000004">
      <c r="A69" t="s">
        <v>144</v>
      </c>
      <c r="B69" t="s">
        <v>145</v>
      </c>
      <c r="C69" t="s">
        <v>121</v>
      </c>
      <c r="D69">
        <v>47.81</v>
      </c>
      <c r="E69">
        <f>1815015808/(1000)</f>
        <v>1815015.808</v>
      </c>
      <c r="F69">
        <f>2922995968/(1000)</f>
        <v>2922995.9679999999</v>
      </c>
      <c r="G69">
        <f>259204000/(1000)</f>
        <v>259204</v>
      </c>
      <c r="H69">
        <f>2827728768/(1000)</f>
        <v>2827728.7680000002</v>
      </c>
      <c r="I69">
        <f>397187008/(1000)</f>
        <v>397187.00799999997</v>
      </c>
      <c r="J69">
        <f t="shared" si="1"/>
        <v>7.1193888799101915E-3</v>
      </c>
      <c r="K69">
        <f>124763001/(1000)</f>
        <v>124763.001</v>
      </c>
      <c r="L69">
        <v>14.3904409408569</v>
      </c>
      <c r="M69">
        <v>28.3350429534912</v>
      </c>
      <c r="N69">
        <v>69.419251060034497</v>
      </c>
      <c r="O69">
        <v>198.46745300293</v>
      </c>
      <c r="P69">
        <v>0.17000000178813901</v>
      </c>
      <c r="Q69">
        <v>2.9732588059784</v>
      </c>
      <c r="R69">
        <v>13.5823868273734</v>
      </c>
      <c r="S69">
        <v>47.010986406191698</v>
      </c>
      <c r="T69">
        <v>0</v>
      </c>
      <c r="U69">
        <v>0</v>
      </c>
      <c r="V69">
        <v>0</v>
      </c>
      <c r="W69">
        <v>0</v>
      </c>
    </row>
    <row r="70" spans="1:23" x14ac:dyDescent="0.55000000000000004">
      <c r="A70" t="s">
        <v>146</v>
      </c>
      <c r="B70" t="s">
        <v>147</v>
      </c>
      <c r="C70" t="s">
        <v>38</v>
      </c>
      <c r="D70">
        <v>19.71</v>
      </c>
      <c r="E70">
        <f>845643776/(1000)</f>
        <v>845643.77599999995</v>
      </c>
      <c r="F70">
        <f>2919291904/(1000)</f>
        <v>2919291.9040000001</v>
      </c>
      <c r="G70">
        <f>54093000/(1000)</f>
        <v>54093</v>
      </c>
      <c r="H70">
        <f>659956768/(1000)</f>
        <v>659956.76800000004</v>
      </c>
      <c r="I70">
        <f>81900000/(1000)</f>
        <v>81900</v>
      </c>
      <c r="J70">
        <f t="shared" si="1"/>
        <v>8.0580801953601955E-3</v>
      </c>
      <c r="K70">
        <f>148303009/(1000)</f>
        <v>148303.00899999999</v>
      </c>
      <c r="L70">
        <v>28.331771850585898</v>
      </c>
      <c r="M70">
        <v>19.799047470092798</v>
      </c>
      <c r="N70">
        <v>95.587853293803207</v>
      </c>
      <c r="O70">
        <v>49.9647026062012</v>
      </c>
      <c r="P70">
        <v>0</v>
      </c>
      <c r="Q70">
        <v>1.7629694585382001</v>
      </c>
      <c r="R70">
        <v>12.396225927583901</v>
      </c>
      <c r="S70">
        <v>532.58376799201199</v>
      </c>
      <c r="T70">
        <v>0</v>
      </c>
      <c r="U70">
        <v>0</v>
      </c>
      <c r="V70">
        <v>0</v>
      </c>
      <c r="W70">
        <v>0</v>
      </c>
    </row>
    <row r="71" spans="1:23" x14ac:dyDescent="0.55000000000000004">
      <c r="A71" t="s">
        <v>148</v>
      </c>
      <c r="B71" t="s">
        <v>149</v>
      </c>
      <c r="C71" t="s">
        <v>31</v>
      </c>
      <c r="D71">
        <v>12.77</v>
      </c>
      <c r="E71">
        <f>831489216/(1000)</f>
        <v>831489.21600000001</v>
      </c>
      <c r="F71">
        <f>2915919104/(1000)</f>
        <v>2915919.1039999998</v>
      </c>
      <c r="G71">
        <f>103214000/(1000)</f>
        <v>103214</v>
      </c>
      <c r="H71">
        <f>502150208/(1000)</f>
        <v>502150.20799999998</v>
      </c>
      <c r="I71">
        <f>146346000/(1000)</f>
        <v>146346</v>
      </c>
      <c r="J71">
        <f t="shared" si="1"/>
        <v>3.4312533858117064E-3</v>
      </c>
      <c r="K71">
        <f>265103009/(1000)</f>
        <v>265103.00900000002</v>
      </c>
      <c r="L71">
        <v>18.528242111206101</v>
      </c>
      <c r="M71">
        <v>8.2058668136596697</v>
      </c>
      <c r="N71">
        <v>99.057171023986101</v>
      </c>
      <c r="O71">
        <v>0.97212201356887795</v>
      </c>
      <c r="P71">
        <v>0</v>
      </c>
      <c r="Q71">
        <v>0.66406660227505099</v>
      </c>
      <c r="R71">
        <v>9.6742426050335997</v>
      </c>
      <c r="S71">
        <v>78.888551137061896</v>
      </c>
      <c r="T71">
        <v>0</v>
      </c>
      <c r="U71">
        <v>0</v>
      </c>
      <c r="V71">
        <v>0</v>
      </c>
      <c r="W71">
        <v>0</v>
      </c>
    </row>
    <row r="72" spans="1:23" x14ac:dyDescent="0.55000000000000004">
      <c r="A72" t="s">
        <v>150</v>
      </c>
      <c r="B72" t="s">
        <v>151</v>
      </c>
      <c r="C72" t="s">
        <v>20</v>
      </c>
      <c r="D72">
        <v>17.649999999999999</v>
      </c>
      <c r="E72">
        <f>1178361728/(1000)</f>
        <v>1178361.7279999999</v>
      </c>
      <c r="F72">
        <f>2906120960/(1000)</f>
        <v>2906120.96</v>
      </c>
      <c r="G72">
        <f>320934016/(1000)</f>
        <v>320934.016</v>
      </c>
      <c r="H72">
        <f>2073512704/(1000)</f>
        <v>2073512.7039999999</v>
      </c>
      <c r="I72">
        <f>971651008/(1000)</f>
        <v>971651.00800000003</v>
      </c>
      <c r="J72">
        <f t="shared" si="1"/>
        <v>2.1340097287276213E-3</v>
      </c>
      <c r="K72">
        <f>138419009/(1000)</f>
        <v>138419.00899999999</v>
      </c>
      <c r="L72">
        <v>11.1422271728516</v>
      </c>
      <c r="M72">
        <v>8.0704736709594709</v>
      </c>
      <c r="N72">
        <v>96.996672013654603</v>
      </c>
      <c r="O72">
        <v>134.79200744628901</v>
      </c>
      <c r="P72">
        <v>0</v>
      </c>
      <c r="Q72">
        <v>0.89639406499767404</v>
      </c>
      <c r="R72">
        <v>8.9141412697821405</v>
      </c>
      <c r="S72">
        <v>44.579974308859697</v>
      </c>
      <c r="T72">
        <v>0</v>
      </c>
      <c r="U72">
        <v>0</v>
      </c>
      <c r="V72">
        <v>0</v>
      </c>
      <c r="W72">
        <v>0</v>
      </c>
    </row>
    <row r="73" spans="1:23" x14ac:dyDescent="0.55000000000000004">
      <c r="A73" t="s">
        <v>152</v>
      </c>
      <c r="B73" t="s">
        <v>153</v>
      </c>
      <c r="C73" t="s">
        <v>20</v>
      </c>
      <c r="D73">
        <v>1.78</v>
      </c>
      <c r="E73">
        <f>179738752/(1000)</f>
        <v>179738.75200000001</v>
      </c>
      <c r="F73">
        <f>2905509888/(1000)</f>
        <v>2905509.8879999998</v>
      </c>
      <c r="G73">
        <f>-172968000/(1000)</f>
        <v>-172968</v>
      </c>
      <c r="H73">
        <f>1131320768/(1000)</f>
        <v>1131320.7679999999</v>
      </c>
      <c r="I73">
        <f>-144422000/(1000)</f>
        <v>-144422</v>
      </c>
      <c r="J73">
        <f t="shared" si="1"/>
        <v>-7.8334378972732682E-3</v>
      </c>
      <c r="K73">
        <f>650081025/(1000)</f>
        <v>650081.02500000002</v>
      </c>
      <c r="L73">
        <v>0</v>
      </c>
      <c r="M73">
        <v>-55.612369537353501</v>
      </c>
      <c r="N73">
        <v>97.197042606698901</v>
      </c>
      <c r="O73">
        <v>200.58071899414099</v>
      </c>
      <c r="P73">
        <v>0</v>
      </c>
      <c r="Q73">
        <v>0.49978939636821901</v>
      </c>
      <c r="R73">
        <v>0</v>
      </c>
      <c r="S73">
        <v>54.1701081513079</v>
      </c>
      <c r="T73">
        <v>0</v>
      </c>
      <c r="U73">
        <v>0</v>
      </c>
      <c r="V73">
        <v>0</v>
      </c>
      <c r="W73">
        <v>0</v>
      </c>
    </row>
    <row r="74" spans="1:23" x14ac:dyDescent="0.55000000000000004">
      <c r="A74" t="s">
        <v>154</v>
      </c>
      <c r="B74" t="s">
        <v>155</v>
      </c>
      <c r="C74" t="s">
        <v>2</v>
      </c>
      <c r="D74">
        <v>7.1</v>
      </c>
      <c r="E74">
        <f>1924937856/(1000)</f>
        <v>1924937.8559999999</v>
      </c>
      <c r="F74">
        <f>2841999872/(1000)</f>
        <v>2841999.872</v>
      </c>
      <c r="G74">
        <f>169000000/(1000)</f>
        <v>169000</v>
      </c>
      <c r="H74">
        <f>4494937728/(1000)</f>
        <v>4494937.7280000001</v>
      </c>
      <c r="I74">
        <f>349000000/(1000)</f>
        <v>349000</v>
      </c>
      <c r="J74">
        <f t="shared" si="1"/>
        <v>1.2879477730659027E-2</v>
      </c>
      <c r="K74">
        <f>-258999999/(1000)</f>
        <v>-258999.99900000001</v>
      </c>
      <c r="L74">
        <v>0</v>
      </c>
      <c r="M74">
        <v>1.8108650445938099</v>
      </c>
      <c r="N74">
        <v>96.865899307687599</v>
      </c>
      <c r="O74">
        <v>294.20849609375</v>
      </c>
      <c r="P74">
        <v>0</v>
      </c>
      <c r="Q74">
        <v>1.1696869363826199</v>
      </c>
      <c r="R74">
        <v>0</v>
      </c>
      <c r="S74">
        <v>347.42447222675901</v>
      </c>
      <c r="T74">
        <v>0</v>
      </c>
      <c r="U74">
        <v>0</v>
      </c>
      <c r="V74">
        <v>0</v>
      </c>
      <c r="W74">
        <v>0</v>
      </c>
    </row>
    <row r="75" spans="1:23" x14ac:dyDescent="0.55000000000000004">
      <c r="A75" t="s">
        <v>156</v>
      </c>
      <c r="B75" t="s">
        <v>157</v>
      </c>
      <c r="C75" t="s">
        <v>5</v>
      </c>
      <c r="D75">
        <v>58.4</v>
      </c>
      <c r="E75">
        <f>3290308608/(1000)</f>
        <v>3290308.608</v>
      </c>
      <c r="F75">
        <f>2824399872/(1000)</f>
        <v>2824399.872</v>
      </c>
      <c r="G75">
        <f>177900000/(1000)</f>
        <v>177900</v>
      </c>
      <c r="H75">
        <f>4879308544/(1000)</f>
        <v>4879308.5439999998</v>
      </c>
      <c r="I75">
        <f>277400000/(1000)</f>
        <v>277400</v>
      </c>
      <c r="J75">
        <f t="shared" si="1"/>
        <v>1.7589432386445565E-2</v>
      </c>
      <c r="K75">
        <f>69500001/(1000)</f>
        <v>69500.001000000004</v>
      </c>
      <c r="L75">
        <v>23.878065109252901</v>
      </c>
      <c r="M75">
        <v>11.592801094055201</v>
      </c>
      <c r="N75">
        <v>97.5287927407349</v>
      </c>
      <c r="O75">
        <v>69.201744079589801</v>
      </c>
      <c r="P75">
        <v>0</v>
      </c>
      <c r="Q75">
        <v>1.2860603770560699</v>
      </c>
      <c r="R75">
        <v>16.497175750055401</v>
      </c>
      <c r="S75">
        <v>116.661542804541</v>
      </c>
      <c r="T75">
        <v>0</v>
      </c>
      <c r="U75">
        <v>0</v>
      </c>
      <c r="V75">
        <v>0</v>
      </c>
      <c r="W75">
        <v>0</v>
      </c>
    </row>
    <row r="76" spans="1:23" x14ac:dyDescent="0.55000000000000004">
      <c r="A76" t="s">
        <v>158</v>
      </c>
      <c r="B76" t="s">
        <v>159</v>
      </c>
      <c r="C76" t="s">
        <v>2</v>
      </c>
      <c r="D76">
        <v>10.77</v>
      </c>
      <c r="E76">
        <f>392788352/(1000)</f>
        <v>392788.35200000001</v>
      </c>
      <c r="F76">
        <f>2779875072/(1000)</f>
        <v>2779875.0720000002</v>
      </c>
      <c r="G76">
        <f>95504000/(1000)</f>
        <v>95504</v>
      </c>
      <c r="H76">
        <f>320436352/(1000)</f>
        <v>320436.35200000001</v>
      </c>
      <c r="I76">
        <f>104284000/(1000)</f>
        <v>104284</v>
      </c>
      <c r="J76">
        <f t="shared" si="1"/>
        <v>3.0727278585401404E-3</v>
      </c>
      <c r="K76">
        <f>85133001/(1000)</f>
        <v>85133.001000000004</v>
      </c>
      <c r="L76">
        <v>16.915061950683601</v>
      </c>
      <c r="M76">
        <v>22.222364425659201</v>
      </c>
      <c r="N76">
        <v>45.342549730146303</v>
      </c>
      <c r="O76">
        <v>1.3566190004348799</v>
      </c>
      <c r="P76">
        <v>0</v>
      </c>
      <c r="Q76">
        <v>0</v>
      </c>
      <c r="R76">
        <v>6.4491021211562201</v>
      </c>
      <c r="S76">
        <v>79.171430348712207</v>
      </c>
      <c r="T76">
        <v>0</v>
      </c>
      <c r="U76">
        <v>0</v>
      </c>
      <c r="V76">
        <v>0</v>
      </c>
      <c r="W76">
        <v>0</v>
      </c>
    </row>
    <row r="77" spans="1:23" x14ac:dyDescent="0.55000000000000004">
      <c r="A77" t="s">
        <v>160</v>
      </c>
      <c r="B77" t="s">
        <v>161</v>
      </c>
      <c r="C77" t="s">
        <v>31</v>
      </c>
      <c r="D77">
        <v>2.1800000000000002</v>
      </c>
      <c r="E77">
        <f>399017184/(1000)</f>
        <v>399017.18400000001</v>
      </c>
      <c r="F77">
        <f>2739444992/(1000)</f>
        <v>2739444.9920000001</v>
      </c>
      <c r="G77">
        <f>390691008/(1000)</f>
        <v>390691.00799999997</v>
      </c>
      <c r="H77">
        <f>1592982240/(1000)</f>
        <v>1592982.24</v>
      </c>
      <c r="I77">
        <f>679520000/(1000)</f>
        <v>679520</v>
      </c>
      <c r="J77">
        <f t="shared" si="1"/>
        <v>2.3442757240404993E-3</v>
      </c>
      <c r="K77">
        <f>367190017/(1000)</f>
        <v>367190.01699999999</v>
      </c>
      <c r="L77">
        <v>0</v>
      </c>
      <c r="M77">
        <v>0</v>
      </c>
      <c r="N77">
        <v>59.654143278828002</v>
      </c>
      <c r="O77">
        <v>266.61874389648398</v>
      </c>
      <c r="P77">
        <v>0</v>
      </c>
      <c r="Q77">
        <v>0.41563395887945398</v>
      </c>
      <c r="R77">
        <v>1.453333348963</v>
      </c>
      <c r="S77">
        <v>94.814962817791894</v>
      </c>
      <c r="T77">
        <v>0</v>
      </c>
      <c r="U77">
        <v>0</v>
      </c>
      <c r="V77">
        <v>0</v>
      </c>
      <c r="W77">
        <v>0</v>
      </c>
    </row>
    <row r="78" spans="1:23" x14ac:dyDescent="0.55000000000000004">
      <c r="A78" t="s">
        <v>162</v>
      </c>
      <c r="B78" t="s">
        <v>163</v>
      </c>
      <c r="C78" t="s">
        <v>20</v>
      </c>
      <c r="D78">
        <v>14.53</v>
      </c>
      <c r="E78">
        <f>627688768/(1000)</f>
        <v>627688.76800000004</v>
      </c>
      <c r="F78">
        <f>2738864896/(1000)</f>
        <v>2738864.8960000002</v>
      </c>
      <c r="G78">
        <f>174296992/(1000)</f>
        <v>174296.992</v>
      </c>
      <c r="H78">
        <f>1309618752/(1000)</f>
        <v>1309618.7520000001</v>
      </c>
      <c r="I78">
        <f>294273984/(1000)</f>
        <v>294273.984</v>
      </c>
      <c r="J78">
        <f t="shared" si="1"/>
        <v>4.4503381991117504E-3</v>
      </c>
      <c r="K78">
        <f>136584001/(1000)</f>
        <v>136584.00099999999</v>
      </c>
      <c r="L78">
        <v>0</v>
      </c>
      <c r="M78">
        <v>9.0187110900878906</v>
      </c>
      <c r="N78">
        <v>91.5313812666177</v>
      </c>
      <c r="O78">
        <v>78.340293884277301</v>
      </c>
      <c r="P78">
        <v>0.15999999642372101</v>
      </c>
      <c r="Q78">
        <v>0</v>
      </c>
      <c r="R78">
        <v>7.5887947135034199</v>
      </c>
      <c r="S78">
        <v>0</v>
      </c>
      <c r="T78">
        <v>0</v>
      </c>
      <c r="U78">
        <v>0</v>
      </c>
      <c r="V78">
        <v>0</v>
      </c>
      <c r="W78">
        <v>0</v>
      </c>
    </row>
    <row r="79" spans="1:23" x14ac:dyDescent="0.55000000000000004">
      <c r="A79" t="s">
        <v>164</v>
      </c>
      <c r="B79" t="s">
        <v>165</v>
      </c>
      <c r="C79" t="s">
        <v>2</v>
      </c>
      <c r="D79">
        <v>43.93</v>
      </c>
      <c r="E79">
        <f>1680854016/(1000)</f>
        <v>1680854.0160000001</v>
      </c>
      <c r="F79">
        <f>2737914112/(1000)</f>
        <v>2737914.1120000002</v>
      </c>
      <c r="G79">
        <f>164542000/(1000)</f>
        <v>164542</v>
      </c>
      <c r="H79">
        <f>1576589016/(1000)</f>
        <v>1576589.0160000001</v>
      </c>
      <c r="I79">
        <f>246699008/(1000)</f>
        <v>246699.008</v>
      </c>
      <c r="J79">
        <f t="shared" si="1"/>
        <v>6.3907391796241032E-3</v>
      </c>
      <c r="K79">
        <f>116176001/(1000)</f>
        <v>116176.001</v>
      </c>
      <c r="L79">
        <v>18.4004001617432</v>
      </c>
      <c r="M79">
        <v>16.069627761840799</v>
      </c>
      <c r="N79">
        <v>84.347173350827205</v>
      </c>
      <c r="O79">
        <v>41.056419372558601</v>
      </c>
      <c r="P79">
        <v>0.519999980926514</v>
      </c>
      <c r="Q79">
        <v>2.21980789655791</v>
      </c>
      <c r="R79">
        <v>14.6923076010683</v>
      </c>
      <c r="S79">
        <v>55.145300886063602</v>
      </c>
      <c r="T79">
        <v>0</v>
      </c>
      <c r="U79">
        <v>0</v>
      </c>
      <c r="V79">
        <v>0</v>
      </c>
      <c r="W79">
        <v>0</v>
      </c>
    </row>
    <row r="80" spans="1:23" x14ac:dyDescent="0.55000000000000004">
      <c r="A80" t="s">
        <v>166</v>
      </c>
      <c r="B80" t="s">
        <v>167</v>
      </c>
      <c r="C80" t="s">
        <v>17</v>
      </c>
      <c r="D80">
        <v>13.29</v>
      </c>
      <c r="E80">
        <f>226429696/(1000)</f>
        <v>226429.696</v>
      </c>
      <c r="F80">
        <f>2717361920/(1000)</f>
        <v>2717361.92</v>
      </c>
      <c r="G80">
        <f>26448000/(1000)</f>
        <v>26448</v>
      </c>
      <c r="H80">
        <f>643800704/(1000)</f>
        <v>643800.70400000003</v>
      </c>
      <c r="I80">
        <f>55917000/(1000)</f>
        <v>55917</v>
      </c>
      <c r="J80">
        <f t="shared" si="1"/>
        <v>1.1513505803244093E-2</v>
      </c>
      <c r="K80">
        <f>-62147999/(1000)</f>
        <v>-62147.999000000003</v>
      </c>
      <c r="L80">
        <v>0</v>
      </c>
      <c r="M80">
        <v>9.4225139617919904</v>
      </c>
      <c r="N80">
        <v>46.027610701419903</v>
      </c>
      <c r="O80">
        <v>224.05799865722699</v>
      </c>
      <c r="P80">
        <v>0</v>
      </c>
      <c r="Q80">
        <v>0</v>
      </c>
      <c r="R80">
        <v>20.765626008902501</v>
      </c>
      <c r="S80">
        <v>0</v>
      </c>
      <c r="T80">
        <v>0</v>
      </c>
      <c r="U80">
        <v>0</v>
      </c>
      <c r="V80">
        <v>0</v>
      </c>
      <c r="W80">
        <v>0</v>
      </c>
    </row>
    <row r="81" spans="1:23" x14ac:dyDescent="0.55000000000000004">
      <c r="A81" t="s">
        <v>168</v>
      </c>
      <c r="B81" t="s">
        <v>169</v>
      </c>
      <c r="C81" t="s">
        <v>20</v>
      </c>
      <c r="D81">
        <v>36.14</v>
      </c>
      <c r="E81">
        <f>1309803904/(1000)</f>
        <v>1309803.9040000001</v>
      </c>
      <c r="F81">
        <f>2703212032/(1000)</f>
        <v>2703212.0320000001</v>
      </c>
      <c r="G81">
        <f>160040992/(1000)</f>
        <v>160040.992</v>
      </c>
      <c r="H81">
        <f>1318863904/(1000)</f>
        <v>1318863.9040000001</v>
      </c>
      <c r="I81">
        <f>211104992/(1000)</f>
        <v>211104.992</v>
      </c>
      <c r="J81">
        <f t="shared" si="1"/>
        <v>6.2474311550150367E-3</v>
      </c>
      <c r="K81">
        <f>71474001/(1000)</f>
        <v>71474.001000000004</v>
      </c>
      <c r="L81">
        <v>21.472923278808601</v>
      </c>
      <c r="M81">
        <v>16.532831192016602</v>
      </c>
      <c r="N81">
        <v>88.379388094881705</v>
      </c>
      <c r="O81">
        <v>10.294390678405801</v>
      </c>
      <c r="P81">
        <v>0</v>
      </c>
      <c r="Q81">
        <v>2.1982967284447299</v>
      </c>
      <c r="R81">
        <v>14.398406346314401</v>
      </c>
      <c r="S81">
        <v>123.40779644912401</v>
      </c>
      <c r="T81">
        <v>0</v>
      </c>
      <c r="U81">
        <v>0</v>
      </c>
      <c r="V81">
        <v>0</v>
      </c>
      <c r="W81">
        <v>0</v>
      </c>
    </row>
    <row r="82" spans="1:23" x14ac:dyDescent="0.55000000000000004">
      <c r="A82" t="s">
        <v>170</v>
      </c>
      <c r="B82" t="s">
        <v>171</v>
      </c>
      <c r="C82" t="s">
        <v>2</v>
      </c>
      <c r="D82">
        <v>25.08</v>
      </c>
      <c r="E82">
        <f>931503808/(1000)</f>
        <v>931503.80799999996</v>
      </c>
      <c r="F82">
        <f>2697844992/(1000)</f>
        <v>2697844.9920000001</v>
      </c>
      <c r="G82">
        <f>191620992/(1000)</f>
        <v>191620.992</v>
      </c>
      <c r="H82">
        <f>968889796/(1000)</f>
        <v>968889.79599999997</v>
      </c>
      <c r="I82">
        <f>235774000/(1000)</f>
        <v>235774</v>
      </c>
      <c r="J82">
        <f t="shared" si="1"/>
        <v>4.109400510658512E-3</v>
      </c>
      <c r="K82">
        <f>155974001/(1000)</f>
        <v>155974.00099999999</v>
      </c>
      <c r="L82">
        <v>16.101255416870099</v>
      </c>
      <c r="M82">
        <v>17.774833679199201</v>
      </c>
      <c r="N82">
        <v>98.286543018244302</v>
      </c>
      <c r="O82">
        <v>48.343151092529297</v>
      </c>
      <c r="P82">
        <v>0.40000000596046398</v>
      </c>
      <c r="Q82">
        <v>0</v>
      </c>
      <c r="R82">
        <v>9.6461537283553191</v>
      </c>
      <c r="S82">
        <v>183.09477293327899</v>
      </c>
      <c r="T82">
        <v>0</v>
      </c>
      <c r="U82">
        <v>0</v>
      </c>
      <c r="V82">
        <v>0</v>
      </c>
      <c r="W82">
        <v>0</v>
      </c>
    </row>
    <row r="83" spans="1:23" x14ac:dyDescent="0.55000000000000004">
      <c r="A83" t="s">
        <v>172</v>
      </c>
      <c r="B83" t="s">
        <v>173</v>
      </c>
      <c r="C83" t="s">
        <v>5</v>
      </c>
      <c r="D83">
        <v>0.37</v>
      </c>
      <c r="E83">
        <f>25458406/(1000)</f>
        <v>25458.405999999999</v>
      </c>
      <c r="F83">
        <f>2680299008/(1000)</f>
        <v>2680299.0079999999</v>
      </c>
      <c r="G83">
        <f>904966016/(1000)</f>
        <v>904966.01599999995</v>
      </c>
      <c r="H83">
        <f>9680305894/(1000)</f>
        <v>9680305.8939999994</v>
      </c>
      <c r="I83">
        <f>1368071936/(1000)</f>
        <v>1368071.936</v>
      </c>
      <c r="J83">
        <f t="shared" si="1"/>
        <v>7.0758749151038783E-3</v>
      </c>
      <c r="K83">
        <f>614339009/(1000)</f>
        <v>614339.00899999996</v>
      </c>
      <c r="L83">
        <v>19.5914516448975</v>
      </c>
      <c r="M83">
        <v>2.5722029209136998</v>
      </c>
      <c r="N83">
        <v>84.441436807417901</v>
      </c>
      <c r="O83">
        <v>558.26232910156295</v>
      </c>
      <c r="P83">
        <v>0</v>
      </c>
      <c r="Q83">
        <v>0</v>
      </c>
      <c r="R83">
        <v>0</v>
      </c>
      <c r="S83">
        <v>3454.49036946662</v>
      </c>
      <c r="T83">
        <v>0</v>
      </c>
      <c r="U83">
        <v>0</v>
      </c>
      <c r="V83">
        <v>0</v>
      </c>
      <c r="W83">
        <v>0</v>
      </c>
    </row>
    <row r="84" spans="1:23" x14ac:dyDescent="0.55000000000000004">
      <c r="A84" t="s">
        <v>174</v>
      </c>
      <c r="B84" t="s">
        <v>175</v>
      </c>
      <c r="C84" t="s">
        <v>20</v>
      </c>
      <c r="D84">
        <v>5.69</v>
      </c>
      <c r="E84">
        <f>1035119680/(1000)</f>
        <v>1035119.68</v>
      </c>
      <c r="F84">
        <f>2648190976/(1000)</f>
        <v>2648190.9759999998</v>
      </c>
      <c r="G84">
        <f>282915008/(1000)</f>
        <v>282915.00799999997</v>
      </c>
      <c r="H84">
        <f>2760616640/(1000)</f>
        <v>2760616.64</v>
      </c>
      <c r="I84">
        <f>331448000/(1000)</f>
        <v>331448</v>
      </c>
      <c r="J84">
        <f t="shared" si="1"/>
        <v>8.3289585093287641E-3</v>
      </c>
      <c r="K84">
        <f>64904005/(1000)</f>
        <v>64904.004999999997</v>
      </c>
      <c r="L84">
        <v>0</v>
      </c>
      <c r="M84">
        <v>0</v>
      </c>
      <c r="N84">
        <v>91.343186019417502</v>
      </c>
      <c r="O84">
        <v>0</v>
      </c>
      <c r="P84">
        <v>0</v>
      </c>
      <c r="Q84">
        <v>0</v>
      </c>
      <c r="R84">
        <v>12.9318183819371</v>
      </c>
      <c r="S84">
        <v>0</v>
      </c>
      <c r="T84">
        <v>0</v>
      </c>
      <c r="U84">
        <v>0</v>
      </c>
      <c r="V84">
        <v>0</v>
      </c>
      <c r="W84">
        <v>0</v>
      </c>
    </row>
    <row r="85" spans="1:23" x14ac:dyDescent="0.55000000000000004">
      <c r="A85" t="s">
        <v>176</v>
      </c>
      <c r="B85" t="s">
        <v>177</v>
      </c>
      <c r="C85" t="s">
        <v>121</v>
      </c>
      <c r="D85">
        <v>3.15</v>
      </c>
      <c r="E85">
        <f>291451872/(1000)</f>
        <v>291451.87199999997</v>
      </c>
      <c r="F85">
        <f>2642700032/(1000)</f>
        <v>2642700.0320000001</v>
      </c>
      <c r="G85">
        <f>6200000/(1000)</f>
        <v>6200</v>
      </c>
      <c r="H85">
        <f>722651872/(1000)</f>
        <v>722651.87199999997</v>
      </c>
      <c r="I85">
        <f>63600000/(1000)</f>
        <v>63600</v>
      </c>
      <c r="J85">
        <f t="shared" si="1"/>
        <v>1.1362450817610063E-2</v>
      </c>
      <c r="K85">
        <f>23800001/(1000)</f>
        <v>23800.001</v>
      </c>
      <c r="L85">
        <v>0</v>
      </c>
      <c r="M85">
        <v>1.8628970384597801</v>
      </c>
      <c r="N85">
        <v>97.744704282664003</v>
      </c>
      <c r="O85">
        <v>51.823917388916001</v>
      </c>
      <c r="P85">
        <v>0</v>
      </c>
      <c r="Q85">
        <v>0</v>
      </c>
      <c r="R85">
        <v>7.6829271288871199</v>
      </c>
      <c r="S85">
        <v>39.714511619950102</v>
      </c>
      <c r="T85">
        <v>0</v>
      </c>
      <c r="U85">
        <v>0</v>
      </c>
      <c r="V85">
        <v>0</v>
      </c>
      <c r="W85">
        <v>0</v>
      </c>
    </row>
    <row r="86" spans="1:23" x14ac:dyDescent="0.55000000000000004">
      <c r="A86" t="s">
        <v>178</v>
      </c>
      <c r="B86" t="s">
        <v>179</v>
      </c>
      <c r="C86" t="s">
        <v>94</v>
      </c>
      <c r="D86">
        <v>32.69</v>
      </c>
      <c r="E86">
        <f>1633571584/(1000)</f>
        <v>1633571.584</v>
      </c>
      <c r="F86">
        <f>2628194048/(1000)</f>
        <v>2628194.048</v>
      </c>
      <c r="G86">
        <f>231606000/(1000)</f>
        <v>231606</v>
      </c>
      <c r="H86">
        <f>2606267584/(1000)</f>
        <v>2606267.5839999998</v>
      </c>
      <c r="I86">
        <f>326612992/(1000)</f>
        <v>326612.99200000003</v>
      </c>
      <c r="J86">
        <f t="shared" si="1"/>
        <v>7.9796812981646464E-3</v>
      </c>
      <c r="K86">
        <f>-71678999/(1000)</f>
        <v>-71678.998999999996</v>
      </c>
      <c r="L86">
        <v>14.887598991394</v>
      </c>
      <c r="M86">
        <v>11.489544868469199</v>
      </c>
      <c r="N86">
        <v>99.191141403789601</v>
      </c>
      <c r="O86">
        <v>88.375411987304702</v>
      </c>
      <c r="P86">
        <v>1.41999995708466</v>
      </c>
      <c r="Q86">
        <v>1.5788456289382</v>
      </c>
      <c r="R86">
        <v>13.342856910998499</v>
      </c>
      <c r="S86">
        <v>27.3196808966463</v>
      </c>
      <c r="T86">
        <v>0</v>
      </c>
      <c r="U86">
        <v>0</v>
      </c>
      <c r="V86">
        <v>0</v>
      </c>
      <c r="W86">
        <v>0</v>
      </c>
    </row>
    <row r="87" spans="1:23" x14ac:dyDescent="0.55000000000000004">
      <c r="A87" t="s">
        <v>180</v>
      </c>
      <c r="B87" t="s">
        <v>181</v>
      </c>
      <c r="C87" t="s">
        <v>5</v>
      </c>
      <c r="D87">
        <v>13.67</v>
      </c>
      <c r="E87">
        <f>1651988096/(1000)</f>
        <v>1651988.0959999999</v>
      </c>
      <c r="F87">
        <f>2612000000/(1000)</f>
        <v>2612000</v>
      </c>
      <c r="G87">
        <f>184000000/(1000)</f>
        <v>184000</v>
      </c>
      <c r="H87">
        <f>1586988096/(1000)</f>
        <v>1586988.0959999999</v>
      </c>
      <c r="I87">
        <f>288000000/(1000)</f>
        <v>288000</v>
      </c>
      <c r="J87">
        <f t="shared" si="1"/>
        <v>5.5103753333333328E-3</v>
      </c>
      <c r="K87">
        <f>43000001/(1000)</f>
        <v>43000.000999999997</v>
      </c>
      <c r="L87">
        <v>20.461309432983398</v>
      </c>
      <c r="M87">
        <v>9.7955713272094709</v>
      </c>
      <c r="N87">
        <v>72.590788677851606</v>
      </c>
      <c r="O87">
        <v>17.135961532592798</v>
      </c>
      <c r="P87">
        <v>0</v>
      </c>
      <c r="Q87">
        <v>1.2587477447928801</v>
      </c>
      <c r="R87">
        <v>9.8345323193425607</v>
      </c>
      <c r="S87">
        <v>96.074748089889695</v>
      </c>
      <c r="T87">
        <v>0</v>
      </c>
      <c r="U87">
        <v>0</v>
      </c>
      <c r="V87">
        <v>0</v>
      </c>
      <c r="W87">
        <v>0</v>
      </c>
    </row>
    <row r="88" spans="1:23" x14ac:dyDescent="0.55000000000000004">
      <c r="A88" t="s">
        <v>182</v>
      </c>
      <c r="B88" t="s">
        <v>183</v>
      </c>
      <c r="C88" t="s">
        <v>184</v>
      </c>
      <c r="D88">
        <v>3.27</v>
      </c>
      <c r="E88">
        <f>374088000/(1000)</f>
        <v>374088</v>
      </c>
      <c r="F88">
        <f>2572800000/(1000)</f>
        <v>2572800</v>
      </c>
      <c r="G88">
        <f>0/(1000)</f>
        <v>0</v>
      </c>
      <c r="H88">
        <f>776788000/(1000)</f>
        <v>776788</v>
      </c>
      <c r="I88">
        <f>0/(1000)</f>
        <v>0</v>
      </c>
      <c r="J88">
        <f t="shared" si="1"/>
        <v>1</v>
      </c>
      <c r="K88">
        <f>260600001/(1000)</f>
        <v>260600.00099999999</v>
      </c>
      <c r="L88">
        <v>132.43688964843801</v>
      </c>
      <c r="M88">
        <v>5.4750328063964799</v>
      </c>
      <c r="N88">
        <v>98.571152531401694</v>
      </c>
      <c r="O88">
        <v>41.294380187988303</v>
      </c>
      <c r="P88">
        <v>0.15999999642372101</v>
      </c>
      <c r="Q88">
        <v>0.21542921156158101</v>
      </c>
      <c r="R88">
        <v>163.500078836494</v>
      </c>
      <c r="S88">
        <v>4.7429046322627704</v>
      </c>
      <c r="T88">
        <v>0</v>
      </c>
      <c r="U88">
        <v>0</v>
      </c>
      <c r="V88">
        <v>0</v>
      </c>
      <c r="W88">
        <v>0</v>
      </c>
    </row>
    <row r="89" spans="1:23" x14ac:dyDescent="0.55000000000000004">
      <c r="A89" t="s">
        <v>185</v>
      </c>
      <c r="B89" t="s">
        <v>186</v>
      </c>
      <c r="C89" t="s">
        <v>2</v>
      </c>
      <c r="D89">
        <v>15.84</v>
      </c>
      <c r="E89">
        <f>701018176/(1000)</f>
        <v>701018.17599999998</v>
      </c>
      <c r="F89">
        <f>2570471936/(1000)</f>
        <v>2570471.9360000002</v>
      </c>
      <c r="G89">
        <f>203446000/(1000)</f>
        <v>203446</v>
      </c>
      <c r="H89">
        <f>1031582176/(1000)</f>
        <v>1031582.176</v>
      </c>
      <c r="I89">
        <f>271619008/(1000)</f>
        <v>271619.00799999997</v>
      </c>
      <c r="J89">
        <f t="shared" si="1"/>
        <v>3.797901272064141E-3</v>
      </c>
      <c r="K89">
        <f>232619009/(1000)</f>
        <v>232619.00899999999</v>
      </c>
      <c r="L89">
        <v>19.6226997375488</v>
      </c>
      <c r="M89">
        <v>25.21462059021</v>
      </c>
      <c r="N89">
        <v>90.358189381939198</v>
      </c>
      <c r="O89">
        <v>64.987174987792997</v>
      </c>
      <c r="P89">
        <v>0.86000001430511497</v>
      </c>
      <c r="Q89">
        <v>1.53711787321657</v>
      </c>
      <c r="R89">
        <v>8.2931938773952307</v>
      </c>
      <c r="S89">
        <v>51.863322637564401</v>
      </c>
      <c r="T89">
        <v>0</v>
      </c>
      <c r="U89">
        <v>0</v>
      </c>
      <c r="V89">
        <v>0</v>
      </c>
      <c r="W89">
        <v>0</v>
      </c>
    </row>
    <row r="90" spans="1:23" x14ac:dyDescent="0.55000000000000004">
      <c r="A90" t="s">
        <v>187</v>
      </c>
      <c r="B90" t="s">
        <v>188</v>
      </c>
      <c r="C90" t="s">
        <v>20</v>
      </c>
      <c r="D90">
        <v>22.09</v>
      </c>
      <c r="E90">
        <f>1254011776/(1000)</f>
        <v>1254011.7760000001</v>
      </c>
      <c r="F90">
        <f>2539560960/(1000)</f>
        <v>2539560.96</v>
      </c>
      <c r="G90">
        <f>149539008/(1000)</f>
        <v>149539.008</v>
      </c>
      <c r="H90">
        <f>1724708768/(1000)</f>
        <v>1724708.7679999999</v>
      </c>
      <c r="I90">
        <f>250504000/(1000)</f>
        <v>250504</v>
      </c>
      <c r="J90">
        <f t="shared" si="1"/>
        <v>6.8849550027145273E-3</v>
      </c>
      <c r="K90">
        <f>-8184999/(1000)</f>
        <v>-8184.9989999999998</v>
      </c>
      <c r="L90">
        <v>16.609357833862301</v>
      </c>
      <c r="M90">
        <v>27.524990081787099</v>
      </c>
      <c r="N90">
        <v>98.548134934797105</v>
      </c>
      <c r="O90">
        <v>113.44750213623</v>
      </c>
      <c r="P90">
        <v>0</v>
      </c>
      <c r="Q90">
        <v>2.2598466511151898</v>
      </c>
      <c r="R90">
        <v>17.257812402229298</v>
      </c>
      <c r="S90">
        <v>23.3820744781641</v>
      </c>
      <c r="T90">
        <v>0</v>
      </c>
      <c r="U90">
        <v>0</v>
      </c>
      <c r="V90">
        <v>0</v>
      </c>
      <c r="W90">
        <v>0</v>
      </c>
    </row>
    <row r="91" spans="1:23" x14ac:dyDescent="0.55000000000000004">
      <c r="A91" t="s">
        <v>189</v>
      </c>
      <c r="B91" t="s">
        <v>190</v>
      </c>
      <c r="C91" t="s">
        <v>2</v>
      </c>
      <c r="D91">
        <v>26.91</v>
      </c>
      <c r="E91">
        <f>513321728/(1000)</f>
        <v>513321.728</v>
      </c>
      <c r="F91">
        <f>2513178112/(1000)</f>
        <v>2513178.1120000002</v>
      </c>
      <c r="G91">
        <f>53492000/(1000)</f>
        <v>53492</v>
      </c>
      <c r="H91">
        <f>658895728/(1000)</f>
        <v>658895.728</v>
      </c>
      <c r="I91">
        <f>101073000/(1000)</f>
        <v>101073</v>
      </c>
      <c r="J91">
        <f t="shared" si="1"/>
        <v>6.5190083207186883E-3</v>
      </c>
      <c r="K91">
        <f>47718001/(1000)</f>
        <v>47718.000999999997</v>
      </c>
      <c r="L91">
        <v>16.233419418335</v>
      </c>
      <c r="M91">
        <v>4.00319576263428</v>
      </c>
      <c r="N91">
        <v>85.1673590948796</v>
      </c>
      <c r="O91">
        <v>37.669914245605497</v>
      </c>
      <c r="P91">
        <v>3.9999999105930002E-2</v>
      </c>
      <c r="Q91">
        <v>0.97288503238837998</v>
      </c>
      <c r="R91">
        <v>68.999994230576505</v>
      </c>
      <c r="S91">
        <v>53.2520051381115</v>
      </c>
      <c r="T91">
        <v>0</v>
      </c>
      <c r="U91">
        <v>0</v>
      </c>
      <c r="V91">
        <v>0</v>
      </c>
      <c r="W91">
        <v>0</v>
      </c>
    </row>
    <row r="92" spans="1:23" x14ac:dyDescent="0.55000000000000004">
      <c r="A92" t="s">
        <v>191</v>
      </c>
      <c r="B92" t="s">
        <v>192</v>
      </c>
      <c r="C92" t="s">
        <v>5</v>
      </c>
      <c r="D92">
        <v>0.1893</v>
      </c>
      <c r="E92">
        <f>30492450/(1000)</f>
        <v>30492.45</v>
      </c>
      <c r="F92">
        <f>2500813056/(1000)</f>
        <v>2500813.0559999999</v>
      </c>
      <c r="G92">
        <f>-240432000/(1000)</f>
        <v>-240432</v>
      </c>
      <c r="H92">
        <f>1326491426/(1000)</f>
        <v>1326491.426</v>
      </c>
      <c r="I92">
        <f>279158016/(1000)</f>
        <v>279158.016</v>
      </c>
      <c r="J92">
        <f t="shared" si="1"/>
        <v>4.7517583231426888E-3</v>
      </c>
      <c r="K92">
        <f>-899259007/(1000)</f>
        <v>-899259.00699999998</v>
      </c>
      <c r="L92">
        <v>0</v>
      </c>
      <c r="M92">
        <v>-15.1512498855591</v>
      </c>
      <c r="N92">
        <v>74.676445222191603</v>
      </c>
      <c r="O92">
        <v>85.842430114746094</v>
      </c>
      <c r="P92">
        <v>0</v>
      </c>
      <c r="Q92">
        <v>2.0225695479247002E-2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</row>
    <row r="93" spans="1:23" x14ac:dyDescent="0.55000000000000004">
      <c r="A93" t="s">
        <v>193</v>
      </c>
      <c r="B93" t="s">
        <v>194</v>
      </c>
      <c r="C93" t="s">
        <v>38</v>
      </c>
      <c r="D93">
        <v>17.61</v>
      </c>
      <c r="E93">
        <f>474166880/(1000)</f>
        <v>474166.88</v>
      </c>
      <c r="F93">
        <f>2492453888/(1000)</f>
        <v>2492453.8879999998</v>
      </c>
      <c r="G93">
        <f>99109000/(1000)</f>
        <v>99109</v>
      </c>
      <c r="H93">
        <f>128054880/(1000)</f>
        <v>128054.88</v>
      </c>
      <c r="I93">
        <f>127076000/(1000)</f>
        <v>127076</v>
      </c>
      <c r="J93">
        <f t="shared" si="1"/>
        <v>1.0077031068022287E-3</v>
      </c>
      <c r="K93">
        <f>136327009/(1000)</f>
        <v>136327.00899999999</v>
      </c>
      <c r="L93">
        <v>20.231229782104499</v>
      </c>
      <c r="M93">
        <v>12.8107137680054</v>
      </c>
      <c r="N93">
        <v>48.970510690707997</v>
      </c>
      <c r="O93">
        <v>40.7765502929688</v>
      </c>
      <c r="P93">
        <v>0</v>
      </c>
      <c r="Q93">
        <v>0.935706742609277</v>
      </c>
      <c r="R93">
        <v>7.6565220640264604</v>
      </c>
      <c r="S93">
        <v>286.93025425891</v>
      </c>
      <c r="T93">
        <v>0</v>
      </c>
      <c r="U93">
        <v>0</v>
      </c>
      <c r="V93">
        <v>0</v>
      </c>
      <c r="W93">
        <v>0</v>
      </c>
    </row>
    <row r="94" spans="1:23" x14ac:dyDescent="0.55000000000000004">
      <c r="A94" t="s">
        <v>195</v>
      </c>
      <c r="B94" t="s">
        <v>196</v>
      </c>
      <c r="C94" t="s">
        <v>17</v>
      </c>
      <c r="D94">
        <v>23.25</v>
      </c>
      <c r="E94">
        <f>513520448/(1000)</f>
        <v>513520.44799999997</v>
      </c>
      <c r="F94">
        <f>2476822016/(1000)</f>
        <v>2476822.0159999998</v>
      </c>
      <c r="G94">
        <f>61622000/(1000)</f>
        <v>61622</v>
      </c>
      <c r="H94">
        <f>634976448/(1000)</f>
        <v>634976.44799999997</v>
      </c>
      <c r="I94">
        <f>86043000/(1000)</f>
        <v>86043</v>
      </c>
      <c r="J94">
        <f t="shared" si="1"/>
        <v>7.3797571911718559E-3</v>
      </c>
      <c r="K94">
        <f>27701001/(1000)</f>
        <v>27701.001</v>
      </c>
      <c r="L94">
        <v>0</v>
      </c>
      <c r="M94">
        <v>18.084962844848601</v>
      </c>
      <c r="N94">
        <v>96.601602366584103</v>
      </c>
      <c r="O94">
        <v>74.740379333496094</v>
      </c>
      <c r="P94">
        <v>0.20000000298023199</v>
      </c>
      <c r="Q94">
        <v>0</v>
      </c>
      <c r="R94">
        <v>14.3542350198453</v>
      </c>
      <c r="S94">
        <v>25.3657326473502</v>
      </c>
      <c r="T94">
        <v>0</v>
      </c>
      <c r="U94">
        <v>0</v>
      </c>
      <c r="V94">
        <v>0</v>
      </c>
      <c r="W94">
        <v>0</v>
      </c>
    </row>
    <row r="95" spans="1:23" x14ac:dyDescent="0.55000000000000004">
      <c r="A95" t="s">
        <v>197</v>
      </c>
      <c r="B95" t="s">
        <v>198</v>
      </c>
      <c r="C95" t="s">
        <v>31</v>
      </c>
      <c r="D95">
        <v>1.85</v>
      </c>
      <c r="E95">
        <f>233469440/(1000)</f>
        <v>233469.44</v>
      </c>
      <c r="F95">
        <f>2466970112/(1000)</f>
        <v>2466970.1120000002</v>
      </c>
      <c r="G95">
        <f>-181930000/(1000)</f>
        <v>-181930</v>
      </c>
      <c r="H95">
        <f>-96303552/(1000)</f>
        <v>-96303.551999999996</v>
      </c>
      <c r="I95">
        <f>-124538000/(1000)</f>
        <v>-124538</v>
      </c>
      <c r="J95">
        <f t="shared" si="1"/>
        <v>7.7328648284057881E-4</v>
      </c>
      <c r="K95">
        <f>-245532991/(1000)</f>
        <v>-245532.99100000001</v>
      </c>
      <c r="L95">
        <v>0</v>
      </c>
      <c r="M95">
        <v>-28.093074798583999</v>
      </c>
      <c r="N95">
        <v>91.406477627714494</v>
      </c>
      <c r="O95">
        <v>51.981964111328097</v>
      </c>
      <c r="P95">
        <v>0</v>
      </c>
      <c r="Q95">
        <v>0</v>
      </c>
      <c r="R95">
        <v>0</v>
      </c>
      <c r="S95">
        <v>187.26851862202599</v>
      </c>
      <c r="T95">
        <v>0</v>
      </c>
      <c r="U95">
        <v>0</v>
      </c>
      <c r="V95">
        <v>0</v>
      </c>
      <c r="W95">
        <v>0</v>
      </c>
    </row>
    <row r="96" spans="1:23" x14ac:dyDescent="0.55000000000000004">
      <c r="A96" t="s">
        <v>199</v>
      </c>
      <c r="B96" t="s">
        <v>200</v>
      </c>
      <c r="C96" t="s">
        <v>121</v>
      </c>
      <c r="D96">
        <v>1.1399999999999999</v>
      </c>
      <c r="E96">
        <f>390474400/(1000)</f>
        <v>390474.4</v>
      </c>
      <c r="F96">
        <f>2421199872/(1000)</f>
        <v>2421199.872</v>
      </c>
      <c r="G96">
        <f>151200000/(1000)</f>
        <v>151200</v>
      </c>
      <c r="H96">
        <f>3483374496/(1000)</f>
        <v>3483374.4959999998</v>
      </c>
      <c r="I96">
        <f>346000000/(1000)</f>
        <v>346000</v>
      </c>
      <c r="J96">
        <f t="shared" si="1"/>
        <v>1.0067556346820808E-2</v>
      </c>
      <c r="K96">
        <f>45800001/(1000)</f>
        <v>45800.000999999997</v>
      </c>
      <c r="L96">
        <v>0</v>
      </c>
      <c r="M96">
        <v>-45.809028625488303</v>
      </c>
      <c r="N96">
        <v>32.328754442925899</v>
      </c>
      <c r="O96">
        <v>1304.44445800781</v>
      </c>
      <c r="P96">
        <v>0</v>
      </c>
      <c r="Q96">
        <v>0</v>
      </c>
      <c r="R96">
        <v>0</v>
      </c>
      <c r="S96">
        <v>94.113092519262594</v>
      </c>
      <c r="T96">
        <v>0</v>
      </c>
      <c r="U96">
        <v>0</v>
      </c>
      <c r="V96">
        <v>0</v>
      </c>
      <c r="W96">
        <v>0</v>
      </c>
    </row>
    <row r="97" spans="1:23" x14ac:dyDescent="0.55000000000000004">
      <c r="A97" t="s">
        <v>201</v>
      </c>
      <c r="B97" t="s">
        <v>202</v>
      </c>
      <c r="C97" t="s">
        <v>31</v>
      </c>
      <c r="D97">
        <v>45.09</v>
      </c>
      <c r="E97">
        <f>1347983488/(1000)</f>
        <v>1347983.4879999999</v>
      </c>
      <c r="F97">
        <f>2420537088/(1000)</f>
        <v>2420537.088</v>
      </c>
      <c r="G97">
        <f>162828992/(1000)</f>
        <v>162828.992</v>
      </c>
      <c r="H97">
        <f>1877071488/(1000)</f>
        <v>1877071.4879999999</v>
      </c>
      <c r="I97">
        <f>210346000/(1000)</f>
        <v>210346</v>
      </c>
      <c r="J97">
        <f t="shared" si="1"/>
        <v>8.9237327450961742E-3</v>
      </c>
      <c r="K97">
        <f>146496993/(1000)</f>
        <v>146496.99299999999</v>
      </c>
      <c r="L97">
        <v>20.183872222900401</v>
      </c>
      <c r="M97">
        <v>9.6230831146240199</v>
      </c>
      <c r="N97">
        <v>98.521514657678097</v>
      </c>
      <c r="O97">
        <v>70.011276245117202</v>
      </c>
      <c r="P97">
        <v>0</v>
      </c>
      <c r="Q97">
        <v>1.3477805316014999</v>
      </c>
      <c r="R97">
        <v>15.9893617967917</v>
      </c>
      <c r="S97">
        <v>187.08670869227501</v>
      </c>
      <c r="T97">
        <v>0</v>
      </c>
      <c r="U97">
        <v>0</v>
      </c>
      <c r="V97">
        <v>0</v>
      </c>
      <c r="W97">
        <v>0</v>
      </c>
    </row>
    <row r="98" spans="1:23" x14ac:dyDescent="0.55000000000000004">
      <c r="A98" t="s">
        <v>203</v>
      </c>
      <c r="B98" t="s">
        <v>204</v>
      </c>
      <c r="C98" t="s">
        <v>20</v>
      </c>
      <c r="D98">
        <v>20.59</v>
      </c>
      <c r="E98">
        <f>461084224/(1000)</f>
        <v>461084.22399999999</v>
      </c>
      <c r="F98">
        <f>2384520960/(1000)</f>
        <v>2384520.96</v>
      </c>
      <c r="G98">
        <f>151652000/(1000)</f>
        <v>151652</v>
      </c>
      <c r="H98">
        <f>1268091200/(1000)</f>
        <v>1268091.2</v>
      </c>
      <c r="I98">
        <f>209340992/(1000)</f>
        <v>209340.992</v>
      </c>
      <c r="J98">
        <f t="shared" si="1"/>
        <v>6.0575388885135313E-3</v>
      </c>
      <c r="K98">
        <f>36868001/(1000)</f>
        <v>36868.000999999997</v>
      </c>
      <c r="L98">
        <v>13.944774627685501</v>
      </c>
      <c r="M98">
        <v>66.593864440917997</v>
      </c>
      <c r="N98">
        <v>96.903577586882406</v>
      </c>
      <c r="O98">
        <v>849.34393310546898</v>
      </c>
      <c r="P98">
        <v>0.80000001192092896</v>
      </c>
      <c r="Q98">
        <v>0</v>
      </c>
      <c r="R98">
        <v>7.3799282345135504</v>
      </c>
      <c r="S98">
        <v>8.4769633039574899</v>
      </c>
      <c r="T98">
        <v>0</v>
      </c>
      <c r="U98">
        <v>0</v>
      </c>
      <c r="V98">
        <v>0</v>
      </c>
      <c r="W98">
        <v>0</v>
      </c>
    </row>
    <row r="99" spans="1:23" x14ac:dyDescent="0.55000000000000004">
      <c r="A99" t="s">
        <v>205</v>
      </c>
      <c r="B99" t="s">
        <v>206</v>
      </c>
      <c r="C99" t="s">
        <v>17</v>
      </c>
      <c r="D99">
        <v>16.48</v>
      </c>
      <c r="E99">
        <f>299936000/(1000)</f>
        <v>299936</v>
      </c>
      <c r="F99">
        <f>2379058944/(1000)</f>
        <v>2379058.9440000001</v>
      </c>
      <c r="G99">
        <f>69959000/(1000)</f>
        <v>69959</v>
      </c>
      <c r="H99">
        <f>692825984/(1000)</f>
        <v>692825.98400000005</v>
      </c>
      <c r="I99">
        <f>96212000/(1000)</f>
        <v>96212</v>
      </c>
      <c r="J99">
        <f t="shared" si="1"/>
        <v>7.2010350476032102E-3</v>
      </c>
      <c r="K99">
        <f>-240693999/(1000)</f>
        <v>-240693.99900000001</v>
      </c>
      <c r="L99">
        <v>12.797150611877401</v>
      </c>
      <c r="M99">
        <v>22.385560989379901</v>
      </c>
      <c r="N99">
        <v>86.640106258178307</v>
      </c>
      <c r="O99">
        <v>128.66288757324199</v>
      </c>
      <c r="P99">
        <v>0.34000000357627902</v>
      </c>
      <c r="Q99">
        <v>0</v>
      </c>
      <c r="R99">
        <v>3.3292928247886699</v>
      </c>
      <c r="S99">
        <v>120.993899552778</v>
      </c>
      <c r="T99">
        <v>0</v>
      </c>
      <c r="U99">
        <v>0</v>
      </c>
      <c r="V99">
        <v>0</v>
      </c>
      <c r="W99">
        <v>0</v>
      </c>
    </row>
    <row r="100" spans="1:23" x14ac:dyDescent="0.55000000000000004">
      <c r="A100" t="s">
        <v>207</v>
      </c>
      <c r="B100" t="s">
        <v>208</v>
      </c>
      <c r="C100" t="s">
        <v>20</v>
      </c>
      <c r="D100">
        <v>8.4700000000000006</v>
      </c>
      <c r="E100">
        <f>358471552/(1000)</f>
        <v>358471.55200000003</v>
      </c>
      <c r="F100">
        <f>2359909120/(1000)</f>
        <v>2359909.12</v>
      </c>
      <c r="G100">
        <f>96121000/(1000)</f>
        <v>96121</v>
      </c>
      <c r="H100">
        <f>498162560/(1000)</f>
        <v>498162.56</v>
      </c>
      <c r="I100">
        <f>139211008/(1000)</f>
        <v>139211.008</v>
      </c>
      <c r="J100">
        <f t="shared" si="1"/>
        <v>3.5784710358537164E-3</v>
      </c>
      <c r="K100">
        <f>44905001/(1000)</f>
        <v>44905.000999999997</v>
      </c>
      <c r="L100">
        <v>15.6838026046753</v>
      </c>
      <c r="M100">
        <v>11.1672096252441</v>
      </c>
      <c r="N100">
        <v>93.031842545947399</v>
      </c>
      <c r="O100">
        <v>29.4293918609619</v>
      </c>
      <c r="P100">
        <v>0.28000000119209301</v>
      </c>
      <c r="Q100">
        <v>0</v>
      </c>
      <c r="R100">
        <v>7.3247341165372299</v>
      </c>
      <c r="S100">
        <v>28.1554298323131</v>
      </c>
      <c r="T100">
        <v>0</v>
      </c>
      <c r="U100">
        <v>0</v>
      </c>
      <c r="V100">
        <v>0</v>
      </c>
      <c r="W100">
        <v>0</v>
      </c>
    </row>
    <row r="101" spans="1:23" x14ac:dyDescent="0.55000000000000004">
      <c r="A101" t="s">
        <v>209</v>
      </c>
      <c r="B101" t="s">
        <v>210</v>
      </c>
      <c r="C101" t="s">
        <v>2</v>
      </c>
      <c r="D101">
        <v>7.23</v>
      </c>
      <c r="E101">
        <f>159070832/(1000)</f>
        <v>159070.83199999999</v>
      </c>
      <c r="F101">
        <f>2353082112/(1000)</f>
        <v>2353082.1120000002</v>
      </c>
      <c r="G101">
        <f>67540000/(1000)</f>
        <v>67540</v>
      </c>
      <c r="H101">
        <f>340888832/(1000)</f>
        <v>340888.83199999999</v>
      </c>
      <c r="I101">
        <f>105761000/(1000)</f>
        <v>105761</v>
      </c>
      <c r="J101">
        <f t="shared" si="1"/>
        <v>3.2231997806374747E-3</v>
      </c>
      <c r="K101">
        <f>17670001/(1000)</f>
        <v>17670.001</v>
      </c>
      <c r="L101">
        <v>25.919418334960898</v>
      </c>
      <c r="M101">
        <v>11.6060571670532</v>
      </c>
      <c r="N101">
        <v>62.029409408933901</v>
      </c>
      <c r="O101">
        <v>27.493696212768601</v>
      </c>
      <c r="P101">
        <v>0</v>
      </c>
      <c r="Q101">
        <v>0</v>
      </c>
      <c r="R101">
        <v>5.8780490430975103</v>
      </c>
      <c r="S101">
        <v>60.315068930376199</v>
      </c>
      <c r="T101">
        <v>0</v>
      </c>
      <c r="U101">
        <v>0</v>
      </c>
      <c r="V101">
        <v>0</v>
      </c>
      <c r="W101">
        <v>0</v>
      </c>
    </row>
    <row r="102" spans="1:23" x14ac:dyDescent="0.55000000000000004">
      <c r="A102" t="s">
        <v>211</v>
      </c>
      <c r="B102" t="s">
        <v>212</v>
      </c>
      <c r="C102" t="s">
        <v>20</v>
      </c>
      <c r="D102">
        <v>5.83</v>
      </c>
      <c r="E102">
        <f>388719328/(1000)</f>
        <v>388719.32799999998</v>
      </c>
      <c r="F102">
        <f>2349598976/(1000)</f>
        <v>2349598.9759999998</v>
      </c>
      <c r="G102">
        <f>151092000/(1000)</f>
        <v>151092</v>
      </c>
      <c r="H102">
        <f>667341344/(1000)</f>
        <v>667341.34400000004</v>
      </c>
      <c r="I102">
        <f>210955008/(1000)</f>
        <v>210955.008</v>
      </c>
      <c r="J102">
        <f t="shared" si="1"/>
        <v>3.163429730001954E-3</v>
      </c>
      <c r="K102">
        <f>-303815999/(1000)</f>
        <v>-303815.99900000001</v>
      </c>
      <c r="L102">
        <v>0</v>
      </c>
      <c r="M102">
        <v>11.2491102218628</v>
      </c>
      <c r="N102">
        <v>64.949901892790905</v>
      </c>
      <c r="O102">
        <v>80.136238098144503</v>
      </c>
      <c r="P102">
        <v>0</v>
      </c>
      <c r="Q102">
        <v>0.41613132251685597</v>
      </c>
      <c r="R102">
        <v>4.66399999456406</v>
      </c>
      <c r="S102">
        <v>0</v>
      </c>
      <c r="T102">
        <v>0</v>
      </c>
      <c r="U102">
        <v>0</v>
      </c>
      <c r="V102">
        <v>0</v>
      </c>
      <c r="W102">
        <v>0</v>
      </c>
    </row>
    <row r="103" spans="1:23" x14ac:dyDescent="0.55000000000000004">
      <c r="A103" t="s">
        <v>213</v>
      </c>
      <c r="B103" t="s">
        <v>214</v>
      </c>
      <c r="C103" t="s">
        <v>20</v>
      </c>
      <c r="D103">
        <v>12.17</v>
      </c>
      <c r="E103">
        <f>373544768/(1000)</f>
        <v>373544.76799999998</v>
      </c>
      <c r="F103">
        <f>2343593984/(1000)</f>
        <v>2343593.9840000002</v>
      </c>
      <c r="G103">
        <f>50779000/(1000)</f>
        <v>50779</v>
      </c>
      <c r="H103">
        <f>884235776/(1000)</f>
        <v>884235.77599999995</v>
      </c>
      <c r="I103">
        <f>68597000/(1000)</f>
        <v>68597</v>
      </c>
      <c r="J103">
        <f t="shared" si="1"/>
        <v>1.2890298059681908E-2</v>
      </c>
      <c r="K103">
        <f>-33961999/(1000)</f>
        <v>-33961.999000000003</v>
      </c>
      <c r="L103">
        <v>10.1993312835693</v>
      </c>
      <c r="M103">
        <v>-33.258682250976598</v>
      </c>
      <c r="N103">
        <v>87.781613747521106</v>
      </c>
      <c r="O103">
        <v>99.960418701171903</v>
      </c>
      <c r="P103">
        <v>0</v>
      </c>
      <c r="Q103">
        <v>0.62538543930377299</v>
      </c>
      <c r="R103">
        <v>0</v>
      </c>
      <c r="S103">
        <v>109.283665787666</v>
      </c>
      <c r="T103">
        <v>0</v>
      </c>
      <c r="U103">
        <v>0</v>
      </c>
      <c r="V103">
        <v>0</v>
      </c>
      <c r="W103">
        <v>0</v>
      </c>
    </row>
    <row r="104" spans="1:23" x14ac:dyDescent="0.55000000000000004">
      <c r="A104" t="s">
        <v>215</v>
      </c>
      <c r="B104" t="s">
        <v>216</v>
      </c>
      <c r="C104" t="s">
        <v>17</v>
      </c>
      <c r="D104">
        <v>33.630000000000003</v>
      </c>
      <c r="E104">
        <f>906863232/(1000)</f>
        <v>906863.23199999996</v>
      </c>
      <c r="F104">
        <f>2318551040/(1000)</f>
        <v>2318551.04</v>
      </c>
      <c r="G104">
        <f>74749000/(1000)</f>
        <v>74749</v>
      </c>
      <c r="H104">
        <f>813529232/(1000)</f>
        <v>813529.23199999996</v>
      </c>
      <c r="I104">
        <f>129591000/(1000)</f>
        <v>129591</v>
      </c>
      <c r="J104">
        <f t="shared" si="1"/>
        <v>6.2776676775393352E-3</v>
      </c>
      <c r="K104">
        <f>21209001/(1000)</f>
        <v>21209.001</v>
      </c>
      <c r="L104">
        <v>0</v>
      </c>
      <c r="M104">
        <v>7.98345994949341</v>
      </c>
      <c r="N104">
        <v>40.042052486161701</v>
      </c>
      <c r="O104">
        <v>0</v>
      </c>
      <c r="P104">
        <v>1.1599999666214</v>
      </c>
      <c r="Q104">
        <v>0</v>
      </c>
      <c r="R104">
        <v>22.722973859396099</v>
      </c>
      <c r="S104">
        <v>15.964430544343999</v>
      </c>
      <c r="T104">
        <v>0</v>
      </c>
      <c r="U104">
        <v>0</v>
      </c>
      <c r="V104">
        <v>0</v>
      </c>
      <c r="W104">
        <v>0</v>
      </c>
    </row>
    <row r="105" spans="1:23" x14ac:dyDescent="0.55000000000000004">
      <c r="A105" t="s">
        <v>217</v>
      </c>
      <c r="B105" t="s">
        <v>218</v>
      </c>
      <c r="C105" t="s">
        <v>2</v>
      </c>
      <c r="D105">
        <v>29.52</v>
      </c>
      <c r="E105">
        <f>876581568/(1000)</f>
        <v>876581.56799999997</v>
      </c>
      <c r="F105">
        <f>2312100096/(1000)</f>
        <v>2312100.0959999999</v>
      </c>
      <c r="G105">
        <f>150400000/(1000)</f>
        <v>150400</v>
      </c>
      <c r="H105">
        <f>1196381568/(1000)</f>
        <v>1196381.568</v>
      </c>
      <c r="I105">
        <f>217900000/(1000)</f>
        <v>217900</v>
      </c>
      <c r="J105">
        <f t="shared" si="1"/>
        <v>5.4905074254245059E-3</v>
      </c>
      <c r="K105">
        <f>119100001/(1000)</f>
        <v>119100.001</v>
      </c>
      <c r="L105">
        <v>17.667625427246101</v>
      </c>
      <c r="M105">
        <v>12.229617118835399</v>
      </c>
      <c r="N105">
        <v>89.933116836926601</v>
      </c>
      <c r="O105">
        <v>52.150962829589801</v>
      </c>
      <c r="P105">
        <v>0.126666665077209</v>
      </c>
      <c r="Q105">
        <v>1.0860927198791199</v>
      </c>
      <c r="R105">
        <v>8.5565217535527296</v>
      </c>
      <c r="S105">
        <v>57.382073762013199</v>
      </c>
      <c r="T105">
        <v>0</v>
      </c>
      <c r="U105">
        <v>0</v>
      </c>
      <c r="V105">
        <v>0</v>
      </c>
      <c r="W105">
        <v>0</v>
      </c>
    </row>
    <row r="106" spans="1:23" x14ac:dyDescent="0.55000000000000004">
      <c r="A106" t="s">
        <v>219</v>
      </c>
      <c r="B106" t="s">
        <v>220</v>
      </c>
      <c r="C106" t="s">
        <v>5</v>
      </c>
      <c r="D106">
        <v>4.4400000000000004</v>
      </c>
      <c r="E106">
        <f>520497664/(1000)</f>
        <v>520497.66399999999</v>
      </c>
      <c r="F106">
        <f>2309982976/(1000)</f>
        <v>2309982.9759999998</v>
      </c>
      <c r="G106">
        <f>137926000/(1000)</f>
        <v>137926</v>
      </c>
      <c r="H106">
        <f>1338927616/(1000)</f>
        <v>1338927.6159999999</v>
      </c>
      <c r="I106">
        <f>188768000/(1000)</f>
        <v>188768</v>
      </c>
      <c r="J106">
        <f t="shared" si="1"/>
        <v>7.0929798270893372E-3</v>
      </c>
      <c r="K106">
        <f>6059001/(1000)</f>
        <v>6059.0010000000002</v>
      </c>
      <c r="L106">
        <v>72.443939208984403</v>
      </c>
      <c r="M106">
        <v>12.761844635009799</v>
      </c>
      <c r="N106">
        <v>98.130753917909104</v>
      </c>
      <c r="O106">
        <v>237.00885009765599</v>
      </c>
      <c r="P106">
        <v>0</v>
      </c>
      <c r="Q106">
        <v>1.24369751827625</v>
      </c>
      <c r="R106">
        <v>0</v>
      </c>
      <c r="S106">
        <v>214.98193632097201</v>
      </c>
      <c r="T106">
        <v>0</v>
      </c>
      <c r="U106">
        <v>0</v>
      </c>
      <c r="V106">
        <v>0</v>
      </c>
      <c r="W106">
        <v>0</v>
      </c>
    </row>
    <row r="107" spans="1:23" x14ac:dyDescent="0.55000000000000004">
      <c r="A107" t="s">
        <v>221</v>
      </c>
      <c r="B107" t="s">
        <v>222</v>
      </c>
      <c r="C107" t="s">
        <v>5</v>
      </c>
      <c r="D107">
        <v>2.39</v>
      </c>
      <c r="E107">
        <f>132171536/(1000)</f>
        <v>132171.53599999999</v>
      </c>
      <c r="F107">
        <f>2289295872/(1000)</f>
        <v>2289295.872</v>
      </c>
      <c r="G107">
        <f>-22540000/(1000)</f>
        <v>-22540</v>
      </c>
      <c r="H107">
        <f>536830544/(1000)</f>
        <v>536830.54399999999</v>
      </c>
      <c r="I107">
        <f>107980992/(1000)</f>
        <v>107980.992</v>
      </c>
      <c r="J107">
        <f t="shared" si="1"/>
        <v>4.971528174143835E-3</v>
      </c>
      <c r="K107">
        <f>140480001/(1000)</f>
        <v>140480.00099999999</v>
      </c>
      <c r="L107">
        <v>0</v>
      </c>
      <c r="M107">
        <v>-34.394447326660199</v>
      </c>
      <c r="N107">
        <v>42.0415943010794</v>
      </c>
      <c r="O107">
        <v>85.5419921875</v>
      </c>
      <c r="P107">
        <v>0.519999980926514</v>
      </c>
      <c r="Q107">
        <v>0.80201345288824899</v>
      </c>
      <c r="R107">
        <v>0</v>
      </c>
      <c r="S107">
        <v>45.923309571564502</v>
      </c>
      <c r="T107">
        <v>0</v>
      </c>
      <c r="U107">
        <v>0</v>
      </c>
      <c r="V107">
        <v>0</v>
      </c>
      <c r="W107">
        <v>0</v>
      </c>
    </row>
    <row r="108" spans="1:23" x14ac:dyDescent="0.55000000000000004">
      <c r="A108" t="s">
        <v>223</v>
      </c>
      <c r="B108" t="s">
        <v>224</v>
      </c>
      <c r="C108" t="s">
        <v>20</v>
      </c>
      <c r="D108">
        <v>1.84</v>
      </c>
      <c r="E108">
        <f>235147952/(1000)</f>
        <v>235147.95199999999</v>
      </c>
      <c r="F108">
        <f>2264635904/(1000)</f>
        <v>2264635.9040000001</v>
      </c>
      <c r="G108">
        <f>204652992/(1000)</f>
        <v>204652.992</v>
      </c>
      <c r="H108">
        <f>1242423984/(1000)</f>
        <v>1242423.9839999999</v>
      </c>
      <c r="I108">
        <f>261884000/(1000)</f>
        <v>261884</v>
      </c>
      <c r="J108">
        <f t="shared" si="1"/>
        <v>4.744176750011455E-3</v>
      </c>
      <c r="K108">
        <f>-21586999/(1000)</f>
        <v>-21586.999</v>
      </c>
      <c r="L108">
        <v>12.293876647949199</v>
      </c>
      <c r="M108">
        <v>-30.441032409668001</v>
      </c>
      <c r="N108">
        <v>95.003905975823201</v>
      </c>
      <c r="O108">
        <v>176.72967529296901</v>
      </c>
      <c r="P108">
        <v>0</v>
      </c>
      <c r="Q108">
        <v>0.27710844433382098</v>
      </c>
      <c r="R108">
        <v>2.89855066612331</v>
      </c>
      <c r="S108">
        <v>132.269159910106</v>
      </c>
      <c r="T108">
        <v>0</v>
      </c>
      <c r="U108">
        <v>0</v>
      </c>
      <c r="V108">
        <v>0</v>
      </c>
      <c r="W108">
        <v>0</v>
      </c>
    </row>
    <row r="109" spans="1:23" x14ac:dyDescent="0.55000000000000004">
      <c r="A109" t="s">
        <v>225</v>
      </c>
      <c r="B109" t="s">
        <v>226</v>
      </c>
      <c r="C109" t="s">
        <v>5</v>
      </c>
      <c r="D109">
        <v>7.94</v>
      </c>
      <c r="E109">
        <f>447173664/(1000)</f>
        <v>447173.66399999999</v>
      </c>
      <c r="F109">
        <f>2260999936/(1000)</f>
        <v>2260999.9360000002</v>
      </c>
      <c r="G109">
        <f>-141000000/(1000)</f>
        <v>-141000</v>
      </c>
      <c r="H109">
        <f>1447173664/(1000)</f>
        <v>1447173.6640000001</v>
      </c>
      <c r="I109">
        <f>111000000/(1000)</f>
        <v>111000</v>
      </c>
      <c r="J109">
        <f t="shared" si="1"/>
        <v>1.3037600576576578E-2</v>
      </c>
      <c r="K109">
        <f>-228999999/(1000)</f>
        <v>-228999.99900000001</v>
      </c>
      <c r="L109">
        <v>0</v>
      </c>
      <c r="M109">
        <v>0</v>
      </c>
      <c r="N109">
        <v>42.097086497340698</v>
      </c>
      <c r="O109">
        <v>0</v>
      </c>
      <c r="P109">
        <v>0</v>
      </c>
      <c r="Q109">
        <v>0</v>
      </c>
      <c r="R109">
        <v>0</v>
      </c>
      <c r="S109">
        <v>-27.4390264441592</v>
      </c>
      <c r="T109">
        <v>0</v>
      </c>
      <c r="U109">
        <v>0</v>
      </c>
      <c r="V109">
        <v>0</v>
      </c>
      <c r="W109">
        <v>0</v>
      </c>
    </row>
    <row r="110" spans="1:23" x14ac:dyDescent="0.55000000000000004">
      <c r="A110" t="s">
        <v>227</v>
      </c>
      <c r="B110" t="s">
        <v>228</v>
      </c>
      <c r="C110" t="s">
        <v>81</v>
      </c>
      <c r="D110">
        <v>0.8</v>
      </c>
      <c r="E110">
        <f>66052960/(1000)</f>
        <v>66052.960000000006</v>
      </c>
      <c r="F110">
        <f>2260363008/(1000)</f>
        <v>2260363.0079999999</v>
      </c>
      <c r="G110">
        <f>426094016/(1000)</f>
        <v>426094.016</v>
      </c>
      <c r="H110">
        <f>2129277024/(1000)</f>
        <v>2129277.0240000002</v>
      </c>
      <c r="I110">
        <f>574652992/(1000)</f>
        <v>574652.99199999997</v>
      </c>
      <c r="J110">
        <f t="shared" si="1"/>
        <v>3.7053266121339539E-3</v>
      </c>
      <c r="K110">
        <f>299676001/(1000)</f>
        <v>299676.00099999999</v>
      </c>
      <c r="L110">
        <v>17.034538269043001</v>
      </c>
      <c r="M110">
        <v>-155.05162048339801</v>
      </c>
      <c r="N110">
        <v>82.000408089928797</v>
      </c>
      <c r="O110">
        <v>580.86828613281295</v>
      </c>
      <c r="P110">
        <v>3.5999999046325701</v>
      </c>
      <c r="Q110">
        <v>0</v>
      </c>
      <c r="R110">
        <v>5.4607507754810998E-2</v>
      </c>
      <c r="S110">
        <v>108.925706621892</v>
      </c>
      <c r="T110">
        <v>0</v>
      </c>
      <c r="U110">
        <v>0</v>
      </c>
      <c r="V110">
        <v>0</v>
      </c>
      <c r="W110">
        <v>0</v>
      </c>
    </row>
    <row r="111" spans="1:23" x14ac:dyDescent="0.55000000000000004">
      <c r="A111" t="s">
        <v>229</v>
      </c>
      <c r="B111" t="s">
        <v>230</v>
      </c>
      <c r="C111" t="s">
        <v>5</v>
      </c>
      <c r="D111">
        <v>1.32</v>
      </c>
      <c r="E111">
        <f>63431940/(1000)</f>
        <v>63431.94</v>
      </c>
      <c r="F111">
        <f>2242170880/(1000)</f>
        <v>2242170.8799999999</v>
      </c>
      <c r="G111">
        <f>178160000/(1000)</f>
        <v>178160</v>
      </c>
      <c r="H111">
        <f>1168194948/(1000)</f>
        <v>1168194.9480000001</v>
      </c>
      <c r="I111">
        <f>240667008/(1000)</f>
        <v>240667.008</v>
      </c>
      <c r="J111">
        <f t="shared" si="1"/>
        <v>4.8539887444813377E-3</v>
      </c>
      <c r="K111">
        <f>126287001/(1000)</f>
        <v>126287.001</v>
      </c>
      <c r="L111">
        <v>13.0756225585938</v>
      </c>
      <c r="M111">
        <v>29.9392204284668</v>
      </c>
      <c r="N111">
        <v>99.147425163324002</v>
      </c>
      <c r="O111">
        <v>595.99530029296898</v>
      </c>
      <c r="P111">
        <v>0</v>
      </c>
      <c r="Q111">
        <v>0.25190841795979901</v>
      </c>
      <c r="R111">
        <v>1.4042553785107399</v>
      </c>
      <c r="S111">
        <v>163.07419957385699</v>
      </c>
      <c r="T111">
        <v>0</v>
      </c>
      <c r="U111">
        <v>0</v>
      </c>
      <c r="V111">
        <v>0</v>
      </c>
      <c r="W111">
        <v>0</v>
      </c>
    </row>
    <row r="112" spans="1:23" x14ac:dyDescent="0.55000000000000004">
      <c r="A112" t="s">
        <v>231</v>
      </c>
      <c r="B112" t="s">
        <v>232</v>
      </c>
      <c r="C112" t="s">
        <v>184</v>
      </c>
      <c r="D112">
        <v>12.73</v>
      </c>
      <c r="E112">
        <f>690682752/(1000)</f>
        <v>690682.75199999998</v>
      </c>
      <c r="F112">
        <f>2240000000/(1000)</f>
        <v>2240000</v>
      </c>
      <c r="G112">
        <f>168000000/(1000)</f>
        <v>168000</v>
      </c>
      <c r="H112">
        <f>6578682752/(1000)</f>
        <v>6578682.7520000003</v>
      </c>
      <c r="I112">
        <f>1460999936/(1000)</f>
        <v>1460999.936</v>
      </c>
      <c r="J112">
        <f t="shared" si="1"/>
        <v>4.5028631349645735E-3</v>
      </c>
      <c r="K112">
        <f>385000001/(1000)</f>
        <v>385000.00099999999</v>
      </c>
      <c r="L112">
        <v>0</v>
      </c>
      <c r="M112">
        <v>-0.78843599557876598</v>
      </c>
      <c r="N112">
        <v>98.868330758623898</v>
      </c>
      <c r="O112">
        <v>402.24215698242199</v>
      </c>
      <c r="P112">
        <v>0</v>
      </c>
      <c r="Q112">
        <v>0.54918030089041403</v>
      </c>
      <c r="R112">
        <v>27.673912442784001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55000000000000004">
      <c r="A113" t="s">
        <v>233</v>
      </c>
      <c r="B113" t="s">
        <v>234</v>
      </c>
      <c r="C113" t="s">
        <v>94</v>
      </c>
      <c r="D113">
        <v>46.84</v>
      </c>
      <c r="E113">
        <f>1036381824/(1000)</f>
        <v>1036381.824</v>
      </c>
      <c r="F113">
        <f>2208973056/(1000)</f>
        <v>2208973.0559999999</v>
      </c>
      <c r="G113">
        <f>111347000/(1000)</f>
        <v>111347</v>
      </c>
      <c r="H113">
        <f>1627190848/(1000)</f>
        <v>1627190.848</v>
      </c>
      <c r="I113">
        <f>148260000/(1000)</f>
        <v>148260</v>
      </c>
      <c r="J113">
        <f t="shared" si="1"/>
        <v>1.0975251908808849E-2</v>
      </c>
      <c r="K113">
        <f>-93117999/(1000)</f>
        <v>-93117.998999999996</v>
      </c>
      <c r="L113">
        <v>16.1404209136963</v>
      </c>
      <c r="M113">
        <v>17.035779953002901</v>
      </c>
      <c r="N113">
        <v>93.264487536459995</v>
      </c>
      <c r="O113">
        <v>124.293251037598</v>
      </c>
      <c r="P113">
        <v>1.53999996185303</v>
      </c>
      <c r="Q113">
        <v>2.30058932949016</v>
      </c>
      <c r="R113">
        <v>17.809885920959701</v>
      </c>
      <c r="S113">
        <v>110.312291341766</v>
      </c>
      <c r="T113">
        <v>0</v>
      </c>
      <c r="U113">
        <v>0</v>
      </c>
      <c r="V113">
        <v>0</v>
      </c>
      <c r="W113">
        <v>0</v>
      </c>
    </row>
    <row r="114" spans="1:23" x14ac:dyDescent="0.55000000000000004">
      <c r="A114" t="s">
        <v>235</v>
      </c>
      <c r="B114" t="s">
        <v>236</v>
      </c>
      <c r="C114" t="s">
        <v>81</v>
      </c>
      <c r="D114">
        <v>13.58</v>
      </c>
      <c r="E114">
        <f>512915264/(1000)</f>
        <v>512915.26400000002</v>
      </c>
      <c r="F114">
        <f>2205600000/(1000)</f>
        <v>2205600</v>
      </c>
      <c r="G114">
        <f>206700000/(1000)</f>
        <v>206700</v>
      </c>
      <c r="H114">
        <f>972215264/(1000)</f>
        <v>972215.26399999997</v>
      </c>
      <c r="I114">
        <f>271300000/(1000)</f>
        <v>271300</v>
      </c>
      <c r="J114">
        <f t="shared" si="1"/>
        <v>3.5835431772945079E-3</v>
      </c>
      <c r="K114">
        <f>251800001/(1000)</f>
        <v>251800.00099999999</v>
      </c>
      <c r="L114">
        <v>15.310208320617701</v>
      </c>
      <c r="M114">
        <v>-1.7721910476684599</v>
      </c>
      <c r="N114">
        <v>89.2298469186088</v>
      </c>
      <c r="O114">
        <v>47.108005523681598</v>
      </c>
      <c r="P114">
        <v>0.30000001192092901</v>
      </c>
      <c r="Q114">
        <v>0</v>
      </c>
      <c r="R114">
        <v>3.5090439036107601</v>
      </c>
      <c r="S114">
        <v>12.628298215745501</v>
      </c>
      <c r="T114">
        <v>0</v>
      </c>
      <c r="U114">
        <v>0</v>
      </c>
      <c r="V114">
        <v>0</v>
      </c>
      <c r="W114">
        <v>0</v>
      </c>
    </row>
    <row r="115" spans="1:23" x14ac:dyDescent="0.55000000000000004">
      <c r="A115" t="s">
        <v>237</v>
      </c>
      <c r="B115" t="s">
        <v>238</v>
      </c>
      <c r="C115" t="s">
        <v>121</v>
      </c>
      <c r="D115">
        <v>7.05</v>
      </c>
      <c r="E115">
        <f>308388864/(1000)</f>
        <v>308388.864</v>
      </c>
      <c r="F115">
        <f>2204784896/(1000)</f>
        <v>2204784.8960000002</v>
      </c>
      <c r="G115">
        <f>97598000/(1000)</f>
        <v>97598</v>
      </c>
      <c r="H115">
        <f>926068864/(1000)</f>
        <v>926068.86399999994</v>
      </c>
      <c r="I115">
        <f>185074000/(1000)</f>
        <v>185074</v>
      </c>
      <c r="J115">
        <f t="shared" si="1"/>
        <v>5.0037761327901267E-3</v>
      </c>
      <c r="K115">
        <f>76945001/(1000)</f>
        <v>76945.001000000004</v>
      </c>
      <c r="L115">
        <v>0</v>
      </c>
      <c r="M115">
        <v>-18.888696670532202</v>
      </c>
      <c r="N115">
        <v>97.702953767034401</v>
      </c>
      <c r="O115">
        <v>105.259269714355</v>
      </c>
      <c r="P115">
        <v>0.57999998331069902</v>
      </c>
      <c r="Q115">
        <v>0.61896400160056497</v>
      </c>
      <c r="R115">
        <v>13.3018871224109</v>
      </c>
      <c r="S115">
        <v>44.249344299540901</v>
      </c>
      <c r="T115">
        <v>0</v>
      </c>
      <c r="U115">
        <v>0</v>
      </c>
      <c r="V115">
        <v>0</v>
      </c>
      <c r="W115">
        <v>0</v>
      </c>
    </row>
    <row r="116" spans="1:23" x14ac:dyDescent="0.55000000000000004">
      <c r="A116" t="s">
        <v>239</v>
      </c>
      <c r="B116" t="s">
        <v>240</v>
      </c>
      <c r="C116" t="s">
        <v>31</v>
      </c>
      <c r="D116">
        <v>19.27</v>
      </c>
      <c r="E116">
        <f>508886016/(1000)</f>
        <v>508886.016</v>
      </c>
      <c r="F116">
        <f>2175484928/(1000)</f>
        <v>2175484.9279999998</v>
      </c>
      <c r="G116">
        <f>93965000/(1000)</f>
        <v>93965</v>
      </c>
      <c r="H116">
        <f>525090016/(1000)</f>
        <v>525090.01599999995</v>
      </c>
      <c r="I116">
        <f>101092000/(1000)</f>
        <v>101092</v>
      </c>
      <c r="J116">
        <f t="shared" si="1"/>
        <v>5.1941797174850628E-3</v>
      </c>
      <c r="K116">
        <f>55907001/(1000)</f>
        <v>55907.000999999997</v>
      </c>
      <c r="L116">
        <v>18.036973953247099</v>
      </c>
      <c r="M116">
        <v>15.4426736831665</v>
      </c>
      <c r="N116">
        <v>98.856797062323906</v>
      </c>
      <c r="O116">
        <v>16.240432739257798</v>
      </c>
      <c r="P116">
        <v>0</v>
      </c>
      <c r="Q116">
        <v>1.1728545404648101</v>
      </c>
      <c r="R116">
        <v>9.4926109180028302</v>
      </c>
      <c r="S116">
        <v>119.481248183201</v>
      </c>
      <c r="T116">
        <v>0</v>
      </c>
      <c r="U116">
        <v>0</v>
      </c>
      <c r="V116">
        <v>0</v>
      </c>
      <c r="W116">
        <v>0</v>
      </c>
    </row>
    <row r="117" spans="1:23" x14ac:dyDescent="0.55000000000000004">
      <c r="A117" t="s">
        <v>241</v>
      </c>
      <c r="B117" t="s">
        <v>242</v>
      </c>
      <c r="C117" t="s">
        <v>5</v>
      </c>
      <c r="D117">
        <v>7.53</v>
      </c>
      <c r="E117">
        <f>695156032/(1000)</f>
        <v>695156.03200000001</v>
      </c>
      <c r="F117">
        <f>2171834880/(1000)</f>
        <v>2171834.88</v>
      </c>
      <c r="G117">
        <f>133636000/(1000)</f>
        <v>133636</v>
      </c>
      <c r="H117">
        <f>640633032/(1000)</f>
        <v>640633.03200000001</v>
      </c>
      <c r="I117">
        <f>153752992/(1000)</f>
        <v>153752.992</v>
      </c>
      <c r="J117">
        <f t="shared" si="1"/>
        <v>4.1666378238675184E-3</v>
      </c>
      <c r="K117">
        <f>110797001/(1000)</f>
        <v>110797.001</v>
      </c>
      <c r="L117">
        <v>28.208827972412099</v>
      </c>
      <c r="M117">
        <v>8.97979736328125</v>
      </c>
      <c r="N117">
        <v>97.440158951023705</v>
      </c>
      <c r="O117">
        <v>0.82091897726059004</v>
      </c>
      <c r="P117">
        <v>0</v>
      </c>
      <c r="Q117">
        <v>0.72613310442697099</v>
      </c>
      <c r="R117">
        <v>8.8588236830638696</v>
      </c>
      <c r="S117">
        <v>94.060072241870003</v>
      </c>
      <c r="T117">
        <v>0</v>
      </c>
      <c r="U117">
        <v>0</v>
      </c>
      <c r="V117">
        <v>0</v>
      </c>
      <c r="W117">
        <v>0</v>
      </c>
    </row>
    <row r="118" spans="1:23" x14ac:dyDescent="0.55000000000000004">
      <c r="A118" t="s">
        <v>243</v>
      </c>
      <c r="B118" t="s">
        <v>244</v>
      </c>
      <c r="C118" t="s">
        <v>20</v>
      </c>
      <c r="D118">
        <v>21.68</v>
      </c>
      <c r="E118">
        <f>636925888/(1000)</f>
        <v>636925.88800000004</v>
      </c>
      <c r="F118">
        <f>2162558976/(1000)</f>
        <v>2162558.9759999998</v>
      </c>
      <c r="G118">
        <f>8153000/(1000)</f>
        <v>8153</v>
      </c>
      <c r="H118">
        <f>535945888/(1000)</f>
        <v>535945.88800000004</v>
      </c>
      <c r="I118">
        <f>87853000/(1000)</f>
        <v>87853</v>
      </c>
      <c r="J118">
        <f t="shared" si="1"/>
        <v>6.1004847643222207E-3</v>
      </c>
      <c r="K118">
        <f>-200988991/(1000)</f>
        <v>-200988.99100000001</v>
      </c>
      <c r="L118">
        <v>22.99462890625</v>
      </c>
      <c r="M118">
        <v>-11.985071182251</v>
      </c>
      <c r="N118">
        <v>75.503514514086604</v>
      </c>
      <c r="O118">
        <v>18.841545104980501</v>
      </c>
      <c r="P118">
        <v>0</v>
      </c>
      <c r="Q118">
        <v>0</v>
      </c>
      <c r="R118">
        <v>10.8242939950087</v>
      </c>
      <c r="S118">
        <v>222.09262888906301</v>
      </c>
      <c r="T118">
        <v>0</v>
      </c>
      <c r="U118">
        <v>0</v>
      </c>
      <c r="V118">
        <v>0</v>
      </c>
      <c r="W118">
        <v>0</v>
      </c>
    </row>
    <row r="119" spans="1:23" x14ac:dyDescent="0.55000000000000004">
      <c r="A119" t="s">
        <v>245</v>
      </c>
      <c r="B119" t="s">
        <v>246</v>
      </c>
      <c r="C119" t="s">
        <v>38</v>
      </c>
      <c r="D119">
        <v>39.159999999999997</v>
      </c>
      <c r="E119">
        <f>1584147328/(1000)</f>
        <v>1584147.328</v>
      </c>
      <c r="F119">
        <f>2155952896/(1000)</f>
        <v>2155952.8960000002</v>
      </c>
      <c r="G119">
        <f>135738000/(1000)</f>
        <v>135738</v>
      </c>
      <c r="H119">
        <f>1017131328/(1000)</f>
        <v>1017131.328</v>
      </c>
      <c r="I119">
        <f>193262000/(1000)</f>
        <v>193262</v>
      </c>
      <c r="J119">
        <f t="shared" si="1"/>
        <v>5.2629659633037021E-3</v>
      </c>
      <c r="K119">
        <f>147010001/(1000)</f>
        <v>147010.00099999999</v>
      </c>
      <c r="L119">
        <v>0</v>
      </c>
      <c r="M119">
        <v>11.2642726898193</v>
      </c>
      <c r="N119">
        <v>98.860902773560497</v>
      </c>
      <c r="O119">
        <v>1.5370290279388401</v>
      </c>
      <c r="P119">
        <v>0</v>
      </c>
      <c r="Q119">
        <v>1.69487126696657</v>
      </c>
      <c r="R119">
        <v>16.806867007685401</v>
      </c>
      <c r="S119">
        <v>0</v>
      </c>
      <c r="T119">
        <v>0</v>
      </c>
      <c r="U119">
        <v>0</v>
      </c>
      <c r="V119">
        <v>0</v>
      </c>
      <c r="W119">
        <v>0</v>
      </c>
    </row>
    <row r="120" spans="1:23" x14ac:dyDescent="0.55000000000000004">
      <c r="A120" t="s">
        <v>247</v>
      </c>
      <c r="B120" t="s">
        <v>248</v>
      </c>
      <c r="C120" t="s">
        <v>94</v>
      </c>
      <c r="D120">
        <v>25.22</v>
      </c>
      <c r="E120">
        <f>1107521152/(1000)</f>
        <v>1107521.152</v>
      </c>
      <c r="F120">
        <f>2152088064/(1000)</f>
        <v>2152088.0639999998</v>
      </c>
      <c r="G120">
        <f>220587008/(1000)</f>
        <v>220587.008</v>
      </c>
      <c r="H120">
        <f>2419960192/(1000)</f>
        <v>2419960.1919999998</v>
      </c>
      <c r="I120">
        <f>403100992/(1000)</f>
        <v>403100.99200000003</v>
      </c>
      <c r="J120">
        <f t="shared" si="1"/>
        <v>6.0033595551161516E-3</v>
      </c>
      <c r="K120">
        <f>6936001/(1000)</f>
        <v>6936.0010000000002</v>
      </c>
      <c r="L120">
        <v>18.709121704101602</v>
      </c>
      <c r="M120">
        <v>8.8320083618164098</v>
      </c>
      <c r="N120">
        <v>98.923364060967899</v>
      </c>
      <c r="O120">
        <v>143.66014099121099</v>
      </c>
      <c r="P120">
        <v>0.89999997615814198</v>
      </c>
      <c r="Q120">
        <v>1.0385011106369</v>
      </c>
      <c r="R120">
        <v>14.7485377630884</v>
      </c>
      <c r="S120">
        <v>62.924771711157099</v>
      </c>
      <c r="T120">
        <v>0</v>
      </c>
      <c r="U120">
        <v>0</v>
      </c>
      <c r="V120">
        <v>0</v>
      </c>
      <c r="W120">
        <v>0</v>
      </c>
    </row>
    <row r="121" spans="1:23" x14ac:dyDescent="0.55000000000000004">
      <c r="A121" t="s">
        <v>249</v>
      </c>
      <c r="B121" t="s">
        <v>250</v>
      </c>
      <c r="C121" t="s">
        <v>2</v>
      </c>
      <c r="D121">
        <v>17.59</v>
      </c>
      <c r="E121">
        <f>876187776/(1000)</f>
        <v>876187.77599999995</v>
      </c>
      <c r="F121">
        <f>2151393024/(1000)</f>
        <v>2151393.0240000002</v>
      </c>
      <c r="G121">
        <f>26340000/(1000)</f>
        <v>26340</v>
      </c>
      <c r="H121">
        <f>1251545792/(1000)</f>
        <v>1251545.7919999999</v>
      </c>
      <c r="I121">
        <f>95226000/(1000)</f>
        <v>95226</v>
      </c>
      <c r="J121">
        <f t="shared" si="1"/>
        <v>1.3142899964295464E-2</v>
      </c>
      <c r="K121">
        <f>-4223999/(1000)</f>
        <v>-4223.9989999999998</v>
      </c>
      <c r="L121">
        <v>0</v>
      </c>
      <c r="M121">
        <v>2.6969339847564702</v>
      </c>
      <c r="N121">
        <v>99.221871724859795</v>
      </c>
      <c r="O121">
        <v>44.005359649658203</v>
      </c>
      <c r="P121">
        <v>0.87999999523162797</v>
      </c>
      <c r="Q121">
        <v>1.04702386615498</v>
      </c>
      <c r="R121">
        <v>25.94896706862</v>
      </c>
      <c r="S121">
        <v>29.787051346776298</v>
      </c>
      <c r="T121">
        <v>0</v>
      </c>
      <c r="U121">
        <v>0</v>
      </c>
      <c r="V121">
        <v>0</v>
      </c>
      <c r="W121">
        <v>0</v>
      </c>
    </row>
    <row r="122" spans="1:23" x14ac:dyDescent="0.55000000000000004">
      <c r="A122" t="s">
        <v>251</v>
      </c>
      <c r="B122" t="s">
        <v>252</v>
      </c>
      <c r="C122" t="s">
        <v>17</v>
      </c>
      <c r="D122">
        <v>29.87</v>
      </c>
      <c r="E122">
        <f>746364672/(1000)</f>
        <v>746364.67200000002</v>
      </c>
      <c r="F122">
        <f>2145821952/(1000)</f>
        <v>2145821.952</v>
      </c>
      <c r="G122">
        <f>204428000/(1000)</f>
        <v>204428</v>
      </c>
      <c r="H122">
        <f>1571588672/(1000)</f>
        <v>1571588.672</v>
      </c>
      <c r="I122">
        <f>247668000/(1000)</f>
        <v>247668</v>
      </c>
      <c r="J122">
        <f t="shared" si="1"/>
        <v>6.3455459405332947E-3</v>
      </c>
      <c r="K122">
        <f>69363001/(1000)</f>
        <v>69363.001000000004</v>
      </c>
      <c r="L122">
        <v>16.120054244995099</v>
      </c>
      <c r="M122">
        <v>12.126370429992701</v>
      </c>
      <c r="N122">
        <v>98.323932784837595</v>
      </c>
      <c r="O122">
        <v>47.297538757324197</v>
      </c>
      <c r="P122">
        <v>1.8400000333786</v>
      </c>
      <c r="Q122">
        <v>0</v>
      </c>
      <c r="R122">
        <v>7.4303486128953598</v>
      </c>
      <c r="S122">
        <v>-18.619480604968601</v>
      </c>
      <c r="T122">
        <v>0</v>
      </c>
      <c r="U122">
        <v>0</v>
      </c>
      <c r="V122">
        <v>0</v>
      </c>
      <c r="W122">
        <v>0</v>
      </c>
    </row>
    <row r="123" spans="1:23" x14ac:dyDescent="0.55000000000000004">
      <c r="A123" t="s">
        <v>253</v>
      </c>
      <c r="B123" t="s">
        <v>254</v>
      </c>
      <c r="C123" t="s">
        <v>20</v>
      </c>
      <c r="D123">
        <v>4.13</v>
      </c>
      <c r="E123">
        <f>215286576/(1000)</f>
        <v>215286.576</v>
      </c>
      <c r="F123">
        <f>2138075008/(1000)</f>
        <v>2138075.0079999999</v>
      </c>
      <c r="G123">
        <f>-32136000/(1000)</f>
        <v>-32136</v>
      </c>
      <c r="H123">
        <f>509510576/(1000)</f>
        <v>509510.576</v>
      </c>
      <c r="I123">
        <f>48900000/(1000)</f>
        <v>48900</v>
      </c>
      <c r="J123">
        <f t="shared" si="1"/>
        <v>1.0419439182004091E-2</v>
      </c>
      <c r="K123">
        <f>9668001/(1000)</f>
        <v>9668.0010000000002</v>
      </c>
      <c r="L123">
        <v>0</v>
      </c>
      <c r="M123">
        <v>-7.9037661552429199</v>
      </c>
      <c r="N123">
        <v>94.6600187999761</v>
      </c>
      <c r="O123">
        <v>85.430160522460895</v>
      </c>
      <c r="P123">
        <v>0.270000010728836</v>
      </c>
      <c r="Q123">
        <v>0.46008152159189702</v>
      </c>
      <c r="R123">
        <v>0</v>
      </c>
      <c r="S123">
        <v>1.92098509703194</v>
      </c>
      <c r="T123">
        <v>0</v>
      </c>
      <c r="U123">
        <v>0</v>
      </c>
      <c r="V123">
        <v>0</v>
      </c>
      <c r="W123">
        <v>0</v>
      </c>
    </row>
    <row r="124" spans="1:23" x14ac:dyDescent="0.55000000000000004">
      <c r="A124" t="s">
        <v>255</v>
      </c>
      <c r="B124" t="s">
        <v>256</v>
      </c>
      <c r="C124" t="s">
        <v>5</v>
      </c>
      <c r="D124">
        <v>3.33</v>
      </c>
      <c r="E124">
        <f>106184376/(1000)</f>
        <v>106184.376</v>
      </c>
      <c r="F124">
        <f>2138040960/(1000)</f>
        <v>2138040.96</v>
      </c>
      <c r="G124">
        <f>18475000/(1000)</f>
        <v>18475</v>
      </c>
      <c r="H124">
        <f>435244376/(1000)</f>
        <v>435244.37599999999</v>
      </c>
      <c r="I124">
        <f>79402000/(1000)</f>
        <v>79402</v>
      </c>
      <c r="J124">
        <f t="shared" si="1"/>
        <v>5.4815291302486085E-3</v>
      </c>
      <c r="K124">
        <f>30570001/(1000)</f>
        <v>30570.001</v>
      </c>
      <c r="L124">
        <v>0</v>
      </c>
      <c r="M124">
        <v>1.43881595134735</v>
      </c>
      <c r="N124">
        <v>98.111469764822203</v>
      </c>
      <c r="O124">
        <v>54.493320465087898</v>
      </c>
      <c r="P124">
        <v>0</v>
      </c>
      <c r="Q124">
        <v>0</v>
      </c>
      <c r="R124">
        <v>0</v>
      </c>
      <c r="S124">
        <v>-3.3540622151124002</v>
      </c>
      <c r="T124">
        <v>0</v>
      </c>
      <c r="U124">
        <v>0</v>
      </c>
      <c r="V124">
        <v>0</v>
      </c>
      <c r="W124">
        <v>0</v>
      </c>
    </row>
    <row r="125" spans="1:23" x14ac:dyDescent="0.55000000000000004">
      <c r="A125" t="s">
        <v>257</v>
      </c>
      <c r="B125" t="s">
        <v>258</v>
      </c>
      <c r="C125" t="s">
        <v>5</v>
      </c>
      <c r="D125">
        <v>0.45</v>
      </c>
      <c r="E125">
        <f>45798612/(1000)</f>
        <v>45798.612000000001</v>
      </c>
      <c r="F125">
        <f>2126699904/(1000)</f>
        <v>2126699.9040000001</v>
      </c>
      <c r="G125">
        <f>46800000/(1000)</f>
        <v>46800</v>
      </c>
      <c r="H125">
        <f>625098580/(1000)</f>
        <v>625098.57999999996</v>
      </c>
      <c r="I125">
        <f>158900000/(1000)</f>
        <v>158900</v>
      </c>
      <c r="J125">
        <f t="shared" si="1"/>
        <v>3.9339117684078035E-3</v>
      </c>
      <c r="K125">
        <f>8000001/(1000)</f>
        <v>8000.0010000000002</v>
      </c>
      <c r="L125">
        <v>0</v>
      </c>
      <c r="M125">
        <v>-128.313064575195</v>
      </c>
      <c r="N125">
        <v>97.468333050845601</v>
      </c>
      <c r="O125">
        <v>223.570388793945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55000000000000004">
      <c r="A126" t="s">
        <v>259</v>
      </c>
      <c r="B126" t="s">
        <v>260</v>
      </c>
      <c r="C126" t="s">
        <v>184</v>
      </c>
      <c r="D126">
        <v>14.33</v>
      </c>
      <c r="E126">
        <f>709243264/(1000)</f>
        <v>709243.26399999997</v>
      </c>
      <c r="F126">
        <f>2123593984/(1000)</f>
        <v>2123593.9840000002</v>
      </c>
      <c r="G126">
        <f>1609310976/(1000)</f>
        <v>1609310.976</v>
      </c>
      <c r="H126">
        <f>28389071232/(1000)</f>
        <v>28389071.232000001</v>
      </c>
      <c r="I126">
        <f>1898873984/(1000)</f>
        <v>1898873.9839999999</v>
      </c>
      <c r="J126">
        <f t="shared" si="1"/>
        <v>1.495047668839935E-2</v>
      </c>
      <c r="K126">
        <f>252998993/(1000)</f>
        <v>252998.99299999999</v>
      </c>
      <c r="L126">
        <v>17.2849731445313</v>
      </c>
      <c r="M126">
        <v>5.1305160522460902</v>
      </c>
      <c r="N126">
        <v>74.593008091557095</v>
      </c>
      <c r="O126">
        <v>4617.63818359375</v>
      </c>
      <c r="P126">
        <v>0</v>
      </c>
      <c r="Q126">
        <v>1.1413779032564799</v>
      </c>
      <c r="R126">
        <v>10.235714351058901</v>
      </c>
      <c r="S126">
        <v>285.311436453233</v>
      </c>
      <c r="T126">
        <v>0</v>
      </c>
      <c r="U126">
        <v>0</v>
      </c>
      <c r="V126">
        <v>0</v>
      </c>
      <c r="W126">
        <v>0</v>
      </c>
    </row>
    <row r="127" spans="1:23" x14ac:dyDescent="0.55000000000000004">
      <c r="A127" t="s">
        <v>261</v>
      </c>
      <c r="B127" t="s">
        <v>262</v>
      </c>
      <c r="C127" t="s">
        <v>5</v>
      </c>
      <c r="D127">
        <v>36.61</v>
      </c>
      <c r="E127">
        <f>1529620608/(1000)</f>
        <v>1529620.608</v>
      </c>
      <c r="F127">
        <f>2106992896/(1000)</f>
        <v>2106992.8960000002</v>
      </c>
      <c r="G127">
        <f>134820992/(1000)</f>
        <v>134820.992</v>
      </c>
      <c r="H127">
        <f>1873667616/(1000)</f>
        <v>1873667.6159999999</v>
      </c>
      <c r="I127">
        <f>207376992/(1000)</f>
        <v>207376.992</v>
      </c>
      <c r="J127">
        <f t="shared" si="1"/>
        <v>9.0350795328345782E-3</v>
      </c>
      <c r="K127">
        <f>59483001/(1000)</f>
        <v>59483.000999999997</v>
      </c>
      <c r="L127">
        <v>0</v>
      </c>
      <c r="M127">
        <v>14.318473815918001</v>
      </c>
      <c r="N127">
        <v>99.554111490497505</v>
      </c>
      <c r="O127">
        <v>107.42765045166</v>
      </c>
      <c r="P127">
        <v>0</v>
      </c>
      <c r="Q127">
        <v>2.9452936212002601</v>
      </c>
      <c r="R127">
        <v>20.338888756526099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55000000000000004">
      <c r="A128" t="s">
        <v>263</v>
      </c>
      <c r="B128" t="s">
        <v>264</v>
      </c>
      <c r="C128" t="s">
        <v>184</v>
      </c>
      <c r="D128">
        <v>23.49</v>
      </c>
      <c r="E128">
        <f>426456224/(1000)</f>
        <v>426456.22399999999</v>
      </c>
      <c r="F128">
        <f>2106690944/(1000)</f>
        <v>2106690.9440000001</v>
      </c>
      <c r="G128">
        <f>0/(1000)</f>
        <v>0</v>
      </c>
      <c r="H128">
        <f>576415232/(1000)</f>
        <v>576415.23199999996</v>
      </c>
      <c r="I128">
        <f>0/(1000)</f>
        <v>0</v>
      </c>
      <c r="J128">
        <f t="shared" si="1"/>
        <v>1</v>
      </c>
      <c r="K128">
        <f>-26804999/(1000)</f>
        <v>-26804.999</v>
      </c>
      <c r="L128">
        <v>0</v>
      </c>
      <c r="M128">
        <v>-5.16860008239746</v>
      </c>
      <c r="N128">
        <v>98.384083517983896</v>
      </c>
      <c r="O128">
        <v>14.122938156127899</v>
      </c>
      <c r="P128">
        <v>0.10000000149011599</v>
      </c>
      <c r="Q128">
        <v>0.67470919711877797</v>
      </c>
      <c r="R128">
        <v>0</v>
      </c>
      <c r="S128">
        <v>18.600214609269099</v>
      </c>
      <c r="T128">
        <v>0</v>
      </c>
      <c r="U128">
        <v>0</v>
      </c>
      <c r="V128">
        <v>0</v>
      </c>
      <c r="W128">
        <v>0</v>
      </c>
    </row>
    <row r="129" spans="1:23" x14ac:dyDescent="0.55000000000000004">
      <c r="A129" t="s">
        <v>265</v>
      </c>
      <c r="B129" t="s">
        <v>266</v>
      </c>
      <c r="C129" t="s">
        <v>2</v>
      </c>
      <c r="D129">
        <v>18.920000000000002</v>
      </c>
      <c r="E129">
        <f>800843840/(1000)</f>
        <v>800843.84</v>
      </c>
      <c r="F129">
        <f>2089456000/(1000)</f>
        <v>2089456</v>
      </c>
      <c r="G129">
        <f>152824000/(1000)</f>
        <v>152824</v>
      </c>
      <c r="H129">
        <f>852094840/(1000)</f>
        <v>852094.84</v>
      </c>
      <c r="I129">
        <f>167263008/(1000)</f>
        <v>167263.008</v>
      </c>
      <c r="J129">
        <f t="shared" si="1"/>
        <v>5.0943412425059334E-3</v>
      </c>
      <c r="K129">
        <f>101893001/(1000)</f>
        <v>101893.001</v>
      </c>
      <c r="L129">
        <v>15.9027242660522</v>
      </c>
      <c r="M129">
        <v>20.031520843505898</v>
      </c>
      <c r="N129">
        <v>87.746852687971895</v>
      </c>
      <c r="O129">
        <v>4.9793357849121103</v>
      </c>
      <c r="P129">
        <v>0.60000002384185802</v>
      </c>
      <c r="Q129">
        <v>1.4087862729982501</v>
      </c>
      <c r="R129">
        <v>8.7592594299378597</v>
      </c>
      <c r="S129">
        <v>42.686637587762696</v>
      </c>
      <c r="T129">
        <v>0</v>
      </c>
      <c r="U129">
        <v>0</v>
      </c>
      <c r="V129">
        <v>0</v>
      </c>
      <c r="W129">
        <v>0</v>
      </c>
    </row>
    <row r="130" spans="1:23" x14ac:dyDescent="0.55000000000000004">
      <c r="A130" t="s">
        <v>267</v>
      </c>
      <c r="B130" t="s">
        <v>268</v>
      </c>
      <c r="C130" t="s">
        <v>94</v>
      </c>
      <c r="D130">
        <v>31.67</v>
      </c>
      <c r="E130">
        <f>2320166144/(1000)</f>
        <v>2320166.1439999999</v>
      </c>
      <c r="F130">
        <f>2089107968/(1000)</f>
        <v>2089107.9680000001</v>
      </c>
      <c r="G130">
        <f>215925008/(1000)</f>
        <v>215925.008</v>
      </c>
      <c r="H130">
        <f>3543936128/(1000)</f>
        <v>3543936.128</v>
      </c>
      <c r="I130">
        <f>313562016/(1000)</f>
        <v>313562.016</v>
      </c>
      <c r="J130">
        <f t="shared" ref="J130:J193" si="2">(IF(I130=0,1000,H130/I130))/(1000)</f>
        <v>1.1302185683102638E-2</v>
      </c>
      <c r="K130">
        <f>-111798999/(1000)</f>
        <v>-111798.999</v>
      </c>
      <c r="L130">
        <v>19.454572677612301</v>
      </c>
      <c r="M130">
        <v>12.461020469665501</v>
      </c>
      <c r="N130">
        <v>98.436274199874106</v>
      </c>
      <c r="O130">
        <v>138.71731567382801</v>
      </c>
      <c r="P130">
        <v>1.03999996185303</v>
      </c>
      <c r="Q130">
        <v>2.46459137246124</v>
      </c>
      <c r="R130">
        <v>21.113333069582801</v>
      </c>
      <c r="S130">
        <v>71.1230581215206</v>
      </c>
      <c r="T130">
        <v>0</v>
      </c>
      <c r="U130">
        <v>0</v>
      </c>
      <c r="V130">
        <v>0</v>
      </c>
      <c r="W130">
        <v>0</v>
      </c>
    </row>
    <row r="131" spans="1:23" x14ac:dyDescent="0.55000000000000004">
      <c r="A131" t="s">
        <v>269</v>
      </c>
      <c r="B131" t="s">
        <v>270</v>
      </c>
      <c r="C131" t="s">
        <v>20</v>
      </c>
      <c r="D131">
        <v>2.21</v>
      </c>
      <c r="E131">
        <f>107840264/(1000)</f>
        <v>107840.264</v>
      </c>
      <c r="F131">
        <f>2082055936/(1000)</f>
        <v>2082055.936</v>
      </c>
      <c r="G131">
        <f>-53339000/(1000)</f>
        <v>-53339</v>
      </c>
      <c r="H131">
        <f>198200264/(1000)</f>
        <v>198200.264</v>
      </c>
      <c r="I131">
        <f>-23357000/(1000)</f>
        <v>-23357</v>
      </c>
      <c r="J131">
        <f t="shared" si="2"/>
        <v>-8.4856901143126259E-3</v>
      </c>
      <c r="K131">
        <f>138515009/(1000)</f>
        <v>138515.00899999999</v>
      </c>
      <c r="L131">
        <v>0</v>
      </c>
      <c r="M131">
        <v>-5.2007398605346697</v>
      </c>
      <c r="N131">
        <v>78.714250176090601</v>
      </c>
      <c r="O131">
        <v>35.607494354247997</v>
      </c>
      <c r="P131">
        <v>0</v>
      </c>
      <c r="Q131">
        <v>0.143506499538335</v>
      </c>
      <c r="R131">
        <v>0</v>
      </c>
      <c r="S131">
        <v>-13.164779905640099</v>
      </c>
      <c r="T131">
        <v>0</v>
      </c>
      <c r="U131">
        <v>0</v>
      </c>
      <c r="V131">
        <v>0</v>
      </c>
      <c r="W131">
        <v>0</v>
      </c>
    </row>
    <row r="132" spans="1:23" x14ac:dyDescent="0.55000000000000004">
      <c r="A132" t="s">
        <v>271</v>
      </c>
      <c r="B132" t="s">
        <v>272</v>
      </c>
      <c r="C132" t="s">
        <v>20</v>
      </c>
      <c r="D132">
        <v>1.58</v>
      </c>
      <c r="E132">
        <f>62045656/(1000)</f>
        <v>62045.656000000003</v>
      </c>
      <c r="F132">
        <f>2074297984/(1000)</f>
        <v>2074297.9839999999</v>
      </c>
      <c r="G132">
        <f>-184680000/(1000)</f>
        <v>-184680</v>
      </c>
      <c r="H132">
        <f>1153857624/(1000)</f>
        <v>1153857.6240000001</v>
      </c>
      <c r="I132">
        <f>-156971008/(1000)</f>
        <v>-156971.008</v>
      </c>
      <c r="J132">
        <f t="shared" si="2"/>
        <v>-7.3507690286348931E-3</v>
      </c>
      <c r="K132">
        <f>305000993/(1000)</f>
        <v>305000.99300000002</v>
      </c>
      <c r="L132">
        <v>0</v>
      </c>
      <c r="M132">
        <v>-112.08373260498</v>
      </c>
      <c r="N132">
        <v>92.648725378216398</v>
      </c>
      <c r="O132">
        <v>447.14993286132801</v>
      </c>
      <c r="P132">
        <v>0</v>
      </c>
      <c r="Q132">
        <v>0.66386553232855605</v>
      </c>
      <c r="R132">
        <v>0</v>
      </c>
      <c r="S132">
        <v>-34.717292082099597</v>
      </c>
      <c r="T132">
        <v>0</v>
      </c>
      <c r="U132">
        <v>0</v>
      </c>
      <c r="V132">
        <v>0</v>
      </c>
      <c r="W132">
        <v>0</v>
      </c>
    </row>
    <row r="133" spans="1:23" x14ac:dyDescent="0.55000000000000004">
      <c r="A133" t="s">
        <v>273</v>
      </c>
      <c r="B133" t="s">
        <v>274</v>
      </c>
      <c r="C133" t="s">
        <v>2</v>
      </c>
      <c r="D133">
        <v>17.34</v>
      </c>
      <c r="E133">
        <f>1231589120/(1000)</f>
        <v>1231589.1200000001</v>
      </c>
      <c r="F133">
        <f>2071186944/(1000)</f>
        <v>2071186.9439999999</v>
      </c>
      <c r="G133">
        <f>136516992/(1000)</f>
        <v>136516.992</v>
      </c>
      <c r="H133">
        <f>1095274112/(1000)</f>
        <v>1095274.112</v>
      </c>
      <c r="I133">
        <f>303511008/(1000)</f>
        <v>303511.00799999997</v>
      </c>
      <c r="J133">
        <f t="shared" si="2"/>
        <v>3.6086800252068622E-3</v>
      </c>
      <c r="K133">
        <f>94861001/(1000)</f>
        <v>94861.001000000004</v>
      </c>
      <c r="L133">
        <v>17.889228820800799</v>
      </c>
      <c r="M133">
        <v>8.8491897583007795</v>
      </c>
      <c r="N133">
        <v>50.888477424207302</v>
      </c>
      <c r="O133">
        <v>0</v>
      </c>
      <c r="P133">
        <v>0.20000000298023199</v>
      </c>
      <c r="Q133">
        <v>1.42442891019951</v>
      </c>
      <c r="R133">
        <v>19.266666868108299</v>
      </c>
      <c r="S133">
        <v>54.398425591297801</v>
      </c>
      <c r="T133">
        <v>0</v>
      </c>
      <c r="U133">
        <v>0</v>
      </c>
      <c r="V133">
        <v>0</v>
      </c>
      <c r="W133">
        <v>0</v>
      </c>
    </row>
    <row r="134" spans="1:23" x14ac:dyDescent="0.55000000000000004">
      <c r="A134" t="s">
        <v>275</v>
      </c>
      <c r="B134" t="s">
        <v>276</v>
      </c>
      <c r="C134" t="s">
        <v>31</v>
      </c>
      <c r="D134">
        <v>13.57</v>
      </c>
      <c r="E134">
        <f>511344736/(1000)</f>
        <v>511344.73599999998</v>
      </c>
      <c r="F134">
        <f>2062000000/(1000)</f>
        <v>2062000</v>
      </c>
      <c r="G134">
        <f>94400000/(1000)</f>
        <v>94400</v>
      </c>
      <c r="H134">
        <f>398544736/(1000)</f>
        <v>398544.73599999998</v>
      </c>
      <c r="I134">
        <f>141300000/(1000)</f>
        <v>141300</v>
      </c>
      <c r="J134">
        <f t="shared" si="2"/>
        <v>2.8205572257607925E-3</v>
      </c>
      <c r="K134">
        <f>73000001/(1000)</f>
        <v>73000.001000000004</v>
      </c>
      <c r="L134">
        <v>18.383956909179702</v>
      </c>
      <c r="M134">
        <v>-5.0397481918334996</v>
      </c>
      <c r="N134">
        <v>78.187730535497195</v>
      </c>
      <c r="O134">
        <v>2.97020292282104</v>
      </c>
      <c r="P134">
        <v>3.2000000476837198</v>
      </c>
      <c r="Q134">
        <v>0.50464856834649496</v>
      </c>
      <c r="R134">
        <v>16.548779959261299</v>
      </c>
      <c r="S134">
        <v>93.306464972163596</v>
      </c>
      <c r="T134">
        <v>0</v>
      </c>
      <c r="U134">
        <v>0</v>
      </c>
      <c r="V134">
        <v>0</v>
      </c>
      <c r="W134">
        <v>0</v>
      </c>
    </row>
    <row r="135" spans="1:23" x14ac:dyDescent="0.55000000000000004">
      <c r="A135" t="s">
        <v>277</v>
      </c>
      <c r="B135" t="s">
        <v>278</v>
      </c>
      <c r="C135" t="s">
        <v>2</v>
      </c>
      <c r="D135">
        <v>34.53</v>
      </c>
      <c r="E135">
        <f>677160896/(1000)</f>
        <v>677160.89599999995</v>
      </c>
      <c r="F135">
        <f>2049174016/(1000)</f>
        <v>2049174.0160000001</v>
      </c>
      <c r="G135">
        <f>203722000/(1000)</f>
        <v>203722</v>
      </c>
      <c r="H135">
        <f>1321910912/(1000)</f>
        <v>1321910.912</v>
      </c>
      <c r="I135">
        <f>431520000/(1000)</f>
        <v>431520</v>
      </c>
      <c r="J135">
        <f t="shared" si="2"/>
        <v>3.0633827215424546E-3</v>
      </c>
      <c r="K135">
        <f>-240923007/(1000)</f>
        <v>-240923.00700000001</v>
      </c>
      <c r="L135">
        <v>23.263820648193398</v>
      </c>
      <c r="M135">
        <v>7.42565822601318</v>
      </c>
      <c r="N135">
        <v>27.948375685088099</v>
      </c>
      <c r="O135">
        <v>198.39338684082</v>
      </c>
      <c r="P135">
        <v>0</v>
      </c>
      <c r="Q135">
        <v>0</v>
      </c>
      <c r="R135">
        <v>18.179883730662201</v>
      </c>
      <c r="S135">
        <v>-3.9023371548086101</v>
      </c>
      <c r="T135">
        <v>0</v>
      </c>
      <c r="U135">
        <v>0</v>
      </c>
      <c r="V135">
        <v>0</v>
      </c>
      <c r="W135">
        <v>0</v>
      </c>
    </row>
    <row r="136" spans="1:23" x14ac:dyDescent="0.55000000000000004">
      <c r="A136" t="s">
        <v>279</v>
      </c>
      <c r="B136" t="s">
        <v>280</v>
      </c>
      <c r="C136" t="s">
        <v>2</v>
      </c>
      <c r="D136">
        <v>0</v>
      </c>
      <c r="E136">
        <f>241153952/(1000)</f>
        <v>241153.95199999999</v>
      </c>
      <c r="F136">
        <f>2046716032/(1000)</f>
        <v>2046716.0319999999</v>
      </c>
      <c r="G136">
        <f>177636000/(1000)</f>
        <v>177636</v>
      </c>
      <c r="H136">
        <f>1603333920/(1000)</f>
        <v>1603333.92</v>
      </c>
      <c r="I136">
        <f>243144000/(1000)</f>
        <v>243144</v>
      </c>
      <c r="J136">
        <f t="shared" si="2"/>
        <v>6.5941743164544464E-3</v>
      </c>
      <c r="K136">
        <f>56868001/(1000)</f>
        <v>56868.000999999997</v>
      </c>
      <c r="L136">
        <v>0</v>
      </c>
      <c r="M136">
        <v>51.692512512207003</v>
      </c>
      <c r="N136">
        <v>86.987541383158401</v>
      </c>
      <c r="O136">
        <v>1454.43994140625</v>
      </c>
      <c r="P136">
        <v>0</v>
      </c>
      <c r="Q136">
        <v>0</v>
      </c>
      <c r="R136">
        <v>3.9732141777925301</v>
      </c>
      <c r="S136">
        <v>18.395909283826999</v>
      </c>
      <c r="T136">
        <v>0</v>
      </c>
      <c r="U136">
        <v>0</v>
      </c>
      <c r="V136">
        <v>0</v>
      </c>
      <c r="W136">
        <v>0</v>
      </c>
    </row>
    <row r="137" spans="1:23" x14ac:dyDescent="0.55000000000000004">
      <c r="A137" t="s">
        <v>281</v>
      </c>
      <c r="B137" t="s">
        <v>282</v>
      </c>
      <c r="C137" t="s">
        <v>17</v>
      </c>
      <c r="D137">
        <v>24.36</v>
      </c>
      <c r="E137">
        <f>2259312128/(1000)</f>
        <v>2259312.128</v>
      </c>
      <c r="F137">
        <f>2036674048/(1000)</f>
        <v>2036674.048</v>
      </c>
      <c r="G137">
        <f>143748000/(1000)</f>
        <v>143748</v>
      </c>
      <c r="H137">
        <f>2546515136/(1000)</f>
        <v>2546515.1359999999</v>
      </c>
      <c r="I137">
        <f>209842000/(1000)</f>
        <v>209842</v>
      </c>
      <c r="J137">
        <f t="shared" si="2"/>
        <v>1.2135392990916975E-2</v>
      </c>
      <c r="K137">
        <f>126473001/(1000)</f>
        <v>126473.001</v>
      </c>
      <c r="L137">
        <v>24.587417602539102</v>
      </c>
      <c r="M137">
        <v>15.522386550903301</v>
      </c>
      <c r="N137">
        <v>87.7096537237788</v>
      </c>
      <c r="O137">
        <v>4.4318141937255904</v>
      </c>
      <c r="P137">
        <v>0.40000000596046398</v>
      </c>
      <c r="Q137">
        <v>2.8566403019012401</v>
      </c>
      <c r="R137">
        <v>21.166596869734501</v>
      </c>
      <c r="S137">
        <v>53.293945071081701</v>
      </c>
      <c r="T137">
        <v>0</v>
      </c>
      <c r="U137">
        <v>0</v>
      </c>
      <c r="V137">
        <v>0</v>
      </c>
      <c r="W137">
        <v>0</v>
      </c>
    </row>
    <row r="138" spans="1:23" x14ac:dyDescent="0.55000000000000004">
      <c r="A138" t="s">
        <v>283</v>
      </c>
      <c r="B138" t="s">
        <v>284</v>
      </c>
      <c r="C138" t="s">
        <v>31</v>
      </c>
      <c r="D138">
        <v>20.88</v>
      </c>
      <c r="E138">
        <f>830326656/(1000)</f>
        <v>830326.65599999996</v>
      </c>
      <c r="F138">
        <f>2032840960/(1000)</f>
        <v>2032840.96</v>
      </c>
      <c r="G138">
        <f>215442000/(1000)</f>
        <v>215442</v>
      </c>
      <c r="H138">
        <f>1204887648/(1000)</f>
        <v>1204887.648</v>
      </c>
      <c r="I138">
        <f>267188000/(1000)</f>
        <v>267188</v>
      </c>
      <c r="J138">
        <f t="shared" si="2"/>
        <v>4.5095125829004304E-3</v>
      </c>
      <c r="K138">
        <f>142055009/(1000)</f>
        <v>142055.00899999999</v>
      </c>
      <c r="L138">
        <v>0</v>
      </c>
      <c r="M138">
        <v>14.309252738952599</v>
      </c>
      <c r="N138">
        <v>97.169731588124094</v>
      </c>
      <c r="O138">
        <v>42.883926391601598</v>
      </c>
      <c r="P138">
        <v>0.20000000298023199</v>
      </c>
      <c r="Q138">
        <v>0.85819972158824698</v>
      </c>
      <c r="R138">
        <v>6.5660374571706397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23" x14ac:dyDescent="0.55000000000000004">
      <c r="A139" t="s">
        <v>285</v>
      </c>
      <c r="B139" t="s">
        <v>286</v>
      </c>
      <c r="C139" t="s">
        <v>2</v>
      </c>
      <c r="D139">
        <v>8.57</v>
      </c>
      <c r="E139">
        <f>319205472/(1000)</f>
        <v>319205.47200000001</v>
      </c>
      <c r="F139">
        <f>2030779008/(1000)</f>
        <v>2030779.0079999999</v>
      </c>
      <c r="G139">
        <f>96472000/(1000)</f>
        <v>96472</v>
      </c>
      <c r="H139">
        <f>659496448/(1000)</f>
        <v>659496.44799999997</v>
      </c>
      <c r="I139">
        <f>132270000/(1000)</f>
        <v>132270</v>
      </c>
      <c r="J139">
        <f t="shared" si="2"/>
        <v>4.9859866031602019E-3</v>
      </c>
      <c r="K139">
        <f>193432993/(1000)</f>
        <v>193432.99299999999</v>
      </c>
      <c r="L139">
        <v>12.634686470031699</v>
      </c>
      <c r="M139">
        <v>13.932101249694799</v>
      </c>
      <c r="N139">
        <v>99.639318567460293</v>
      </c>
      <c r="O139">
        <v>122.66497039794901</v>
      </c>
      <c r="P139">
        <v>0</v>
      </c>
      <c r="Q139">
        <v>0.76929976936320499</v>
      </c>
      <c r="R139">
        <v>8.3203881639698896</v>
      </c>
      <c r="S139">
        <v>168.21464764440799</v>
      </c>
      <c r="T139">
        <v>0</v>
      </c>
      <c r="U139">
        <v>0</v>
      </c>
      <c r="V139">
        <v>0</v>
      </c>
      <c r="W139">
        <v>0</v>
      </c>
    </row>
    <row r="140" spans="1:23" x14ac:dyDescent="0.55000000000000004">
      <c r="A140" t="s">
        <v>287</v>
      </c>
      <c r="B140" t="s">
        <v>288</v>
      </c>
      <c r="C140" t="s">
        <v>2</v>
      </c>
      <c r="D140">
        <v>34.909999999999997</v>
      </c>
      <c r="E140">
        <f>1409177088/(1000)</f>
        <v>1409177.088</v>
      </c>
      <c r="F140">
        <f>2026643968/(1000)</f>
        <v>2026643.9680000001</v>
      </c>
      <c r="G140">
        <f>275697984/(1000)</f>
        <v>275697.984</v>
      </c>
      <c r="H140">
        <f>1543480096/(1000)</f>
        <v>1543480.0959999999</v>
      </c>
      <c r="I140">
        <f>309537984/(1000)</f>
        <v>309537.984</v>
      </c>
      <c r="J140">
        <f t="shared" si="2"/>
        <v>4.9863996529744149E-3</v>
      </c>
      <c r="K140">
        <f>198887009/(1000)</f>
        <v>198887.00899999999</v>
      </c>
      <c r="L140">
        <v>16.3761901855469</v>
      </c>
      <c r="M140">
        <v>23.768108367919901</v>
      </c>
      <c r="N140">
        <v>98.092699034796397</v>
      </c>
      <c r="O140">
        <v>74.954742431640597</v>
      </c>
      <c r="P140">
        <v>0.519999980926514</v>
      </c>
      <c r="Q140">
        <v>2.6957529236746098</v>
      </c>
      <c r="R140">
        <v>9.2354497649842493</v>
      </c>
      <c r="S140">
        <v>-1.1059374016058201</v>
      </c>
      <c r="T140">
        <v>0</v>
      </c>
      <c r="U140">
        <v>0</v>
      </c>
      <c r="V140">
        <v>0</v>
      </c>
      <c r="W140">
        <v>0</v>
      </c>
    </row>
    <row r="141" spans="1:23" x14ac:dyDescent="0.55000000000000004">
      <c r="A141" t="s">
        <v>289</v>
      </c>
      <c r="B141" t="s">
        <v>290</v>
      </c>
      <c r="C141" t="s">
        <v>2</v>
      </c>
      <c r="D141">
        <v>11</v>
      </c>
      <c r="E141">
        <f>527826208/(1000)</f>
        <v>527826.20799999998</v>
      </c>
      <c r="F141">
        <f>2026640000/(1000)</f>
        <v>2026640</v>
      </c>
      <c r="G141">
        <f>119346000/(1000)</f>
        <v>119346</v>
      </c>
      <c r="H141">
        <f>888260192/(1000)</f>
        <v>888260.19200000004</v>
      </c>
      <c r="I141">
        <f>168560992/(1000)</f>
        <v>168560.992</v>
      </c>
      <c r="J141">
        <f t="shared" si="2"/>
        <v>5.2696663769040948E-3</v>
      </c>
      <c r="K141">
        <f>-41018999/(1000)</f>
        <v>-41018.999000000003</v>
      </c>
      <c r="L141">
        <v>0</v>
      </c>
      <c r="M141">
        <v>9.6780099868774396</v>
      </c>
      <c r="N141">
        <v>98.615795344059904</v>
      </c>
      <c r="O141">
        <v>61.405220031738303</v>
      </c>
      <c r="P141">
        <v>0</v>
      </c>
      <c r="Q141">
        <v>0.69182391596917503</v>
      </c>
      <c r="R141">
        <v>6.2362166558539203</v>
      </c>
      <c r="S141">
        <v>135.753676949583</v>
      </c>
      <c r="T141">
        <v>0</v>
      </c>
      <c r="U141">
        <v>0</v>
      </c>
      <c r="V141">
        <v>0</v>
      </c>
      <c r="W141">
        <v>0</v>
      </c>
    </row>
    <row r="142" spans="1:23" x14ac:dyDescent="0.55000000000000004">
      <c r="A142" t="s">
        <v>291</v>
      </c>
      <c r="B142" t="s">
        <v>292</v>
      </c>
      <c r="C142" t="s">
        <v>184</v>
      </c>
      <c r="D142">
        <v>17.89</v>
      </c>
      <c r="E142">
        <f>7123327488/(1000)</f>
        <v>7123327.4879999999</v>
      </c>
      <c r="F142">
        <f>2023374976/(1000)</f>
        <v>2023374.976</v>
      </c>
      <c r="G142">
        <f>1486781952/(1000)</f>
        <v>1486781.952</v>
      </c>
      <c r="H142">
        <f>27473541632/(1000)</f>
        <v>27473541.631999999</v>
      </c>
      <c r="I142">
        <f>1498849920/(1000)</f>
        <v>1498849.92</v>
      </c>
      <c r="J142">
        <f t="shared" si="2"/>
        <v>1.8329748205877745E-2</v>
      </c>
      <c r="K142">
        <f>-115635999/(1000)</f>
        <v>-115635.999</v>
      </c>
      <c r="L142">
        <v>0</v>
      </c>
      <c r="M142">
        <v>18.7203769683838</v>
      </c>
      <c r="N142">
        <v>99.858663721292004</v>
      </c>
      <c r="O142">
        <v>635.99987792968795</v>
      </c>
      <c r="P142">
        <v>0</v>
      </c>
      <c r="Q142">
        <v>0</v>
      </c>
      <c r="R142">
        <v>8.0950223176915408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23" x14ac:dyDescent="0.55000000000000004">
      <c r="A143" t="s">
        <v>293</v>
      </c>
      <c r="B143" t="s">
        <v>294</v>
      </c>
      <c r="C143" t="s">
        <v>5</v>
      </c>
      <c r="D143">
        <v>2.21</v>
      </c>
      <c r="E143">
        <f>113776984/(1000)</f>
        <v>113776.984</v>
      </c>
      <c r="F143">
        <f>2017113984/(1000)</f>
        <v>2017113.9839999999</v>
      </c>
      <c r="G143">
        <f>46291000/(1000)</f>
        <v>46291</v>
      </c>
      <c r="H143">
        <f>185076984/(1000)</f>
        <v>185076.984</v>
      </c>
      <c r="I143">
        <f>69700000/(1000)</f>
        <v>69700</v>
      </c>
      <c r="J143">
        <f t="shared" si="2"/>
        <v>2.655336929698709E-3</v>
      </c>
      <c r="K143">
        <f>47763001/(1000)</f>
        <v>47763.000999999997</v>
      </c>
      <c r="L143">
        <v>218.27854919433599</v>
      </c>
      <c r="M143">
        <v>5.1998248100280797</v>
      </c>
      <c r="N143">
        <v>99.130001604190099</v>
      </c>
      <c r="O143">
        <v>21.608076095581101</v>
      </c>
      <c r="P143">
        <v>0</v>
      </c>
      <c r="Q143">
        <v>0</v>
      </c>
      <c r="R143">
        <v>5.0227273441158404</v>
      </c>
      <c r="S143">
        <v>-4.6762679356896601</v>
      </c>
      <c r="T143">
        <v>0</v>
      </c>
      <c r="U143">
        <v>0</v>
      </c>
      <c r="V143">
        <v>0</v>
      </c>
      <c r="W143">
        <v>0</v>
      </c>
    </row>
    <row r="144" spans="1:23" x14ac:dyDescent="0.55000000000000004">
      <c r="A144" t="s">
        <v>295</v>
      </c>
      <c r="B144" t="s">
        <v>296</v>
      </c>
      <c r="C144" t="s">
        <v>2</v>
      </c>
      <c r="D144">
        <v>13.03</v>
      </c>
      <c r="E144">
        <f>698854912/(1000)</f>
        <v>698854.91200000001</v>
      </c>
      <c r="F144">
        <f>2012099968/(1000)</f>
        <v>2012099.9680000001</v>
      </c>
      <c r="G144">
        <f>251700000/(1000)</f>
        <v>251700</v>
      </c>
      <c r="H144">
        <f>901054912/(1000)</f>
        <v>901054.91200000001</v>
      </c>
      <c r="I144">
        <f>294900000/(1000)</f>
        <v>294900</v>
      </c>
      <c r="J144">
        <f t="shared" si="2"/>
        <v>3.0554591793828419E-3</v>
      </c>
      <c r="K144">
        <f>173100001/(1000)</f>
        <v>173100.00099999999</v>
      </c>
      <c r="L144">
        <v>23.5566310882568</v>
      </c>
      <c r="M144">
        <v>170.45327758789099</v>
      </c>
      <c r="N144">
        <v>97.740251617542398</v>
      </c>
      <c r="O144">
        <v>1641.02563476563</v>
      </c>
      <c r="P144">
        <v>0.35199999809265098</v>
      </c>
      <c r="Q144">
        <v>7.1790629874280496</v>
      </c>
      <c r="R144">
        <v>5.0803102095338897</v>
      </c>
      <c r="S144">
        <v>50.549945093601401</v>
      </c>
      <c r="T144">
        <v>0</v>
      </c>
      <c r="U144">
        <v>0</v>
      </c>
      <c r="V144">
        <v>0</v>
      </c>
      <c r="W144">
        <v>0</v>
      </c>
    </row>
    <row r="145" spans="1:23" x14ac:dyDescent="0.55000000000000004">
      <c r="A145" t="s">
        <v>297</v>
      </c>
      <c r="B145" t="s">
        <v>298</v>
      </c>
      <c r="C145" t="s">
        <v>17</v>
      </c>
      <c r="D145">
        <v>2.94</v>
      </c>
      <c r="E145">
        <f>261554144/(1000)</f>
        <v>261554.144</v>
      </c>
      <c r="F145">
        <f>2011503104/(1000)</f>
        <v>2011503.1040000001</v>
      </c>
      <c r="G145">
        <f>113175000/(1000)</f>
        <v>113175</v>
      </c>
      <c r="H145">
        <f>1387096160/(1000)</f>
        <v>1387096.16</v>
      </c>
      <c r="I145">
        <f>147733008/(1000)</f>
        <v>147733.008</v>
      </c>
      <c r="J145">
        <f t="shared" si="2"/>
        <v>9.3892094852627648E-3</v>
      </c>
      <c r="K145">
        <f>19929999/(1000)</f>
        <v>19929.999</v>
      </c>
      <c r="L145">
        <v>0</v>
      </c>
      <c r="M145">
        <v>7.7164750099182102</v>
      </c>
      <c r="N145">
        <v>88.579653294929699</v>
      </c>
      <c r="O145">
        <v>451.03631591796898</v>
      </c>
      <c r="P145">
        <v>0</v>
      </c>
      <c r="Q145">
        <v>0</v>
      </c>
      <c r="R145">
        <v>4.5213658486080304</v>
      </c>
      <c r="S145">
        <v>58.541866653215102</v>
      </c>
      <c r="T145">
        <v>0</v>
      </c>
      <c r="U145">
        <v>0</v>
      </c>
      <c r="V145">
        <v>0</v>
      </c>
      <c r="W145">
        <v>0</v>
      </c>
    </row>
    <row r="146" spans="1:23" x14ac:dyDescent="0.55000000000000004">
      <c r="A146" t="s">
        <v>299</v>
      </c>
      <c r="B146" t="s">
        <v>300</v>
      </c>
      <c r="C146" t="s">
        <v>184</v>
      </c>
      <c r="D146">
        <v>24.25</v>
      </c>
      <c r="E146">
        <f>1975727488/(1000)</f>
        <v>1975727.4879999999</v>
      </c>
      <c r="F146">
        <f>2008099968/(1000)</f>
        <v>2008099.9680000001</v>
      </c>
      <c r="G146">
        <f>0/(1000)</f>
        <v>0</v>
      </c>
      <c r="H146">
        <f>1913627488/(1000)</f>
        <v>1913627.4879999999</v>
      </c>
      <c r="I146">
        <f>0/(1000)</f>
        <v>0</v>
      </c>
      <c r="J146">
        <f t="shared" si="2"/>
        <v>1</v>
      </c>
      <c r="K146">
        <f>762899969/(1000)</f>
        <v>762899.96900000004</v>
      </c>
      <c r="L146">
        <v>0</v>
      </c>
      <c r="M146">
        <v>21.224321365356399</v>
      </c>
      <c r="N146">
        <v>98.814707206793798</v>
      </c>
      <c r="O146">
        <v>8.8550539016723597</v>
      </c>
      <c r="P146">
        <v>0.60000002384185802</v>
      </c>
      <c r="Q146">
        <v>0.88085722466993599</v>
      </c>
      <c r="R146">
        <v>9.6999997687339796</v>
      </c>
      <c r="S146">
        <v>1455.46076186146</v>
      </c>
      <c r="T146">
        <v>0</v>
      </c>
      <c r="U146">
        <v>0</v>
      </c>
      <c r="V146">
        <v>0</v>
      </c>
      <c r="W146">
        <v>0</v>
      </c>
    </row>
    <row r="147" spans="1:23" x14ac:dyDescent="0.55000000000000004">
      <c r="A147" t="s">
        <v>301</v>
      </c>
      <c r="B147" t="s">
        <v>302</v>
      </c>
      <c r="C147" t="s">
        <v>121</v>
      </c>
      <c r="D147">
        <v>17</v>
      </c>
      <c r="E147">
        <f>444259296/(1000)</f>
        <v>444259.29599999997</v>
      </c>
      <c r="F147">
        <f>1984011008/(1000)</f>
        <v>1984011.0079999999</v>
      </c>
      <c r="G147">
        <f>58879000/(1000)</f>
        <v>58879</v>
      </c>
      <c r="H147">
        <f>466959296/(1000)</f>
        <v>466959.29599999997</v>
      </c>
      <c r="I147">
        <f>86600000/(1000)</f>
        <v>86600</v>
      </c>
      <c r="J147">
        <f t="shared" si="2"/>
        <v>5.3921396766743648E-3</v>
      </c>
      <c r="K147">
        <f>129715001/(1000)</f>
        <v>129715.001</v>
      </c>
      <c r="L147">
        <v>20.114536285400401</v>
      </c>
      <c r="M147">
        <v>4.2220349311828604</v>
      </c>
      <c r="N147">
        <v>97.237580859906402</v>
      </c>
      <c r="O147">
        <v>26.283611297607401</v>
      </c>
      <c r="P147">
        <v>0.60000002384185802</v>
      </c>
      <c r="Q147">
        <v>0</v>
      </c>
      <c r="R147">
        <v>13.3858269726885</v>
      </c>
      <c r="S147">
        <v>80.289720483857707</v>
      </c>
      <c r="T147">
        <v>0</v>
      </c>
      <c r="U147">
        <v>0</v>
      </c>
      <c r="V147">
        <v>0</v>
      </c>
      <c r="W147">
        <v>0</v>
      </c>
    </row>
    <row r="148" spans="1:23" x14ac:dyDescent="0.55000000000000004">
      <c r="A148" t="s">
        <v>303</v>
      </c>
      <c r="B148" t="s">
        <v>304</v>
      </c>
      <c r="C148" t="s">
        <v>20</v>
      </c>
      <c r="D148">
        <v>22.7</v>
      </c>
      <c r="E148">
        <f>1407248000/(1000)</f>
        <v>1407248</v>
      </c>
      <c r="F148">
        <f>1981400064/(1000)</f>
        <v>1981400.064</v>
      </c>
      <c r="G148">
        <f>202600000/(1000)</f>
        <v>202600</v>
      </c>
      <c r="H148">
        <f>1956547968/(1000)</f>
        <v>1956547.9680000001</v>
      </c>
      <c r="I148">
        <f>266100000/(1000)</f>
        <v>266100</v>
      </c>
      <c r="J148">
        <f t="shared" si="2"/>
        <v>7.3526793235625708E-3</v>
      </c>
      <c r="K148">
        <f>127100001/(1000)</f>
        <v>127100.001</v>
      </c>
      <c r="L148">
        <v>15.279896736145</v>
      </c>
      <c r="M148">
        <v>25.324956893920898</v>
      </c>
      <c r="N148">
        <v>97.938646010269295</v>
      </c>
      <c r="O148">
        <v>113.506790161133</v>
      </c>
      <c r="P148">
        <v>0.87999999523162797</v>
      </c>
      <c r="Q148">
        <v>2.4304068942279198</v>
      </c>
      <c r="R148">
        <v>8.4701495158045592</v>
      </c>
      <c r="S148">
        <v>79.555958907303406</v>
      </c>
      <c r="T148">
        <v>0</v>
      </c>
      <c r="U148">
        <v>0</v>
      </c>
      <c r="V148">
        <v>0</v>
      </c>
      <c r="W148">
        <v>0</v>
      </c>
    </row>
    <row r="149" spans="1:23" x14ac:dyDescent="0.55000000000000004">
      <c r="A149" t="s">
        <v>305</v>
      </c>
      <c r="B149" t="s">
        <v>306</v>
      </c>
      <c r="C149" t="s">
        <v>5</v>
      </c>
      <c r="D149">
        <v>8.75</v>
      </c>
      <c r="E149">
        <f>422378272/(1000)</f>
        <v>422378.272</v>
      </c>
      <c r="F149">
        <f>1972547968/(1000)</f>
        <v>1972547.9680000001</v>
      </c>
      <c r="G149">
        <f>122939000/(1000)</f>
        <v>122939</v>
      </c>
      <c r="H149">
        <f>926290272/(1000)</f>
        <v>926290.272</v>
      </c>
      <c r="I149">
        <f>225242000/(1000)</f>
        <v>225242</v>
      </c>
      <c r="J149">
        <f t="shared" si="2"/>
        <v>4.1124225144511242E-3</v>
      </c>
      <c r="K149">
        <f>-37492995/(1000)</f>
        <v>-37492.995000000003</v>
      </c>
      <c r="L149">
        <v>22.797458648681602</v>
      </c>
      <c r="M149">
        <v>9.5585184097290004</v>
      </c>
      <c r="N149">
        <v>43.365483716307402</v>
      </c>
      <c r="O149">
        <v>75.769912719726605</v>
      </c>
      <c r="P149">
        <v>0.72000002861022905</v>
      </c>
      <c r="Q149">
        <v>0</v>
      </c>
      <c r="R149">
        <v>5.79470202335271</v>
      </c>
      <c r="S149">
        <v>107.13341001889</v>
      </c>
      <c r="T149">
        <v>0</v>
      </c>
      <c r="U149">
        <v>0</v>
      </c>
      <c r="V149">
        <v>0</v>
      </c>
      <c r="W149">
        <v>0</v>
      </c>
    </row>
    <row r="150" spans="1:23" x14ac:dyDescent="0.55000000000000004">
      <c r="A150" t="s">
        <v>307</v>
      </c>
      <c r="B150" t="s">
        <v>308</v>
      </c>
      <c r="C150" t="s">
        <v>5</v>
      </c>
      <c r="D150">
        <v>10.43</v>
      </c>
      <c r="E150">
        <f>364310528/(1000)</f>
        <v>364310.52799999999</v>
      </c>
      <c r="F150">
        <f>1969400064/(1000)</f>
        <v>1969400.064</v>
      </c>
      <c r="G150">
        <f>94500000/(1000)</f>
        <v>94500</v>
      </c>
      <c r="H150">
        <f>400410528/(1000)</f>
        <v>400410.52799999999</v>
      </c>
      <c r="I150">
        <f>100700000/(1000)</f>
        <v>100700</v>
      </c>
      <c r="J150">
        <f t="shared" si="2"/>
        <v>3.9762713803376364E-3</v>
      </c>
      <c r="K150">
        <f>94000001/(1000)</f>
        <v>94000.001000000004</v>
      </c>
      <c r="L150">
        <v>15.954610824585</v>
      </c>
      <c r="M150">
        <v>16.974054336547901</v>
      </c>
      <c r="N150">
        <v>99.127375064626506</v>
      </c>
      <c r="O150">
        <v>25.371654510498001</v>
      </c>
      <c r="P150">
        <v>0.60000002384185802</v>
      </c>
      <c r="Q150">
        <v>1.0556680348546701</v>
      </c>
      <c r="R150">
        <v>5.43229177839304</v>
      </c>
      <c r="S150">
        <v>22.459901901152701</v>
      </c>
      <c r="T150">
        <v>0</v>
      </c>
      <c r="U150">
        <v>0</v>
      </c>
      <c r="V150">
        <v>0</v>
      </c>
      <c r="W150">
        <v>0</v>
      </c>
    </row>
    <row r="151" spans="1:23" x14ac:dyDescent="0.55000000000000004">
      <c r="A151" t="s">
        <v>309</v>
      </c>
      <c r="B151" t="s">
        <v>310</v>
      </c>
      <c r="C151" t="s">
        <v>2</v>
      </c>
      <c r="D151">
        <v>3.45</v>
      </c>
      <c r="E151">
        <f>186926864/(1000)</f>
        <v>186926.864</v>
      </c>
      <c r="F151">
        <f>1938899968/(1000)</f>
        <v>1938899.9680000001</v>
      </c>
      <c r="G151">
        <f>131000000/(1000)</f>
        <v>131000</v>
      </c>
      <c r="H151">
        <f>923626896/(1000)</f>
        <v>923626.89599999995</v>
      </c>
      <c r="I151">
        <f>175500000/(1000)</f>
        <v>175500</v>
      </c>
      <c r="J151">
        <f t="shared" si="2"/>
        <v>5.2628313162393159E-3</v>
      </c>
      <c r="K151">
        <f>22100001/(1000)</f>
        <v>22100.001</v>
      </c>
      <c r="L151">
        <v>0</v>
      </c>
      <c r="M151">
        <v>-0.21889799833297699</v>
      </c>
      <c r="N151">
        <v>94.531545578356997</v>
      </c>
      <c r="O151">
        <v>176.88796997070301</v>
      </c>
      <c r="P151">
        <v>0</v>
      </c>
      <c r="Q151">
        <v>0.415662646795465</v>
      </c>
      <c r="R151">
        <v>3.0530973398229899</v>
      </c>
      <c r="S151">
        <v>75.402556155451805</v>
      </c>
      <c r="T151">
        <v>0</v>
      </c>
      <c r="U151">
        <v>0</v>
      </c>
      <c r="V151">
        <v>0</v>
      </c>
      <c r="W151">
        <v>0</v>
      </c>
    </row>
    <row r="152" spans="1:23" x14ac:dyDescent="0.55000000000000004">
      <c r="A152" t="s">
        <v>311</v>
      </c>
      <c r="B152" t="s">
        <v>312</v>
      </c>
      <c r="C152" t="s">
        <v>20</v>
      </c>
      <c r="D152">
        <v>17.97</v>
      </c>
      <c r="E152">
        <f>861427904/(1000)</f>
        <v>861427.90399999998</v>
      </c>
      <c r="F152">
        <f>1928366976/(1000)</f>
        <v>1928366.976</v>
      </c>
      <c r="G152">
        <f>133774000/(1000)</f>
        <v>133774</v>
      </c>
      <c r="H152">
        <f>1174010912/(1000)</f>
        <v>1174010.912</v>
      </c>
      <c r="I152">
        <f>147756992/(1000)</f>
        <v>147756.992</v>
      </c>
      <c r="J152">
        <f t="shared" si="2"/>
        <v>7.9455523295980466E-3</v>
      </c>
      <c r="K152">
        <f>61018001/(1000)</f>
        <v>61018.000999999997</v>
      </c>
      <c r="L152">
        <v>22.663129806518601</v>
      </c>
      <c r="M152">
        <v>28.529317855835</v>
      </c>
      <c r="N152">
        <v>95.370590020353504</v>
      </c>
      <c r="O152">
        <v>168.25006103515599</v>
      </c>
      <c r="P152">
        <v>0.519999980926514</v>
      </c>
      <c r="Q152">
        <v>3.39483815662813</v>
      </c>
      <c r="R152">
        <v>14.609755224263701</v>
      </c>
      <c r="S152">
        <v>96.122544118035705</v>
      </c>
      <c r="T152">
        <v>0</v>
      </c>
      <c r="U152">
        <v>0</v>
      </c>
      <c r="V152">
        <v>0</v>
      </c>
      <c r="W152">
        <v>0</v>
      </c>
    </row>
    <row r="153" spans="1:23" x14ac:dyDescent="0.55000000000000004">
      <c r="A153" t="s">
        <v>313</v>
      </c>
      <c r="B153" t="s">
        <v>314</v>
      </c>
      <c r="C153" t="s">
        <v>8</v>
      </c>
      <c r="D153">
        <v>4.49</v>
      </c>
      <c r="E153">
        <f>499584320/(1000)</f>
        <v>499584.32</v>
      </c>
      <c r="F153">
        <f>1928000000/(1000)</f>
        <v>1928000</v>
      </c>
      <c r="G153">
        <f>114900000/(1000)</f>
        <v>114900</v>
      </c>
      <c r="H153">
        <f>842384320/(1000)</f>
        <v>842384.32</v>
      </c>
      <c r="I153">
        <f>154400000/(1000)</f>
        <v>154400</v>
      </c>
      <c r="J153">
        <f t="shared" si="2"/>
        <v>5.4558569948186522E-3</v>
      </c>
      <c r="K153">
        <f>-27999999/(1000)</f>
        <v>-27999.999</v>
      </c>
      <c r="L153">
        <v>27.287904739379901</v>
      </c>
      <c r="M153">
        <v>8.4164667129516602</v>
      </c>
      <c r="N153">
        <v>98.209696707805094</v>
      </c>
      <c r="O153">
        <v>55.3646430969238</v>
      </c>
      <c r="P153">
        <v>0</v>
      </c>
      <c r="Q153">
        <v>0</v>
      </c>
      <c r="R153">
        <v>14.483870640179999</v>
      </c>
      <c r="S153">
        <v>35.184400047818301</v>
      </c>
      <c r="T153">
        <v>0</v>
      </c>
      <c r="U153">
        <v>0</v>
      </c>
      <c r="V153">
        <v>0</v>
      </c>
      <c r="W153">
        <v>0</v>
      </c>
    </row>
    <row r="154" spans="1:23" x14ac:dyDescent="0.55000000000000004">
      <c r="A154" t="s">
        <v>315</v>
      </c>
      <c r="B154" t="s">
        <v>316</v>
      </c>
      <c r="C154" t="s">
        <v>94</v>
      </c>
      <c r="D154">
        <v>10.08</v>
      </c>
      <c r="E154">
        <f>871659904/(1000)</f>
        <v>871659.90399999998</v>
      </c>
      <c r="F154">
        <f>1914029056/(1000)</f>
        <v>1914029.0560000001</v>
      </c>
      <c r="G154">
        <f>125042000/(1000)</f>
        <v>125042</v>
      </c>
      <c r="H154">
        <f>3177260928/(1000)</f>
        <v>3177260.9279999998</v>
      </c>
      <c r="I154">
        <f>304438016/(1000)</f>
        <v>304438.016</v>
      </c>
      <c r="J154">
        <f t="shared" si="2"/>
        <v>1.043647889230759E-2</v>
      </c>
      <c r="K154">
        <f>-241567999/(1000)</f>
        <v>-241567.99900000001</v>
      </c>
      <c r="L154">
        <v>0</v>
      </c>
      <c r="M154">
        <v>4.4078259468078604</v>
      </c>
      <c r="N154">
        <v>97.973040004249</v>
      </c>
      <c r="O154">
        <v>137.73829650878901</v>
      </c>
      <c r="P154">
        <v>0.5</v>
      </c>
      <c r="Q154">
        <v>0.47014923846172002</v>
      </c>
      <c r="R154">
        <v>0</v>
      </c>
      <c r="S154">
        <v>71.094957926368295</v>
      </c>
      <c r="T154">
        <v>0</v>
      </c>
      <c r="U154">
        <v>0</v>
      </c>
      <c r="V154">
        <v>0</v>
      </c>
      <c r="W154">
        <v>0</v>
      </c>
    </row>
    <row r="155" spans="1:23" x14ac:dyDescent="0.55000000000000004">
      <c r="A155" t="s">
        <v>317</v>
      </c>
      <c r="B155" t="s">
        <v>318</v>
      </c>
      <c r="C155" t="s">
        <v>2</v>
      </c>
      <c r="D155">
        <v>36.57</v>
      </c>
      <c r="E155">
        <f>1560500608/(1000)</f>
        <v>1560500.608</v>
      </c>
      <c r="F155">
        <f>1902665984/(1000)</f>
        <v>1902665.9839999999</v>
      </c>
      <c r="G155">
        <f>204679008/(1000)</f>
        <v>204679.008</v>
      </c>
      <c r="H155">
        <f>2144746624/(1000)</f>
        <v>2144746.6239999998</v>
      </c>
      <c r="I155">
        <f>268055008/(1000)</f>
        <v>268055.00799999997</v>
      </c>
      <c r="J155">
        <f t="shared" si="2"/>
        <v>8.0011436458594341E-3</v>
      </c>
      <c r="K155">
        <f>16131001/(1000)</f>
        <v>16131.001</v>
      </c>
      <c r="L155">
        <v>17.3221244812012</v>
      </c>
      <c r="M155">
        <v>12.723508834838899</v>
      </c>
      <c r="N155">
        <v>97.067804775583696</v>
      </c>
      <c r="O155">
        <v>67.483230590820298</v>
      </c>
      <c r="P155">
        <v>0</v>
      </c>
      <c r="Q155">
        <v>1.40707964666715</v>
      </c>
      <c r="R155">
        <v>13.298181418978499</v>
      </c>
      <c r="S155">
        <v>151.845295675025</v>
      </c>
      <c r="T155">
        <v>0</v>
      </c>
      <c r="U155">
        <v>0</v>
      </c>
      <c r="V155">
        <v>0</v>
      </c>
      <c r="W155">
        <v>0</v>
      </c>
    </row>
    <row r="156" spans="1:23" x14ac:dyDescent="0.55000000000000004">
      <c r="A156" t="s">
        <v>319</v>
      </c>
      <c r="B156" t="s">
        <v>320</v>
      </c>
      <c r="C156" t="s">
        <v>5</v>
      </c>
      <c r="D156">
        <v>15.49</v>
      </c>
      <c r="E156">
        <f>400500160/(1000)</f>
        <v>400500.16</v>
      </c>
      <c r="F156">
        <f>1878800000/(1000)</f>
        <v>1878800</v>
      </c>
      <c r="G156">
        <f>37400000/(1000)</f>
        <v>37400</v>
      </c>
      <c r="H156">
        <f>581400160/(1000)</f>
        <v>581400.16</v>
      </c>
      <c r="I156">
        <f>90100000/(1000)</f>
        <v>90100</v>
      </c>
      <c r="J156">
        <f t="shared" si="2"/>
        <v>6.4528319644839068E-3</v>
      </c>
      <c r="K156">
        <f>35899997/(1000)</f>
        <v>35899.997000000003</v>
      </c>
      <c r="L156">
        <v>0</v>
      </c>
      <c r="M156">
        <v>3.6243820190429701</v>
      </c>
      <c r="N156">
        <v>95.841100575139194</v>
      </c>
      <c r="O156">
        <v>22.72727394104</v>
      </c>
      <c r="P156">
        <v>0</v>
      </c>
      <c r="Q156">
        <v>0.818710344009277</v>
      </c>
      <c r="R156">
        <v>14.088336742863</v>
      </c>
      <c r="S156">
        <v>11.7003567181926</v>
      </c>
      <c r="T156">
        <v>0</v>
      </c>
      <c r="U156">
        <v>0</v>
      </c>
      <c r="V156">
        <v>0</v>
      </c>
      <c r="W156">
        <v>0</v>
      </c>
    </row>
    <row r="157" spans="1:23" x14ac:dyDescent="0.55000000000000004">
      <c r="A157" t="s">
        <v>321</v>
      </c>
      <c r="B157" t="s">
        <v>322</v>
      </c>
      <c r="C157" t="s">
        <v>81</v>
      </c>
      <c r="D157">
        <v>0.4</v>
      </c>
      <c r="E157">
        <f>28785108/(1000)</f>
        <v>28785.108</v>
      </c>
      <c r="F157">
        <f>1877990016/(1000)</f>
        <v>1877990.0160000001</v>
      </c>
      <c r="G157">
        <f>-162590000/(1000)</f>
        <v>-162590</v>
      </c>
      <c r="H157">
        <f>-58445892/(1000)</f>
        <v>-58445.892</v>
      </c>
      <c r="I157">
        <f>-93843000/(1000)</f>
        <v>-93843</v>
      </c>
      <c r="J157">
        <f t="shared" si="2"/>
        <v>6.2280502541478858E-4</v>
      </c>
      <c r="K157">
        <f>-188273999/(1000)</f>
        <v>-188273.99900000001</v>
      </c>
      <c r="L157">
        <v>0</v>
      </c>
      <c r="M157">
        <v>-46.134750366210902</v>
      </c>
      <c r="N157">
        <v>77.393935438661103</v>
      </c>
      <c r="O157">
        <v>35.248012542724602</v>
      </c>
      <c r="P157">
        <v>0</v>
      </c>
      <c r="Q157">
        <v>0</v>
      </c>
      <c r="R157">
        <v>0</v>
      </c>
      <c r="S157">
        <v>2.3680545293258</v>
      </c>
      <c r="T157">
        <v>0</v>
      </c>
      <c r="U157">
        <v>0</v>
      </c>
      <c r="V157">
        <v>0</v>
      </c>
      <c r="W157">
        <v>0</v>
      </c>
    </row>
    <row r="158" spans="1:23" x14ac:dyDescent="0.55000000000000004">
      <c r="A158" t="s">
        <v>323</v>
      </c>
      <c r="B158" t="s">
        <v>324</v>
      </c>
      <c r="C158" t="s">
        <v>5</v>
      </c>
      <c r="D158">
        <v>3.47</v>
      </c>
      <c r="E158">
        <f>168922016/(1000)</f>
        <v>168922.016</v>
      </c>
      <c r="F158">
        <f>1871904000/(1000)</f>
        <v>1871904</v>
      </c>
      <c r="G158">
        <f>63473000/(1000)</f>
        <v>63473</v>
      </c>
      <c r="H158">
        <f>332259008/(1000)</f>
        <v>332259.00799999997</v>
      </c>
      <c r="I158">
        <f>104258000/(1000)</f>
        <v>104258</v>
      </c>
      <c r="J158">
        <f t="shared" si="2"/>
        <v>3.1868922097105256E-3</v>
      </c>
      <c r="K158">
        <f>-26232999/(1000)</f>
        <v>-26232.999</v>
      </c>
      <c r="L158">
        <v>0</v>
      </c>
      <c r="M158">
        <v>38.891220092773402</v>
      </c>
      <c r="N158">
        <v>47.125248314971003</v>
      </c>
      <c r="O158">
        <v>47.346611022949197</v>
      </c>
      <c r="P158">
        <v>0</v>
      </c>
      <c r="Q158">
        <v>0</v>
      </c>
      <c r="R158">
        <v>0</v>
      </c>
      <c r="S158">
        <v>-23.618170082672101</v>
      </c>
      <c r="T158">
        <v>0</v>
      </c>
      <c r="U158">
        <v>0</v>
      </c>
      <c r="V158">
        <v>0</v>
      </c>
      <c r="W158">
        <v>0</v>
      </c>
    </row>
    <row r="159" spans="1:23" x14ac:dyDescent="0.55000000000000004">
      <c r="A159" t="s">
        <v>325</v>
      </c>
      <c r="B159" t="s">
        <v>326</v>
      </c>
      <c r="C159" t="s">
        <v>5</v>
      </c>
      <c r="D159">
        <v>19.63</v>
      </c>
      <c r="E159">
        <f>915264448/(1000)</f>
        <v>915264.44799999997</v>
      </c>
      <c r="F159">
        <f>1860119936/(1000)</f>
        <v>1860119.936</v>
      </c>
      <c r="G159">
        <f>136960000/(1000)</f>
        <v>136960</v>
      </c>
      <c r="H159">
        <f>1040147440/(1000)</f>
        <v>1040147.44</v>
      </c>
      <c r="I159">
        <f>202292000/(1000)</f>
        <v>202292</v>
      </c>
      <c r="J159">
        <f t="shared" si="2"/>
        <v>5.1418120340893355E-3</v>
      </c>
      <c r="K159">
        <f>119907009/(1000)</f>
        <v>119907.00900000001</v>
      </c>
      <c r="L159">
        <v>15.6893148422241</v>
      </c>
      <c r="M159">
        <v>10.8677654266357</v>
      </c>
      <c r="N159">
        <v>98.321313375452903</v>
      </c>
      <c r="O159">
        <v>47.433937072753899</v>
      </c>
      <c r="P159">
        <v>0</v>
      </c>
      <c r="Q159">
        <v>1.0668478025943899</v>
      </c>
      <c r="R159">
        <v>6.8250482041680698</v>
      </c>
      <c r="S159">
        <v>24.5930821893086</v>
      </c>
      <c r="T159">
        <v>0</v>
      </c>
      <c r="U159">
        <v>0</v>
      </c>
      <c r="V159">
        <v>0</v>
      </c>
      <c r="W159">
        <v>0</v>
      </c>
    </row>
    <row r="160" spans="1:23" x14ac:dyDescent="0.55000000000000004">
      <c r="A160" t="s">
        <v>327</v>
      </c>
      <c r="B160" t="s">
        <v>328</v>
      </c>
      <c r="C160" t="s">
        <v>2</v>
      </c>
      <c r="D160">
        <v>8.4</v>
      </c>
      <c r="E160">
        <f>973078592/(1000)</f>
        <v>973078.59199999995</v>
      </c>
      <c r="F160">
        <f>1859300096/(1000)</f>
        <v>1859300.0959999999</v>
      </c>
      <c r="G160">
        <f>164400000/(1000)</f>
        <v>164400</v>
      </c>
      <c r="H160">
        <f>1884678656/(1000)</f>
        <v>1884678.656</v>
      </c>
      <c r="I160">
        <f>257500000/(1000)</f>
        <v>257500</v>
      </c>
      <c r="J160">
        <f t="shared" si="2"/>
        <v>7.3191404116504854E-3</v>
      </c>
      <c r="K160">
        <f>93900001/(1000)</f>
        <v>93900.001000000004</v>
      </c>
      <c r="L160">
        <v>0</v>
      </c>
      <c r="M160">
        <v>3.1819388866424601</v>
      </c>
      <c r="N160">
        <v>91.354893233215293</v>
      </c>
      <c r="O160">
        <v>82.436607360839801</v>
      </c>
      <c r="P160">
        <v>7.0000000298023002E-2</v>
      </c>
      <c r="Q160">
        <v>0.68071308870840397</v>
      </c>
      <c r="R160">
        <v>18.260868256788399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55000000000000004">
      <c r="A161" t="s">
        <v>329</v>
      </c>
      <c r="B161" t="s">
        <v>330</v>
      </c>
      <c r="C161" t="s">
        <v>5</v>
      </c>
      <c r="D161">
        <v>24.35</v>
      </c>
      <c r="E161">
        <f>1059984704/(1000)</f>
        <v>1059984.7039999999</v>
      </c>
      <c r="F161">
        <f>1857697024/(1000)</f>
        <v>1857697.024</v>
      </c>
      <c r="G161">
        <f>56439000/(1000)</f>
        <v>56439</v>
      </c>
      <c r="H161">
        <f>1017382704/(1000)</f>
        <v>1017382.704</v>
      </c>
      <c r="I161">
        <f>64336000/(1000)</f>
        <v>64336</v>
      </c>
      <c r="J161">
        <f t="shared" si="2"/>
        <v>1.5813583436955981E-2</v>
      </c>
      <c r="K161">
        <f>50912001/(1000)</f>
        <v>50912.000999999997</v>
      </c>
      <c r="L161">
        <v>37.3005981445313</v>
      </c>
      <c r="M161">
        <v>14.5349016189575</v>
      </c>
      <c r="N161">
        <v>93.945031645866393</v>
      </c>
      <c r="O161">
        <v>0</v>
      </c>
      <c r="P161">
        <v>0</v>
      </c>
      <c r="Q161">
        <v>2.9914004120950701</v>
      </c>
      <c r="R161">
        <v>21.936936997891301</v>
      </c>
      <c r="S161">
        <v>647.84106147950104</v>
      </c>
      <c r="T161">
        <v>0</v>
      </c>
      <c r="U161">
        <v>0</v>
      </c>
      <c r="V161">
        <v>0</v>
      </c>
      <c r="W161">
        <v>0</v>
      </c>
    </row>
    <row r="162" spans="1:23" x14ac:dyDescent="0.55000000000000004">
      <c r="A162" t="s">
        <v>331</v>
      </c>
      <c r="B162" t="s">
        <v>332</v>
      </c>
      <c r="C162" t="s">
        <v>5</v>
      </c>
      <c r="D162">
        <v>18.82</v>
      </c>
      <c r="E162">
        <f>1138775680/(1000)</f>
        <v>1138775.68</v>
      </c>
      <c r="F162">
        <f>1855790976/(1000)</f>
        <v>1855790.976</v>
      </c>
      <c r="G162">
        <f>92403000/(1000)</f>
        <v>92403</v>
      </c>
      <c r="H162">
        <f>1346078688/(1000)</f>
        <v>1346078.6880000001</v>
      </c>
      <c r="I162">
        <f>116695000/(1000)</f>
        <v>116695</v>
      </c>
      <c r="J162">
        <f t="shared" si="2"/>
        <v>1.1535015964694289E-2</v>
      </c>
      <c r="K162">
        <f>50582001/(1000)</f>
        <v>50582.000999999997</v>
      </c>
      <c r="L162">
        <v>24.593013763427699</v>
      </c>
      <c r="M162">
        <v>15.861397743225099</v>
      </c>
      <c r="N162">
        <v>97.645796157475303</v>
      </c>
      <c r="O162">
        <v>66.177154541015597</v>
      </c>
      <c r="P162">
        <v>0</v>
      </c>
      <c r="Q162">
        <v>0</v>
      </c>
      <c r="R162">
        <v>20.916269921971502</v>
      </c>
      <c r="S162">
        <v>57.551746092738398</v>
      </c>
      <c r="T162">
        <v>0</v>
      </c>
      <c r="U162">
        <v>0</v>
      </c>
      <c r="V162">
        <v>0</v>
      </c>
      <c r="W162">
        <v>0</v>
      </c>
    </row>
    <row r="163" spans="1:23" x14ac:dyDescent="0.55000000000000004">
      <c r="A163" t="s">
        <v>333</v>
      </c>
      <c r="B163" t="s">
        <v>334</v>
      </c>
      <c r="C163" t="s">
        <v>20</v>
      </c>
      <c r="D163">
        <v>4.87</v>
      </c>
      <c r="E163">
        <f>159746240/(1000)</f>
        <v>159746.23999999999</v>
      </c>
      <c r="F163">
        <f>1849373056/(1000)</f>
        <v>1849373.0560000001</v>
      </c>
      <c r="G163">
        <f>34337000/(1000)</f>
        <v>34337</v>
      </c>
      <c r="H163">
        <f>350659232/(1000)</f>
        <v>350659.23200000002</v>
      </c>
      <c r="I163">
        <f>115288000/(1000)</f>
        <v>115288</v>
      </c>
      <c r="J163">
        <f t="shared" si="2"/>
        <v>3.041593504961488E-3</v>
      </c>
      <c r="K163">
        <f>-19658999/(1000)</f>
        <v>-19658.999</v>
      </c>
      <c r="L163">
        <v>0</v>
      </c>
      <c r="M163">
        <v>-13.649127006530801</v>
      </c>
      <c r="N163">
        <v>98.168101693314696</v>
      </c>
      <c r="O163">
        <v>48.4071655273438</v>
      </c>
      <c r="P163">
        <v>0.40000000596046398</v>
      </c>
      <c r="Q163">
        <v>0</v>
      </c>
      <c r="R163">
        <v>0</v>
      </c>
      <c r="S163">
        <v>69.344874889765805</v>
      </c>
      <c r="T163">
        <v>0</v>
      </c>
      <c r="U163">
        <v>0</v>
      </c>
      <c r="V163">
        <v>0</v>
      </c>
      <c r="W163">
        <v>0</v>
      </c>
    </row>
    <row r="164" spans="1:23" x14ac:dyDescent="0.55000000000000004">
      <c r="A164" t="s">
        <v>335</v>
      </c>
      <c r="B164" t="s">
        <v>336</v>
      </c>
      <c r="C164" t="s">
        <v>184</v>
      </c>
      <c r="D164">
        <v>22.93</v>
      </c>
      <c r="E164">
        <f>1209961088/(1000)</f>
        <v>1209961.088</v>
      </c>
      <c r="F164">
        <f>1846227968/(1000)</f>
        <v>1846227.9680000001</v>
      </c>
      <c r="G164">
        <f>0/(1000)</f>
        <v>0</v>
      </c>
      <c r="H164">
        <f>1469655088/(1000)</f>
        <v>1469655.088</v>
      </c>
      <c r="I164">
        <f>0/(1000)</f>
        <v>0</v>
      </c>
      <c r="J164">
        <f t="shared" si="2"/>
        <v>1</v>
      </c>
      <c r="K164">
        <f>371776993/(1000)</f>
        <v>371776.99300000002</v>
      </c>
      <c r="L164">
        <v>12.1147212982178</v>
      </c>
      <c r="M164">
        <v>13.6070261001587</v>
      </c>
      <c r="N164">
        <v>96.672008998959697</v>
      </c>
      <c r="O164">
        <v>27.4051322937012</v>
      </c>
      <c r="P164">
        <v>0.519999980926514</v>
      </c>
      <c r="Q164">
        <v>1.18049838124781</v>
      </c>
      <c r="R164">
        <v>11.880829129636</v>
      </c>
      <c r="S164">
        <v>56.599342036906201</v>
      </c>
      <c r="T164">
        <v>0</v>
      </c>
      <c r="U164">
        <v>0</v>
      </c>
      <c r="V164">
        <v>0</v>
      </c>
      <c r="W164">
        <v>0</v>
      </c>
    </row>
    <row r="165" spans="1:23" x14ac:dyDescent="0.55000000000000004">
      <c r="A165" t="s">
        <v>337</v>
      </c>
      <c r="B165" t="s">
        <v>338</v>
      </c>
      <c r="C165" t="s">
        <v>31</v>
      </c>
      <c r="D165">
        <v>16.95</v>
      </c>
      <c r="E165">
        <f>666584192/(1000)</f>
        <v>666584.19200000004</v>
      </c>
      <c r="F165">
        <f>1841622016/(1000)</f>
        <v>1841622.0160000001</v>
      </c>
      <c r="G165">
        <f>104946000/(1000)</f>
        <v>104946</v>
      </c>
      <c r="H165">
        <f>671840192/(1000)</f>
        <v>671840.19200000004</v>
      </c>
      <c r="I165">
        <f>134165000/(1000)</f>
        <v>134165</v>
      </c>
      <c r="J165">
        <f t="shared" si="2"/>
        <v>5.0075667424440053E-3</v>
      </c>
      <c r="K165">
        <f>9852001/(1000)</f>
        <v>9852.0010000000002</v>
      </c>
      <c r="L165">
        <v>20.9143581390381</v>
      </c>
      <c r="M165">
        <v>16.0701293945313</v>
      </c>
      <c r="N165">
        <v>98.359884708870894</v>
      </c>
      <c r="O165">
        <v>36.127822875976598</v>
      </c>
      <c r="P165">
        <v>0</v>
      </c>
      <c r="Q165">
        <v>1.27061473531177</v>
      </c>
      <c r="R165">
        <v>8.73711394028693</v>
      </c>
      <c r="S165">
        <v>127.96950798707699</v>
      </c>
      <c r="T165">
        <v>0</v>
      </c>
      <c r="U165">
        <v>0</v>
      </c>
      <c r="V165">
        <v>0</v>
      </c>
      <c r="W165">
        <v>0</v>
      </c>
    </row>
    <row r="166" spans="1:23" x14ac:dyDescent="0.55000000000000004">
      <c r="A166" t="s">
        <v>339</v>
      </c>
      <c r="B166" t="s">
        <v>340</v>
      </c>
      <c r="C166" t="s">
        <v>2</v>
      </c>
      <c r="D166">
        <v>30.11</v>
      </c>
      <c r="E166">
        <f>761364480/(1000)</f>
        <v>761364.47999999998</v>
      </c>
      <c r="F166">
        <f>1836877952/(1000)</f>
        <v>1836877.952</v>
      </c>
      <c r="G166">
        <f>84844000/(1000)</f>
        <v>84844</v>
      </c>
      <c r="H166">
        <f>544774480/(1000)</f>
        <v>544774.48</v>
      </c>
      <c r="I166">
        <f>162162000/(1000)</f>
        <v>162162</v>
      </c>
      <c r="J166">
        <f t="shared" si="2"/>
        <v>3.3594459861126529E-3</v>
      </c>
      <c r="K166">
        <f>46463001/(1000)</f>
        <v>46463.000999999997</v>
      </c>
      <c r="L166">
        <v>13.3577833175659</v>
      </c>
      <c r="M166">
        <v>9.3787574768066406</v>
      </c>
      <c r="N166">
        <v>91.604476945695694</v>
      </c>
      <c r="O166">
        <v>2.6596100330352801</v>
      </c>
      <c r="P166">
        <v>0.60000002384185802</v>
      </c>
      <c r="Q166">
        <v>0</v>
      </c>
      <c r="R166">
        <v>14.545893855502699</v>
      </c>
      <c r="S166">
        <v>29.148694236117901</v>
      </c>
      <c r="T166">
        <v>0</v>
      </c>
      <c r="U166">
        <v>0</v>
      </c>
      <c r="V166">
        <v>0</v>
      </c>
      <c r="W166">
        <v>0</v>
      </c>
    </row>
    <row r="167" spans="1:23" x14ac:dyDescent="0.55000000000000004">
      <c r="A167" t="s">
        <v>341</v>
      </c>
      <c r="B167" t="s">
        <v>342</v>
      </c>
      <c r="C167" t="s">
        <v>5</v>
      </c>
      <c r="D167">
        <v>17.850000000000001</v>
      </c>
      <c r="E167">
        <f>825459008/(1000)</f>
        <v>825459.00800000003</v>
      </c>
      <c r="F167">
        <f>1824899072/(1000)</f>
        <v>1824899.0719999999</v>
      </c>
      <c r="G167">
        <f>252728000/(1000)</f>
        <v>252728</v>
      </c>
      <c r="H167">
        <f>2152956992/(1000)</f>
        <v>2152956.9920000001</v>
      </c>
      <c r="I167">
        <f>324507008/(1000)</f>
        <v>324507.00799999997</v>
      </c>
      <c r="J167">
        <f t="shared" si="2"/>
        <v>6.6345469864244047E-3</v>
      </c>
      <c r="K167">
        <f>123528001/(1000)</f>
        <v>123528.001</v>
      </c>
      <c r="L167">
        <v>23.418062210083001</v>
      </c>
      <c r="M167">
        <v>16.870233535766602</v>
      </c>
      <c r="N167">
        <v>91.557856942052197</v>
      </c>
      <c r="O167">
        <v>169.75808715820301</v>
      </c>
      <c r="P167">
        <v>0.68000000715255704</v>
      </c>
      <c r="Q167">
        <v>0.936516310683284</v>
      </c>
      <c r="R167">
        <v>7.9333335028754304</v>
      </c>
      <c r="S167">
        <v>232.09750657083501</v>
      </c>
      <c r="T167">
        <v>0</v>
      </c>
      <c r="U167">
        <v>0</v>
      </c>
      <c r="V167">
        <v>0</v>
      </c>
      <c r="W167">
        <v>0</v>
      </c>
    </row>
    <row r="168" spans="1:23" x14ac:dyDescent="0.55000000000000004">
      <c r="A168" t="s">
        <v>343</v>
      </c>
      <c r="B168" t="s">
        <v>344</v>
      </c>
      <c r="C168" t="s">
        <v>2</v>
      </c>
      <c r="D168">
        <v>37.99</v>
      </c>
      <c r="E168">
        <f>1226169088/(1000)</f>
        <v>1226169.088</v>
      </c>
      <c r="F168">
        <f>1802497024/(1000)</f>
        <v>1802497.024</v>
      </c>
      <c r="G168">
        <f>206060000/(1000)</f>
        <v>206060</v>
      </c>
      <c r="H168">
        <f>1697746048/(1000)</f>
        <v>1697746.048</v>
      </c>
      <c r="I168">
        <f>252679008/(1000)</f>
        <v>252679.008</v>
      </c>
      <c r="J168">
        <f t="shared" si="2"/>
        <v>6.7189833513989416E-3</v>
      </c>
      <c r="K168">
        <f>163998001/(1000)</f>
        <v>163998.00099999999</v>
      </c>
      <c r="L168">
        <v>18.169593811035199</v>
      </c>
      <c r="M168">
        <v>14.719738960266101</v>
      </c>
      <c r="N168">
        <v>96.923109812497003</v>
      </c>
      <c r="O168">
        <v>64.963027954101605</v>
      </c>
      <c r="P168">
        <v>0.63999998569488503</v>
      </c>
      <c r="Q168">
        <v>1.3104519482030199</v>
      </c>
      <c r="R168">
        <v>9.7161128960745806</v>
      </c>
      <c r="S168">
        <v>197.789650070926</v>
      </c>
      <c r="T168">
        <v>0</v>
      </c>
      <c r="U168">
        <v>0</v>
      </c>
      <c r="V168">
        <v>0</v>
      </c>
      <c r="W168">
        <v>0</v>
      </c>
    </row>
    <row r="169" spans="1:23" x14ac:dyDescent="0.55000000000000004">
      <c r="A169" t="s">
        <v>345</v>
      </c>
      <c r="B169" t="s">
        <v>346</v>
      </c>
      <c r="C169" t="s">
        <v>31</v>
      </c>
      <c r="D169">
        <v>5.12</v>
      </c>
      <c r="E169">
        <f>138594304/(1000)</f>
        <v>138594.304</v>
      </c>
      <c r="F169">
        <f>1785378944/(1000)</f>
        <v>1785378.9439999999</v>
      </c>
      <c r="G169">
        <f>37330000/(1000)</f>
        <v>37330</v>
      </c>
      <c r="H169">
        <f>96220304/(1000)</f>
        <v>96220.304000000004</v>
      </c>
      <c r="I169">
        <f>44111000/(1000)</f>
        <v>44111</v>
      </c>
      <c r="J169">
        <f t="shared" si="2"/>
        <v>2.1813222098796218E-3</v>
      </c>
      <c r="K169">
        <f>-6632999/(1000)</f>
        <v>-6632.9989999999998</v>
      </c>
      <c r="L169">
        <v>22.359045028686499</v>
      </c>
      <c r="M169">
        <v>10.9184408187866</v>
      </c>
      <c r="N169">
        <v>65.041817506792697</v>
      </c>
      <c r="O169">
        <v>2.15594506263733</v>
      </c>
      <c r="P169">
        <v>0</v>
      </c>
      <c r="Q169">
        <v>0</v>
      </c>
      <c r="R169">
        <v>6.7368419071313799</v>
      </c>
      <c r="S169">
        <v>49.8433486561309</v>
      </c>
      <c r="T169">
        <v>0</v>
      </c>
      <c r="U169">
        <v>0</v>
      </c>
      <c r="V169">
        <v>0</v>
      </c>
      <c r="W169">
        <v>0</v>
      </c>
    </row>
    <row r="170" spans="1:23" x14ac:dyDescent="0.55000000000000004">
      <c r="A170" t="s">
        <v>347</v>
      </c>
      <c r="B170" t="s">
        <v>348</v>
      </c>
      <c r="C170" t="s">
        <v>2</v>
      </c>
      <c r="D170">
        <v>13.88</v>
      </c>
      <c r="E170">
        <f>622108544/(1000)</f>
        <v>622108.54399999999</v>
      </c>
      <c r="F170">
        <f>1784494976/(1000)</f>
        <v>1784494.976</v>
      </c>
      <c r="G170">
        <f>94710000/(1000)</f>
        <v>94710</v>
      </c>
      <c r="H170">
        <f>973639552/(1000)</f>
        <v>973639.55200000003</v>
      </c>
      <c r="I170">
        <f>128950000/(1000)</f>
        <v>128950</v>
      </c>
      <c r="J170">
        <f t="shared" si="2"/>
        <v>7.550519984490113E-3</v>
      </c>
      <c r="K170">
        <f>43828001/(1000)</f>
        <v>43828.000999999997</v>
      </c>
      <c r="L170">
        <v>20.365282058715799</v>
      </c>
      <c r="M170">
        <v>11.673577308654799</v>
      </c>
      <c r="N170">
        <v>96.715789785457602</v>
      </c>
      <c r="O170">
        <v>102.96372222900401</v>
      </c>
      <c r="P170">
        <v>0</v>
      </c>
      <c r="Q170">
        <v>1.5439377606029201</v>
      </c>
      <c r="R170">
        <v>15.422222374913099</v>
      </c>
      <c r="S170">
        <v>218.92180685116</v>
      </c>
      <c r="T170">
        <v>0</v>
      </c>
      <c r="U170">
        <v>0</v>
      </c>
      <c r="V170">
        <v>0</v>
      </c>
      <c r="W170">
        <v>0</v>
      </c>
    </row>
    <row r="171" spans="1:23" x14ac:dyDescent="0.55000000000000004">
      <c r="A171" t="s">
        <v>349</v>
      </c>
      <c r="B171" t="s">
        <v>350</v>
      </c>
      <c r="C171" t="s">
        <v>20</v>
      </c>
      <c r="D171">
        <v>10.76</v>
      </c>
      <c r="E171">
        <f>430106240/(1000)</f>
        <v>430106.24</v>
      </c>
      <c r="F171">
        <f>1780923008/(1000)</f>
        <v>1780923.0079999999</v>
      </c>
      <c r="G171">
        <f>16457000/(1000)</f>
        <v>16457</v>
      </c>
      <c r="H171">
        <f>426757240/(1000)</f>
        <v>426757.24</v>
      </c>
      <c r="I171">
        <f>45071000/(1000)</f>
        <v>45071</v>
      </c>
      <c r="J171">
        <f t="shared" si="2"/>
        <v>9.4685549466397446E-3</v>
      </c>
      <c r="K171">
        <f>-11947999/(1000)</f>
        <v>-11947.999</v>
      </c>
      <c r="L171">
        <v>23.487632751464801</v>
      </c>
      <c r="M171">
        <v>2.8915710449218799</v>
      </c>
      <c r="N171">
        <v>92.557674751109502</v>
      </c>
      <c r="O171">
        <v>9.6592206954956108</v>
      </c>
      <c r="P171">
        <v>7.9999998211861004E-2</v>
      </c>
      <c r="Q171">
        <v>0</v>
      </c>
      <c r="R171">
        <v>21.519999896585901</v>
      </c>
      <c r="S171">
        <v>61.400578368677401</v>
      </c>
      <c r="T171">
        <v>0</v>
      </c>
      <c r="U171">
        <v>0</v>
      </c>
      <c r="V171">
        <v>0</v>
      </c>
      <c r="W171">
        <v>0</v>
      </c>
    </row>
    <row r="172" spans="1:23" x14ac:dyDescent="0.55000000000000004">
      <c r="A172" t="s">
        <v>351</v>
      </c>
      <c r="B172" t="s">
        <v>352</v>
      </c>
      <c r="C172" t="s">
        <v>20</v>
      </c>
      <c r="D172">
        <v>28.65</v>
      </c>
      <c r="E172">
        <f>927982144/(1000)</f>
        <v>927982.14399999997</v>
      </c>
      <c r="F172">
        <f>1780008960/(1000)</f>
        <v>1780008.96</v>
      </c>
      <c r="G172">
        <f>176036000/(1000)</f>
        <v>176036</v>
      </c>
      <c r="H172">
        <f>1104820144/(1000)</f>
        <v>1104820.1440000001</v>
      </c>
      <c r="I172">
        <f>238128992/(1000)</f>
        <v>238128.992</v>
      </c>
      <c r="J172">
        <f t="shared" si="2"/>
        <v>4.6395868672723401E-3</v>
      </c>
      <c r="K172">
        <f>146411009/(1000)</f>
        <v>146411.00899999999</v>
      </c>
      <c r="L172">
        <v>17.901813507080099</v>
      </c>
      <c r="M172">
        <v>65.608352661132798</v>
      </c>
      <c r="N172">
        <v>83.5061712089487</v>
      </c>
      <c r="O172">
        <v>115.61896514892599</v>
      </c>
      <c r="P172">
        <v>0.75999999046325695</v>
      </c>
      <c r="Q172">
        <v>7.0335573455303901</v>
      </c>
      <c r="R172">
        <v>8.2564838300246706</v>
      </c>
      <c r="S172">
        <v>17.007172477274899</v>
      </c>
      <c r="T172">
        <v>0</v>
      </c>
      <c r="U172">
        <v>0</v>
      </c>
      <c r="V172">
        <v>0</v>
      </c>
      <c r="W172">
        <v>0</v>
      </c>
    </row>
    <row r="173" spans="1:23" x14ac:dyDescent="0.55000000000000004">
      <c r="A173" t="s">
        <v>353</v>
      </c>
      <c r="B173" t="s">
        <v>354</v>
      </c>
      <c r="C173" t="s">
        <v>5</v>
      </c>
      <c r="D173">
        <v>2.0699999999999998</v>
      </c>
      <c r="E173">
        <f>419036128/(1000)</f>
        <v>419036.12800000003</v>
      </c>
      <c r="F173">
        <f>1778715008/(1000)</f>
        <v>1778715.0079999999</v>
      </c>
      <c r="G173">
        <f>0/(1000)</f>
        <v>0</v>
      </c>
      <c r="H173">
        <f>0/(1000)</f>
        <v>0</v>
      </c>
      <c r="I173">
        <f>0/(1000)</f>
        <v>0</v>
      </c>
      <c r="J173">
        <f t="shared" si="2"/>
        <v>1</v>
      </c>
      <c r="K173">
        <f>96725001/(1000)</f>
        <v>96725.001000000004</v>
      </c>
      <c r="L173">
        <v>14.3084669113159</v>
      </c>
      <c r="M173">
        <v>8.3550653457641602</v>
      </c>
      <c r="N173">
        <v>93.951325760405297</v>
      </c>
      <c r="O173">
        <v>178.93341064453099</v>
      </c>
      <c r="P173">
        <v>0</v>
      </c>
      <c r="Q173">
        <v>0.17437158851866399</v>
      </c>
      <c r="R173">
        <v>0</v>
      </c>
      <c r="S173">
        <v>100.8116157409</v>
      </c>
      <c r="T173">
        <v>0</v>
      </c>
      <c r="U173">
        <v>0</v>
      </c>
      <c r="V173">
        <v>0</v>
      </c>
      <c r="W173">
        <v>0</v>
      </c>
    </row>
    <row r="174" spans="1:23" x14ac:dyDescent="0.55000000000000004">
      <c r="A174" t="s">
        <v>355</v>
      </c>
      <c r="B174" t="s">
        <v>356</v>
      </c>
      <c r="C174" t="s">
        <v>5</v>
      </c>
      <c r="D174">
        <v>7.57</v>
      </c>
      <c r="E174">
        <f>343768832/(1000)</f>
        <v>343768.83199999999</v>
      </c>
      <c r="F174">
        <f>1776450944/(1000)</f>
        <v>1776450.9439999999</v>
      </c>
      <c r="G174">
        <f>148072000/(1000)</f>
        <v>148072</v>
      </c>
      <c r="H174">
        <f>736793824/(1000)</f>
        <v>736793.82400000002</v>
      </c>
      <c r="I174">
        <f>196607008/(1000)</f>
        <v>196607.008</v>
      </c>
      <c r="J174">
        <f t="shared" si="2"/>
        <v>3.7475460895066365E-3</v>
      </c>
      <c r="K174">
        <f>186855009/(1000)</f>
        <v>186855.00899999999</v>
      </c>
      <c r="L174">
        <v>18.395265579223601</v>
      </c>
      <c r="M174">
        <v>0</v>
      </c>
      <c r="N174">
        <v>95.1623770979825</v>
      </c>
      <c r="O174">
        <v>25.7902431488037</v>
      </c>
      <c r="P174">
        <v>0.479999989271164</v>
      </c>
      <c r="Q174">
        <v>0.566192987019972</v>
      </c>
      <c r="R174">
        <v>6.07002913380704</v>
      </c>
      <c r="S174">
        <v>-10.9932073150334</v>
      </c>
      <c r="T174">
        <v>0</v>
      </c>
      <c r="U174">
        <v>0</v>
      </c>
      <c r="V174">
        <v>0</v>
      </c>
      <c r="W174">
        <v>0</v>
      </c>
    </row>
    <row r="175" spans="1:23" x14ac:dyDescent="0.55000000000000004">
      <c r="A175" t="s">
        <v>357</v>
      </c>
      <c r="B175" t="s">
        <v>358</v>
      </c>
      <c r="C175" t="s">
        <v>5</v>
      </c>
      <c r="D175">
        <v>8.52</v>
      </c>
      <c r="E175">
        <f>880566656/(1000)</f>
        <v>880566.65599999996</v>
      </c>
      <c r="F175">
        <f>1769181952/(1000)</f>
        <v>1769181.952</v>
      </c>
      <c r="G175">
        <f>474865984/(1000)</f>
        <v>474865.984</v>
      </c>
      <c r="H175">
        <f>3509819776/(1000)</f>
        <v>3509819.7760000001</v>
      </c>
      <c r="I175">
        <f>816339968/(1000)</f>
        <v>816339.96799999999</v>
      </c>
      <c r="J175">
        <f t="shared" si="2"/>
        <v>4.2994584530742959E-3</v>
      </c>
      <c r="K175">
        <f>-95927999/(1000)</f>
        <v>-95927.998999999996</v>
      </c>
      <c r="L175">
        <v>0</v>
      </c>
      <c r="M175">
        <v>0</v>
      </c>
      <c r="N175">
        <v>21.621648264728702</v>
      </c>
      <c r="O175">
        <v>0</v>
      </c>
      <c r="P175">
        <v>0</v>
      </c>
      <c r="Q175">
        <v>9.2608698947893799</v>
      </c>
      <c r="R175">
        <v>6.1739133965240498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55000000000000004">
      <c r="A176" t="s">
        <v>359</v>
      </c>
      <c r="B176" t="s">
        <v>360</v>
      </c>
      <c r="C176" t="s">
        <v>2</v>
      </c>
      <c r="D176">
        <v>16.3</v>
      </c>
      <c r="E176">
        <f>321056192/(1000)</f>
        <v>321056.19199999998</v>
      </c>
      <c r="F176">
        <f>1764159104/(1000)</f>
        <v>1764159.1040000001</v>
      </c>
      <c r="G176">
        <f>154710000/(1000)</f>
        <v>154710</v>
      </c>
      <c r="H176">
        <f>724616192/(1000)</f>
        <v>724616.19200000004</v>
      </c>
      <c r="I176">
        <f>190298000/(1000)</f>
        <v>190298</v>
      </c>
      <c r="J176">
        <f t="shared" si="2"/>
        <v>3.8077972022827356E-3</v>
      </c>
      <c r="K176">
        <f>15391002/(1000)</f>
        <v>15391.002</v>
      </c>
      <c r="L176">
        <v>12.298170089721699</v>
      </c>
      <c r="M176">
        <v>13.5589685440063</v>
      </c>
      <c r="N176">
        <v>96.354723513502805</v>
      </c>
      <c r="O176">
        <v>76.046485900878906</v>
      </c>
      <c r="P176">
        <v>0</v>
      </c>
      <c r="Q176">
        <v>0.47898912200305799</v>
      </c>
      <c r="R176">
        <v>3.6794580611157999</v>
      </c>
      <c r="S176">
        <v>96.421429891729801</v>
      </c>
      <c r="T176">
        <v>0</v>
      </c>
      <c r="U176">
        <v>0</v>
      </c>
      <c r="V176">
        <v>0</v>
      </c>
      <c r="W176">
        <v>0</v>
      </c>
    </row>
    <row r="177" spans="1:23" x14ac:dyDescent="0.55000000000000004">
      <c r="A177" t="s">
        <v>361</v>
      </c>
      <c r="B177" t="s">
        <v>362</v>
      </c>
      <c r="C177" t="s">
        <v>5</v>
      </c>
      <c r="D177">
        <v>1.0900000000000001</v>
      </c>
      <c r="E177">
        <f>23571032/(1000)</f>
        <v>23571.031999999999</v>
      </c>
      <c r="F177">
        <f>1760791040/(1000)</f>
        <v>1760791.04</v>
      </c>
      <c r="G177">
        <f>161526000/(1000)</f>
        <v>161526</v>
      </c>
      <c r="H177">
        <f>2447954008/(1000)</f>
        <v>2447954.0079999999</v>
      </c>
      <c r="I177">
        <f>683328000/(1000)</f>
        <v>683328</v>
      </c>
      <c r="J177">
        <f t="shared" si="2"/>
        <v>3.5823996792170086E-3</v>
      </c>
      <c r="K177">
        <f>496663009/(1000)</f>
        <v>496663.00900000002</v>
      </c>
      <c r="L177">
        <v>17.1598510742188</v>
      </c>
      <c r="M177">
        <v>0.198113992810249</v>
      </c>
      <c r="N177">
        <v>91.770560880353798</v>
      </c>
      <c r="O177">
        <v>458.92599487304699</v>
      </c>
      <c r="P177">
        <v>0</v>
      </c>
      <c r="Q177">
        <v>0</v>
      </c>
      <c r="R177">
        <v>0</v>
      </c>
      <c r="S177">
        <v>55.3830204590991</v>
      </c>
      <c r="T177">
        <v>0</v>
      </c>
      <c r="U177">
        <v>0</v>
      </c>
      <c r="V177">
        <v>0</v>
      </c>
      <c r="W177">
        <v>0</v>
      </c>
    </row>
    <row r="178" spans="1:23" x14ac:dyDescent="0.55000000000000004">
      <c r="A178" t="s">
        <v>363</v>
      </c>
      <c r="B178" t="s">
        <v>364</v>
      </c>
      <c r="C178" t="s">
        <v>2</v>
      </c>
      <c r="D178">
        <v>47.82</v>
      </c>
      <c r="E178">
        <f>2035180928/(1000)</f>
        <v>2035180.9280000001</v>
      </c>
      <c r="F178">
        <f>1760055040/(1000)</f>
        <v>1760055.04</v>
      </c>
      <c r="G178">
        <f>226772992/(1000)</f>
        <v>226772.992</v>
      </c>
      <c r="H178">
        <f>2072705928/(1000)</f>
        <v>2072705.9280000001</v>
      </c>
      <c r="I178">
        <f>299451008/(1000)</f>
        <v>299451.00799999997</v>
      </c>
      <c r="J178">
        <f t="shared" si="2"/>
        <v>6.9216862612798422E-3</v>
      </c>
      <c r="K178">
        <f>245036993/(1000)</f>
        <v>245036.99299999999</v>
      </c>
      <c r="L178">
        <v>17.097021102905298</v>
      </c>
      <c r="M178">
        <v>17.5449829101563</v>
      </c>
      <c r="N178">
        <v>96.875880472604706</v>
      </c>
      <c r="O178">
        <v>0</v>
      </c>
      <c r="P178">
        <v>0.30000001192092901</v>
      </c>
      <c r="Q178">
        <v>2.0479656922307199</v>
      </c>
      <c r="R178">
        <v>13.4704226301814</v>
      </c>
      <c r="S178">
        <v>148.02922143807399</v>
      </c>
      <c r="T178">
        <v>0</v>
      </c>
      <c r="U178">
        <v>0</v>
      </c>
      <c r="V178">
        <v>0</v>
      </c>
      <c r="W178">
        <v>0</v>
      </c>
    </row>
    <row r="179" spans="1:23" x14ac:dyDescent="0.55000000000000004">
      <c r="A179" t="s">
        <v>365</v>
      </c>
      <c r="B179" t="s">
        <v>366</v>
      </c>
      <c r="C179" t="s">
        <v>2</v>
      </c>
      <c r="D179">
        <v>38.4</v>
      </c>
      <c r="E179">
        <f>1087594880/(1000)</f>
        <v>1087594.8799999999</v>
      </c>
      <c r="F179">
        <f>1758022016/(1000)</f>
        <v>1758022.0160000001</v>
      </c>
      <c r="G179">
        <f>111154000/(1000)</f>
        <v>111154</v>
      </c>
      <c r="H179">
        <f>1127942880/(1000)</f>
        <v>1127942.8799999999</v>
      </c>
      <c r="I179">
        <f>117574000/(1000)</f>
        <v>117574</v>
      </c>
      <c r="J179">
        <f t="shared" si="2"/>
        <v>9.593472026128225E-3</v>
      </c>
      <c r="K179">
        <f>101927001/(1000)</f>
        <v>101927.001</v>
      </c>
      <c r="L179">
        <v>18.297361373901399</v>
      </c>
      <c r="M179">
        <v>12.299420356750501</v>
      </c>
      <c r="N179">
        <v>96.850549453317001</v>
      </c>
      <c r="O179">
        <v>10.058423042297401</v>
      </c>
      <c r="P179">
        <v>1.79999995231628</v>
      </c>
      <c r="Q179">
        <v>1.82422816710948</v>
      </c>
      <c r="R179">
        <v>16.695653075306499</v>
      </c>
      <c r="S179">
        <v>48.841625011852997</v>
      </c>
      <c r="T179">
        <v>0</v>
      </c>
      <c r="U179">
        <v>0</v>
      </c>
      <c r="V179">
        <v>0</v>
      </c>
      <c r="W179">
        <v>0</v>
      </c>
    </row>
    <row r="180" spans="1:23" x14ac:dyDescent="0.55000000000000004">
      <c r="A180" t="s">
        <v>367</v>
      </c>
      <c r="B180" t="s">
        <v>368</v>
      </c>
      <c r="C180" t="s">
        <v>94</v>
      </c>
      <c r="D180">
        <v>19.47</v>
      </c>
      <c r="E180">
        <f>1218002304/(1000)</f>
        <v>1218002.304</v>
      </c>
      <c r="F180">
        <f>1743000064/(1000)</f>
        <v>1743000.064</v>
      </c>
      <c r="G180">
        <f>269000000/(1000)</f>
        <v>269000</v>
      </c>
      <c r="H180">
        <f>2557002368/(1000)</f>
        <v>2557002.3679999998</v>
      </c>
      <c r="I180">
        <f>450000000/(1000)</f>
        <v>450000</v>
      </c>
      <c r="J180">
        <f t="shared" si="2"/>
        <v>5.6822274844444435E-3</v>
      </c>
      <c r="K180">
        <f>-112999999/(1000)</f>
        <v>-112999.999</v>
      </c>
      <c r="L180">
        <v>0</v>
      </c>
      <c r="M180">
        <v>11.4173231124878</v>
      </c>
      <c r="N180">
        <v>99.908405692041399</v>
      </c>
      <c r="O180">
        <v>102.81154632568401</v>
      </c>
      <c r="P180">
        <v>0.980000019073486</v>
      </c>
      <c r="Q180">
        <v>0.84049205887593503</v>
      </c>
      <c r="R180">
        <v>10.877094639173199</v>
      </c>
      <c r="S180">
        <v>-6.0377356407465896</v>
      </c>
      <c r="T180">
        <v>0</v>
      </c>
      <c r="U180">
        <v>0</v>
      </c>
      <c r="V180">
        <v>0</v>
      </c>
      <c r="W180">
        <v>0</v>
      </c>
    </row>
    <row r="181" spans="1:23" x14ac:dyDescent="0.55000000000000004">
      <c r="A181" t="s">
        <v>369</v>
      </c>
      <c r="B181" t="s">
        <v>370</v>
      </c>
      <c r="C181" t="s">
        <v>17</v>
      </c>
      <c r="D181">
        <v>20.43</v>
      </c>
      <c r="E181">
        <f>627180544/(1000)</f>
        <v>627180.54399999999</v>
      </c>
      <c r="F181">
        <f>1737026048/(1000)</f>
        <v>1737026.048</v>
      </c>
      <c r="G181">
        <f>107240000/(1000)</f>
        <v>107240</v>
      </c>
      <c r="H181">
        <f>918440544/(1000)</f>
        <v>918440.54399999999</v>
      </c>
      <c r="I181">
        <f>184370992/(1000)</f>
        <v>184370.992</v>
      </c>
      <c r="J181">
        <f t="shared" si="2"/>
        <v>4.9814807309818028E-3</v>
      </c>
      <c r="K181">
        <f>37617997/(1000)</f>
        <v>37617.997000000003</v>
      </c>
      <c r="L181">
        <v>18.94091796875</v>
      </c>
      <c r="M181">
        <v>9.8465852737426793</v>
      </c>
      <c r="N181">
        <v>97.864753191915298</v>
      </c>
      <c r="O181">
        <v>48.7247505187988</v>
      </c>
      <c r="P181">
        <v>0.63999998569488503</v>
      </c>
      <c r="Q181">
        <v>0</v>
      </c>
      <c r="R181">
        <v>10.080018741457399</v>
      </c>
      <c r="S181">
        <v>59.164942445353802</v>
      </c>
      <c r="T181">
        <v>0</v>
      </c>
      <c r="U181">
        <v>0</v>
      </c>
      <c r="V181">
        <v>0</v>
      </c>
      <c r="W181">
        <v>0</v>
      </c>
    </row>
    <row r="182" spans="1:23" x14ac:dyDescent="0.55000000000000004">
      <c r="A182" t="s">
        <v>371</v>
      </c>
      <c r="B182" t="s">
        <v>372</v>
      </c>
      <c r="C182" t="s">
        <v>94</v>
      </c>
      <c r="D182">
        <v>20.51</v>
      </c>
      <c r="E182">
        <f>2221031936/(1000)</f>
        <v>2221031.9360000002</v>
      </c>
      <c r="F182">
        <f>1726834048/(1000)</f>
        <v>1726834.048</v>
      </c>
      <c r="G182">
        <f>337391008/(1000)</f>
        <v>337391.00799999997</v>
      </c>
      <c r="H182">
        <f>4688685056/(1000)</f>
        <v>4688685.0559999999</v>
      </c>
      <c r="I182">
        <f>541516992/(1000)</f>
        <v>541516.99199999997</v>
      </c>
      <c r="J182">
        <f t="shared" si="2"/>
        <v>8.6584264672529433E-3</v>
      </c>
      <c r="K182">
        <f>-502992991/(1000)</f>
        <v>-502992.99099999998</v>
      </c>
      <c r="L182">
        <v>13.7507171630859</v>
      </c>
      <c r="M182">
        <v>9.9440870285034197</v>
      </c>
      <c r="N182">
        <v>98.125777500379897</v>
      </c>
      <c r="O182">
        <v>118.70255279541</v>
      </c>
      <c r="P182">
        <v>1.1599999666214</v>
      </c>
      <c r="Q182">
        <v>1.0309122773042301</v>
      </c>
      <c r="R182">
        <v>16.674796927989899</v>
      </c>
      <c r="S182">
        <v>0</v>
      </c>
      <c r="T182">
        <v>0</v>
      </c>
      <c r="U182">
        <v>0</v>
      </c>
      <c r="V182">
        <v>0</v>
      </c>
      <c r="W182">
        <v>0</v>
      </c>
    </row>
    <row r="183" spans="1:23" x14ac:dyDescent="0.55000000000000004">
      <c r="A183" t="s">
        <v>373</v>
      </c>
      <c r="B183" t="s">
        <v>374</v>
      </c>
      <c r="C183" t="s">
        <v>184</v>
      </c>
      <c r="D183">
        <v>5.53</v>
      </c>
      <c r="E183">
        <f>265430048/(1000)</f>
        <v>265430.04800000001</v>
      </c>
      <c r="F183">
        <f>1725654016/(1000)</f>
        <v>1725654.0160000001</v>
      </c>
      <c r="G183">
        <f>54942000/(1000)</f>
        <v>54942</v>
      </c>
      <c r="H183">
        <f>890567072/(1000)</f>
        <v>890567.07200000004</v>
      </c>
      <c r="I183">
        <f>1084041984/(1000)</f>
        <v>1084041.9839999999</v>
      </c>
      <c r="J183">
        <f t="shared" si="2"/>
        <v>8.2152452132333651E-4</v>
      </c>
      <c r="K183">
        <f>701315009/(1000)</f>
        <v>701315.00899999996</v>
      </c>
      <c r="L183">
        <v>14.1478519439697</v>
      </c>
      <c r="M183">
        <v>-6.08355808258057</v>
      </c>
      <c r="N183">
        <v>34.555671224341197</v>
      </c>
      <c r="O183">
        <v>95.187271118164105</v>
      </c>
      <c r="P183">
        <v>0</v>
      </c>
      <c r="Q183">
        <v>0.36940548504785897</v>
      </c>
      <c r="R183">
        <v>15.8000025502276</v>
      </c>
      <c r="S183">
        <v>778.24462756671903</v>
      </c>
      <c r="T183">
        <v>0</v>
      </c>
      <c r="U183">
        <v>0</v>
      </c>
      <c r="V183">
        <v>0</v>
      </c>
      <c r="W183">
        <v>0</v>
      </c>
    </row>
    <row r="184" spans="1:23" x14ac:dyDescent="0.55000000000000004">
      <c r="A184" t="s">
        <v>375</v>
      </c>
      <c r="B184" t="s">
        <v>376</v>
      </c>
      <c r="C184" t="s">
        <v>20</v>
      </c>
      <c r="D184">
        <v>13.54</v>
      </c>
      <c r="E184">
        <f>700762688/(1000)</f>
        <v>700762.68799999997</v>
      </c>
      <c r="F184">
        <f>1724898048/(1000)</f>
        <v>1724898.048</v>
      </c>
      <c r="G184">
        <f>165296000/(1000)</f>
        <v>165296</v>
      </c>
      <c r="H184">
        <f>643012688/(1000)</f>
        <v>643012.68799999997</v>
      </c>
      <c r="I184">
        <f>227404000/(1000)</f>
        <v>227404</v>
      </c>
      <c r="J184">
        <f t="shared" si="2"/>
        <v>2.8276225923906349E-3</v>
      </c>
      <c r="K184">
        <f>88062001/(1000)</f>
        <v>88062.001000000004</v>
      </c>
      <c r="L184">
        <v>17.239650726318398</v>
      </c>
      <c r="M184">
        <v>17.369550704956101</v>
      </c>
      <c r="N184">
        <v>92.226256429170704</v>
      </c>
      <c r="O184">
        <v>32.707603454589801</v>
      </c>
      <c r="P184">
        <v>0.28000000119209301</v>
      </c>
      <c r="Q184">
        <v>0</v>
      </c>
      <c r="R184">
        <v>6.57281544446219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55000000000000004">
      <c r="A185" t="s">
        <v>377</v>
      </c>
      <c r="B185" t="s">
        <v>378</v>
      </c>
      <c r="C185" t="s">
        <v>17</v>
      </c>
      <c r="D185">
        <v>34.56</v>
      </c>
      <c r="E185">
        <f>701174016/(1000)</f>
        <v>701174.01599999995</v>
      </c>
      <c r="F185">
        <f>1723582976/(1000)</f>
        <v>1723582.976</v>
      </c>
      <c r="G185">
        <f>-13676000/(1000)</f>
        <v>-13676</v>
      </c>
      <c r="H185">
        <f>923454016/(1000)</f>
        <v>923454.01599999995</v>
      </c>
      <c r="I185">
        <f>31107000/(1000)</f>
        <v>31107</v>
      </c>
      <c r="J185">
        <f t="shared" si="2"/>
        <v>2.9686373356479247E-2</v>
      </c>
      <c r="K185">
        <f>-104221999/(1000)</f>
        <v>-104221.999</v>
      </c>
      <c r="L185">
        <v>0</v>
      </c>
      <c r="M185">
        <v>-11.371987342834499</v>
      </c>
      <c r="N185">
        <v>83.557264818225306</v>
      </c>
      <c r="O185">
        <v>64.000602722167997</v>
      </c>
      <c r="P185">
        <v>0.56000000238418601</v>
      </c>
      <c r="Q185">
        <v>1.96979203322929</v>
      </c>
      <c r="R185">
        <v>0</v>
      </c>
      <c r="S185">
        <v>97.605342618855303</v>
      </c>
      <c r="T185">
        <v>0</v>
      </c>
      <c r="U185">
        <v>0</v>
      </c>
      <c r="V185">
        <v>0</v>
      </c>
      <c r="W185">
        <v>0</v>
      </c>
    </row>
    <row r="186" spans="1:23" x14ac:dyDescent="0.55000000000000004">
      <c r="A186" t="s">
        <v>379</v>
      </c>
      <c r="B186" t="s">
        <v>380</v>
      </c>
      <c r="C186" t="s">
        <v>38</v>
      </c>
      <c r="D186">
        <v>10.96</v>
      </c>
      <c r="E186">
        <f>964722240/(1000)</f>
        <v>964722.24</v>
      </c>
      <c r="F186">
        <f>1718099968/(1000)</f>
        <v>1718099.9680000001</v>
      </c>
      <c r="G186">
        <f>188700000/(1000)</f>
        <v>188700</v>
      </c>
      <c r="H186">
        <f>3260922176/(1000)</f>
        <v>3260922.176</v>
      </c>
      <c r="I186">
        <f>266200000/(1000)</f>
        <v>266200</v>
      </c>
      <c r="J186">
        <f t="shared" si="2"/>
        <v>1.2249895477084898E-2</v>
      </c>
      <c r="K186">
        <f>191300001/(1000)</f>
        <v>191300.00099999999</v>
      </c>
      <c r="L186">
        <v>0</v>
      </c>
      <c r="M186">
        <v>0</v>
      </c>
      <c r="N186">
        <v>98.980139837688995</v>
      </c>
      <c r="O186">
        <v>0</v>
      </c>
      <c r="P186">
        <v>0</v>
      </c>
      <c r="Q186">
        <v>0</v>
      </c>
      <c r="R186">
        <v>37.793103453591399</v>
      </c>
      <c r="S186">
        <v>-56.615193765977203</v>
      </c>
      <c r="T186">
        <v>0</v>
      </c>
      <c r="U186">
        <v>0</v>
      </c>
      <c r="V186">
        <v>0</v>
      </c>
      <c r="W186">
        <v>0</v>
      </c>
    </row>
    <row r="187" spans="1:23" x14ac:dyDescent="0.55000000000000004">
      <c r="A187" t="s">
        <v>381</v>
      </c>
      <c r="B187" t="s">
        <v>382</v>
      </c>
      <c r="C187" t="s">
        <v>20</v>
      </c>
      <c r="D187">
        <v>4.18</v>
      </c>
      <c r="E187">
        <f>741080128/(1000)</f>
        <v>741080.12800000003</v>
      </c>
      <c r="F187">
        <f>1714326016/(1000)</f>
        <v>1714326.0160000001</v>
      </c>
      <c r="G187">
        <f>121458000/(1000)</f>
        <v>121458</v>
      </c>
      <c r="H187">
        <f>484742128/(1000)</f>
        <v>484742.12800000003</v>
      </c>
      <c r="I187">
        <f>213436992/(1000)</f>
        <v>213436.992</v>
      </c>
      <c r="J187">
        <f t="shared" si="2"/>
        <v>2.2711251852724759E-3</v>
      </c>
      <c r="K187">
        <f>6424001/(1000)</f>
        <v>6424.0010000000002</v>
      </c>
      <c r="L187">
        <v>27.601182937622099</v>
      </c>
      <c r="M187">
        <v>10.3556938171387</v>
      </c>
      <c r="N187">
        <v>98.472913525619504</v>
      </c>
      <c r="O187">
        <v>0</v>
      </c>
      <c r="P187">
        <v>0</v>
      </c>
      <c r="Q187">
        <v>0.83266929167739601</v>
      </c>
      <c r="R187">
        <v>0</v>
      </c>
      <c r="S187">
        <v>222.782959264509</v>
      </c>
      <c r="T187">
        <v>0</v>
      </c>
      <c r="U187">
        <v>0</v>
      </c>
      <c r="V187">
        <v>0</v>
      </c>
      <c r="W187">
        <v>0</v>
      </c>
    </row>
    <row r="188" spans="1:23" x14ac:dyDescent="0.55000000000000004">
      <c r="A188" t="s">
        <v>383</v>
      </c>
      <c r="B188" t="s">
        <v>384</v>
      </c>
      <c r="C188" t="s">
        <v>17</v>
      </c>
      <c r="D188">
        <v>5.9</v>
      </c>
      <c r="E188">
        <f>419159360/(1000)</f>
        <v>419159.36</v>
      </c>
      <c r="F188">
        <f>1705385984/(1000)</f>
        <v>1705385.9839999999</v>
      </c>
      <c r="G188">
        <f>105350000/(1000)</f>
        <v>105350</v>
      </c>
      <c r="H188">
        <f>918044352/(1000)</f>
        <v>918044.35199999996</v>
      </c>
      <c r="I188">
        <f>137867008/(1000)</f>
        <v>137867.008</v>
      </c>
      <c r="J188">
        <f t="shared" si="2"/>
        <v>6.6589125659418085E-3</v>
      </c>
      <c r="K188">
        <f>92679001/(1000)</f>
        <v>92679.001000000004</v>
      </c>
      <c r="L188">
        <v>16.426195144653299</v>
      </c>
      <c r="M188">
        <v>-41.584903717041001</v>
      </c>
      <c r="N188">
        <v>90.942546287497805</v>
      </c>
      <c r="O188">
        <v>102.292030334473</v>
      </c>
      <c r="P188">
        <v>0</v>
      </c>
      <c r="Q188">
        <v>0.75544175910296496</v>
      </c>
      <c r="R188">
        <v>13.318182081030301</v>
      </c>
      <c r="S188">
        <v>48.941882459207697</v>
      </c>
      <c r="T188">
        <v>0</v>
      </c>
      <c r="U188">
        <v>0</v>
      </c>
      <c r="V188">
        <v>0</v>
      </c>
      <c r="W188">
        <v>0</v>
      </c>
    </row>
    <row r="189" spans="1:23" x14ac:dyDescent="0.55000000000000004">
      <c r="A189" t="s">
        <v>385</v>
      </c>
      <c r="B189" t="s">
        <v>386</v>
      </c>
      <c r="C189" t="s">
        <v>121</v>
      </c>
      <c r="D189">
        <v>1.56</v>
      </c>
      <c r="E189">
        <f>161137392/(1000)</f>
        <v>161137.39199999999</v>
      </c>
      <c r="F189">
        <f>1704899968/(1000)</f>
        <v>1704899.9680000001</v>
      </c>
      <c r="G189">
        <f>-209600000/(1000)</f>
        <v>-209600</v>
      </c>
      <c r="H189">
        <f>543437392/(1000)</f>
        <v>543437.39199999999</v>
      </c>
      <c r="I189">
        <f>-99800000/(1000)</f>
        <v>-99800</v>
      </c>
      <c r="J189">
        <f t="shared" si="2"/>
        <v>-5.4452644488977957E-3</v>
      </c>
      <c r="K189">
        <f>-345099999/(1000)</f>
        <v>-345099.99900000001</v>
      </c>
      <c r="L189">
        <v>0</v>
      </c>
      <c r="M189">
        <v>-9.2567338943481392</v>
      </c>
      <c r="N189">
        <v>95.244510050561203</v>
      </c>
      <c r="O189">
        <v>40.236328125</v>
      </c>
      <c r="P189">
        <v>0</v>
      </c>
      <c r="Q189">
        <v>0.104231392654974</v>
      </c>
      <c r="R189">
        <v>0</v>
      </c>
      <c r="S189">
        <v>6.5495907815679599</v>
      </c>
      <c r="T189">
        <v>0</v>
      </c>
      <c r="U189">
        <v>0</v>
      </c>
      <c r="V189">
        <v>0</v>
      </c>
      <c r="W189">
        <v>0</v>
      </c>
    </row>
    <row r="190" spans="1:23" x14ac:dyDescent="0.55000000000000004">
      <c r="A190" t="s">
        <v>387</v>
      </c>
      <c r="B190" t="s">
        <v>388</v>
      </c>
      <c r="C190" t="s">
        <v>5</v>
      </c>
      <c r="D190">
        <v>2.5099999999999998</v>
      </c>
      <c r="E190">
        <f>230410464/(1000)</f>
        <v>230410.46400000001</v>
      </c>
      <c r="F190">
        <f>1702065024/(1000)</f>
        <v>1702065.024</v>
      </c>
      <c r="G190">
        <f>179208000/(1000)</f>
        <v>179208</v>
      </c>
      <c r="H190">
        <f>979328480/(1000)</f>
        <v>979328.48</v>
      </c>
      <c r="I190">
        <f>209700992/(1000)</f>
        <v>209700.992</v>
      </c>
      <c r="J190">
        <f t="shared" si="2"/>
        <v>4.6701184894728581E-3</v>
      </c>
      <c r="K190">
        <f>51948001/(1000)</f>
        <v>51948.000999999997</v>
      </c>
      <c r="L190">
        <v>0</v>
      </c>
      <c r="M190">
        <v>0</v>
      </c>
      <c r="N190">
        <v>99.800105584966005</v>
      </c>
      <c r="O190">
        <v>0</v>
      </c>
      <c r="P190">
        <v>0</v>
      </c>
      <c r="Q190">
        <v>0</v>
      </c>
      <c r="R190">
        <v>4.11475408674728</v>
      </c>
      <c r="S190">
        <v>43.130745529647598</v>
      </c>
      <c r="T190">
        <v>0</v>
      </c>
      <c r="U190">
        <v>0</v>
      </c>
      <c r="V190">
        <v>0</v>
      </c>
      <c r="W190">
        <v>0</v>
      </c>
    </row>
    <row r="191" spans="1:23" x14ac:dyDescent="0.55000000000000004">
      <c r="A191" t="s">
        <v>389</v>
      </c>
      <c r="B191" t="s">
        <v>390</v>
      </c>
      <c r="C191" t="s">
        <v>81</v>
      </c>
      <c r="D191">
        <v>7.43</v>
      </c>
      <c r="E191">
        <f>805671296/(1000)</f>
        <v>805671.29599999997</v>
      </c>
      <c r="F191">
        <f>1682840960/(1000)</f>
        <v>1682840.96</v>
      </c>
      <c r="G191">
        <f>196564992/(1000)</f>
        <v>196564.992</v>
      </c>
      <c r="H191">
        <f>2115912320/(1000)</f>
        <v>2115912.3199999998</v>
      </c>
      <c r="I191">
        <f>345772992/(1000)</f>
        <v>345772.99200000003</v>
      </c>
      <c r="J191">
        <f t="shared" si="2"/>
        <v>6.1193683976335546E-3</v>
      </c>
      <c r="K191">
        <f>129732001/(1000)</f>
        <v>129732.001</v>
      </c>
      <c r="L191">
        <v>0</v>
      </c>
      <c r="M191">
        <v>10.409131050109901</v>
      </c>
      <c r="N191">
        <v>79.991406178904199</v>
      </c>
      <c r="O191">
        <v>158.86988830566401</v>
      </c>
      <c r="P191">
        <v>0.72000002861022905</v>
      </c>
      <c r="Q191">
        <v>0.83202682804302197</v>
      </c>
      <c r="R191">
        <v>67.545457925924794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55000000000000004">
      <c r="A192" t="s">
        <v>391</v>
      </c>
      <c r="B192" t="s">
        <v>392</v>
      </c>
      <c r="C192" t="s">
        <v>2</v>
      </c>
      <c r="D192">
        <v>19.02</v>
      </c>
      <c r="E192">
        <f>1072507392/(1000)</f>
        <v>1072507.392</v>
      </c>
      <c r="F192">
        <f>1663943040/(1000)</f>
        <v>1663943.04</v>
      </c>
      <c r="G192">
        <f>221822000/(1000)</f>
        <v>221822</v>
      </c>
      <c r="H192">
        <f>1742674368/(1000)</f>
        <v>1742674.368</v>
      </c>
      <c r="I192">
        <f>266531008/(1000)</f>
        <v>266531.00799999997</v>
      </c>
      <c r="J192">
        <f t="shared" si="2"/>
        <v>6.5383550719922247E-3</v>
      </c>
      <c r="K192">
        <f>125690001/(1000)</f>
        <v>125690.001</v>
      </c>
      <c r="L192">
        <v>17.195196151733398</v>
      </c>
      <c r="M192">
        <v>21.7002067565918</v>
      </c>
      <c r="N192">
        <v>97.755564959560999</v>
      </c>
      <c r="O192">
        <v>91.207550048828097</v>
      </c>
      <c r="P192">
        <v>3.9999999105930002E-2</v>
      </c>
      <c r="Q192">
        <v>1.6872921174006299</v>
      </c>
      <c r="R192">
        <v>9.2172867430855501</v>
      </c>
      <c r="S192">
        <v>184.243742542446</v>
      </c>
      <c r="T192">
        <v>0</v>
      </c>
      <c r="U192">
        <v>0</v>
      </c>
      <c r="V192">
        <v>0</v>
      </c>
      <c r="W192">
        <v>0</v>
      </c>
    </row>
    <row r="193" spans="1:23" x14ac:dyDescent="0.55000000000000004">
      <c r="A193" t="s">
        <v>393</v>
      </c>
      <c r="B193" t="s">
        <v>394</v>
      </c>
      <c r="C193" t="s">
        <v>5</v>
      </c>
      <c r="D193">
        <v>0.1</v>
      </c>
      <c r="E193">
        <f>20920000/(1000)</f>
        <v>20920</v>
      </c>
      <c r="F193">
        <f>1659980032/(1000)</f>
        <v>1659980.0319999999</v>
      </c>
      <c r="G193">
        <f>17833000/(1000)</f>
        <v>17833</v>
      </c>
      <c r="H193">
        <f>239239008/(1000)</f>
        <v>239239.008</v>
      </c>
      <c r="I193">
        <f>35828000/(1000)</f>
        <v>35828</v>
      </c>
      <c r="J193">
        <f t="shared" si="2"/>
        <v>6.6774312827955797E-3</v>
      </c>
      <c r="K193">
        <f>-37524999/(1000)</f>
        <v>-37524.999000000003</v>
      </c>
      <c r="L193">
        <v>0</v>
      </c>
      <c r="M193">
        <v>-1.1760270595550499</v>
      </c>
      <c r="N193">
        <v>99.6775349148743</v>
      </c>
      <c r="O193">
        <v>331.35690307617199</v>
      </c>
      <c r="P193">
        <v>0</v>
      </c>
      <c r="Q193">
        <v>0</v>
      </c>
      <c r="R193">
        <v>0</v>
      </c>
      <c r="S193">
        <v>-28.396452142663399</v>
      </c>
      <c r="T193">
        <v>0</v>
      </c>
      <c r="U193">
        <v>0</v>
      </c>
      <c r="V193">
        <v>0</v>
      </c>
      <c r="W193">
        <v>0</v>
      </c>
    </row>
    <row r="194" spans="1:23" x14ac:dyDescent="0.55000000000000004">
      <c r="A194" t="s">
        <v>395</v>
      </c>
      <c r="B194" t="s">
        <v>396</v>
      </c>
      <c r="C194" t="s">
        <v>2</v>
      </c>
      <c r="D194">
        <v>26.53</v>
      </c>
      <c r="E194">
        <f>998825280/(1000)</f>
        <v>998825.28</v>
      </c>
      <c r="F194">
        <f>1658168064/(1000)</f>
        <v>1658168.064</v>
      </c>
      <c r="G194">
        <f>90740000/(1000)</f>
        <v>90740</v>
      </c>
      <c r="H194">
        <f>935447280/(1000)</f>
        <v>935447.28</v>
      </c>
      <c r="I194">
        <f>97935000/(1000)</f>
        <v>97935</v>
      </c>
      <c r="J194">
        <f t="shared" ref="J194:J257" si="3">(IF(I194=0,1000,H194/I194))/(1000)</f>
        <v>9.5517157298207998E-3</v>
      </c>
      <c r="K194">
        <f>70383001/(1000)</f>
        <v>70383.001000000004</v>
      </c>
      <c r="L194">
        <v>21.306856155395501</v>
      </c>
      <c r="M194">
        <v>23.4624118804932</v>
      </c>
      <c r="N194">
        <v>95.599490048025899</v>
      </c>
      <c r="O194">
        <v>0</v>
      </c>
      <c r="P194">
        <v>0</v>
      </c>
      <c r="Q194">
        <v>3.0564515845495999</v>
      </c>
      <c r="R194">
        <v>16.276074088500501</v>
      </c>
      <c r="S194">
        <v>24.145967107893501</v>
      </c>
      <c r="T194">
        <v>0</v>
      </c>
      <c r="U194">
        <v>0</v>
      </c>
      <c r="V194">
        <v>0</v>
      </c>
      <c r="W194">
        <v>0</v>
      </c>
    </row>
    <row r="195" spans="1:23" x14ac:dyDescent="0.55000000000000004">
      <c r="A195" t="s">
        <v>397</v>
      </c>
      <c r="B195" t="s">
        <v>398</v>
      </c>
      <c r="C195" t="s">
        <v>5</v>
      </c>
      <c r="D195">
        <v>8.15</v>
      </c>
      <c r="E195">
        <f>610858816/(1000)</f>
        <v>610858.81599999999</v>
      </c>
      <c r="F195">
        <f>1655236992/(1000)</f>
        <v>1655236.9920000001</v>
      </c>
      <c r="G195">
        <f>328867008/(1000)</f>
        <v>328867.00799999997</v>
      </c>
      <c r="H195">
        <f>1360408832/(1000)</f>
        <v>1360408.8319999999</v>
      </c>
      <c r="I195">
        <f>464828000/(1000)</f>
        <v>464828</v>
      </c>
      <c r="J195">
        <f t="shared" si="3"/>
        <v>2.9266929530923263E-3</v>
      </c>
      <c r="K195">
        <f>-54865999/(1000)</f>
        <v>-54865.999000000003</v>
      </c>
      <c r="L195">
        <v>0</v>
      </c>
      <c r="M195">
        <v>19.4007472991943</v>
      </c>
      <c r="N195">
        <v>88.871807167449006</v>
      </c>
      <c r="O195">
        <v>90.507919311523395</v>
      </c>
      <c r="P195">
        <v>0</v>
      </c>
      <c r="Q195">
        <v>0.53349215523952798</v>
      </c>
      <c r="R195">
        <v>3.4829057702033102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55000000000000004">
      <c r="A196" t="s">
        <v>399</v>
      </c>
      <c r="B196" t="s">
        <v>400</v>
      </c>
      <c r="C196" t="s">
        <v>401</v>
      </c>
      <c r="D196">
        <v>26.01</v>
      </c>
      <c r="E196">
        <f>1027949056/(1000)</f>
        <v>1027949.056</v>
      </c>
      <c r="F196">
        <f>1654020992/(1000)</f>
        <v>1654020.9920000001</v>
      </c>
      <c r="G196">
        <f>118258000/(1000)</f>
        <v>118258</v>
      </c>
      <c r="H196">
        <f>1450734048/(1000)</f>
        <v>1450734.048</v>
      </c>
      <c r="I196">
        <f>198342000/(1000)</f>
        <v>198342</v>
      </c>
      <c r="J196">
        <f t="shared" si="3"/>
        <v>7.3143058353752604E-3</v>
      </c>
      <c r="K196">
        <f>55634001/(1000)</f>
        <v>55634.000999999997</v>
      </c>
      <c r="L196">
        <v>0</v>
      </c>
      <c r="M196">
        <v>9.7616748809814506</v>
      </c>
      <c r="N196">
        <v>98.329505233067195</v>
      </c>
      <c r="O196">
        <v>74.664207458496094</v>
      </c>
      <c r="P196">
        <v>2.03999996185303</v>
      </c>
      <c r="Q196">
        <v>1.7802875318340201</v>
      </c>
      <c r="R196">
        <v>12.3270144170219</v>
      </c>
      <c r="S196">
        <v>27.8671970272995</v>
      </c>
      <c r="T196">
        <v>0</v>
      </c>
      <c r="U196">
        <v>0</v>
      </c>
      <c r="V196">
        <v>0</v>
      </c>
      <c r="W196">
        <v>0</v>
      </c>
    </row>
    <row r="197" spans="1:23" x14ac:dyDescent="0.55000000000000004">
      <c r="A197" t="s">
        <v>402</v>
      </c>
      <c r="B197" t="s">
        <v>403</v>
      </c>
      <c r="C197" t="s">
        <v>5</v>
      </c>
      <c r="D197">
        <v>1.68</v>
      </c>
      <c r="E197">
        <f>85614144/(1000)</f>
        <v>85614.144</v>
      </c>
      <c r="F197">
        <f>1652550016/(1000)</f>
        <v>1652550.0160000001</v>
      </c>
      <c r="G197">
        <f>805342016/(1000)</f>
        <v>805342.01599999995</v>
      </c>
      <c r="H197">
        <f>644693120/(1000)</f>
        <v>644693.12</v>
      </c>
      <c r="I197">
        <f>861673024/(1000)</f>
        <v>861673.02399999998</v>
      </c>
      <c r="J197">
        <f t="shared" si="3"/>
        <v>7.4818765592457495E-4</v>
      </c>
      <c r="K197">
        <f>-5301999/(1000)</f>
        <v>-5301.9989999999998</v>
      </c>
      <c r="L197">
        <v>85.429550170898395</v>
      </c>
      <c r="M197">
        <v>-11.670961380004901</v>
      </c>
      <c r="N197">
        <v>88.051992609065195</v>
      </c>
      <c r="O197">
        <v>43.4910278320313</v>
      </c>
      <c r="P197">
        <v>0</v>
      </c>
      <c r="Q197">
        <v>0</v>
      </c>
      <c r="R197">
        <v>0</v>
      </c>
      <c r="S197">
        <v>282.79968001556</v>
      </c>
      <c r="T197">
        <v>0</v>
      </c>
      <c r="U197">
        <v>0</v>
      </c>
      <c r="V197">
        <v>0</v>
      </c>
      <c r="W197">
        <v>0</v>
      </c>
    </row>
    <row r="198" spans="1:23" x14ac:dyDescent="0.55000000000000004">
      <c r="A198" t="s">
        <v>404</v>
      </c>
      <c r="B198" t="s">
        <v>405</v>
      </c>
      <c r="C198" t="s">
        <v>121</v>
      </c>
      <c r="D198">
        <v>1.03</v>
      </c>
      <c r="E198">
        <f>53608000/(1000)</f>
        <v>53608</v>
      </c>
      <c r="F198">
        <f>1628753024/(1000)</f>
        <v>1628753.024</v>
      </c>
      <c r="G198">
        <f>49364000/(1000)</f>
        <v>49364</v>
      </c>
      <c r="H198">
        <f>0/(1000)</f>
        <v>0</v>
      </c>
      <c r="I198">
        <f>172580992/(1000)</f>
        <v>172580.992</v>
      </c>
      <c r="J198">
        <f t="shared" si="3"/>
        <v>0</v>
      </c>
      <c r="K198">
        <f>-55884999/(1000)</f>
        <v>-55884.999000000003</v>
      </c>
      <c r="L198">
        <v>0</v>
      </c>
      <c r="M198">
        <v>0</v>
      </c>
      <c r="N198">
        <v>99.999999343286802</v>
      </c>
      <c r="O198">
        <v>0</v>
      </c>
      <c r="P198">
        <v>0.119999997317791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55000000000000004">
      <c r="A199" t="s">
        <v>406</v>
      </c>
      <c r="B199" t="s">
        <v>407</v>
      </c>
      <c r="C199" t="s">
        <v>2</v>
      </c>
      <c r="D199">
        <v>44.55</v>
      </c>
      <c r="E199">
        <f>1597977344/(1000)</f>
        <v>1597977.344</v>
      </c>
      <c r="F199">
        <f>1622300032/(1000)</f>
        <v>1622300.0319999999</v>
      </c>
      <c r="G199">
        <f>162300000/(1000)</f>
        <v>162300</v>
      </c>
      <c r="H199">
        <f>1876277344/(1000)</f>
        <v>1876277.344</v>
      </c>
      <c r="I199">
        <f>197000000/(1000)</f>
        <v>197000</v>
      </c>
      <c r="J199">
        <f t="shared" si="3"/>
        <v>9.5242504771573602E-3</v>
      </c>
      <c r="K199">
        <f>126400001/(1000)</f>
        <v>126400.001</v>
      </c>
      <c r="L199">
        <v>20.3983974456787</v>
      </c>
      <c r="M199">
        <v>20.4781703948975</v>
      </c>
      <c r="N199">
        <v>91.884422684778201</v>
      </c>
      <c r="O199">
        <v>27.0086765289307</v>
      </c>
      <c r="P199">
        <v>0</v>
      </c>
      <c r="Q199">
        <v>0</v>
      </c>
      <c r="R199">
        <v>14.098100907380701</v>
      </c>
      <c r="S199">
        <v>109.952111403562</v>
      </c>
      <c r="T199">
        <v>0</v>
      </c>
      <c r="U199">
        <v>0</v>
      </c>
      <c r="V199">
        <v>0</v>
      </c>
      <c r="W199">
        <v>0</v>
      </c>
    </row>
    <row r="200" spans="1:23" x14ac:dyDescent="0.55000000000000004">
      <c r="A200" t="s">
        <v>408</v>
      </c>
      <c r="B200" t="s">
        <v>409</v>
      </c>
      <c r="C200" t="s">
        <v>2</v>
      </c>
      <c r="D200">
        <v>14.96</v>
      </c>
      <c r="E200">
        <f>764991552/(1000)</f>
        <v>764991.55200000003</v>
      </c>
      <c r="F200">
        <f>1606366976/(1000)</f>
        <v>1606366.976</v>
      </c>
      <c r="G200">
        <f>263772000/(1000)</f>
        <v>263772</v>
      </c>
      <c r="H200">
        <f>1632448576/(1000)</f>
        <v>1632448.5759999999</v>
      </c>
      <c r="I200">
        <f>359852000/(1000)</f>
        <v>359852</v>
      </c>
      <c r="J200">
        <f t="shared" si="3"/>
        <v>4.5364443604592993E-3</v>
      </c>
      <c r="K200">
        <f>212388001/(1000)</f>
        <v>212388.00099999999</v>
      </c>
      <c r="L200">
        <v>10.6351861953735</v>
      </c>
      <c r="M200">
        <v>0</v>
      </c>
      <c r="N200">
        <v>98.766423102283994</v>
      </c>
      <c r="O200">
        <v>2053.275390625</v>
      </c>
      <c r="P200">
        <v>1</v>
      </c>
      <c r="Q200">
        <v>0</v>
      </c>
      <c r="R200">
        <v>5.75384624766175</v>
      </c>
      <c r="S200">
        <v>25.108121059698501</v>
      </c>
      <c r="T200">
        <v>0</v>
      </c>
      <c r="U200">
        <v>0</v>
      </c>
      <c r="V200">
        <v>0</v>
      </c>
      <c r="W200">
        <v>0</v>
      </c>
    </row>
    <row r="201" spans="1:23" x14ac:dyDescent="0.55000000000000004">
      <c r="A201" t="s">
        <v>410</v>
      </c>
      <c r="B201" t="s">
        <v>411</v>
      </c>
      <c r="C201" t="s">
        <v>38</v>
      </c>
      <c r="D201">
        <v>15.52</v>
      </c>
      <c r="E201">
        <f>498913696/(1000)</f>
        <v>498913.696</v>
      </c>
      <c r="F201">
        <f>1602237056/(1000)</f>
        <v>1602237.0560000001</v>
      </c>
      <c r="G201">
        <f>79458000/(1000)</f>
        <v>79458</v>
      </c>
      <c r="H201">
        <f>969558688/(1000)</f>
        <v>969558.68799999997</v>
      </c>
      <c r="I201">
        <f>123175000/(1000)</f>
        <v>123175</v>
      </c>
      <c r="J201">
        <f t="shared" si="3"/>
        <v>7.8713918246397403E-3</v>
      </c>
      <c r="K201">
        <f>59032001/(1000)</f>
        <v>59032.000999999997</v>
      </c>
      <c r="L201">
        <v>20.933607101440401</v>
      </c>
      <c r="M201">
        <v>0.22897699475288399</v>
      </c>
      <c r="N201">
        <v>92.831411882163394</v>
      </c>
      <c r="O201">
        <v>97.077667236328097</v>
      </c>
      <c r="P201">
        <v>5.0000000745057997E-2</v>
      </c>
      <c r="Q201">
        <v>0</v>
      </c>
      <c r="R201">
        <v>14.780952858870799</v>
      </c>
      <c r="S201">
        <v>47.107462977740198</v>
      </c>
      <c r="T201">
        <v>0</v>
      </c>
      <c r="U201">
        <v>0</v>
      </c>
      <c r="V201">
        <v>0</v>
      </c>
      <c r="W201">
        <v>0</v>
      </c>
    </row>
    <row r="202" spans="1:23" x14ac:dyDescent="0.55000000000000004">
      <c r="A202" t="s">
        <v>412</v>
      </c>
      <c r="B202" t="s">
        <v>413</v>
      </c>
      <c r="C202" t="s">
        <v>2</v>
      </c>
      <c r="D202">
        <v>1.53</v>
      </c>
      <c r="E202">
        <f>55242944/(1000)</f>
        <v>55242.944000000003</v>
      </c>
      <c r="F202">
        <f>1592461952/(1000)</f>
        <v>1592461.952</v>
      </c>
      <c r="G202">
        <f>14685000/(1000)</f>
        <v>14685</v>
      </c>
      <c r="H202">
        <f>263269936/(1000)</f>
        <v>263269.93599999999</v>
      </c>
      <c r="I202">
        <f>43714000/(1000)</f>
        <v>43714</v>
      </c>
      <c r="J202">
        <f t="shared" si="3"/>
        <v>6.0225542389165934E-3</v>
      </c>
      <c r="K202">
        <f>61444001/(1000)</f>
        <v>61444.000999999997</v>
      </c>
      <c r="L202">
        <v>0</v>
      </c>
      <c r="M202">
        <v>-9.5310897827148402</v>
      </c>
      <c r="N202">
        <v>47.282070004105599</v>
      </c>
      <c r="O202">
        <v>115.615592956543</v>
      </c>
      <c r="P202">
        <v>0</v>
      </c>
      <c r="Q202">
        <v>0.36230940221434199</v>
      </c>
      <c r="R202">
        <v>0</v>
      </c>
      <c r="S202">
        <v>6.1637043461030903</v>
      </c>
      <c r="T202">
        <v>0</v>
      </c>
      <c r="U202">
        <v>0</v>
      </c>
      <c r="V202">
        <v>0</v>
      </c>
      <c r="W202">
        <v>0</v>
      </c>
    </row>
    <row r="203" spans="1:23" x14ac:dyDescent="0.55000000000000004">
      <c r="A203" t="s">
        <v>414</v>
      </c>
      <c r="B203" t="s">
        <v>415</v>
      </c>
      <c r="C203" t="s">
        <v>2</v>
      </c>
      <c r="D203">
        <v>33.39</v>
      </c>
      <c r="E203">
        <f>1501788672/(1000)</f>
        <v>1501788.672</v>
      </c>
      <c r="F203">
        <f>1592124032/(1000)</f>
        <v>1592124.0319999999</v>
      </c>
      <c r="G203">
        <f>179184000/(1000)</f>
        <v>179184</v>
      </c>
      <c r="H203">
        <f>1943968640/(1000)</f>
        <v>1943968.64</v>
      </c>
      <c r="I203">
        <f>241883008/(1000)</f>
        <v>241883.008</v>
      </c>
      <c r="J203">
        <f t="shared" si="3"/>
        <v>8.0368135656722108E-3</v>
      </c>
      <c r="K203">
        <f>84703001/(1000)</f>
        <v>84703.001000000004</v>
      </c>
      <c r="L203">
        <v>19.2262992858887</v>
      </c>
      <c r="M203">
        <v>12.4432640075684</v>
      </c>
      <c r="N203">
        <v>91.006110663811398</v>
      </c>
      <c r="O203">
        <v>55.958942413330099</v>
      </c>
      <c r="P203">
        <v>0.31999999284744302</v>
      </c>
      <c r="Q203">
        <v>1.4853202877924401</v>
      </c>
      <c r="R203">
        <v>13.2499997013855</v>
      </c>
      <c r="S203">
        <v>210.187458330575</v>
      </c>
      <c r="T203">
        <v>0</v>
      </c>
      <c r="U203">
        <v>0</v>
      </c>
      <c r="V203">
        <v>0</v>
      </c>
      <c r="W203">
        <v>0</v>
      </c>
    </row>
    <row r="204" spans="1:23" x14ac:dyDescent="0.55000000000000004">
      <c r="A204" t="s">
        <v>416</v>
      </c>
      <c r="B204" t="s">
        <v>417</v>
      </c>
      <c r="C204" t="s">
        <v>20</v>
      </c>
      <c r="D204">
        <v>16.100000000000001</v>
      </c>
      <c r="E204">
        <f>0/(1000)</f>
        <v>0</v>
      </c>
      <c r="F204">
        <f>1590882944/(1000)</f>
        <v>1590882.9439999999</v>
      </c>
      <c r="G204">
        <f>207398000/(1000)</f>
        <v>207398</v>
      </c>
      <c r="H204">
        <f>0/(1000)</f>
        <v>0</v>
      </c>
      <c r="I204">
        <f>244154000/(1000)</f>
        <v>244154</v>
      </c>
      <c r="J204">
        <f t="shared" si="3"/>
        <v>0</v>
      </c>
      <c r="K204">
        <f>88775001/(1000)</f>
        <v>88775.001000000004</v>
      </c>
      <c r="L204">
        <v>18.958408355712901</v>
      </c>
      <c r="M204">
        <v>50.725963592529297</v>
      </c>
      <c r="N204">
        <v>98.514604024113595</v>
      </c>
      <c r="O204">
        <v>0</v>
      </c>
      <c r="P204">
        <v>0</v>
      </c>
      <c r="Q204">
        <v>3.2039801146098301</v>
      </c>
      <c r="R204">
        <v>7.5943397854986303</v>
      </c>
      <c r="S204">
        <v>188.776800313666</v>
      </c>
      <c r="T204">
        <v>0</v>
      </c>
      <c r="U204">
        <v>0</v>
      </c>
      <c r="V204">
        <v>0</v>
      </c>
      <c r="W204">
        <v>0</v>
      </c>
    </row>
    <row r="205" spans="1:23" x14ac:dyDescent="0.55000000000000004">
      <c r="A205" t="s">
        <v>418</v>
      </c>
      <c r="B205" t="s">
        <v>419</v>
      </c>
      <c r="C205" t="s">
        <v>401</v>
      </c>
      <c r="D205">
        <v>8.85</v>
      </c>
      <c r="E205">
        <f>385148448/(1000)</f>
        <v>385148.44799999997</v>
      </c>
      <c r="F205">
        <f>1587307008/(1000)</f>
        <v>1587307.0079999999</v>
      </c>
      <c r="G205">
        <f>0/(1000)</f>
        <v>0</v>
      </c>
      <c r="H205">
        <f>0/(1000)</f>
        <v>0</v>
      </c>
      <c r="I205">
        <f>0/(1000)</f>
        <v>0</v>
      </c>
      <c r="J205">
        <f t="shared" si="3"/>
        <v>1</v>
      </c>
      <c r="K205">
        <f>0/(1000)</f>
        <v>0</v>
      </c>
      <c r="L205">
        <v>0</v>
      </c>
      <c r="M205">
        <v>0</v>
      </c>
      <c r="N205">
        <v>96.236178830304198</v>
      </c>
      <c r="O205">
        <v>0</v>
      </c>
      <c r="P205">
        <v>0</v>
      </c>
      <c r="Q205">
        <v>1.27921046482856</v>
      </c>
      <c r="R205">
        <v>5.6012661233866696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55000000000000004">
      <c r="A206" t="s">
        <v>420</v>
      </c>
      <c r="B206" t="s">
        <v>421</v>
      </c>
      <c r="C206" t="s">
        <v>5</v>
      </c>
      <c r="D206">
        <v>19.97</v>
      </c>
      <c r="E206">
        <f>1168874112/(1000)</f>
        <v>1168874.112</v>
      </c>
      <c r="F206">
        <f>1574768000/(1000)</f>
        <v>1574768</v>
      </c>
      <c r="G206">
        <f>146400992/(1000)</f>
        <v>146400.992</v>
      </c>
      <c r="H206">
        <f>986060112/(1000)</f>
        <v>986060.11199999996</v>
      </c>
      <c r="I206">
        <f>162620992/(1000)</f>
        <v>162620.992</v>
      </c>
      <c r="J206">
        <f t="shared" si="3"/>
        <v>6.0635475154400724E-3</v>
      </c>
      <c r="K206">
        <f>56866001/(1000)</f>
        <v>56866.000999999997</v>
      </c>
      <c r="L206">
        <v>0</v>
      </c>
      <c r="M206">
        <v>13.870918273925801</v>
      </c>
      <c r="N206">
        <v>85.201640982914</v>
      </c>
      <c r="O206">
        <v>44.127174377441399</v>
      </c>
      <c r="P206">
        <v>0</v>
      </c>
      <c r="Q206">
        <v>1.45660096701602</v>
      </c>
      <c r="R206">
        <v>10.035175486257099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55000000000000004">
      <c r="A207" t="s">
        <v>422</v>
      </c>
      <c r="B207" t="s">
        <v>423</v>
      </c>
      <c r="C207" t="s">
        <v>5</v>
      </c>
      <c r="D207">
        <v>0.65</v>
      </c>
      <c r="E207">
        <f>27931150/(1000)</f>
        <v>27931.15</v>
      </c>
      <c r="F207">
        <f>1571607040/(1000)</f>
        <v>1571607.04</v>
      </c>
      <c r="G207">
        <f>38546000/(1000)</f>
        <v>38546</v>
      </c>
      <c r="H207">
        <f>300277134/(1000)</f>
        <v>300277.13400000002</v>
      </c>
      <c r="I207">
        <f>51811000/(1000)</f>
        <v>51811</v>
      </c>
      <c r="J207">
        <f t="shared" si="3"/>
        <v>5.7956251375190608E-3</v>
      </c>
      <c r="K207">
        <f>-187809999/(1000)</f>
        <v>-187809.99900000001</v>
      </c>
      <c r="L207">
        <v>0</v>
      </c>
      <c r="M207">
        <v>10.431242942810099</v>
      </c>
      <c r="N207">
        <v>99.641849924409101</v>
      </c>
      <c r="O207">
        <v>84.816917419433594</v>
      </c>
      <c r="P207">
        <v>0</v>
      </c>
      <c r="Q207">
        <v>7.8250365233763997E-2</v>
      </c>
      <c r="R207">
        <v>1.1607142768049501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55000000000000004">
      <c r="A208" t="s">
        <v>424</v>
      </c>
      <c r="B208" t="s">
        <v>425</v>
      </c>
      <c r="C208" t="s">
        <v>5</v>
      </c>
      <c r="D208">
        <v>18.440000000000001</v>
      </c>
      <c r="E208">
        <f>864692160/(1000)</f>
        <v>864692.16</v>
      </c>
      <c r="F208">
        <f>1570619008/(1000)</f>
        <v>1570619.0079999999</v>
      </c>
      <c r="G208">
        <f>0/(1000)</f>
        <v>0</v>
      </c>
      <c r="H208">
        <f>1261193152/(1000)</f>
        <v>1261193.152</v>
      </c>
      <c r="I208">
        <f>0/(1000)</f>
        <v>0</v>
      </c>
      <c r="J208">
        <f t="shared" si="3"/>
        <v>1</v>
      </c>
      <c r="K208">
        <f>383319009/(1000)</f>
        <v>383319.00900000002</v>
      </c>
      <c r="L208">
        <v>12.831117630004901</v>
      </c>
      <c r="M208">
        <v>14.2053489685059</v>
      </c>
      <c r="N208">
        <v>97.748463663019706</v>
      </c>
      <c r="O208">
        <v>41.064929962158203</v>
      </c>
      <c r="P208">
        <v>0.40000000596046398</v>
      </c>
      <c r="Q208">
        <v>0.85173214129180796</v>
      </c>
      <c r="R208">
        <v>7.6833336321844001</v>
      </c>
      <c r="S208">
        <v>106.273903633193</v>
      </c>
      <c r="T208">
        <v>0</v>
      </c>
      <c r="U208">
        <v>0</v>
      </c>
      <c r="V208">
        <v>0</v>
      </c>
      <c r="W208">
        <v>0</v>
      </c>
    </row>
    <row r="209" spans="1:23" x14ac:dyDescent="0.55000000000000004">
      <c r="A209" t="s">
        <v>426</v>
      </c>
      <c r="B209" t="s">
        <v>427</v>
      </c>
      <c r="C209" t="s">
        <v>2</v>
      </c>
      <c r="D209">
        <v>21.68</v>
      </c>
      <c r="E209">
        <f>549384192/(1000)</f>
        <v>549384.19200000004</v>
      </c>
      <c r="F209">
        <f>1569976960/(1000)</f>
        <v>1569976.96</v>
      </c>
      <c r="G209">
        <f>62214000/(1000)</f>
        <v>62214</v>
      </c>
      <c r="H209">
        <f>360387184/(1000)</f>
        <v>360387.18400000001</v>
      </c>
      <c r="I209">
        <f>78762000/(1000)</f>
        <v>78762</v>
      </c>
      <c r="J209">
        <f t="shared" si="3"/>
        <v>4.5756479520580994E-3</v>
      </c>
      <c r="K209">
        <f>62116001/(1000)</f>
        <v>62116.000999999997</v>
      </c>
      <c r="L209">
        <v>28.290369033813501</v>
      </c>
      <c r="M209">
        <v>22.238246917724599</v>
      </c>
      <c r="N209">
        <v>85.921409941402004</v>
      </c>
      <c r="O209">
        <v>0.58688801527023304</v>
      </c>
      <c r="P209">
        <v>0.259999990463257</v>
      </c>
      <c r="Q209">
        <v>0</v>
      </c>
      <c r="R209">
        <v>11.4105264406125</v>
      </c>
      <c r="S209">
        <v>85.048014181722195</v>
      </c>
      <c r="T209">
        <v>0</v>
      </c>
      <c r="U209">
        <v>0</v>
      </c>
      <c r="V209">
        <v>0</v>
      </c>
      <c r="W209">
        <v>0</v>
      </c>
    </row>
    <row r="210" spans="1:23" x14ac:dyDescent="0.55000000000000004">
      <c r="A210" t="s">
        <v>428</v>
      </c>
      <c r="B210" t="s">
        <v>429</v>
      </c>
      <c r="C210" t="s">
        <v>2</v>
      </c>
      <c r="D210">
        <v>18.899999999999999</v>
      </c>
      <c r="E210">
        <f>411307488/(1000)</f>
        <v>411307.48800000001</v>
      </c>
      <c r="F210">
        <f>1562706048/(1000)</f>
        <v>1562706.048</v>
      </c>
      <c r="G210">
        <f>151410000/(1000)</f>
        <v>151410</v>
      </c>
      <c r="H210">
        <f>628245472/(1000)</f>
        <v>628245.47199999995</v>
      </c>
      <c r="I210">
        <f>191422000/(1000)</f>
        <v>191422</v>
      </c>
      <c r="J210">
        <f t="shared" si="3"/>
        <v>3.2819919967401866E-3</v>
      </c>
      <c r="K210">
        <f>133638009/(1000)</f>
        <v>133638.00899999999</v>
      </c>
      <c r="L210">
        <v>0</v>
      </c>
      <c r="M210">
        <v>0</v>
      </c>
      <c r="N210">
        <v>97.909685644152503</v>
      </c>
      <c r="O210">
        <v>70.030494689941406</v>
      </c>
      <c r="P210">
        <v>0</v>
      </c>
      <c r="Q210">
        <v>0</v>
      </c>
      <c r="R210">
        <v>8.2894736412346806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55000000000000004">
      <c r="A211" t="s">
        <v>430</v>
      </c>
      <c r="B211" t="s">
        <v>431</v>
      </c>
      <c r="C211" t="s">
        <v>38</v>
      </c>
      <c r="D211">
        <v>11.5</v>
      </c>
      <c r="E211">
        <f>371786976/(1000)</f>
        <v>371786.97600000002</v>
      </c>
      <c r="F211">
        <f>1549792000/(1000)</f>
        <v>1549792</v>
      </c>
      <c r="G211">
        <f>88484000/(1000)</f>
        <v>88484</v>
      </c>
      <c r="H211">
        <f>487334976/(1000)</f>
        <v>487334.97600000002</v>
      </c>
      <c r="I211">
        <f>96046000/(1000)</f>
        <v>96046</v>
      </c>
      <c r="J211">
        <f t="shared" si="3"/>
        <v>5.0739747204464536E-3</v>
      </c>
      <c r="K211">
        <f>106504001/(1000)</f>
        <v>106504.001</v>
      </c>
      <c r="L211">
        <v>0</v>
      </c>
      <c r="M211">
        <v>14.1838264465332</v>
      </c>
      <c r="N211">
        <v>98.836453995910702</v>
      </c>
      <c r="O211">
        <v>35.426433563232401</v>
      </c>
      <c r="P211">
        <v>0</v>
      </c>
      <c r="Q211">
        <v>0.70725706261511101</v>
      </c>
      <c r="R211">
        <v>6.0846561307098996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55000000000000004">
      <c r="A212" t="s">
        <v>432</v>
      </c>
      <c r="B212" t="s">
        <v>433</v>
      </c>
      <c r="C212" t="s">
        <v>20</v>
      </c>
      <c r="D212">
        <v>8.25</v>
      </c>
      <c r="E212">
        <f>313474400/(1000)</f>
        <v>313474.40000000002</v>
      </c>
      <c r="F212">
        <f>1545606016/(1000)</f>
        <v>1545606.0160000001</v>
      </c>
      <c r="G212">
        <f>89788000/(1000)</f>
        <v>89788</v>
      </c>
      <c r="H212">
        <f>415136400/(1000)</f>
        <v>415136.4</v>
      </c>
      <c r="I212">
        <f>139487008/(1000)</f>
        <v>139487.008</v>
      </c>
      <c r="J212">
        <f t="shared" si="3"/>
        <v>2.9761653501091659E-3</v>
      </c>
      <c r="K212">
        <f>29224001/(1000)</f>
        <v>29224.001</v>
      </c>
      <c r="L212">
        <v>14.475136756896999</v>
      </c>
      <c r="M212">
        <v>9.7193508148193395</v>
      </c>
      <c r="N212">
        <v>98.6909493438135</v>
      </c>
      <c r="O212">
        <v>19.3135776519775</v>
      </c>
      <c r="P212">
        <v>0.20000000298023199</v>
      </c>
      <c r="Q212">
        <v>0</v>
      </c>
      <c r="R212">
        <v>9.1963199829039102</v>
      </c>
      <c r="S212">
        <v>76.5283162743562</v>
      </c>
      <c r="T212">
        <v>0</v>
      </c>
      <c r="U212">
        <v>0</v>
      </c>
      <c r="V212">
        <v>0</v>
      </c>
      <c r="W212">
        <v>0</v>
      </c>
    </row>
    <row r="213" spans="1:23" x14ac:dyDescent="0.55000000000000004">
      <c r="A213" t="s">
        <v>434</v>
      </c>
      <c r="B213" t="s">
        <v>435</v>
      </c>
      <c r="C213" t="s">
        <v>81</v>
      </c>
      <c r="D213">
        <v>7.56</v>
      </c>
      <c r="E213">
        <f>587242624/(1000)</f>
        <v>587242.62399999995</v>
      </c>
      <c r="F213">
        <f>1537529984/(1000)</f>
        <v>1537529.9839999999</v>
      </c>
      <c r="G213">
        <f>115853000/(1000)</f>
        <v>115853</v>
      </c>
      <c r="H213">
        <f>376965616/(1000)</f>
        <v>376965.61599999998</v>
      </c>
      <c r="I213">
        <f>290060000/(1000)</f>
        <v>290060</v>
      </c>
      <c r="J213">
        <f t="shared" si="3"/>
        <v>1.2996125491277666E-3</v>
      </c>
      <c r="K213">
        <f>139148993/(1000)</f>
        <v>139148.99299999999</v>
      </c>
      <c r="L213">
        <v>0</v>
      </c>
      <c r="M213">
        <v>17.8771057128906</v>
      </c>
      <c r="N213">
        <v>96.978411877865398</v>
      </c>
      <c r="O213">
        <v>11.3799295425415</v>
      </c>
      <c r="P213">
        <v>0</v>
      </c>
      <c r="Q213">
        <v>0</v>
      </c>
      <c r="R213">
        <v>5.0066224608754499</v>
      </c>
      <c r="S213">
        <v>48.741453787470398</v>
      </c>
      <c r="T213">
        <v>0</v>
      </c>
      <c r="U213">
        <v>0</v>
      </c>
      <c r="V213">
        <v>0</v>
      </c>
      <c r="W213">
        <v>0</v>
      </c>
    </row>
    <row r="214" spans="1:23" x14ac:dyDescent="0.55000000000000004">
      <c r="A214" t="s">
        <v>436</v>
      </c>
      <c r="B214" t="s">
        <v>437</v>
      </c>
      <c r="C214" t="s">
        <v>5</v>
      </c>
      <c r="D214">
        <v>8.68</v>
      </c>
      <c r="E214">
        <f>474305600/(1000)</f>
        <v>474305.6</v>
      </c>
      <c r="F214">
        <f>1534633984/(1000)</f>
        <v>1534633.9839999999</v>
      </c>
      <c r="G214">
        <f>87750000/(1000)</f>
        <v>87750</v>
      </c>
      <c r="H214">
        <f>879140608/(1000)</f>
        <v>879140.60800000001</v>
      </c>
      <c r="I214">
        <f>151852000/(1000)</f>
        <v>151852</v>
      </c>
      <c r="J214">
        <f t="shared" si="3"/>
        <v>5.7894568922371784E-3</v>
      </c>
      <c r="K214">
        <f>-12450999/(1000)</f>
        <v>-12450.999</v>
      </c>
      <c r="L214">
        <v>0</v>
      </c>
      <c r="M214">
        <v>11.859077453613301</v>
      </c>
      <c r="N214">
        <v>82.238690687666804</v>
      </c>
      <c r="O214">
        <v>269.91915893554699</v>
      </c>
      <c r="P214">
        <v>0.239999994635582</v>
      </c>
      <c r="Q214">
        <v>2.33333339742435</v>
      </c>
      <c r="R214">
        <v>12.955224409556701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55000000000000004">
      <c r="A215" t="s">
        <v>438</v>
      </c>
      <c r="B215" t="s">
        <v>439</v>
      </c>
      <c r="C215" t="s">
        <v>2</v>
      </c>
      <c r="D215">
        <v>23.95</v>
      </c>
      <c r="E215">
        <f>1252518528/(1000)</f>
        <v>1252518.5279999999</v>
      </c>
      <c r="F215">
        <f>1523015936/(1000)</f>
        <v>1523015.936</v>
      </c>
      <c r="G215">
        <f>207684000/(1000)</f>
        <v>207684</v>
      </c>
      <c r="H215">
        <f>1552299520/(1000)</f>
        <v>1552299.52</v>
      </c>
      <c r="I215">
        <f>268271008/(1000)</f>
        <v>268271.00799999997</v>
      </c>
      <c r="J215">
        <f t="shared" si="3"/>
        <v>5.7863111320623963E-3</v>
      </c>
      <c r="K215">
        <f>199147009/(1000)</f>
        <v>199147.00899999999</v>
      </c>
      <c r="L215">
        <v>18.279483795166001</v>
      </c>
      <c r="M215">
        <v>13.8212690353394</v>
      </c>
      <c r="N215">
        <v>96.362080969355304</v>
      </c>
      <c r="O215">
        <v>46.836002349853501</v>
      </c>
      <c r="P215">
        <v>0.68000000715255704</v>
      </c>
      <c r="Q215">
        <v>1.38573074638244</v>
      </c>
      <c r="R215">
        <v>9.8155742126510308</v>
      </c>
      <c r="S215">
        <v>174.48353372668399</v>
      </c>
      <c r="T215">
        <v>0</v>
      </c>
      <c r="U215">
        <v>0</v>
      </c>
      <c r="V215">
        <v>0</v>
      </c>
      <c r="W215">
        <v>0</v>
      </c>
    </row>
    <row r="216" spans="1:23" x14ac:dyDescent="0.55000000000000004">
      <c r="A216" t="s">
        <v>440</v>
      </c>
      <c r="B216" t="s">
        <v>441</v>
      </c>
      <c r="C216" t="s">
        <v>5</v>
      </c>
      <c r="D216">
        <v>1.56</v>
      </c>
      <c r="E216">
        <f>290141760/(1000)</f>
        <v>290141.76</v>
      </c>
      <c r="F216">
        <f>1515624960/(1000)</f>
        <v>1515624.96</v>
      </c>
      <c r="G216">
        <f>256458000/(1000)</f>
        <v>256458</v>
      </c>
      <c r="H216">
        <f>1422084800/(1000)</f>
        <v>1422084.8</v>
      </c>
      <c r="I216">
        <f>357684992/(1000)</f>
        <v>357684.99200000003</v>
      </c>
      <c r="J216">
        <f t="shared" si="3"/>
        <v>3.9758022612254307E-3</v>
      </c>
      <c r="K216">
        <f>146325009/(1000)</f>
        <v>146325.00899999999</v>
      </c>
      <c r="L216">
        <v>18.736171722412099</v>
      </c>
      <c r="M216">
        <v>-18.9151916503906</v>
      </c>
      <c r="N216">
        <v>98.761726088752496</v>
      </c>
      <c r="O216">
        <v>93.323677062988295</v>
      </c>
      <c r="P216">
        <v>0.30000001192092901</v>
      </c>
      <c r="Q216">
        <v>0</v>
      </c>
      <c r="R216">
        <v>1.75280896731811</v>
      </c>
      <c r="S216">
        <v>6.1431185252363196</v>
      </c>
      <c r="T216">
        <v>0</v>
      </c>
      <c r="U216">
        <v>0</v>
      </c>
      <c r="V216">
        <v>0</v>
      </c>
      <c r="W216">
        <v>0</v>
      </c>
    </row>
    <row r="217" spans="1:23" x14ac:dyDescent="0.55000000000000004">
      <c r="A217" t="s">
        <v>442</v>
      </c>
      <c r="B217" t="s">
        <v>443</v>
      </c>
      <c r="C217" t="s">
        <v>20</v>
      </c>
      <c r="D217">
        <v>0.37</v>
      </c>
      <c r="E217">
        <f>32935992/(1000)</f>
        <v>32935.991999999998</v>
      </c>
      <c r="F217">
        <f>1511832064/(1000)</f>
        <v>1511832.064</v>
      </c>
      <c r="G217">
        <f>-88138000/(1000)</f>
        <v>-88138</v>
      </c>
      <c r="H217">
        <f>99497992/(1000)</f>
        <v>99497.991999999998</v>
      </c>
      <c r="I217">
        <f>-34530000/(1000)</f>
        <v>-34530</v>
      </c>
      <c r="J217">
        <f t="shared" si="3"/>
        <v>-2.8814941210541555E-3</v>
      </c>
      <c r="K217">
        <f>-90226999/(1000)</f>
        <v>-90226.998999999996</v>
      </c>
      <c r="L217">
        <v>0</v>
      </c>
      <c r="M217">
        <v>-30.534887313842798</v>
      </c>
      <c r="N217">
        <v>87.939389075546501</v>
      </c>
      <c r="O217">
        <v>68.722358703613295</v>
      </c>
      <c r="P217">
        <v>0</v>
      </c>
      <c r="Q217">
        <v>0.14481408810214799</v>
      </c>
      <c r="R217">
        <v>0</v>
      </c>
      <c r="S217">
        <v>-13.8491912923058</v>
      </c>
      <c r="T217">
        <v>0</v>
      </c>
      <c r="U217">
        <v>0</v>
      </c>
      <c r="V217">
        <v>0</v>
      </c>
      <c r="W217">
        <v>0</v>
      </c>
    </row>
    <row r="218" spans="1:23" x14ac:dyDescent="0.55000000000000004">
      <c r="A218" t="s">
        <v>444</v>
      </c>
      <c r="B218" t="s">
        <v>445</v>
      </c>
      <c r="C218" t="s">
        <v>20</v>
      </c>
      <c r="D218">
        <v>10.1</v>
      </c>
      <c r="E218">
        <f>603125568/(1000)</f>
        <v>603125.56799999997</v>
      </c>
      <c r="F218">
        <f>1511576960/(1000)</f>
        <v>1511576.96</v>
      </c>
      <c r="G218">
        <f>110803000/(1000)</f>
        <v>110803</v>
      </c>
      <c r="H218">
        <f>822165568/(1000)</f>
        <v>822165.56799999997</v>
      </c>
      <c r="I218">
        <f>175004992/(1000)</f>
        <v>175004.992</v>
      </c>
      <c r="J218">
        <f t="shared" si="3"/>
        <v>4.6979549474794411E-3</v>
      </c>
      <c r="K218">
        <f>-50923999/(1000)</f>
        <v>-50923.999000000003</v>
      </c>
      <c r="L218">
        <v>31.762445449829102</v>
      </c>
      <c r="M218">
        <v>11.6070394515991</v>
      </c>
      <c r="N218">
        <v>93.367706404623902</v>
      </c>
      <c r="O218">
        <v>31.087566375732401</v>
      </c>
      <c r="P218">
        <v>0</v>
      </c>
      <c r="Q218">
        <v>1.3950277211003099</v>
      </c>
      <c r="R218">
        <v>11.0989017434605</v>
      </c>
      <c r="S218">
        <v>131.84763058049001</v>
      </c>
      <c r="T218">
        <v>0</v>
      </c>
      <c r="U218">
        <v>0</v>
      </c>
      <c r="V218">
        <v>0</v>
      </c>
      <c r="W218">
        <v>0</v>
      </c>
    </row>
    <row r="219" spans="1:23" x14ac:dyDescent="0.55000000000000004">
      <c r="A219" t="s">
        <v>446</v>
      </c>
      <c r="B219" t="s">
        <v>447</v>
      </c>
      <c r="C219" t="s">
        <v>5</v>
      </c>
      <c r="D219">
        <v>17.25</v>
      </c>
      <c r="E219">
        <f>968204544/(1000)</f>
        <v>968204.54399999999</v>
      </c>
      <c r="F219">
        <f>1506932992/(1000)</f>
        <v>1506932.9920000001</v>
      </c>
      <c r="G219">
        <f>119417000/(1000)</f>
        <v>119417</v>
      </c>
      <c r="H219">
        <f>1024785544/(1000)</f>
        <v>1024785.544</v>
      </c>
      <c r="I219">
        <f>144680000/(1000)</f>
        <v>144680</v>
      </c>
      <c r="J219">
        <f t="shared" si="3"/>
        <v>7.083118219518938E-3</v>
      </c>
      <c r="K219">
        <f>73034001/(1000)</f>
        <v>73034.001000000004</v>
      </c>
      <c r="L219">
        <v>26.1633491516113</v>
      </c>
      <c r="M219">
        <v>11.114153861999499</v>
      </c>
      <c r="N219">
        <v>97.456101119656395</v>
      </c>
      <c r="O219">
        <v>21.76247215271</v>
      </c>
      <c r="P219">
        <v>0</v>
      </c>
      <c r="Q219">
        <v>1.3151173521725601</v>
      </c>
      <c r="R219">
        <v>13.518978092659699</v>
      </c>
      <c r="S219">
        <v>234.59516297138799</v>
      </c>
      <c r="T219">
        <v>0</v>
      </c>
      <c r="U219">
        <v>0</v>
      </c>
      <c r="V219">
        <v>0</v>
      </c>
      <c r="W219">
        <v>0</v>
      </c>
    </row>
    <row r="220" spans="1:23" x14ac:dyDescent="0.55000000000000004">
      <c r="A220" t="s">
        <v>448</v>
      </c>
      <c r="B220" t="s">
        <v>449</v>
      </c>
      <c r="C220" t="s">
        <v>121</v>
      </c>
      <c r="D220">
        <v>22.52</v>
      </c>
      <c r="E220">
        <f>451411168/(1000)</f>
        <v>451411.16800000001</v>
      </c>
      <c r="F220">
        <f>1504499968/(1000)</f>
        <v>1504499.9680000001</v>
      </c>
      <c r="G220">
        <f>182000000/(1000)</f>
        <v>182000</v>
      </c>
      <c r="H220">
        <f>485011168/(1000)</f>
        <v>485011.16800000001</v>
      </c>
      <c r="I220">
        <f>196000000/(1000)</f>
        <v>196000</v>
      </c>
      <c r="J220">
        <f t="shared" si="3"/>
        <v>2.474546775510204E-3</v>
      </c>
      <c r="K220">
        <f>67800001/(1000)</f>
        <v>67800.001000000004</v>
      </c>
      <c r="L220">
        <v>0</v>
      </c>
      <c r="M220">
        <v>15.3787593841553</v>
      </c>
      <c r="N220">
        <v>73.482029558388305</v>
      </c>
      <c r="O220">
        <v>0</v>
      </c>
      <c r="P220">
        <v>0.95999997854232799</v>
      </c>
      <c r="Q220">
        <v>0.477928713248018</v>
      </c>
      <c r="R220">
        <v>5.9734749054841503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55000000000000004">
      <c r="A221" t="s">
        <v>450</v>
      </c>
      <c r="B221" t="s">
        <v>451</v>
      </c>
      <c r="C221" t="s">
        <v>20</v>
      </c>
      <c r="D221">
        <v>16.920000000000002</v>
      </c>
      <c r="E221">
        <f>325640608/(1000)</f>
        <v>325640.60800000001</v>
      </c>
      <c r="F221">
        <f>1502119040/(1000)</f>
        <v>1502119.04</v>
      </c>
      <c r="G221">
        <f>54863000/(1000)</f>
        <v>54863</v>
      </c>
      <c r="H221">
        <f>450769608/(1000)</f>
        <v>450769.60800000001</v>
      </c>
      <c r="I221">
        <f>99977000/(1000)</f>
        <v>99977</v>
      </c>
      <c r="J221">
        <f t="shared" si="3"/>
        <v>4.5087330886103803E-3</v>
      </c>
      <c r="K221">
        <f>-56718999/(1000)</f>
        <v>-56718.999000000003</v>
      </c>
      <c r="L221">
        <v>15.9436645507813</v>
      </c>
      <c r="M221">
        <v>1.6369199752807599</v>
      </c>
      <c r="N221">
        <v>95.986681669714798</v>
      </c>
      <c r="O221">
        <v>36.833049774169901</v>
      </c>
      <c r="P221">
        <v>0</v>
      </c>
      <c r="Q221">
        <v>0.87216496953600398</v>
      </c>
      <c r="R221">
        <v>9.1520454194970409</v>
      </c>
      <c r="S221">
        <v>81.348102272726393</v>
      </c>
      <c r="T221">
        <v>0</v>
      </c>
      <c r="U221">
        <v>0</v>
      </c>
      <c r="V221">
        <v>0</v>
      </c>
      <c r="W221">
        <v>0</v>
      </c>
    </row>
    <row r="222" spans="1:23" x14ac:dyDescent="0.55000000000000004">
      <c r="A222" t="s">
        <v>452</v>
      </c>
      <c r="B222" t="s">
        <v>453</v>
      </c>
      <c r="C222" t="s">
        <v>20</v>
      </c>
      <c r="D222">
        <v>26.62</v>
      </c>
      <c r="E222">
        <f>1385735680/(1000)</f>
        <v>1385735.68</v>
      </c>
      <c r="F222">
        <f>1494910976/(1000)</f>
        <v>1494910.976</v>
      </c>
      <c r="G222">
        <f>137324000/(1000)</f>
        <v>137324</v>
      </c>
      <c r="H222">
        <f>1532596672/(1000)</f>
        <v>1532596.672</v>
      </c>
      <c r="I222">
        <f>582198016/(1000)</f>
        <v>582198.01599999995</v>
      </c>
      <c r="J222">
        <f t="shared" si="3"/>
        <v>2.6324319731106747E-3</v>
      </c>
      <c r="K222">
        <f>-32352999/(1000)</f>
        <v>-32352.999</v>
      </c>
      <c r="L222">
        <v>19.183881759643601</v>
      </c>
      <c r="M222">
        <v>12.539098739624</v>
      </c>
      <c r="N222">
        <v>97.157069958408798</v>
      </c>
      <c r="O222">
        <v>27.596899032592798</v>
      </c>
      <c r="P222">
        <v>4.5333333313465E-2</v>
      </c>
      <c r="Q222">
        <v>2.1296000671386701</v>
      </c>
      <c r="R222">
        <v>18.486111724519301</v>
      </c>
      <c r="S222">
        <v>133.32901131283899</v>
      </c>
      <c r="T222">
        <v>0</v>
      </c>
      <c r="U222">
        <v>0</v>
      </c>
      <c r="V222">
        <v>0</v>
      </c>
      <c r="W222">
        <v>0</v>
      </c>
    </row>
    <row r="223" spans="1:23" x14ac:dyDescent="0.55000000000000004">
      <c r="A223" t="s">
        <v>454</v>
      </c>
      <c r="B223" t="s">
        <v>455</v>
      </c>
      <c r="C223" t="s">
        <v>5</v>
      </c>
      <c r="D223">
        <v>26.07</v>
      </c>
      <c r="E223">
        <f>648788480/(1000)</f>
        <v>648788.47999999998</v>
      </c>
      <c r="F223">
        <f>1487600000/(1000)</f>
        <v>1487600</v>
      </c>
      <c r="G223">
        <f>94000000/(1000)</f>
        <v>94000</v>
      </c>
      <c r="H223">
        <f>726388480/(1000)</f>
        <v>726388.48</v>
      </c>
      <c r="I223">
        <f>139000000/(1000)</f>
        <v>139000</v>
      </c>
      <c r="J223">
        <f t="shared" si="3"/>
        <v>5.2258164028776977E-3</v>
      </c>
      <c r="K223">
        <f>11000001/(1000)</f>
        <v>11000.001</v>
      </c>
      <c r="L223">
        <v>30.551252365112301</v>
      </c>
      <c r="M223">
        <v>8.3987627029418892</v>
      </c>
      <c r="N223">
        <v>99.291580054969302</v>
      </c>
      <c r="O223">
        <v>43.887016296386697</v>
      </c>
      <c r="P223">
        <v>0.80000001192092896</v>
      </c>
      <c r="Q223">
        <v>1.0693191383196301</v>
      </c>
      <c r="R223">
        <v>11.046609763974301</v>
      </c>
      <c r="S223">
        <v>64.266784452296804</v>
      </c>
      <c r="T223">
        <v>0</v>
      </c>
      <c r="U223">
        <v>0</v>
      </c>
      <c r="V223">
        <v>0</v>
      </c>
      <c r="W223">
        <v>0</v>
      </c>
    </row>
    <row r="224" spans="1:23" x14ac:dyDescent="0.55000000000000004">
      <c r="A224" t="s">
        <v>456</v>
      </c>
      <c r="B224" t="s">
        <v>457</v>
      </c>
      <c r="C224" t="s">
        <v>2</v>
      </c>
      <c r="D224">
        <v>37.89</v>
      </c>
      <c r="E224">
        <f>1124935168/(1000)</f>
        <v>1124935.1680000001</v>
      </c>
      <c r="F224">
        <f>1483171968/(1000)</f>
        <v>1483171.9680000001</v>
      </c>
      <c r="G224">
        <f>164152992/(1000)</f>
        <v>164152.992</v>
      </c>
      <c r="H224">
        <f>1368894176/(1000)</f>
        <v>1368894.176</v>
      </c>
      <c r="I224">
        <f>230452000/(1000)</f>
        <v>230452</v>
      </c>
      <c r="J224">
        <f t="shared" si="3"/>
        <v>5.940040338118133E-3</v>
      </c>
      <c r="K224">
        <f>78228001/(1000)</f>
        <v>78228.001000000004</v>
      </c>
      <c r="L224">
        <v>17.8598937988281</v>
      </c>
      <c r="M224">
        <v>11.2219390869141</v>
      </c>
      <c r="N224">
        <v>99.564152965893499</v>
      </c>
      <c r="O224">
        <v>39.043064117431598</v>
      </c>
      <c r="P224">
        <v>0</v>
      </c>
      <c r="Q224">
        <v>0</v>
      </c>
      <c r="R224">
        <v>10.324250635617799</v>
      </c>
      <c r="S224">
        <v>163.69660355769</v>
      </c>
      <c r="T224">
        <v>0</v>
      </c>
      <c r="U224">
        <v>0</v>
      </c>
      <c r="V224">
        <v>0</v>
      </c>
      <c r="W224">
        <v>0</v>
      </c>
    </row>
    <row r="225" spans="1:23" x14ac:dyDescent="0.55000000000000004">
      <c r="A225" t="s">
        <v>458</v>
      </c>
      <c r="B225" t="s">
        <v>459</v>
      </c>
      <c r="C225" t="s">
        <v>5</v>
      </c>
      <c r="D225">
        <v>27.85</v>
      </c>
      <c r="E225">
        <f>1557647744/(1000)</f>
        <v>1557647.7439999999</v>
      </c>
      <c r="F225">
        <f>1481952000/(1000)</f>
        <v>1481952</v>
      </c>
      <c r="G225">
        <f>208816000/(1000)</f>
        <v>208816</v>
      </c>
      <c r="H225">
        <f>2836129792/(1000)</f>
        <v>2836129.7919999999</v>
      </c>
      <c r="I225">
        <f>242046992/(1000)</f>
        <v>242046.992</v>
      </c>
      <c r="J225">
        <f t="shared" si="3"/>
        <v>1.171726931438173E-2</v>
      </c>
      <c r="K225">
        <f>52252001/(1000)</f>
        <v>52252.000999999997</v>
      </c>
      <c r="L225">
        <v>29.5127258300781</v>
      </c>
      <c r="M225">
        <v>11.024497985839799</v>
      </c>
      <c r="N225">
        <v>98.735379271472695</v>
      </c>
      <c r="O225">
        <v>154.43701171875</v>
      </c>
      <c r="P225">
        <v>0</v>
      </c>
      <c r="Q225">
        <v>1.7466290946690901</v>
      </c>
      <c r="R225">
        <v>14.581152286999099</v>
      </c>
      <c r="S225">
        <v>7042.9700679616299</v>
      </c>
      <c r="T225">
        <v>0</v>
      </c>
      <c r="U225">
        <v>0</v>
      </c>
      <c r="V225">
        <v>0</v>
      </c>
      <c r="W225">
        <v>0</v>
      </c>
    </row>
    <row r="226" spans="1:23" x14ac:dyDescent="0.55000000000000004">
      <c r="A226" t="s">
        <v>460</v>
      </c>
      <c r="B226" t="s">
        <v>461</v>
      </c>
      <c r="C226" t="s">
        <v>5</v>
      </c>
      <c r="D226">
        <v>15.45</v>
      </c>
      <c r="E226">
        <f>298708768/(1000)</f>
        <v>298708.76799999998</v>
      </c>
      <c r="F226">
        <f>1472800000/(1000)</f>
        <v>1472800</v>
      </c>
      <c r="G226">
        <f>222900000/(1000)</f>
        <v>222900</v>
      </c>
      <c r="H226">
        <f>2672208672/(1000)</f>
        <v>2672208.6719999998</v>
      </c>
      <c r="I226">
        <f>351500000/(1000)</f>
        <v>351500</v>
      </c>
      <c r="J226">
        <f t="shared" si="3"/>
        <v>7.6023006315789473E-3</v>
      </c>
      <c r="K226">
        <f>202800001/(1000)</f>
        <v>202800.00099999999</v>
      </c>
      <c r="L226">
        <v>14.468311309814499</v>
      </c>
      <c r="M226">
        <v>-1.0294120311737101</v>
      </c>
      <c r="N226">
        <v>55.370099927667603</v>
      </c>
      <c r="O226">
        <v>610.50555419921898</v>
      </c>
      <c r="P226">
        <v>0</v>
      </c>
      <c r="Q226">
        <v>0</v>
      </c>
      <c r="R226">
        <v>4.5043730345672897</v>
      </c>
      <c r="S226">
        <v>1419.91744066047</v>
      </c>
      <c r="T226">
        <v>0</v>
      </c>
      <c r="U226">
        <v>0</v>
      </c>
      <c r="V226">
        <v>0</v>
      </c>
      <c r="W226">
        <v>0</v>
      </c>
    </row>
    <row r="227" spans="1:23" x14ac:dyDescent="0.55000000000000004">
      <c r="A227" t="s">
        <v>462</v>
      </c>
      <c r="B227" t="s">
        <v>463</v>
      </c>
      <c r="C227" t="s">
        <v>20</v>
      </c>
      <c r="D227">
        <v>4.71</v>
      </c>
      <c r="E227">
        <f>267457824/(1000)</f>
        <v>267457.82400000002</v>
      </c>
      <c r="F227">
        <f>1462870016/(1000)</f>
        <v>1462870.0160000001</v>
      </c>
      <c r="G227">
        <f>193910000/(1000)</f>
        <v>193910</v>
      </c>
      <c r="H227">
        <f>1952219808/(1000)</f>
        <v>1952219.808</v>
      </c>
      <c r="I227">
        <f>225086000/(1000)</f>
        <v>225086</v>
      </c>
      <c r="J227">
        <f t="shared" si="3"/>
        <v>8.6732173835778314E-3</v>
      </c>
      <c r="K227">
        <f>41773001/(1000)</f>
        <v>41773.000999999997</v>
      </c>
      <c r="L227">
        <v>0</v>
      </c>
      <c r="M227">
        <v>0</v>
      </c>
      <c r="N227">
        <v>98.966984227260298</v>
      </c>
      <c r="O227">
        <v>0</v>
      </c>
      <c r="P227">
        <v>0</v>
      </c>
      <c r="Q227">
        <v>0</v>
      </c>
      <c r="R227">
        <v>6.1811024567478103</v>
      </c>
      <c r="S227">
        <v>14.7367058868175</v>
      </c>
      <c r="T227">
        <v>0</v>
      </c>
      <c r="U227">
        <v>0</v>
      </c>
      <c r="V227">
        <v>0</v>
      </c>
      <c r="W227">
        <v>0</v>
      </c>
    </row>
    <row r="228" spans="1:23" x14ac:dyDescent="0.55000000000000004">
      <c r="A228" t="s">
        <v>464</v>
      </c>
      <c r="B228" t="s">
        <v>465</v>
      </c>
      <c r="C228" t="s">
        <v>38</v>
      </c>
      <c r="D228">
        <v>75.31</v>
      </c>
      <c r="E228">
        <f>2026639872/(1000)</f>
        <v>2026639.872</v>
      </c>
      <c r="F228">
        <f>1461052032/(1000)</f>
        <v>1461052.0319999999</v>
      </c>
      <c r="G228">
        <f>142848992/(1000)</f>
        <v>142848.992</v>
      </c>
      <c r="H228">
        <f>2286175872/(1000)</f>
        <v>2286175.872</v>
      </c>
      <c r="I228">
        <f>210148992/(1000)</f>
        <v>210148.992</v>
      </c>
      <c r="J228">
        <f t="shared" si="3"/>
        <v>1.0878833394547045E-2</v>
      </c>
      <c r="K228">
        <f>130985001/(1000)</f>
        <v>130985.001</v>
      </c>
      <c r="L228">
        <v>21.8135986328125</v>
      </c>
      <c r="M228">
        <v>10.3832683563232</v>
      </c>
      <c r="N228">
        <v>83.393967304243105</v>
      </c>
      <c r="O228">
        <v>45.464775085449197</v>
      </c>
      <c r="P228">
        <v>0</v>
      </c>
      <c r="Q228">
        <v>0</v>
      </c>
      <c r="R228">
        <v>16.847874066347199</v>
      </c>
      <c r="S228">
        <v>63.662966215610702</v>
      </c>
      <c r="T228">
        <v>0</v>
      </c>
      <c r="U228">
        <v>0</v>
      </c>
      <c r="V228">
        <v>0</v>
      </c>
      <c r="W228">
        <v>0</v>
      </c>
    </row>
    <row r="229" spans="1:23" x14ac:dyDescent="0.55000000000000004">
      <c r="A229" t="s">
        <v>466</v>
      </c>
      <c r="B229" t="s">
        <v>467</v>
      </c>
      <c r="C229" t="s">
        <v>20</v>
      </c>
      <c r="D229">
        <v>1.1299999999999999</v>
      </c>
      <c r="E229">
        <f>47856856/(1000)</f>
        <v>47856.856</v>
      </c>
      <c r="F229">
        <f>1457645056/(1000)</f>
        <v>1457645.0560000001</v>
      </c>
      <c r="G229">
        <f>-5786000/(1000)</f>
        <v>-5786</v>
      </c>
      <c r="H229">
        <f>83022856/(1000)</f>
        <v>83022.856</v>
      </c>
      <c r="I229">
        <f>20282000/(1000)</f>
        <v>20282</v>
      </c>
      <c r="J229">
        <f t="shared" si="3"/>
        <v>4.0934255004437432E-3</v>
      </c>
      <c r="K229">
        <f>-8054999/(1000)</f>
        <v>-8054.9989999999998</v>
      </c>
      <c r="L229">
        <v>76.790092468261705</v>
      </c>
      <c r="M229">
        <v>-1.66280901432037</v>
      </c>
      <c r="N229">
        <v>60.695328437028202</v>
      </c>
      <c r="O229">
        <v>10.5703792572021</v>
      </c>
      <c r="P229">
        <v>0</v>
      </c>
      <c r="Q229">
        <v>0</v>
      </c>
      <c r="R229">
        <v>0</v>
      </c>
      <c r="S229">
        <v>4.2775694732696499</v>
      </c>
      <c r="T229">
        <v>0</v>
      </c>
      <c r="U229">
        <v>0</v>
      </c>
      <c r="V229">
        <v>0</v>
      </c>
      <c r="W229">
        <v>0</v>
      </c>
    </row>
    <row r="230" spans="1:23" x14ac:dyDescent="0.55000000000000004">
      <c r="A230" t="s">
        <v>468</v>
      </c>
      <c r="B230" t="s">
        <v>469</v>
      </c>
      <c r="C230" t="s">
        <v>20</v>
      </c>
      <c r="D230">
        <v>1.59</v>
      </c>
      <c r="E230">
        <f>104442496/(1000)</f>
        <v>104442.496</v>
      </c>
      <c r="F230">
        <f>1454162944/(1000)</f>
        <v>1454162.9439999999</v>
      </c>
      <c r="G230">
        <f>-36402000/(1000)</f>
        <v>-36402</v>
      </c>
      <c r="H230">
        <f>142725496/(1000)</f>
        <v>142725.49600000001</v>
      </c>
      <c r="I230">
        <f>43920996/(1000)</f>
        <v>43920.995999999999</v>
      </c>
      <c r="J230">
        <f t="shared" si="3"/>
        <v>3.2495960701801941E-3</v>
      </c>
      <c r="K230">
        <f>9278001/(1000)</f>
        <v>9278.0010000000002</v>
      </c>
      <c r="L230">
        <v>18.963085174560501</v>
      </c>
      <c r="M230">
        <v>-6.1552782058715803</v>
      </c>
      <c r="N230">
        <v>97.985292080829396</v>
      </c>
      <c r="O230">
        <v>0</v>
      </c>
      <c r="P230">
        <v>0</v>
      </c>
      <c r="Q230">
        <v>0.26108374278167201</v>
      </c>
      <c r="R230">
        <v>7.6646453636652003</v>
      </c>
      <c r="S230">
        <v>71.653534384162697</v>
      </c>
      <c r="T230">
        <v>0</v>
      </c>
      <c r="U230">
        <v>0</v>
      </c>
      <c r="V230">
        <v>0</v>
      </c>
      <c r="W230">
        <v>0</v>
      </c>
    </row>
    <row r="231" spans="1:23" x14ac:dyDescent="0.55000000000000004">
      <c r="A231" t="s">
        <v>470</v>
      </c>
      <c r="B231" t="s">
        <v>471</v>
      </c>
      <c r="C231" t="s">
        <v>20</v>
      </c>
      <c r="D231">
        <v>2.17</v>
      </c>
      <c r="E231">
        <f>111687952/(1000)</f>
        <v>111687.952</v>
      </c>
      <c r="F231">
        <f>1450941056/(1000)</f>
        <v>1450941.0560000001</v>
      </c>
      <c r="G231">
        <f>-185000/(1000)</f>
        <v>-185</v>
      </c>
      <c r="H231">
        <f>214185952/(1000)</f>
        <v>214185.95199999999</v>
      </c>
      <c r="I231">
        <f>24511000/(1000)</f>
        <v>24511</v>
      </c>
      <c r="J231">
        <f t="shared" si="3"/>
        <v>8.7383604096120098E-3</v>
      </c>
      <c r="K231">
        <f>21853001/(1000)</f>
        <v>21853.001</v>
      </c>
      <c r="L231">
        <v>0</v>
      </c>
      <c r="M231">
        <v>-2.8926939964294398</v>
      </c>
      <c r="N231">
        <v>95.4904964158859</v>
      </c>
      <c r="O231">
        <v>23.162656784057599</v>
      </c>
      <c r="P231">
        <v>7.9999998211861004E-2</v>
      </c>
      <c r="Q231">
        <v>0.28292047649398</v>
      </c>
      <c r="R231">
        <v>0</v>
      </c>
      <c r="S231">
        <v>-31.2946096510071</v>
      </c>
      <c r="T231">
        <v>0</v>
      </c>
      <c r="U231">
        <v>0</v>
      </c>
      <c r="V231">
        <v>0</v>
      </c>
      <c r="W231">
        <v>0</v>
      </c>
    </row>
    <row r="232" spans="1:23" x14ac:dyDescent="0.55000000000000004">
      <c r="A232" t="s">
        <v>472</v>
      </c>
      <c r="B232" t="s">
        <v>473</v>
      </c>
      <c r="C232" t="s">
        <v>31</v>
      </c>
      <c r="D232">
        <v>54.19</v>
      </c>
      <c r="E232">
        <f>1918819072/(1000)</f>
        <v>1918819.0719999999</v>
      </c>
      <c r="F232">
        <f>1448098048/(1000)</f>
        <v>1448098.048</v>
      </c>
      <c r="G232">
        <f>113704000/(1000)</f>
        <v>113704</v>
      </c>
      <c r="H232">
        <f>1956764072/(1000)</f>
        <v>1956764.0719999999</v>
      </c>
      <c r="I232">
        <f>127948000/(1000)</f>
        <v>127948</v>
      </c>
      <c r="J232">
        <f t="shared" si="3"/>
        <v>1.5293432269359426E-2</v>
      </c>
      <c r="K232">
        <f>60603001/(1000)</f>
        <v>60603.000999999997</v>
      </c>
      <c r="L232">
        <v>21.197559356689499</v>
      </c>
      <c r="M232">
        <v>13.3040885925293</v>
      </c>
      <c r="N232">
        <v>99.874597021606107</v>
      </c>
      <c r="O232">
        <v>29.9289875030518</v>
      </c>
      <c r="P232">
        <v>0</v>
      </c>
      <c r="Q232">
        <v>2.8809144160171898</v>
      </c>
      <c r="R232">
        <v>21.939270444947901</v>
      </c>
      <c r="S232">
        <v>189.492807118597</v>
      </c>
      <c r="T232">
        <v>0</v>
      </c>
      <c r="U232">
        <v>0</v>
      </c>
      <c r="V232">
        <v>0</v>
      </c>
      <c r="W232">
        <v>0</v>
      </c>
    </row>
    <row r="233" spans="1:23" x14ac:dyDescent="0.55000000000000004">
      <c r="A233" t="s">
        <v>474</v>
      </c>
      <c r="B233" t="s">
        <v>475</v>
      </c>
      <c r="C233" t="s">
        <v>20</v>
      </c>
      <c r="D233">
        <v>10.74</v>
      </c>
      <c r="E233">
        <f>644374208/(1000)</f>
        <v>644374.20799999998</v>
      </c>
      <c r="F233">
        <f>1444164992/(1000)</f>
        <v>1444164.9920000001</v>
      </c>
      <c r="G233">
        <f>112614000/(1000)</f>
        <v>112614</v>
      </c>
      <c r="H233">
        <f>489415200/(1000)</f>
        <v>489415.2</v>
      </c>
      <c r="I233">
        <f>160814000/(1000)</f>
        <v>160814</v>
      </c>
      <c r="J233">
        <f t="shared" si="3"/>
        <v>3.043361896352308E-3</v>
      </c>
      <c r="K233">
        <f>79358001/(1000)</f>
        <v>79358.001000000004</v>
      </c>
      <c r="L233">
        <v>15.424079895019499</v>
      </c>
      <c r="M233">
        <v>13.9069318771362</v>
      </c>
      <c r="N233">
        <v>74.761156420859606</v>
      </c>
      <c r="O233">
        <v>25.812740325927699</v>
      </c>
      <c r="P233">
        <v>0</v>
      </c>
      <c r="Q233">
        <v>0</v>
      </c>
      <c r="R233">
        <v>9.2904645271036692</v>
      </c>
      <c r="S233">
        <v>104.231676571997</v>
      </c>
      <c r="T233">
        <v>0</v>
      </c>
      <c r="U233">
        <v>0</v>
      </c>
      <c r="V233">
        <v>0</v>
      </c>
      <c r="W233">
        <v>0</v>
      </c>
    </row>
    <row r="234" spans="1:23" x14ac:dyDescent="0.55000000000000004">
      <c r="A234" t="s">
        <v>476</v>
      </c>
      <c r="B234" t="s">
        <v>477</v>
      </c>
      <c r="C234" t="s">
        <v>2</v>
      </c>
      <c r="D234">
        <v>14.5</v>
      </c>
      <c r="E234">
        <f>778520960/(1000)</f>
        <v>778520.96</v>
      </c>
      <c r="F234">
        <f>1439501952/(1000)</f>
        <v>1439501.952</v>
      </c>
      <c r="G234">
        <f>152374000/(1000)</f>
        <v>152374</v>
      </c>
      <c r="H234">
        <f>1226046944/(1000)</f>
        <v>1226046.9439999999</v>
      </c>
      <c r="I234">
        <f>202980992/(1000)</f>
        <v>202980.992</v>
      </c>
      <c r="J234">
        <f t="shared" si="3"/>
        <v>6.0402056957136159E-3</v>
      </c>
      <c r="K234">
        <f>70121001/(1000)</f>
        <v>70121.001000000004</v>
      </c>
      <c r="L234">
        <v>18.015039443969702</v>
      </c>
      <c r="M234">
        <v>17.267337799072301</v>
      </c>
      <c r="N234">
        <v>81.3827601330037</v>
      </c>
      <c r="O234">
        <v>66.437187194824205</v>
      </c>
      <c r="P234">
        <v>0.63999998569488503</v>
      </c>
      <c r="Q234">
        <v>1.16935487468335</v>
      </c>
      <c r="R234">
        <v>6.9047618263703097</v>
      </c>
      <c r="S234">
        <v>83.601519669056799</v>
      </c>
      <c r="T234">
        <v>0</v>
      </c>
      <c r="U234">
        <v>0</v>
      </c>
      <c r="V234">
        <v>0</v>
      </c>
      <c r="W234">
        <v>0</v>
      </c>
    </row>
    <row r="235" spans="1:23" x14ac:dyDescent="0.55000000000000004">
      <c r="A235" t="s">
        <v>478</v>
      </c>
      <c r="B235" t="s">
        <v>479</v>
      </c>
      <c r="C235" t="s">
        <v>5</v>
      </c>
      <c r="D235">
        <v>11.55</v>
      </c>
      <c r="E235">
        <f>664358336/(1000)</f>
        <v>664358.33600000001</v>
      </c>
      <c r="F235">
        <f>1436451072/(1000)</f>
        <v>1436451.0719999999</v>
      </c>
      <c r="G235">
        <f>83838000/(1000)</f>
        <v>83838</v>
      </c>
      <c r="H235">
        <f>601672336/(1000)</f>
        <v>601672.33600000001</v>
      </c>
      <c r="I235">
        <f>115145000/(1000)</f>
        <v>115145</v>
      </c>
      <c r="J235">
        <f t="shared" si="3"/>
        <v>5.2253448781970566E-3</v>
      </c>
      <c r="K235">
        <f>8129002.5/(1000)</f>
        <v>8129.0024999999996</v>
      </c>
      <c r="L235">
        <v>16.527732849121101</v>
      </c>
      <c r="M235">
        <v>7.0244851112365696</v>
      </c>
      <c r="N235">
        <v>95.661105259381699</v>
      </c>
      <c r="O235">
        <v>0</v>
      </c>
      <c r="P235">
        <v>0</v>
      </c>
      <c r="Q235">
        <v>0</v>
      </c>
      <c r="R235">
        <v>11.213592729668299</v>
      </c>
      <c r="S235">
        <v>20.6193548387097</v>
      </c>
      <c r="T235">
        <v>0</v>
      </c>
      <c r="U235">
        <v>0</v>
      </c>
      <c r="V235">
        <v>0</v>
      </c>
      <c r="W235">
        <v>0</v>
      </c>
    </row>
    <row r="236" spans="1:23" x14ac:dyDescent="0.55000000000000004">
      <c r="A236" t="s">
        <v>480</v>
      </c>
      <c r="B236" t="s">
        <v>481</v>
      </c>
      <c r="C236" t="s">
        <v>17</v>
      </c>
      <c r="D236">
        <v>45.96</v>
      </c>
      <c r="E236">
        <f>420230688/(1000)</f>
        <v>420230.68800000002</v>
      </c>
      <c r="F236">
        <f>1435998976/(1000)</f>
        <v>1435998.976</v>
      </c>
      <c r="G236">
        <f>81883000/(1000)</f>
        <v>81883</v>
      </c>
      <c r="H236">
        <f>1119108704/(1000)</f>
        <v>1119108.7039999999</v>
      </c>
      <c r="I236">
        <f>150208992/(1000)</f>
        <v>150208.992</v>
      </c>
      <c r="J236">
        <f t="shared" si="3"/>
        <v>7.4503442776581571E-3</v>
      </c>
      <c r="K236">
        <f>47272001/(1000)</f>
        <v>47272.000999999997</v>
      </c>
      <c r="L236">
        <v>23.087812423706101</v>
      </c>
      <c r="M236">
        <v>18.5174655914307</v>
      </c>
      <c r="N236">
        <v>60.082483047078199</v>
      </c>
      <c r="O236">
        <v>402.98440551757801</v>
      </c>
      <c r="P236">
        <v>1</v>
      </c>
      <c r="Q236">
        <v>0</v>
      </c>
      <c r="R236">
        <v>31.6965513533276</v>
      </c>
      <c r="S236">
        <v>19.832851811879301</v>
      </c>
      <c r="T236">
        <v>0</v>
      </c>
      <c r="U236">
        <v>0</v>
      </c>
      <c r="V236">
        <v>0</v>
      </c>
      <c r="W236">
        <v>0</v>
      </c>
    </row>
    <row r="237" spans="1:23" x14ac:dyDescent="0.55000000000000004">
      <c r="A237" t="s">
        <v>482</v>
      </c>
      <c r="B237" t="s">
        <v>483</v>
      </c>
      <c r="C237" t="s">
        <v>5</v>
      </c>
      <c r="D237">
        <v>15.02</v>
      </c>
      <c r="E237">
        <f>442194784/(1000)</f>
        <v>442194.78399999999</v>
      </c>
      <c r="F237">
        <f>1433297920/(1000)</f>
        <v>1433297.9199999999</v>
      </c>
      <c r="G237">
        <f>87164000/(1000)</f>
        <v>87164</v>
      </c>
      <c r="H237">
        <f>708812784/(1000)</f>
        <v>708812.78399999999</v>
      </c>
      <c r="I237">
        <f>106953000/(1000)</f>
        <v>106953</v>
      </c>
      <c r="J237">
        <f t="shared" si="3"/>
        <v>6.6273296120725918E-3</v>
      </c>
      <c r="K237">
        <f>61764001/(1000)</f>
        <v>61764.000999999997</v>
      </c>
      <c r="L237">
        <v>16.855903625488299</v>
      </c>
      <c r="M237">
        <v>11.2973737716675</v>
      </c>
      <c r="N237">
        <v>85.6000621953078</v>
      </c>
      <c r="O237">
        <v>55.007854461669901</v>
      </c>
      <c r="P237">
        <v>0</v>
      </c>
      <c r="Q237">
        <v>0</v>
      </c>
      <c r="R237">
        <v>9.79522640814562</v>
      </c>
      <c r="S237">
        <v>55.8400095973143</v>
      </c>
      <c r="T237">
        <v>0</v>
      </c>
      <c r="U237">
        <v>0</v>
      </c>
      <c r="V237">
        <v>0</v>
      </c>
      <c r="W237">
        <v>0</v>
      </c>
    </row>
    <row r="238" spans="1:23" x14ac:dyDescent="0.55000000000000004">
      <c r="A238" t="s">
        <v>484</v>
      </c>
      <c r="B238" t="s">
        <v>485</v>
      </c>
      <c r="C238" t="s">
        <v>20</v>
      </c>
      <c r="D238">
        <v>16.7</v>
      </c>
      <c r="E238">
        <f>1112420352/(1000)</f>
        <v>1112420.352</v>
      </c>
      <c r="F238">
        <f>1432984064/(1000)</f>
        <v>1432984.064</v>
      </c>
      <c r="G238">
        <f>186484992/(1000)</f>
        <v>186484.992</v>
      </c>
      <c r="H238">
        <f>1000806352/(1000)</f>
        <v>1000806.352</v>
      </c>
      <c r="I238">
        <f>219280992/(1000)</f>
        <v>219280.992</v>
      </c>
      <c r="J238">
        <f t="shared" si="3"/>
        <v>4.5640360474108032E-3</v>
      </c>
      <c r="K238">
        <f>91718001/(1000)</f>
        <v>91718.001000000004</v>
      </c>
      <c r="L238">
        <v>21.000411987304702</v>
      </c>
      <c r="M238">
        <v>17.943710327148398</v>
      </c>
      <c r="N238">
        <v>67.836126120265206</v>
      </c>
      <c r="O238">
        <v>1.7286180257797199</v>
      </c>
      <c r="P238">
        <v>0</v>
      </c>
      <c r="Q238">
        <v>0</v>
      </c>
      <c r="R238">
        <v>8.0288463549897795</v>
      </c>
      <c r="S238">
        <v>116.02623376984199</v>
      </c>
      <c r="T238">
        <v>0</v>
      </c>
      <c r="U238">
        <v>0</v>
      </c>
      <c r="V238">
        <v>0</v>
      </c>
      <c r="W238">
        <v>0</v>
      </c>
    </row>
    <row r="239" spans="1:23" x14ac:dyDescent="0.55000000000000004">
      <c r="A239" t="s">
        <v>486</v>
      </c>
      <c r="B239" t="s">
        <v>487</v>
      </c>
      <c r="C239" t="s">
        <v>2</v>
      </c>
      <c r="D239">
        <v>10.83</v>
      </c>
      <c r="E239">
        <f>245254016/(1000)</f>
        <v>245254.016</v>
      </c>
      <c r="F239">
        <f>1420353024/(1000)</f>
        <v>1420353.024</v>
      </c>
      <c r="G239">
        <f>90675000/(1000)</f>
        <v>90675</v>
      </c>
      <c r="H239">
        <f>378051016/(1000)</f>
        <v>378051.016</v>
      </c>
      <c r="I239">
        <f>109945000/(1000)</f>
        <v>109945</v>
      </c>
      <c r="J239">
        <f t="shared" si="3"/>
        <v>3.4385466915275819E-3</v>
      </c>
      <c r="K239">
        <f>56938001/(1000)</f>
        <v>56938.000999999997</v>
      </c>
      <c r="L239">
        <v>0</v>
      </c>
      <c r="M239">
        <v>17.367904663085898</v>
      </c>
      <c r="N239">
        <v>76.1646763488109</v>
      </c>
      <c r="O239">
        <v>22.460039138793899</v>
      </c>
      <c r="P239">
        <v>0.239999994635582</v>
      </c>
      <c r="Q239">
        <v>0.59407571012903604</v>
      </c>
      <c r="R239">
        <v>5.6999999419638998</v>
      </c>
      <c r="S239">
        <v>163.93599607253799</v>
      </c>
      <c r="T239">
        <v>0</v>
      </c>
      <c r="U239">
        <v>0</v>
      </c>
      <c r="V239">
        <v>0</v>
      </c>
      <c r="W239">
        <v>0</v>
      </c>
    </row>
    <row r="240" spans="1:23" x14ac:dyDescent="0.55000000000000004">
      <c r="A240" t="s">
        <v>488</v>
      </c>
      <c r="B240" t="s">
        <v>489</v>
      </c>
      <c r="C240" t="s">
        <v>94</v>
      </c>
      <c r="D240">
        <v>19.38</v>
      </c>
      <c r="E240">
        <f>1054866944/(1000)</f>
        <v>1054866.9439999999</v>
      </c>
      <c r="F240">
        <f>1417757056/(1000)</f>
        <v>1417757.0560000001</v>
      </c>
      <c r="G240">
        <f>138428992/(1000)</f>
        <v>138428.992</v>
      </c>
      <c r="H240">
        <f>2127568960/(1000)</f>
        <v>2127568.96</v>
      </c>
      <c r="I240">
        <f>229079008/(1000)</f>
        <v>229079.008</v>
      </c>
      <c r="J240">
        <f t="shared" si="3"/>
        <v>9.2874898428056754E-3</v>
      </c>
      <c r="K240">
        <f>38766001/(1000)</f>
        <v>38766.000999999997</v>
      </c>
      <c r="L240">
        <v>21.3855895996094</v>
      </c>
      <c r="M240">
        <v>4.2083878517150897</v>
      </c>
      <c r="N240">
        <v>98.817214524594107</v>
      </c>
      <c r="O240">
        <v>116.222702026367</v>
      </c>
      <c r="P240">
        <v>0.72000002861022905</v>
      </c>
      <c r="Q240">
        <v>0</v>
      </c>
      <c r="R240">
        <v>14.9076918671822</v>
      </c>
      <c r="S240">
        <v>33.3837385722669</v>
      </c>
      <c r="T240">
        <v>0</v>
      </c>
      <c r="U240">
        <v>0</v>
      </c>
      <c r="V240">
        <v>0</v>
      </c>
      <c r="W240">
        <v>0</v>
      </c>
    </row>
    <row r="241" spans="1:23" x14ac:dyDescent="0.55000000000000004">
      <c r="A241" t="s">
        <v>490</v>
      </c>
      <c r="B241" t="s">
        <v>491</v>
      </c>
      <c r="C241" t="s">
        <v>20</v>
      </c>
      <c r="D241">
        <v>19.260000000000002</v>
      </c>
      <c r="E241">
        <f>1084628864/(1000)</f>
        <v>1084628.8640000001</v>
      </c>
      <c r="F241">
        <f>1412246016/(1000)</f>
        <v>1412246.0160000001</v>
      </c>
      <c r="G241">
        <f>148876992/(1000)</f>
        <v>148876.992</v>
      </c>
      <c r="H241">
        <f>1364746880/(1000)</f>
        <v>1364746.88</v>
      </c>
      <c r="I241">
        <f>178796000/(1000)</f>
        <v>178796</v>
      </c>
      <c r="J241">
        <f t="shared" si="3"/>
        <v>7.6329832882167381E-3</v>
      </c>
      <c r="K241">
        <f>30111001/(1000)</f>
        <v>30111.001</v>
      </c>
      <c r="L241">
        <v>17.972404479980501</v>
      </c>
      <c r="M241">
        <v>-16.0930690765381</v>
      </c>
      <c r="N241">
        <v>96.4169440072681</v>
      </c>
      <c r="O241">
        <v>89.375312805175795</v>
      </c>
      <c r="P241">
        <v>0</v>
      </c>
      <c r="Q241">
        <v>2.8365243500864001</v>
      </c>
      <c r="R241">
        <v>13.8561152666352</v>
      </c>
      <c r="S241">
        <v>143.68101232609601</v>
      </c>
      <c r="T241">
        <v>0</v>
      </c>
      <c r="U241">
        <v>0</v>
      </c>
      <c r="V241">
        <v>0</v>
      </c>
      <c r="W241">
        <v>0</v>
      </c>
    </row>
    <row r="242" spans="1:23" x14ac:dyDescent="0.55000000000000004">
      <c r="A242" t="s">
        <v>492</v>
      </c>
      <c r="B242" t="s">
        <v>493</v>
      </c>
      <c r="C242" t="s">
        <v>20</v>
      </c>
      <c r="D242">
        <v>12.46</v>
      </c>
      <c r="E242">
        <f>548444352/(1000)</f>
        <v>548444.35199999996</v>
      </c>
      <c r="F242">
        <f>1405614976/(1000)</f>
        <v>1405614.976</v>
      </c>
      <c r="G242">
        <f>81321000/(1000)</f>
        <v>81321</v>
      </c>
      <c r="H242">
        <f>417959352/(1000)</f>
        <v>417959.35200000001</v>
      </c>
      <c r="I242">
        <f>106376000/(1000)</f>
        <v>106376</v>
      </c>
      <c r="J242">
        <f t="shared" si="3"/>
        <v>3.9290756561630447E-3</v>
      </c>
      <c r="K242">
        <f>-28089999/(1000)</f>
        <v>-28089.999</v>
      </c>
      <c r="L242">
        <v>0</v>
      </c>
      <c r="M242">
        <v>13.3096723556519</v>
      </c>
      <c r="N242">
        <v>89.278951114318303</v>
      </c>
      <c r="O242">
        <v>0</v>
      </c>
      <c r="P242">
        <v>0</v>
      </c>
      <c r="Q242">
        <v>1.16231340744177</v>
      </c>
      <c r="R242">
        <v>15.156749332927699</v>
      </c>
      <c r="S242">
        <v>118.146322799879</v>
      </c>
      <c r="T242">
        <v>0</v>
      </c>
      <c r="U242">
        <v>0</v>
      </c>
      <c r="V242">
        <v>0</v>
      </c>
      <c r="W242">
        <v>0</v>
      </c>
    </row>
    <row r="243" spans="1:23" x14ac:dyDescent="0.55000000000000004">
      <c r="A243" t="s">
        <v>494</v>
      </c>
      <c r="B243" t="s">
        <v>495</v>
      </c>
      <c r="C243" t="s">
        <v>2</v>
      </c>
      <c r="D243">
        <v>28.46</v>
      </c>
      <c r="E243">
        <f>1061122496/(1000)</f>
        <v>1061122.496</v>
      </c>
      <c r="F243">
        <f>1401542016/(1000)</f>
        <v>1401542.0160000001</v>
      </c>
      <c r="G243">
        <f>129937000/(1000)</f>
        <v>129937</v>
      </c>
      <c r="H243">
        <f>1273677504/(1000)</f>
        <v>1273677.504</v>
      </c>
      <c r="I243">
        <f>209800000/(1000)</f>
        <v>209800</v>
      </c>
      <c r="J243">
        <f t="shared" si="3"/>
        <v>6.07091279313632E-3</v>
      </c>
      <c r="K243">
        <f>-29091999/(1000)</f>
        <v>-29091.999</v>
      </c>
      <c r="L243">
        <v>16.751054763793899</v>
      </c>
      <c r="M243">
        <v>15.838213920593301</v>
      </c>
      <c r="N243">
        <v>78.141707410302502</v>
      </c>
      <c r="O243">
        <v>53.887611389160199</v>
      </c>
      <c r="P243">
        <v>0</v>
      </c>
      <c r="Q243">
        <v>1.8766896904756101</v>
      </c>
      <c r="R243">
        <v>14.4467002701724</v>
      </c>
      <c r="S243">
        <v>147.42161325113901</v>
      </c>
      <c r="T243">
        <v>0</v>
      </c>
      <c r="U243">
        <v>0</v>
      </c>
      <c r="V243">
        <v>0</v>
      </c>
      <c r="W243">
        <v>0</v>
      </c>
    </row>
    <row r="244" spans="1:23" x14ac:dyDescent="0.55000000000000004">
      <c r="A244" t="s">
        <v>496</v>
      </c>
      <c r="B244" t="s">
        <v>497</v>
      </c>
      <c r="C244" t="s">
        <v>121</v>
      </c>
      <c r="D244">
        <v>16.11</v>
      </c>
      <c r="E244">
        <f>780210496/(1000)</f>
        <v>780210.49600000004</v>
      </c>
      <c r="F244">
        <f>1400258048/(1000)</f>
        <v>1400258.048</v>
      </c>
      <c r="G244">
        <f>142810000/(1000)</f>
        <v>142810</v>
      </c>
      <c r="H244">
        <f>915488496/(1000)</f>
        <v>915488.49600000004</v>
      </c>
      <c r="I244">
        <f>193168000/(1000)</f>
        <v>193168</v>
      </c>
      <c r="J244">
        <f t="shared" si="3"/>
        <v>4.7393382754907648E-3</v>
      </c>
      <c r="K244">
        <f>102637001/(1000)</f>
        <v>102637.001</v>
      </c>
      <c r="L244">
        <v>18.4280700683594</v>
      </c>
      <c r="M244">
        <v>12.959662437439</v>
      </c>
      <c r="N244">
        <v>98.211242792236703</v>
      </c>
      <c r="O244">
        <v>21.5208530426025</v>
      </c>
      <c r="P244">
        <v>0.26399999856948902</v>
      </c>
      <c r="Q244">
        <v>1.25077643378972</v>
      </c>
      <c r="R244">
        <v>10.0062118407629</v>
      </c>
      <c r="S244">
        <v>11.4668834966691</v>
      </c>
      <c r="T244">
        <v>0</v>
      </c>
      <c r="U244">
        <v>0</v>
      </c>
      <c r="V244">
        <v>0</v>
      </c>
      <c r="W244">
        <v>0</v>
      </c>
    </row>
    <row r="245" spans="1:23" x14ac:dyDescent="0.55000000000000004">
      <c r="A245" t="s">
        <v>498</v>
      </c>
      <c r="B245" t="s">
        <v>499</v>
      </c>
      <c r="C245" t="s">
        <v>5</v>
      </c>
      <c r="D245">
        <v>6.26</v>
      </c>
      <c r="E245">
        <f>191328144/(1000)</f>
        <v>191328.144</v>
      </c>
      <c r="F245">
        <f>1398892928/(1000)</f>
        <v>1398892.9280000001</v>
      </c>
      <c r="G245">
        <f>12629000/(1000)</f>
        <v>12629</v>
      </c>
      <c r="H245">
        <f>463864144/(1000)</f>
        <v>463864.14399999997</v>
      </c>
      <c r="I245">
        <f>59830000/(1000)</f>
        <v>59830</v>
      </c>
      <c r="J245">
        <f t="shared" si="3"/>
        <v>7.7530360020056826E-3</v>
      </c>
      <c r="K245">
        <f>79336001/(1000)</f>
        <v>79336.001000000004</v>
      </c>
      <c r="L245">
        <v>19.474004745483398</v>
      </c>
      <c r="M245">
        <v>-57.685226440429702</v>
      </c>
      <c r="N245">
        <v>96.784081316369793</v>
      </c>
      <c r="O245">
        <v>121.104988098145</v>
      </c>
      <c r="P245">
        <v>0.20000000298023199</v>
      </c>
      <c r="Q245">
        <v>0.849389460798744</v>
      </c>
      <c r="R245">
        <v>28.454545203627202</v>
      </c>
      <c r="S245">
        <v>46.303226238286499</v>
      </c>
      <c r="T245">
        <v>0</v>
      </c>
      <c r="U245">
        <v>0</v>
      </c>
      <c r="V245">
        <v>0</v>
      </c>
      <c r="W245">
        <v>0</v>
      </c>
    </row>
    <row r="246" spans="1:23" x14ac:dyDescent="0.55000000000000004">
      <c r="A246" t="s">
        <v>500</v>
      </c>
      <c r="B246" t="s">
        <v>501</v>
      </c>
      <c r="C246" t="s">
        <v>20</v>
      </c>
      <c r="D246">
        <v>12.82</v>
      </c>
      <c r="E246">
        <f>591245568/(1000)</f>
        <v>591245.56799999997</v>
      </c>
      <c r="F246">
        <f>1394180992/(1000)</f>
        <v>1394180.9920000001</v>
      </c>
      <c r="G246">
        <f>112930000/(1000)</f>
        <v>112930</v>
      </c>
      <c r="H246">
        <f>459714576/(1000)</f>
        <v>459714.576</v>
      </c>
      <c r="I246">
        <f>130587000/(1000)</f>
        <v>130587</v>
      </c>
      <c r="J246">
        <f t="shared" si="3"/>
        <v>3.5203701440419031E-3</v>
      </c>
      <c r="K246">
        <f>70180009/(1000)</f>
        <v>70180.009000000005</v>
      </c>
      <c r="L246">
        <v>0</v>
      </c>
      <c r="M246">
        <v>14.0712985992432</v>
      </c>
      <c r="N246">
        <v>98.884961190322201</v>
      </c>
      <c r="O246">
        <v>2.6966650485992401</v>
      </c>
      <c r="P246">
        <v>0</v>
      </c>
      <c r="Q246">
        <v>0</v>
      </c>
      <c r="R246">
        <v>6.8556147925850803</v>
      </c>
      <c r="S246">
        <v>47.575016636340898</v>
      </c>
      <c r="T246">
        <v>0</v>
      </c>
      <c r="U246">
        <v>0</v>
      </c>
      <c r="V246">
        <v>0</v>
      </c>
      <c r="W246">
        <v>0</v>
      </c>
    </row>
    <row r="247" spans="1:23" x14ac:dyDescent="0.55000000000000004">
      <c r="A247" t="s">
        <v>502</v>
      </c>
      <c r="B247" t="s">
        <v>503</v>
      </c>
      <c r="C247" t="s">
        <v>2</v>
      </c>
      <c r="D247">
        <v>9.57</v>
      </c>
      <c r="E247">
        <f>415065248/(1000)</f>
        <v>415065.24800000002</v>
      </c>
      <c r="F247">
        <f>1385656064/(1000)</f>
        <v>1385656.064</v>
      </c>
      <c r="G247">
        <f>93650000/(1000)</f>
        <v>93650</v>
      </c>
      <c r="H247">
        <f>357585248/(1000)</f>
        <v>357585.24800000002</v>
      </c>
      <c r="I247">
        <f>105873000/(1000)</f>
        <v>105873</v>
      </c>
      <c r="J247">
        <f t="shared" si="3"/>
        <v>3.3774923540468298E-3</v>
      </c>
      <c r="K247">
        <f>77614001/(1000)</f>
        <v>77614.001000000004</v>
      </c>
      <c r="L247">
        <v>19.331867218017599</v>
      </c>
      <c r="M247">
        <v>20.8056945800781</v>
      </c>
      <c r="N247">
        <v>98.252082263739297</v>
      </c>
      <c r="O247">
        <v>0</v>
      </c>
      <c r="P247">
        <v>0</v>
      </c>
      <c r="Q247">
        <v>1.2509803366694701</v>
      </c>
      <c r="R247">
        <v>7.3615382436640902</v>
      </c>
      <c r="S247">
        <v>60.6123884039432</v>
      </c>
      <c r="T247">
        <v>0</v>
      </c>
      <c r="U247">
        <v>0</v>
      </c>
      <c r="V247">
        <v>0</v>
      </c>
      <c r="W247">
        <v>0</v>
      </c>
    </row>
    <row r="248" spans="1:23" x14ac:dyDescent="0.55000000000000004">
      <c r="A248" t="s">
        <v>504</v>
      </c>
      <c r="B248" t="s">
        <v>505</v>
      </c>
      <c r="C248" t="s">
        <v>2</v>
      </c>
      <c r="D248">
        <v>18.41</v>
      </c>
      <c r="E248">
        <f>711920192/(1000)</f>
        <v>711920.19200000004</v>
      </c>
      <c r="F248">
        <f>1384919040/(1000)</f>
        <v>1384919.04</v>
      </c>
      <c r="G248">
        <f>128570000/(1000)</f>
        <v>128570</v>
      </c>
      <c r="H248">
        <f>1117074176/(1000)</f>
        <v>1117074.176</v>
      </c>
      <c r="I248">
        <f>168522000/(1000)</f>
        <v>168522</v>
      </c>
      <c r="J248">
        <f t="shared" si="3"/>
        <v>6.6286548699873013E-3</v>
      </c>
      <c r="K248">
        <f>-13407999/(1000)</f>
        <v>-13407.999</v>
      </c>
      <c r="L248">
        <v>35.459182739257798</v>
      </c>
      <c r="M248">
        <v>13.9220266342163</v>
      </c>
      <c r="N248">
        <v>96.504295165907493</v>
      </c>
      <c r="O248">
        <v>90.714645385742202</v>
      </c>
      <c r="P248">
        <v>0</v>
      </c>
      <c r="Q248">
        <v>0</v>
      </c>
      <c r="R248">
        <v>9.5431222659020492</v>
      </c>
      <c r="S248">
        <v>128.40749143842399</v>
      </c>
      <c r="T248">
        <v>0</v>
      </c>
      <c r="U248">
        <v>0</v>
      </c>
      <c r="V248">
        <v>0</v>
      </c>
      <c r="W248">
        <v>0</v>
      </c>
    </row>
    <row r="249" spans="1:23" x14ac:dyDescent="0.55000000000000004">
      <c r="A249" t="s">
        <v>506</v>
      </c>
      <c r="B249" t="s">
        <v>507</v>
      </c>
      <c r="C249" t="s">
        <v>31</v>
      </c>
      <c r="D249">
        <v>8.11</v>
      </c>
      <c r="E249">
        <f>633185024/(1000)</f>
        <v>633185.02399999998</v>
      </c>
      <c r="F249">
        <f>1384078976/(1000)</f>
        <v>1384078.976</v>
      </c>
      <c r="G249">
        <f>40246000/(1000)</f>
        <v>40246</v>
      </c>
      <c r="H249">
        <f>1132028032/(1000)</f>
        <v>1132028.0319999999</v>
      </c>
      <c r="I249">
        <f>313037984/(1000)</f>
        <v>313037.984</v>
      </c>
      <c r="J249">
        <f t="shared" si="3"/>
        <v>3.6162641272312816E-3</v>
      </c>
      <c r="K249">
        <f>246206001/(1000)</f>
        <v>246206.00099999999</v>
      </c>
      <c r="L249">
        <v>29.200536727905298</v>
      </c>
      <c r="M249">
        <v>-1.57172799110413</v>
      </c>
      <c r="N249">
        <v>90.985032007953507</v>
      </c>
      <c r="O249">
        <v>128.78152465820301</v>
      </c>
      <c r="P249">
        <v>0</v>
      </c>
      <c r="Q249">
        <v>0</v>
      </c>
      <c r="R249">
        <v>12.3992838639633</v>
      </c>
      <c r="S249">
        <v>44.442410306715402</v>
      </c>
      <c r="T249">
        <v>0</v>
      </c>
      <c r="U249">
        <v>0</v>
      </c>
      <c r="V249">
        <v>0</v>
      </c>
      <c r="W249">
        <v>0</v>
      </c>
    </row>
    <row r="250" spans="1:23" x14ac:dyDescent="0.55000000000000004">
      <c r="A250" t="s">
        <v>508</v>
      </c>
      <c r="B250" t="s">
        <v>509</v>
      </c>
      <c r="C250" t="s">
        <v>2</v>
      </c>
      <c r="D250">
        <v>24.97</v>
      </c>
      <c r="E250">
        <f>912505664/(1000)</f>
        <v>912505.66399999999</v>
      </c>
      <c r="F250">
        <f>1382300032/(1000)</f>
        <v>1382300.0319999999</v>
      </c>
      <c r="G250">
        <f>128899992/(1000)</f>
        <v>128899.992</v>
      </c>
      <c r="H250">
        <f>1200905696/(1000)</f>
        <v>1200905.696</v>
      </c>
      <c r="I250">
        <f>168300000/(1000)</f>
        <v>168300</v>
      </c>
      <c r="J250">
        <f t="shared" si="3"/>
        <v>7.1355062150920976E-3</v>
      </c>
      <c r="K250">
        <f>53899997/(1000)</f>
        <v>53899.997000000003</v>
      </c>
      <c r="L250">
        <v>17.4123420715332</v>
      </c>
      <c r="M250">
        <v>8.8860673904418892</v>
      </c>
      <c r="N250">
        <v>98.239327365883497</v>
      </c>
      <c r="O250">
        <v>47.175975799560497</v>
      </c>
      <c r="P250">
        <v>0.43999999761581399</v>
      </c>
      <c r="Q250">
        <v>0.99680639017394901</v>
      </c>
      <c r="R250">
        <v>12.611111212291799</v>
      </c>
      <c r="S250">
        <v>124.572153908763</v>
      </c>
      <c r="T250">
        <v>0</v>
      </c>
      <c r="U250">
        <v>0</v>
      </c>
      <c r="V250">
        <v>0</v>
      </c>
      <c r="W250">
        <v>0</v>
      </c>
    </row>
    <row r="251" spans="1:23" x14ac:dyDescent="0.55000000000000004">
      <c r="A251" t="s">
        <v>510</v>
      </c>
      <c r="B251" t="s">
        <v>511</v>
      </c>
      <c r="C251" t="s">
        <v>94</v>
      </c>
      <c r="D251">
        <v>29.36</v>
      </c>
      <c r="E251">
        <f>1042106752/(1000)</f>
        <v>1042106.752</v>
      </c>
      <c r="F251">
        <f>1381373056/(1000)</f>
        <v>1381373.0560000001</v>
      </c>
      <c r="G251">
        <f>212904992/(1000)</f>
        <v>212904.992</v>
      </c>
      <c r="H251">
        <f>2831406720/(1000)</f>
        <v>2831406.72</v>
      </c>
      <c r="I251">
        <f>441952000/(1000)</f>
        <v>441952</v>
      </c>
      <c r="J251">
        <f t="shared" si="3"/>
        <v>6.4065932951994789E-3</v>
      </c>
      <c r="K251">
        <f>77400001/(1000)</f>
        <v>77400.001000000004</v>
      </c>
      <c r="L251">
        <v>20.2140998840332</v>
      </c>
      <c r="M251">
        <v>8.6850109100341797</v>
      </c>
      <c r="N251">
        <v>99.199870755913906</v>
      </c>
      <c r="O251">
        <v>260.51400756835898</v>
      </c>
      <c r="P251">
        <v>0.95999997854232799</v>
      </c>
      <c r="Q251">
        <v>1.44630550314262</v>
      </c>
      <c r="R251">
        <v>34.541176522561798</v>
      </c>
      <c r="S251">
        <v>65.057528223069795</v>
      </c>
      <c r="T251">
        <v>0</v>
      </c>
      <c r="U251">
        <v>0</v>
      </c>
      <c r="V251">
        <v>0</v>
      </c>
      <c r="W251">
        <v>0</v>
      </c>
    </row>
    <row r="252" spans="1:23" x14ac:dyDescent="0.55000000000000004">
      <c r="A252" t="s">
        <v>512</v>
      </c>
      <c r="B252" t="s">
        <v>513</v>
      </c>
      <c r="C252" t="s">
        <v>184</v>
      </c>
      <c r="D252">
        <v>36.08</v>
      </c>
      <c r="E252">
        <f>1721265024/(1000)</f>
        <v>1721265.024</v>
      </c>
      <c r="F252">
        <f>1378908032/(1000)</f>
        <v>1378908.0319999999</v>
      </c>
      <c r="G252">
        <f>0/(1000)</f>
        <v>0</v>
      </c>
      <c r="H252">
        <f>1543946016/(1000)</f>
        <v>1543946.0160000001</v>
      </c>
      <c r="I252">
        <f>0/(1000)</f>
        <v>0</v>
      </c>
      <c r="J252">
        <f t="shared" si="3"/>
        <v>1</v>
      </c>
      <c r="K252">
        <f>443561985/(1000)</f>
        <v>443561.98499999999</v>
      </c>
      <c r="L252">
        <v>0</v>
      </c>
      <c r="M252">
        <v>19.749189376831101</v>
      </c>
      <c r="N252">
        <v>98.487217725653096</v>
      </c>
      <c r="O252">
        <v>12.5101518630981</v>
      </c>
      <c r="P252">
        <v>0.31999999284744302</v>
      </c>
      <c r="Q252">
        <v>1.0916793544308601</v>
      </c>
      <c r="R252">
        <v>8.1261265428893896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55000000000000004">
      <c r="A253" t="s">
        <v>514</v>
      </c>
      <c r="B253" t="s">
        <v>515</v>
      </c>
      <c r="C253" t="s">
        <v>121</v>
      </c>
      <c r="D253">
        <v>34.909999999999997</v>
      </c>
      <c r="E253">
        <f>530045504/(1000)</f>
        <v>530045.50399999996</v>
      </c>
      <c r="F253">
        <f>1374873984/(1000)</f>
        <v>1374873.9839999999</v>
      </c>
      <c r="G253">
        <f>108623000/(1000)</f>
        <v>108623</v>
      </c>
      <c r="H253">
        <f>715298496/(1000)</f>
        <v>715298.49600000004</v>
      </c>
      <c r="I253">
        <f>136751008/(1000)</f>
        <v>136751.008</v>
      </c>
      <c r="J253">
        <f t="shared" si="3"/>
        <v>5.2306634258959175E-3</v>
      </c>
      <c r="K253">
        <f>72921001/(1000)</f>
        <v>72921.001000000004</v>
      </c>
      <c r="L253">
        <v>14.1167860031128</v>
      </c>
      <c r="M253">
        <v>30.827817916870099</v>
      </c>
      <c r="N253">
        <v>78.059302990897606</v>
      </c>
      <c r="O253">
        <v>51.748382568359403</v>
      </c>
      <c r="P253">
        <v>0.80000001192092896</v>
      </c>
      <c r="Q253">
        <v>1.58826208255054</v>
      </c>
      <c r="R253">
        <v>7.6389496503391996</v>
      </c>
      <c r="S253">
        <v>101.56308363358799</v>
      </c>
      <c r="T253">
        <v>0</v>
      </c>
      <c r="U253">
        <v>0</v>
      </c>
      <c r="V253">
        <v>0</v>
      </c>
      <c r="W253">
        <v>0</v>
      </c>
    </row>
    <row r="254" spans="1:23" x14ac:dyDescent="0.55000000000000004">
      <c r="A254" t="s">
        <v>516</v>
      </c>
      <c r="B254" t="s">
        <v>517</v>
      </c>
      <c r="C254" t="s">
        <v>31</v>
      </c>
      <c r="D254">
        <v>8.35</v>
      </c>
      <c r="E254">
        <f>545329280/(1000)</f>
        <v>545329.28</v>
      </c>
      <c r="F254">
        <f>1369632000/(1000)</f>
        <v>1369632</v>
      </c>
      <c r="G254">
        <f>104692000/(1000)</f>
        <v>104692</v>
      </c>
      <c r="H254">
        <f>536008280/(1000)</f>
        <v>536008.28</v>
      </c>
      <c r="I254">
        <f>163189008/(1000)</f>
        <v>163189.008</v>
      </c>
      <c r="J254">
        <f t="shared" si="3"/>
        <v>3.2845856872908991E-3</v>
      </c>
      <c r="K254">
        <f>42431001/(1000)</f>
        <v>42431.000999999997</v>
      </c>
      <c r="L254">
        <v>32.763881683349602</v>
      </c>
      <c r="M254">
        <v>13.0487833023071</v>
      </c>
      <c r="N254">
        <v>51.677796678756799</v>
      </c>
      <c r="O254">
        <v>14.3813390731812</v>
      </c>
      <c r="P254">
        <v>0</v>
      </c>
      <c r="Q254">
        <v>1.3201582028885299</v>
      </c>
      <c r="R254">
        <v>7.2482643445345101</v>
      </c>
      <c r="S254">
        <v>34.616039050823098</v>
      </c>
      <c r="T254">
        <v>0</v>
      </c>
      <c r="U254">
        <v>0</v>
      </c>
      <c r="V254">
        <v>0</v>
      </c>
      <c r="W254">
        <v>0</v>
      </c>
    </row>
    <row r="255" spans="1:23" x14ac:dyDescent="0.55000000000000004">
      <c r="A255" t="s">
        <v>518</v>
      </c>
      <c r="B255" t="s">
        <v>519</v>
      </c>
      <c r="C255" t="s">
        <v>5</v>
      </c>
      <c r="D255">
        <v>14.85</v>
      </c>
      <c r="E255">
        <f>582803072/(1000)</f>
        <v>582803.07200000004</v>
      </c>
      <c r="F255">
        <f>1363070976/(1000)</f>
        <v>1363070.976</v>
      </c>
      <c r="G255">
        <f>193815008/(1000)</f>
        <v>193815.008</v>
      </c>
      <c r="H255">
        <f>4349731968/(1000)</f>
        <v>4349731.9680000003</v>
      </c>
      <c r="I255">
        <f>301732000/(1000)</f>
        <v>301732</v>
      </c>
      <c r="J255">
        <f t="shared" si="3"/>
        <v>1.4415878885898745E-2</v>
      </c>
      <c r="K255">
        <f>-146405999/(1000)</f>
        <v>-146405.99900000001</v>
      </c>
      <c r="L255">
        <v>0</v>
      </c>
      <c r="M255">
        <v>10.324556350708001</v>
      </c>
      <c r="N255">
        <v>90.878564617791994</v>
      </c>
      <c r="O255">
        <v>99.172096252441406</v>
      </c>
      <c r="P255">
        <v>0.20000000298023199</v>
      </c>
      <c r="Q255">
        <v>0</v>
      </c>
      <c r="R255">
        <v>2.2614214408369802</v>
      </c>
      <c r="S255">
        <v>1296.2171716550899</v>
      </c>
      <c r="T255">
        <v>0</v>
      </c>
      <c r="U255">
        <v>0</v>
      </c>
      <c r="V255">
        <v>0</v>
      </c>
      <c r="W255">
        <v>0</v>
      </c>
    </row>
    <row r="256" spans="1:23" x14ac:dyDescent="0.55000000000000004">
      <c r="A256" t="s">
        <v>520</v>
      </c>
      <c r="B256" t="s">
        <v>521</v>
      </c>
      <c r="C256" t="s">
        <v>20</v>
      </c>
      <c r="D256">
        <v>1.56</v>
      </c>
      <c r="E256">
        <f>82311528/(1000)</f>
        <v>82311.528000000006</v>
      </c>
      <c r="F256">
        <f>1360304000/(1000)</f>
        <v>1360304</v>
      </c>
      <c r="G256">
        <f>58874000/(1000)</f>
        <v>58874</v>
      </c>
      <c r="H256">
        <f>638764520/(1000)</f>
        <v>638764.52</v>
      </c>
      <c r="I256">
        <f>153435008/(1000)</f>
        <v>153435.008</v>
      </c>
      <c r="J256">
        <f t="shared" si="3"/>
        <v>4.163095035000096E-3</v>
      </c>
      <c r="K256">
        <f>-15028999/(1000)</f>
        <v>-15028.999</v>
      </c>
      <c r="L256">
        <v>16.1432914733887</v>
      </c>
      <c r="M256">
        <v>6.05780076980591</v>
      </c>
      <c r="N256">
        <v>95.521358385518994</v>
      </c>
      <c r="O256">
        <v>140.30538940429699</v>
      </c>
      <c r="P256">
        <v>0</v>
      </c>
      <c r="Q256">
        <v>0.17828570774623301</v>
      </c>
      <c r="R256">
        <v>4.73834289847274</v>
      </c>
      <c r="S256">
        <v>48.864939635625099</v>
      </c>
      <c r="T256">
        <v>0</v>
      </c>
      <c r="U256">
        <v>0</v>
      </c>
      <c r="V256">
        <v>0</v>
      </c>
      <c r="W256">
        <v>0</v>
      </c>
    </row>
    <row r="257" spans="1:23" x14ac:dyDescent="0.55000000000000004">
      <c r="A257" t="s">
        <v>522</v>
      </c>
      <c r="B257" t="s">
        <v>523</v>
      </c>
      <c r="C257" t="s">
        <v>2</v>
      </c>
      <c r="D257">
        <v>39.75</v>
      </c>
      <c r="E257">
        <f>1927318528/(1000)</f>
        <v>1927318.5279999999</v>
      </c>
      <c r="F257">
        <f>1360088064/(1000)</f>
        <v>1360088.064</v>
      </c>
      <c r="G257">
        <f>179740992/(1000)</f>
        <v>179740.992</v>
      </c>
      <c r="H257">
        <f>1891049528/(1000)</f>
        <v>1891049.5279999999</v>
      </c>
      <c r="I257">
        <f>208880992/(1000)</f>
        <v>208880.992</v>
      </c>
      <c r="J257">
        <f t="shared" si="3"/>
        <v>9.0532389275516274E-3</v>
      </c>
      <c r="K257">
        <f>122090001/(1000)</f>
        <v>122090.001</v>
      </c>
      <c r="L257">
        <v>23.038215637206999</v>
      </c>
      <c r="M257">
        <v>20.157161712646499</v>
      </c>
      <c r="N257">
        <v>95.394134269224196</v>
      </c>
      <c r="O257">
        <v>24.329303741455099</v>
      </c>
      <c r="P257">
        <v>3.9999999105930002E-2</v>
      </c>
      <c r="Q257">
        <v>2.56617176161072</v>
      </c>
      <c r="R257">
        <v>15.1717556975784</v>
      </c>
      <c r="S257">
        <v>95.360214935640599</v>
      </c>
      <c r="T257">
        <v>0</v>
      </c>
      <c r="U257">
        <v>0</v>
      </c>
      <c r="V257">
        <v>0</v>
      </c>
      <c r="W257">
        <v>0</v>
      </c>
    </row>
    <row r="258" spans="1:23" x14ac:dyDescent="0.55000000000000004">
      <c r="A258" t="s">
        <v>524</v>
      </c>
      <c r="B258" t="s">
        <v>525</v>
      </c>
      <c r="C258" t="s">
        <v>20</v>
      </c>
      <c r="D258">
        <v>35.369999999999997</v>
      </c>
      <c r="E258">
        <f>1197419520/(1000)</f>
        <v>1197419.52</v>
      </c>
      <c r="F258">
        <f>1356039040/(1000)</f>
        <v>1356039.04</v>
      </c>
      <c r="G258">
        <f>199139008/(1000)</f>
        <v>199139.008</v>
      </c>
      <c r="H258">
        <f>1052148512/(1000)</f>
        <v>1052148.5120000001</v>
      </c>
      <c r="I258">
        <f>229476992/(1000)</f>
        <v>229476.992</v>
      </c>
      <c r="J258">
        <f t="shared" ref="J258:J321" si="4">(IF(I258=0,1000,H258/I258))/(1000)</f>
        <v>4.5849847639627423E-3</v>
      </c>
      <c r="K258">
        <f>90233001/(1000)</f>
        <v>90233.001000000004</v>
      </c>
      <c r="L258">
        <v>15.6538276672363</v>
      </c>
      <c r="M258">
        <v>16.0428771972656</v>
      </c>
      <c r="N258">
        <v>33.669482409952202</v>
      </c>
      <c r="O258">
        <v>1.9069999456406E-2</v>
      </c>
      <c r="P258">
        <v>0.63999998569488503</v>
      </c>
      <c r="Q258">
        <v>1.3291994784143499</v>
      </c>
      <c r="R258">
        <v>10.653613931932901</v>
      </c>
      <c r="S258">
        <v>66.116319706869106</v>
      </c>
      <c r="T258">
        <v>0</v>
      </c>
      <c r="U258">
        <v>0</v>
      </c>
      <c r="V258">
        <v>0</v>
      </c>
      <c r="W258">
        <v>0</v>
      </c>
    </row>
    <row r="259" spans="1:23" x14ac:dyDescent="0.55000000000000004">
      <c r="A259" t="s">
        <v>526</v>
      </c>
      <c r="B259" t="s">
        <v>527</v>
      </c>
      <c r="C259" t="s">
        <v>2</v>
      </c>
      <c r="D259">
        <v>8.61</v>
      </c>
      <c r="E259">
        <f>318587232/(1000)</f>
        <v>318587.23200000002</v>
      </c>
      <c r="F259">
        <f>1351985024/(1000)</f>
        <v>1351985.024</v>
      </c>
      <c r="G259">
        <f>16343000/(1000)</f>
        <v>16343</v>
      </c>
      <c r="H259">
        <f>297034232/(1000)</f>
        <v>297034.23200000002</v>
      </c>
      <c r="I259">
        <f>55764000/(1000)</f>
        <v>55764</v>
      </c>
      <c r="J259">
        <f t="shared" si="4"/>
        <v>5.3266306577720388E-3</v>
      </c>
      <c r="K259">
        <f>-6343001.5/(1000)</f>
        <v>-6343.0015000000003</v>
      </c>
      <c r="L259">
        <v>23.897401809692401</v>
      </c>
      <c r="M259">
        <v>-1.1220999993384001E-2</v>
      </c>
      <c r="N259">
        <v>94.484618269643306</v>
      </c>
      <c r="O259">
        <v>13.6345224380493</v>
      </c>
      <c r="P259">
        <v>0.63999998569488503</v>
      </c>
      <c r="Q259">
        <v>0</v>
      </c>
      <c r="R259">
        <v>30.204908468272802</v>
      </c>
      <c r="S259">
        <v>17.0862066652914</v>
      </c>
      <c r="T259">
        <v>0</v>
      </c>
      <c r="U259">
        <v>0</v>
      </c>
      <c r="V259">
        <v>0</v>
      </c>
      <c r="W259">
        <v>0</v>
      </c>
    </row>
    <row r="260" spans="1:23" x14ac:dyDescent="0.55000000000000004">
      <c r="A260" t="s">
        <v>528</v>
      </c>
      <c r="B260" t="s">
        <v>529</v>
      </c>
      <c r="C260" t="s">
        <v>81</v>
      </c>
      <c r="D260">
        <v>1.93</v>
      </c>
      <c r="E260">
        <f>444674688/(1000)</f>
        <v>444674.68800000002</v>
      </c>
      <c r="F260">
        <f>1348600064/(1000)</f>
        <v>1348600.064</v>
      </c>
      <c r="G260">
        <f>322200000/(1000)</f>
        <v>322200</v>
      </c>
      <c r="H260">
        <f>2556574720/(1000)</f>
        <v>2556574.7200000002</v>
      </c>
      <c r="I260">
        <f>473000000/(1000)</f>
        <v>473000</v>
      </c>
      <c r="J260">
        <f t="shared" si="4"/>
        <v>5.4050205496828756E-3</v>
      </c>
      <c r="K260">
        <f>75000001/(1000)</f>
        <v>75000.001000000004</v>
      </c>
      <c r="L260">
        <v>16.076919555664102</v>
      </c>
      <c r="M260">
        <v>0</v>
      </c>
      <c r="N260">
        <v>99.364371171501006</v>
      </c>
      <c r="O260">
        <v>0</v>
      </c>
      <c r="P260">
        <v>0</v>
      </c>
      <c r="Q260">
        <v>0</v>
      </c>
      <c r="R260">
        <v>5.1507871239094802</v>
      </c>
      <c r="S260">
        <v>-37.446072449938697</v>
      </c>
      <c r="T260">
        <v>0</v>
      </c>
      <c r="U260">
        <v>0</v>
      </c>
      <c r="V260">
        <v>0</v>
      </c>
      <c r="W260">
        <v>0</v>
      </c>
    </row>
    <row r="261" spans="1:23" x14ac:dyDescent="0.55000000000000004">
      <c r="A261" t="s">
        <v>530</v>
      </c>
      <c r="B261" t="s">
        <v>531</v>
      </c>
      <c r="C261" t="s">
        <v>5</v>
      </c>
      <c r="D261">
        <v>12.2</v>
      </c>
      <c r="E261">
        <f>762267008/(1000)</f>
        <v>762267.00800000003</v>
      </c>
      <c r="F261">
        <f>1334723072/(1000)</f>
        <v>1334723.0719999999</v>
      </c>
      <c r="G261">
        <f>172479008/(1000)</f>
        <v>172479.008</v>
      </c>
      <c r="H261">
        <f>747811008/(1000)</f>
        <v>747811.00800000003</v>
      </c>
      <c r="I261">
        <f>206619008/(1000)</f>
        <v>206619.008</v>
      </c>
      <c r="J261">
        <f t="shared" si="4"/>
        <v>3.6192749894530516E-3</v>
      </c>
      <c r="K261">
        <f>87612001/(1000)</f>
        <v>87612.001000000004</v>
      </c>
      <c r="L261">
        <v>0</v>
      </c>
      <c r="M261">
        <v>133.032302856445</v>
      </c>
      <c r="N261">
        <v>84.606656050222398</v>
      </c>
      <c r="O261">
        <v>89.080833435058594</v>
      </c>
      <c r="P261">
        <v>0</v>
      </c>
      <c r="Q261">
        <v>3.57771246398464</v>
      </c>
      <c r="R261">
        <v>8.4137930410795594</v>
      </c>
      <c r="S261">
        <v>73.714257155648994</v>
      </c>
      <c r="T261">
        <v>0</v>
      </c>
      <c r="U261">
        <v>0</v>
      </c>
      <c r="V261">
        <v>0</v>
      </c>
      <c r="W261">
        <v>0</v>
      </c>
    </row>
    <row r="262" spans="1:23" x14ac:dyDescent="0.55000000000000004">
      <c r="A262" t="s">
        <v>532</v>
      </c>
      <c r="B262" t="s">
        <v>533</v>
      </c>
      <c r="C262" t="s">
        <v>121</v>
      </c>
      <c r="D262">
        <v>46.99</v>
      </c>
      <c r="E262">
        <f>452090816/(1000)</f>
        <v>452090.81599999999</v>
      </c>
      <c r="F262">
        <f>1329901056/(1000)</f>
        <v>1329901.0560000001</v>
      </c>
      <c r="G262">
        <f>34372000/(1000)</f>
        <v>34372</v>
      </c>
      <c r="H262">
        <f>610999824/(1000)</f>
        <v>610999.82400000002</v>
      </c>
      <c r="I262">
        <f>73801000/(1000)</f>
        <v>73801</v>
      </c>
      <c r="J262">
        <f t="shared" si="4"/>
        <v>8.2790182246853024E-3</v>
      </c>
      <c r="K262">
        <f>7260001/(1000)</f>
        <v>7260.0010000000002</v>
      </c>
      <c r="L262">
        <v>32.846530914306598</v>
      </c>
      <c r="M262">
        <v>7.9989509582519496</v>
      </c>
      <c r="N262">
        <v>85.949482910485898</v>
      </c>
      <c r="O262">
        <v>61.899509429931598</v>
      </c>
      <c r="P262">
        <v>0.87999999523162797</v>
      </c>
      <c r="Q262">
        <v>2.2102540532727999</v>
      </c>
      <c r="R262">
        <v>19.070617552318499</v>
      </c>
      <c r="S262">
        <v>77.666232726244203</v>
      </c>
      <c r="T262">
        <v>0</v>
      </c>
      <c r="U262">
        <v>0</v>
      </c>
      <c r="V262">
        <v>0</v>
      </c>
      <c r="W262">
        <v>0</v>
      </c>
    </row>
    <row r="263" spans="1:23" x14ac:dyDescent="0.55000000000000004">
      <c r="A263" t="s">
        <v>534</v>
      </c>
      <c r="B263" t="s">
        <v>535</v>
      </c>
      <c r="C263" t="s">
        <v>121</v>
      </c>
      <c r="D263">
        <v>21.62</v>
      </c>
      <c r="E263">
        <f>440483712/(1000)</f>
        <v>440483.712</v>
      </c>
      <c r="F263">
        <f>1327900032/(1000)</f>
        <v>1327900.0319999999</v>
      </c>
      <c r="G263">
        <f>130900000/(1000)</f>
        <v>130900</v>
      </c>
      <c r="H263">
        <f>878983712/(1000)</f>
        <v>878983.71200000006</v>
      </c>
      <c r="I263">
        <f>165600000/(1000)</f>
        <v>165600</v>
      </c>
      <c r="J263">
        <f t="shared" si="4"/>
        <v>5.3078726570048316E-3</v>
      </c>
      <c r="K263">
        <f>40900001/(1000)</f>
        <v>40900.000999999997</v>
      </c>
      <c r="L263">
        <v>0</v>
      </c>
      <c r="M263">
        <v>0</v>
      </c>
      <c r="N263">
        <v>95.091271252171097</v>
      </c>
      <c r="O263">
        <v>0</v>
      </c>
      <c r="P263">
        <v>0.87999999523162797</v>
      </c>
      <c r="Q263">
        <v>4.5324949529735603</v>
      </c>
      <c r="R263">
        <v>6.4154303935468198</v>
      </c>
      <c r="S263">
        <v>0</v>
      </c>
      <c r="T263">
        <v>0</v>
      </c>
      <c r="U263">
        <v>0</v>
      </c>
      <c r="V263">
        <v>0</v>
      </c>
      <c r="W263">
        <v>0</v>
      </c>
    </row>
    <row r="264" spans="1:23" x14ac:dyDescent="0.55000000000000004">
      <c r="A264" t="s">
        <v>536</v>
      </c>
      <c r="B264" t="s">
        <v>537</v>
      </c>
      <c r="C264" t="s">
        <v>5</v>
      </c>
      <c r="D264">
        <v>3.07</v>
      </c>
      <c r="E264">
        <f>336972096/(1000)</f>
        <v>336972.09600000002</v>
      </c>
      <c r="F264">
        <f>1318690944/(1000)</f>
        <v>1318690.9439999999</v>
      </c>
      <c r="G264">
        <f>-95138000/(1000)</f>
        <v>-95138</v>
      </c>
      <c r="H264">
        <f>756241088/(1000)</f>
        <v>756241.08799999999</v>
      </c>
      <c r="I264">
        <f>-58929000/(1000)</f>
        <v>-58929</v>
      </c>
      <c r="J264">
        <f t="shared" si="4"/>
        <v>-1.2833088767839264E-2</v>
      </c>
      <c r="K264">
        <f>-40536999/(1000)</f>
        <v>-40536.999000000003</v>
      </c>
      <c r="L264">
        <v>0</v>
      </c>
      <c r="M264">
        <v>-18.907800674438501</v>
      </c>
      <c r="N264">
        <v>91.071754491239005</v>
      </c>
      <c r="O264">
        <v>108.53825378418</v>
      </c>
      <c r="P264">
        <v>0</v>
      </c>
      <c r="Q264">
        <v>0</v>
      </c>
      <c r="R264">
        <v>0</v>
      </c>
      <c r="S264">
        <v>57.4298838989193</v>
      </c>
      <c r="T264">
        <v>0</v>
      </c>
      <c r="U264">
        <v>0</v>
      </c>
      <c r="V264">
        <v>0</v>
      </c>
      <c r="W264">
        <v>0</v>
      </c>
    </row>
    <row r="265" spans="1:23" x14ac:dyDescent="0.55000000000000004">
      <c r="A265" t="s">
        <v>538</v>
      </c>
      <c r="B265" t="s">
        <v>539</v>
      </c>
      <c r="C265" t="s">
        <v>31</v>
      </c>
      <c r="D265">
        <v>17.5</v>
      </c>
      <c r="E265">
        <f>658593216/(1000)</f>
        <v>658593.21600000001</v>
      </c>
      <c r="F265">
        <f>1313846016/(1000)</f>
        <v>1313846.0160000001</v>
      </c>
      <c r="G265">
        <f>59769000/(1000)</f>
        <v>59769</v>
      </c>
      <c r="H265">
        <f>685370216/(1000)</f>
        <v>685370.21600000001</v>
      </c>
      <c r="I265">
        <f>113576000/(1000)</f>
        <v>113576</v>
      </c>
      <c r="J265">
        <f t="shared" si="4"/>
        <v>6.0344634077622037E-3</v>
      </c>
      <c r="K265">
        <f>38344001/(1000)</f>
        <v>38344.000999999997</v>
      </c>
      <c r="L265">
        <v>0</v>
      </c>
      <c r="M265">
        <v>23.524242401123001</v>
      </c>
      <c r="N265">
        <v>80.721637277214796</v>
      </c>
      <c r="O265">
        <v>0</v>
      </c>
      <c r="P265">
        <v>0.36000001430511502</v>
      </c>
      <c r="Q265">
        <v>0</v>
      </c>
      <c r="R265">
        <v>16.666666477445599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55000000000000004">
      <c r="A266" t="s">
        <v>540</v>
      </c>
      <c r="B266" t="s">
        <v>541</v>
      </c>
      <c r="C266" t="s">
        <v>5</v>
      </c>
      <c r="D266">
        <v>0.84</v>
      </c>
      <c r="E266">
        <f>54452720/(1000)</f>
        <v>54452.72</v>
      </c>
      <c r="F266">
        <f>1312935040/(1000)</f>
        <v>1312935.04</v>
      </c>
      <c r="G266">
        <f>57801000/(1000)</f>
        <v>57801</v>
      </c>
      <c r="H266">
        <f>308120720/(1000)</f>
        <v>308120.71999999997</v>
      </c>
      <c r="I266">
        <f>91409000/(1000)</f>
        <v>91409</v>
      </c>
      <c r="J266">
        <f t="shared" si="4"/>
        <v>3.3707919351486171E-3</v>
      </c>
      <c r="K266">
        <f>11206001/(1000)</f>
        <v>11206.001</v>
      </c>
      <c r="L266">
        <v>0</v>
      </c>
      <c r="M266">
        <v>0</v>
      </c>
      <c r="N266">
        <v>44.131626466981501</v>
      </c>
      <c r="O266">
        <v>0</v>
      </c>
      <c r="P266">
        <v>0</v>
      </c>
      <c r="Q266">
        <v>0</v>
      </c>
      <c r="R266">
        <v>158.49099742462201</v>
      </c>
      <c r="S266">
        <v>0</v>
      </c>
      <c r="T266">
        <v>0</v>
      </c>
      <c r="U266">
        <v>0</v>
      </c>
      <c r="V266">
        <v>0</v>
      </c>
      <c r="W266">
        <v>0</v>
      </c>
    </row>
    <row r="267" spans="1:23" x14ac:dyDescent="0.55000000000000004">
      <c r="A267" t="s">
        <v>542</v>
      </c>
      <c r="B267" t="s">
        <v>543</v>
      </c>
      <c r="C267" t="s">
        <v>2</v>
      </c>
      <c r="D267">
        <v>11.94</v>
      </c>
      <c r="E267">
        <f>358032832/(1000)</f>
        <v>358032.83199999999</v>
      </c>
      <c r="F267">
        <f>1311817984/(1000)</f>
        <v>1311817.9839999999</v>
      </c>
      <c r="G267">
        <f>81288000/(1000)</f>
        <v>81288</v>
      </c>
      <c r="H267">
        <f>759292832/(1000)</f>
        <v>759292.83200000005</v>
      </c>
      <c r="I267">
        <f>114345000/(1000)</f>
        <v>114345</v>
      </c>
      <c r="J267">
        <f t="shared" si="4"/>
        <v>6.640367589313044E-3</v>
      </c>
      <c r="K267">
        <f>140061009/(1000)</f>
        <v>140061.00899999999</v>
      </c>
      <c r="L267">
        <v>14.306201934814499</v>
      </c>
      <c r="M267">
        <v>2.3656780719757098</v>
      </c>
      <c r="N267">
        <v>84.518441767538306</v>
      </c>
      <c r="O267">
        <v>86.059074401855497</v>
      </c>
      <c r="P267">
        <v>0.20000000298023199</v>
      </c>
      <c r="Q267">
        <v>0</v>
      </c>
      <c r="R267">
        <v>7.9072844232128903</v>
      </c>
      <c r="S267">
        <v>103.346697875952</v>
      </c>
      <c r="T267">
        <v>0</v>
      </c>
      <c r="U267">
        <v>0</v>
      </c>
      <c r="V267">
        <v>0</v>
      </c>
      <c r="W267">
        <v>0</v>
      </c>
    </row>
    <row r="268" spans="1:23" x14ac:dyDescent="0.55000000000000004">
      <c r="A268" t="s">
        <v>544</v>
      </c>
      <c r="B268" t="s">
        <v>545</v>
      </c>
      <c r="C268" t="s">
        <v>5</v>
      </c>
      <c r="D268">
        <v>2.2799999999999998</v>
      </c>
      <c r="E268">
        <f>926247488/(1000)</f>
        <v>926247.48800000001</v>
      </c>
      <c r="F268">
        <f>1294878976/(1000)</f>
        <v>1294878.976</v>
      </c>
      <c r="G268">
        <f>-101003000/(1000)</f>
        <v>-101003</v>
      </c>
      <c r="H268">
        <f>678460480/(1000)</f>
        <v>678460.48</v>
      </c>
      <c r="I268">
        <f>35027000/(1000)</f>
        <v>35027</v>
      </c>
      <c r="J268">
        <f t="shared" si="4"/>
        <v>1.9369642846946641E-2</v>
      </c>
      <c r="K268">
        <f>36984001/(1000)</f>
        <v>36984.000999999997</v>
      </c>
      <c r="L268">
        <v>0</v>
      </c>
      <c r="M268">
        <v>-21.321241378784201</v>
      </c>
      <c r="N268">
        <v>97.911034014214593</v>
      </c>
      <c r="O268">
        <v>30.2420768737793</v>
      </c>
      <c r="P268">
        <v>0</v>
      </c>
      <c r="Q268">
        <v>0</v>
      </c>
      <c r="R268">
        <v>4.40600128822551</v>
      </c>
      <c r="S268">
        <v>38.806528415963903</v>
      </c>
      <c r="T268">
        <v>0</v>
      </c>
      <c r="U268">
        <v>0</v>
      </c>
      <c r="V268">
        <v>0</v>
      </c>
      <c r="W268">
        <v>0</v>
      </c>
    </row>
    <row r="269" spans="1:23" x14ac:dyDescent="0.55000000000000004">
      <c r="A269" t="s">
        <v>546</v>
      </c>
      <c r="B269" t="s">
        <v>547</v>
      </c>
      <c r="C269" t="s">
        <v>5</v>
      </c>
      <c r="D269">
        <v>4.3</v>
      </c>
      <c r="E269">
        <f>407556160/(1000)</f>
        <v>407556.16</v>
      </c>
      <c r="F269">
        <f>1293374976/(1000)</f>
        <v>1293374.976</v>
      </c>
      <c r="G269">
        <f>222328992/(1000)</f>
        <v>222328.992</v>
      </c>
      <c r="H269">
        <f>3634232128/(1000)</f>
        <v>3634232.128</v>
      </c>
      <c r="I269">
        <f>457660000/(1000)</f>
        <v>457660</v>
      </c>
      <c r="J269">
        <f t="shared" si="4"/>
        <v>7.9408996372853213E-3</v>
      </c>
      <c r="K269">
        <f>-38616999/(1000)</f>
        <v>-38616.999000000003</v>
      </c>
      <c r="L269">
        <v>0</v>
      </c>
      <c r="M269">
        <v>0</v>
      </c>
      <c r="N269">
        <v>97.397699963653295</v>
      </c>
      <c r="O269">
        <v>0</v>
      </c>
      <c r="P269">
        <v>0</v>
      </c>
      <c r="Q269">
        <v>0</v>
      </c>
      <c r="R269">
        <v>0</v>
      </c>
      <c r="S269">
        <v>40.1222862422742</v>
      </c>
      <c r="T269">
        <v>0</v>
      </c>
      <c r="U269">
        <v>0</v>
      </c>
      <c r="V269">
        <v>0</v>
      </c>
      <c r="W269">
        <v>0</v>
      </c>
    </row>
    <row r="270" spans="1:23" x14ac:dyDescent="0.55000000000000004">
      <c r="A270" t="s">
        <v>548</v>
      </c>
      <c r="B270" t="s">
        <v>549</v>
      </c>
      <c r="C270" t="s">
        <v>2</v>
      </c>
      <c r="D270">
        <v>10.67</v>
      </c>
      <c r="E270">
        <f>364590720/(1000)</f>
        <v>364590.72</v>
      </c>
      <c r="F270">
        <f>1292676992/(1000)</f>
        <v>1292676.9920000001</v>
      </c>
      <c r="G270">
        <f>230278000/(1000)</f>
        <v>230278</v>
      </c>
      <c r="H270">
        <f>2393263744/(1000)</f>
        <v>2393263.7439999999</v>
      </c>
      <c r="I270">
        <f>335212992/(1000)</f>
        <v>335212.99200000003</v>
      </c>
      <c r="J270">
        <f t="shared" si="4"/>
        <v>7.1395315847423944E-3</v>
      </c>
      <c r="K270">
        <f>180944993/(1000)</f>
        <v>180944.99299999999</v>
      </c>
      <c r="L270">
        <v>0</v>
      </c>
      <c r="M270">
        <v>17.703855514526399</v>
      </c>
      <c r="N270">
        <v>99.117344849198105</v>
      </c>
      <c r="O270">
        <v>449.10650634765602</v>
      </c>
      <c r="P270">
        <v>0</v>
      </c>
      <c r="Q270">
        <v>0.80285930074647105</v>
      </c>
      <c r="R270">
        <v>4.5404256334775397</v>
      </c>
      <c r="S270">
        <v>309.77262758632702</v>
      </c>
      <c r="T270">
        <v>0</v>
      </c>
      <c r="U270">
        <v>0</v>
      </c>
      <c r="V270">
        <v>0</v>
      </c>
      <c r="W270">
        <v>0</v>
      </c>
    </row>
    <row r="271" spans="1:23" x14ac:dyDescent="0.55000000000000004">
      <c r="A271" t="s">
        <v>550</v>
      </c>
      <c r="B271" t="s">
        <v>551</v>
      </c>
      <c r="C271" t="s">
        <v>2</v>
      </c>
      <c r="D271">
        <v>6.87</v>
      </c>
      <c r="E271">
        <f>114153288/(1000)</f>
        <v>114153.288</v>
      </c>
      <c r="F271">
        <f>1290078976/(1000)</f>
        <v>1290078.976</v>
      </c>
      <c r="G271">
        <f>77110000/(1000)</f>
        <v>77110</v>
      </c>
      <c r="H271">
        <f>718630280/(1000)</f>
        <v>718630.28</v>
      </c>
      <c r="I271">
        <f>112196000/(1000)</f>
        <v>112196</v>
      </c>
      <c r="J271">
        <f t="shared" si="4"/>
        <v>6.4051328033084961E-3</v>
      </c>
      <c r="K271">
        <f>-45525995/(1000)</f>
        <v>-45525.995000000003</v>
      </c>
      <c r="L271">
        <v>13.9720659255981</v>
      </c>
      <c r="M271">
        <v>7.7529621124267596</v>
      </c>
      <c r="N271">
        <v>89.219559538155394</v>
      </c>
      <c r="O271">
        <v>223.60289001464801</v>
      </c>
      <c r="P271">
        <v>0.31999999284744302</v>
      </c>
      <c r="Q271">
        <v>0</v>
      </c>
      <c r="R271">
        <v>5.4094488734985804</v>
      </c>
      <c r="S271">
        <v>142.347986255856</v>
      </c>
      <c r="T271">
        <v>0</v>
      </c>
      <c r="U271">
        <v>0</v>
      </c>
      <c r="V271">
        <v>0</v>
      </c>
      <c r="W271">
        <v>0</v>
      </c>
    </row>
    <row r="272" spans="1:23" x14ac:dyDescent="0.55000000000000004">
      <c r="A272" t="s">
        <v>552</v>
      </c>
      <c r="B272" t="s">
        <v>553</v>
      </c>
      <c r="C272" t="s">
        <v>20</v>
      </c>
      <c r="D272">
        <v>5.6</v>
      </c>
      <c r="E272">
        <f>307368320/(1000)</f>
        <v>307368.32000000001</v>
      </c>
      <c r="F272">
        <f>1277161984/(1000)</f>
        <v>1277161.9839999999</v>
      </c>
      <c r="G272">
        <f>29202000/(1000)</f>
        <v>29202</v>
      </c>
      <c r="H272">
        <f>242333320/(1000)</f>
        <v>242333.32</v>
      </c>
      <c r="I272">
        <f>70359000/(1000)</f>
        <v>70359</v>
      </c>
      <c r="J272">
        <f t="shared" si="4"/>
        <v>3.4442405378132149E-3</v>
      </c>
      <c r="K272">
        <f>11104001/(1000)</f>
        <v>11104.001</v>
      </c>
      <c r="L272">
        <v>13.564039230346699</v>
      </c>
      <c r="M272">
        <v>-13.9774570465088</v>
      </c>
      <c r="N272">
        <v>99.190452993929398</v>
      </c>
      <c r="O272">
        <v>0</v>
      </c>
      <c r="P272">
        <v>0.119999997317791</v>
      </c>
      <c r="Q272">
        <v>0</v>
      </c>
      <c r="R272">
        <v>10.3601255933168</v>
      </c>
      <c r="S272">
        <v>68.678180472366193</v>
      </c>
      <c r="T272">
        <v>0</v>
      </c>
      <c r="U272">
        <v>0</v>
      </c>
      <c r="V272">
        <v>0</v>
      </c>
      <c r="W272">
        <v>0</v>
      </c>
    </row>
    <row r="273" spans="1:23" x14ac:dyDescent="0.55000000000000004">
      <c r="A273" t="s">
        <v>554</v>
      </c>
      <c r="B273" t="s">
        <v>555</v>
      </c>
      <c r="C273" t="s">
        <v>121</v>
      </c>
      <c r="D273">
        <v>18.079999999999998</v>
      </c>
      <c r="E273">
        <f>1390060928/(1000)</f>
        <v>1390060.9280000001</v>
      </c>
      <c r="F273">
        <f>1276800000/(1000)</f>
        <v>1276800</v>
      </c>
      <c r="G273">
        <f>114000000/(1000)</f>
        <v>114000</v>
      </c>
      <c r="H273">
        <f>1439560928/(1000)</f>
        <v>1439560.9280000001</v>
      </c>
      <c r="I273">
        <f>162000000/(1000)</f>
        <v>162000</v>
      </c>
      <c r="J273">
        <f t="shared" si="4"/>
        <v>8.8861785679012345E-3</v>
      </c>
      <c r="K273">
        <f>128400001/(1000)</f>
        <v>128400.001</v>
      </c>
      <c r="L273">
        <v>54.211513519287102</v>
      </c>
      <c r="M273">
        <v>-1.52444100379944</v>
      </c>
      <c r="N273">
        <v>99.620332097985894</v>
      </c>
      <c r="O273">
        <v>39.023654937744098</v>
      </c>
      <c r="P273">
        <v>0.80000001192092896</v>
      </c>
      <c r="Q273">
        <v>0</v>
      </c>
      <c r="R273">
        <v>8.0355556280818998</v>
      </c>
      <c r="S273">
        <v>-1.86010278174218</v>
      </c>
      <c r="T273">
        <v>0</v>
      </c>
      <c r="U273">
        <v>0</v>
      </c>
      <c r="V273">
        <v>0</v>
      </c>
      <c r="W273">
        <v>0</v>
      </c>
    </row>
    <row r="274" spans="1:23" x14ac:dyDescent="0.55000000000000004">
      <c r="A274" t="s">
        <v>556</v>
      </c>
      <c r="B274" t="s">
        <v>557</v>
      </c>
      <c r="C274" t="s">
        <v>5</v>
      </c>
      <c r="D274">
        <v>0.56000000000000005</v>
      </c>
      <c r="E274">
        <f>43560552/(1000)</f>
        <v>43560.552000000003</v>
      </c>
      <c r="F274">
        <f>1273464960/(1000)</f>
        <v>1273464.96</v>
      </c>
      <c r="G274">
        <f>27003000/(1000)</f>
        <v>27003</v>
      </c>
      <c r="H274">
        <f>306930568/(1000)</f>
        <v>306930.56800000003</v>
      </c>
      <c r="I274">
        <f>47066000/(1000)</f>
        <v>47066</v>
      </c>
      <c r="J274">
        <f t="shared" si="4"/>
        <v>6.5212800747885954E-3</v>
      </c>
      <c r="K274">
        <f>70166001/(1000)</f>
        <v>70166.001000000004</v>
      </c>
      <c r="L274">
        <v>0</v>
      </c>
      <c r="M274">
        <v>2.3139989376068102</v>
      </c>
      <c r="N274">
        <v>97.854392275613804</v>
      </c>
      <c r="O274">
        <v>115.299560546875</v>
      </c>
      <c r="P274">
        <v>0</v>
      </c>
      <c r="Q274">
        <v>0</v>
      </c>
      <c r="R274">
        <v>0</v>
      </c>
      <c r="S274">
        <v>-7.0847412577315696</v>
      </c>
      <c r="T274">
        <v>0</v>
      </c>
      <c r="U274">
        <v>0</v>
      </c>
      <c r="V274">
        <v>0</v>
      </c>
      <c r="W274">
        <v>0</v>
      </c>
    </row>
    <row r="275" spans="1:23" x14ac:dyDescent="0.55000000000000004">
      <c r="A275" t="s">
        <v>558</v>
      </c>
      <c r="B275" t="s">
        <v>559</v>
      </c>
      <c r="C275" t="s">
        <v>2</v>
      </c>
      <c r="D275">
        <v>9.33</v>
      </c>
      <c r="E275">
        <f>553044160/(1000)</f>
        <v>553044.16</v>
      </c>
      <c r="F275">
        <f>1269304960/(1000)</f>
        <v>1269304.96</v>
      </c>
      <c r="G275">
        <f>26754000/(1000)</f>
        <v>26754</v>
      </c>
      <c r="H275">
        <f>474311160/(1000)</f>
        <v>474311.16</v>
      </c>
      <c r="I275">
        <f>70489000/(1000)</f>
        <v>70489</v>
      </c>
      <c r="J275">
        <f t="shared" si="4"/>
        <v>6.7288677666018804E-3</v>
      </c>
      <c r="K275">
        <f>27523001/(1000)</f>
        <v>27523.001</v>
      </c>
      <c r="L275">
        <v>16.028621673583999</v>
      </c>
      <c r="M275">
        <v>-7.19018602371216</v>
      </c>
      <c r="N275">
        <v>93.938849202339796</v>
      </c>
      <c r="O275">
        <v>35.348655700683601</v>
      </c>
      <c r="P275">
        <v>0</v>
      </c>
      <c r="Q275">
        <v>0</v>
      </c>
      <c r="R275">
        <v>84.084560065640801</v>
      </c>
      <c r="S275">
        <v>1.16805293802165</v>
      </c>
      <c r="T275">
        <v>0</v>
      </c>
      <c r="U275">
        <v>0</v>
      </c>
      <c r="V275">
        <v>0</v>
      </c>
      <c r="W275">
        <v>0</v>
      </c>
    </row>
    <row r="276" spans="1:23" x14ac:dyDescent="0.55000000000000004">
      <c r="A276" t="s">
        <v>560</v>
      </c>
      <c r="B276" t="s">
        <v>561</v>
      </c>
      <c r="C276" t="s">
        <v>2</v>
      </c>
      <c r="D276">
        <v>8.2100000000000009</v>
      </c>
      <c r="E276">
        <f>389145760/(1000)</f>
        <v>389145.76</v>
      </c>
      <c r="F276">
        <f>1268099968/(1000)</f>
        <v>1268099.9680000001</v>
      </c>
      <c r="G276">
        <f>64100000/(1000)</f>
        <v>64100</v>
      </c>
      <c r="H276">
        <f>607145760/(1000)</f>
        <v>607145.76</v>
      </c>
      <c r="I276">
        <f>85300000/(1000)</f>
        <v>85300</v>
      </c>
      <c r="J276">
        <f t="shared" si="4"/>
        <v>7.1177697538100815E-3</v>
      </c>
      <c r="K276">
        <f>41900001/(1000)</f>
        <v>41900.000999999997</v>
      </c>
      <c r="L276">
        <v>23.668687820434599</v>
      </c>
      <c r="M276">
        <v>13.201875686645501</v>
      </c>
      <c r="N276">
        <v>91.559740907368294</v>
      </c>
      <c r="O276">
        <v>95.688293457031307</v>
      </c>
      <c r="P276">
        <v>0.239999994635582</v>
      </c>
      <c r="Q276">
        <v>0.89384862962146605</v>
      </c>
      <c r="R276">
        <v>11.402777849639101</v>
      </c>
      <c r="S276">
        <v>19.948802471080501</v>
      </c>
      <c r="T276">
        <v>0</v>
      </c>
      <c r="U276">
        <v>0</v>
      </c>
      <c r="V276">
        <v>0</v>
      </c>
      <c r="W276">
        <v>0</v>
      </c>
    </row>
    <row r="277" spans="1:23" x14ac:dyDescent="0.55000000000000004">
      <c r="A277" t="s">
        <v>562</v>
      </c>
      <c r="B277" t="s">
        <v>563</v>
      </c>
      <c r="C277" t="s">
        <v>38</v>
      </c>
      <c r="D277">
        <v>23.89</v>
      </c>
      <c r="E277">
        <f>1406583424/(1000)</f>
        <v>1406583.4240000001</v>
      </c>
      <c r="F277">
        <f>1265090048/(1000)</f>
        <v>1265090.048</v>
      </c>
      <c r="G277">
        <f>143090000/(1000)</f>
        <v>143090</v>
      </c>
      <c r="H277">
        <f>1497164424/(1000)</f>
        <v>1497164.4240000001</v>
      </c>
      <c r="I277">
        <f>205868000/(1000)</f>
        <v>205868</v>
      </c>
      <c r="J277">
        <f t="shared" si="4"/>
        <v>7.2724484815512858E-3</v>
      </c>
      <c r="K277">
        <f>86427001/(1000)</f>
        <v>86427.001000000004</v>
      </c>
      <c r="L277">
        <v>20.2131042480469</v>
      </c>
      <c r="M277">
        <v>10.4166049957275</v>
      </c>
      <c r="N277">
        <v>98.908243995240994</v>
      </c>
      <c r="O277">
        <v>25.487430572509801</v>
      </c>
      <c r="P277">
        <v>0.31999999284744302</v>
      </c>
      <c r="Q277">
        <v>1.8043806497460999</v>
      </c>
      <c r="R277">
        <v>13.1672789925411</v>
      </c>
      <c r="S277">
        <v>30.1416518515314</v>
      </c>
      <c r="T277">
        <v>0</v>
      </c>
      <c r="U277">
        <v>0</v>
      </c>
      <c r="V277">
        <v>0</v>
      </c>
      <c r="W277">
        <v>0</v>
      </c>
    </row>
    <row r="278" spans="1:23" x14ac:dyDescent="0.55000000000000004">
      <c r="A278" t="s">
        <v>564</v>
      </c>
      <c r="B278" t="s">
        <v>565</v>
      </c>
      <c r="C278" t="s">
        <v>20</v>
      </c>
      <c r="D278">
        <v>4.9400000000000004</v>
      </c>
      <c r="E278">
        <f>2320662272/(1000)</f>
        <v>2320662.2719999999</v>
      </c>
      <c r="F278">
        <f>1263716992/(1000)</f>
        <v>1263716.9920000001</v>
      </c>
      <c r="G278">
        <f>65387000/(1000)</f>
        <v>65387</v>
      </c>
      <c r="H278">
        <f>3015939264/(1000)</f>
        <v>3015939.264</v>
      </c>
      <c r="I278">
        <f>138708992/(1000)</f>
        <v>138708.992</v>
      </c>
      <c r="J278">
        <f t="shared" si="4"/>
        <v>2.1742925390157836E-2</v>
      </c>
      <c r="K278">
        <f>-52898999/(1000)</f>
        <v>-52898.999000000003</v>
      </c>
      <c r="L278">
        <v>0</v>
      </c>
      <c r="M278">
        <v>3.47064304351807</v>
      </c>
      <c r="N278">
        <v>77.277438052403397</v>
      </c>
      <c r="O278">
        <v>164.35757446289099</v>
      </c>
      <c r="P278">
        <v>5.9999998658895E-2</v>
      </c>
      <c r="Q278">
        <v>0.80194808110195204</v>
      </c>
      <c r="R278">
        <v>0</v>
      </c>
      <c r="S278">
        <v>1192.38202532163</v>
      </c>
      <c r="T278">
        <v>0</v>
      </c>
      <c r="U278">
        <v>0</v>
      </c>
      <c r="V278">
        <v>0</v>
      </c>
      <c r="W278">
        <v>0</v>
      </c>
    </row>
    <row r="279" spans="1:23" x14ac:dyDescent="0.55000000000000004">
      <c r="A279" t="s">
        <v>566</v>
      </c>
      <c r="B279" t="s">
        <v>567</v>
      </c>
      <c r="C279" t="s">
        <v>2</v>
      </c>
      <c r="D279">
        <v>23.02</v>
      </c>
      <c r="E279">
        <f>1560502784/(1000)</f>
        <v>1560502.784</v>
      </c>
      <c r="F279">
        <f>1258204032/(1000)</f>
        <v>1258204.0319999999</v>
      </c>
      <c r="G279">
        <f>179564992/(1000)</f>
        <v>179564.992</v>
      </c>
      <c r="H279">
        <f>1499597784/(1000)</f>
        <v>1499597.784</v>
      </c>
      <c r="I279">
        <f>215015008/(1000)</f>
        <v>215015.008</v>
      </c>
      <c r="J279">
        <f t="shared" si="4"/>
        <v>6.9743865693319418E-3</v>
      </c>
      <c r="K279">
        <f>87838001/(1000)</f>
        <v>87838.001000000004</v>
      </c>
      <c r="L279">
        <v>21.3366603851318</v>
      </c>
      <c r="M279">
        <v>20.762159347534201</v>
      </c>
      <c r="N279">
        <v>86.848306845960295</v>
      </c>
      <c r="O279">
        <v>7.7709379196167001</v>
      </c>
      <c r="P279">
        <v>0.239999994635582</v>
      </c>
      <c r="Q279">
        <v>0</v>
      </c>
      <c r="R279">
        <v>13.0795455640336</v>
      </c>
      <c r="S279">
        <v>114.46099698197</v>
      </c>
      <c r="T279">
        <v>0</v>
      </c>
      <c r="U279">
        <v>0</v>
      </c>
      <c r="V279">
        <v>0</v>
      </c>
      <c r="W279">
        <v>0</v>
      </c>
    </row>
    <row r="280" spans="1:23" x14ac:dyDescent="0.55000000000000004">
      <c r="A280" t="s">
        <v>568</v>
      </c>
      <c r="B280" t="s">
        <v>569</v>
      </c>
      <c r="C280" t="s">
        <v>20</v>
      </c>
      <c r="D280">
        <v>8.68</v>
      </c>
      <c r="E280">
        <f>280942080/(1000)</f>
        <v>280942.08000000002</v>
      </c>
      <c r="F280">
        <f>1256665984/(1000)</f>
        <v>1256665.9839999999</v>
      </c>
      <c r="G280">
        <f>68317000/(1000)</f>
        <v>68317</v>
      </c>
      <c r="H280">
        <f>397844080/(1000)</f>
        <v>397844.08</v>
      </c>
      <c r="I280">
        <f>80922000/(1000)</f>
        <v>80922</v>
      </c>
      <c r="J280">
        <f t="shared" si="4"/>
        <v>4.9163896097476579E-3</v>
      </c>
      <c r="K280">
        <f>25464001/(1000)</f>
        <v>25464.001</v>
      </c>
      <c r="L280">
        <v>0</v>
      </c>
      <c r="M280">
        <v>43.700431823730497</v>
      </c>
      <c r="N280">
        <v>41.413123358134797</v>
      </c>
      <c r="O280">
        <v>113.387367248535</v>
      </c>
      <c r="P280">
        <v>0</v>
      </c>
      <c r="Q280">
        <v>4.1431981797794402</v>
      </c>
      <c r="R280">
        <v>9.33333385140239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55000000000000004">
      <c r="A281" t="s">
        <v>570</v>
      </c>
      <c r="B281" t="s">
        <v>571</v>
      </c>
      <c r="C281" t="s">
        <v>184</v>
      </c>
      <c r="D281">
        <v>11.14</v>
      </c>
      <c r="E281">
        <f>1030566976/(1000)</f>
        <v>1030566.976</v>
      </c>
      <c r="F281">
        <f>1256402944/(1000)</f>
        <v>1256402.9439999999</v>
      </c>
      <c r="G281">
        <f>0/(1000)</f>
        <v>0</v>
      </c>
      <c r="H281">
        <f>0/(1000)</f>
        <v>0</v>
      </c>
      <c r="I281">
        <f>0/(1000)</f>
        <v>0</v>
      </c>
      <c r="J281">
        <f t="shared" si="4"/>
        <v>1</v>
      </c>
      <c r="K281">
        <f>35651001/(1000)</f>
        <v>35651.000999999997</v>
      </c>
      <c r="L281">
        <v>17.649507522583001</v>
      </c>
      <c r="M281">
        <v>3.5925230979919398</v>
      </c>
      <c r="N281">
        <v>86.001266537000902</v>
      </c>
      <c r="O281">
        <v>313.72128295898398</v>
      </c>
      <c r="P281">
        <v>4.1999998092651403</v>
      </c>
      <c r="Q281">
        <v>1.13983552057017</v>
      </c>
      <c r="R281">
        <v>19.543859921898001</v>
      </c>
      <c r="S281">
        <v>109.787887777408</v>
      </c>
      <c r="T281">
        <v>0</v>
      </c>
      <c r="U281">
        <v>0</v>
      </c>
      <c r="V281">
        <v>0</v>
      </c>
      <c r="W281">
        <v>0</v>
      </c>
    </row>
    <row r="282" spans="1:23" x14ac:dyDescent="0.55000000000000004">
      <c r="A282" t="s">
        <v>572</v>
      </c>
      <c r="B282" t="s">
        <v>573</v>
      </c>
      <c r="C282" t="s">
        <v>2</v>
      </c>
      <c r="D282">
        <v>24.15</v>
      </c>
      <c r="E282">
        <f>1445998208/(1000)</f>
        <v>1445998.2080000001</v>
      </c>
      <c r="F282">
        <f>1245544960/(1000)</f>
        <v>1245544.96</v>
      </c>
      <c r="G282">
        <f>106400000/(1000)</f>
        <v>106400</v>
      </c>
      <c r="H282">
        <f>1452314208/(1000)</f>
        <v>1452314.2080000001</v>
      </c>
      <c r="I282">
        <f>125039000/(1000)</f>
        <v>125039</v>
      </c>
      <c r="J282">
        <f t="shared" si="4"/>
        <v>1.1614889818376668E-2</v>
      </c>
      <c r="K282">
        <f>50612001/(1000)</f>
        <v>50612.000999999997</v>
      </c>
      <c r="L282">
        <v>0</v>
      </c>
      <c r="M282">
        <v>13.137377738952599</v>
      </c>
      <c r="N282">
        <v>98.629824990430706</v>
      </c>
      <c r="O282">
        <v>11.1860094070435</v>
      </c>
      <c r="P282">
        <v>0</v>
      </c>
      <c r="Q282">
        <v>0</v>
      </c>
      <c r="R282">
        <v>23.676469619316102</v>
      </c>
      <c r="S282">
        <v>44.7009203719794</v>
      </c>
      <c r="T282">
        <v>0</v>
      </c>
      <c r="U282">
        <v>0</v>
      </c>
      <c r="V282">
        <v>0</v>
      </c>
      <c r="W282">
        <v>0</v>
      </c>
    </row>
    <row r="283" spans="1:23" x14ac:dyDescent="0.55000000000000004">
      <c r="A283" t="s">
        <v>574</v>
      </c>
      <c r="B283" t="s">
        <v>575</v>
      </c>
      <c r="C283" t="s">
        <v>121</v>
      </c>
      <c r="D283">
        <v>11.44</v>
      </c>
      <c r="E283">
        <f>558234240/(1000)</f>
        <v>558234.24</v>
      </c>
      <c r="F283">
        <f>1240438016/(1000)</f>
        <v>1240438.0160000001</v>
      </c>
      <c r="G283">
        <f>-6500000/(1000)</f>
        <v>-6500</v>
      </c>
      <c r="H283">
        <f>708647232/(1000)</f>
        <v>708647.23199999996</v>
      </c>
      <c r="I283">
        <f>87830000/(1000)</f>
        <v>87830</v>
      </c>
      <c r="J283">
        <f t="shared" si="4"/>
        <v>8.0683961288853471E-3</v>
      </c>
      <c r="K283">
        <f>24725001/(1000)</f>
        <v>24725.001</v>
      </c>
      <c r="L283">
        <v>58.2203979492188</v>
      </c>
      <c r="M283">
        <v>-0.65767097473144498</v>
      </c>
      <c r="N283">
        <v>92.5318729350968</v>
      </c>
      <c r="O283">
        <v>49.6708984375</v>
      </c>
      <c r="P283">
        <v>0.34000000357627902</v>
      </c>
      <c r="Q283">
        <v>2.2743536984502799</v>
      </c>
      <c r="R283">
        <v>127.11110665915901</v>
      </c>
      <c r="S283">
        <v>30.751623479785898</v>
      </c>
      <c r="T283">
        <v>0</v>
      </c>
      <c r="U283">
        <v>0</v>
      </c>
      <c r="V283">
        <v>0</v>
      </c>
      <c r="W283">
        <v>0</v>
      </c>
    </row>
    <row r="284" spans="1:23" x14ac:dyDescent="0.55000000000000004">
      <c r="A284" t="s">
        <v>576</v>
      </c>
      <c r="B284" t="s">
        <v>577</v>
      </c>
      <c r="C284" t="s">
        <v>5</v>
      </c>
      <c r="D284">
        <v>10.63</v>
      </c>
      <c r="E284">
        <f>344382240/(1000)</f>
        <v>344382.24</v>
      </c>
      <c r="F284">
        <f>1239026944/(1000)</f>
        <v>1239026.9439999999</v>
      </c>
      <c r="G284">
        <f>114094000/(1000)</f>
        <v>114094</v>
      </c>
      <c r="H284">
        <f>723063232/(1000)</f>
        <v>723063.23199999996</v>
      </c>
      <c r="I284">
        <f>129208000/(1000)</f>
        <v>129208</v>
      </c>
      <c r="J284">
        <f t="shared" si="4"/>
        <v>5.5961181350999934E-3</v>
      </c>
      <c r="K284">
        <f>42824001/(1000)</f>
        <v>42824.000999999997</v>
      </c>
      <c r="L284">
        <v>0</v>
      </c>
      <c r="M284">
        <v>14.600348472595201</v>
      </c>
      <c r="N284">
        <v>98.092731752279505</v>
      </c>
      <c r="O284">
        <v>111.09073638916</v>
      </c>
      <c r="P284">
        <v>0</v>
      </c>
      <c r="Q284">
        <v>0.78450184242133303</v>
      </c>
      <c r="R284">
        <v>7.2808219545787702</v>
      </c>
      <c r="S284">
        <v>94.348007264435594</v>
      </c>
      <c r="T284">
        <v>0</v>
      </c>
      <c r="U284">
        <v>0</v>
      </c>
      <c r="V284">
        <v>0</v>
      </c>
      <c r="W284">
        <v>0</v>
      </c>
    </row>
    <row r="285" spans="1:23" x14ac:dyDescent="0.55000000000000004">
      <c r="A285" t="s">
        <v>578</v>
      </c>
      <c r="B285" t="s">
        <v>579</v>
      </c>
      <c r="C285" t="s">
        <v>94</v>
      </c>
      <c r="D285">
        <v>23.33</v>
      </c>
      <c r="E285">
        <f>825522752/(1000)</f>
        <v>825522.75199999998</v>
      </c>
      <c r="F285">
        <f>1238886912/(1000)</f>
        <v>1238886.912</v>
      </c>
      <c r="G285">
        <f>100774000/(1000)</f>
        <v>100774</v>
      </c>
      <c r="H285">
        <f>1279171744/(1000)</f>
        <v>1279171.7439999999</v>
      </c>
      <c r="I285">
        <f>153604000/(1000)</f>
        <v>153604</v>
      </c>
      <c r="J285">
        <f t="shared" si="4"/>
        <v>8.3277241738496394E-3</v>
      </c>
      <c r="K285">
        <f>-77173007/(1000)</f>
        <v>-77173.006999999998</v>
      </c>
      <c r="L285">
        <v>17.6770324707031</v>
      </c>
      <c r="M285">
        <v>10.4781150817871</v>
      </c>
      <c r="N285">
        <v>94.393319399676201</v>
      </c>
      <c r="O285">
        <v>81.701217651367202</v>
      </c>
      <c r="P285">
        <v>1.1900000572204601</v>
      </c>
      <c r="Q285">
        <v>1.2113187770746201</v>
      </c>
      <c r="R285">
        <v>20.286956087380101</v>
      </c>
      <c r="S285">
        <v>91.678178515429494</v>
      </c>
      <c r="T285">
        <v>0</v>
      </c>
      <c r="U285">
        <v>0</v>
      </c>
      <c r="V285">
        <v>0</v>
      </c>
      <c r="W285">
        <v>0</v>
      </c>
    </row>
    <row r="286" spans="1:23" x14ac:dyDescent="0.55000000000000004">
      <c r="A286" t="s">
        <v>580</v>
      </c>
      <c r="B286" t="s">
        <v>581</v>
      </c>
      <c r="C286" t="s">
        <v>2</v>
      </c>
      <c r="D286">
        <v>8.2200000000000006</v>
      </c>
      <c r="E286">
        <f>323619776/(1000)</f>
        <v>323619.77600000001</v>
      </c>
      <c r="F286">
        <f>1229956096/(1000)</f>
        <v>1229956.0959999999</v>
      </c>
      <c r="G286">
        <f>52507000/(1000)</f>
        <v>52507</v>
      </c>
      <c r="H286">
        <f>460581776/(1000)</f>
        <v>460581.77600000001</v>
      </c>
      <c r="I286">
        <f>119795000/(1000)</f>
        <v>119795</v>
      </c>
      <c r="J286">
        <f t="shared" si="4"/>
        <v>3.8447495805334114E-3</v>
      </c>
      <c r="K286">
        <f>32218003/(1000)</f>
        <v>32218.003000000001</v>
      </c>
      <c r="L286">
        <v>23.888866424560501</v>
      </c>
      <c r="M286">
        <v>4.8784551620483398</v>
      </c>
      <c r="N286">
        <v>98.020562572349505</v>
      </c>
      <c r="O286">
        <v>34.532180786132798</v>
      </c>
      <c r="P286">
        <v>0</v>
      </c>
      <c r="Q286">
        <v>0</v>
      </c>
      <c r="R286">
        <v>12.049994660743801</v>
      </c>
      <c r="S286">
        <v>98.9631134714392</v>
      </c>
      <c r="T286">
        <v>0</v>
      </c>
      <c r="U286">
        <v>0</v>
      </c>
      <c r="V286">
        <v>0</v>
      </c>
      <c r="W286">
        <v>0</v>
      </c>
    </row>
    <row r="287" spans="1:23" x14ac:dyDescent="0.55000000000000004">
      <c r="A287" t="s">
        <v>582</v>
      </c>
      <c r="B287" t="s">
        <v>583</v>
      </c>
      <c r="C287" t="s">
        <v>38</v>
      </c>
      <c r="D287">
        <v>29.26</v>
      </c>
      <c r="E287">
        <f>843454656/(1000)</f>
        <v>843454.65599999996</v>
      </c>
      <c r="F287">
        <f>1229297024/(1000)</f>
        <v>1229297.024</v>
      </c>
      <c r="G287">
        <f>79663000/(1000)</f>
        <v>79663</v>
      </c>
      <c r="H287">
        <f>1042951648/(1000)</f>
        <v>1042951.648</v>
      </c>
      <c r="I287">
        <f>99677000/(1000)</f>
        <v>99677</v>
      </c>
      <c r="J287">
        <f t="shared" si="4"/>
        <v>1.04633129809284E-2</v>
      </c>
      <c r="K287">
        <f>38607001/(1000)</f>
        <v>38607.000999999997</v>
      </c>
      <c r="L287">
        <v>20.324897766113299</v>
      </c>
      <c r="M287">
        <v>10.983782768249499</v>
      </c>
      <c r="N287">
        <v>92.928653617482595</v>
      </c>
      <c r="O287">
        <v>95.847930908203097</v>
      </c>
      <c r="P287">
        <v>0</v>
      </c>
      <c r="Q287">
        <v>1.9750253835731</v>
      </c>
      <c r="R287">
        <v>19.770270568239098</v>
      </c>
      <c r="S287">
        <v>59.960369185834502</v>
      </c>
      <c r="T287">
        <v>0</v>
      </c>
      <c r="U287">
        <v>0</v>
      </c>
      <c r="V287">
        <v>0</v>
      </c>
      <c r="W287">
        <v>0</v>
      </c>
    </row>
    <row r="288" spans="1:23" x14ac:dyDescent="0.55000000000000004">
      <c r="A288" t="s">
        <v>584</v>
      </c>
      <c r="B288" t="s">
        <v>585</v>
      </c>
      <c r="C288" t="s">
        <v>38</v>
      </c>
      <c r="D288">
        <v>15.67</v>
      </c>
      <c r="E288">
        <f>477394368/(1000)</f>
        <v>477394.36800000002</v>
      </c>
      <c r="F288">
        <f>1217799936/(1000)</f>
        <v>1217799.936</v>
      </c>
      <c r="G288">
        <f>27400000/(1000)</f>
        <v>27400</v>
      </c>
      <c r="H288">
        <f>674794368/(1000)</f>
        <v>674794.36800000002</v>
      </c>
      <c r="I288">
        <f>47800000/(1000)</f>
        <v>47800</v>
      </c>
      <c r="J288">
        <f t="shared" si="4"/>
        <v>1.4117036987447699E-2</v>
      </c>
      <c r="K288">
        <f>19600001/(1000)</f>
        <v>19600.001</v>
      </c>
      <c r="L288">
        <v>0</v>
      </c>
      <c r="M288">
        <v>0</v>
      </c>
      <c r="N288">
        <v>97.496841079301802</v>
      </c>
      <c r="O288">
        <v>79.719390869140597</v>
      </c>
      <c r="P288">
        <v>0</v>
      </c>
      <c r="Q288">
        <v>1.45903169555305</v>
      </c>
      <c r="R288">
        <v>17.606741646965698</v>
      </c>
      <c r="S288">
        <v>0</v>
      </c>
      <c r="T288">
        <v>0</v>
      </c>
      <c r="U288">
        <v>0</v>
      </c>
      <c r="V288">
        <v>0</v>
      </c>
      <c r="W288">
        <v>0</v>
      </c>
    </row>
    <row r="289" spans="1:23" x14ac:dyDescent="0.55000000000000004">
      <c r="A289" t="s">
        <v>586</v>
      </c>
      <c r="B289" t="s">
        <v>587</v>
      </c>
      <c r="C289" t="s">
        <v>81</v>
      </c>
      <c r="D289">
        <v>6.76</v>
      </c>
      <c r="E289">
        <f>732530496/(1000)</f>
        <v>732530.49600000004</v>
      </c>
      <c r="F289">
        <f>1215993984/(1000)</f>
        <v>1215993.9839999999</v>
      </c>
      <c r="G289">
        <f>117665000/(1000)</f>
        <v>117665</v>
      </c>
      <c r="H289">
        <f>558741488/(1000)</f>
        <v>558741.48800000001</v>
      </c>
      <c r="I289">
        <f>171834000/(1000)</f>
        <v>171834</v>
      </c>
      <c r="J289">
        <f t="shared" si="4"/>
        <v>3.2516352293492558E-3</v>
      </c>
      <c r="K289">
        <f>35311001/(1000)</f>
        <v>35311.000999999997</v>
      </c>
      <c r="L289">
        <v>0</v>
      </c>
      <c r="M289">
        <v>-37.519802093505902</v>
      </c>
      <c r="N289">
        <v>97.924463731994507</v>
      </c>
      <c r="O289">
        <v>98.958587646484403</v>
      </c>
      <c r="P289">
        <v>0</v>
      </c>
      <c r="Q289">
        <v>0</v>
      </c>
      <c r="R289">
        <v>3.33366226898938</v>
      </c>
      <c r="S289">
        <v>-10.418806410499601</v>
      </c>
      <c r="T289">
        <v>0</v>
      </c>
      <c r="U289">
        <v>0</v>
      </c>
      <c r="V289">
        <v>0</v>
      </c>
      <c r="W289">
        <v>0</v>
      </c>
    </row>
    <row r="290" spans="1:23" x14ac:dyDescent="0.55000000000000004">
      <c r="A290" t="s">
        <v>588</v>
      </c>
      <c r="B290" t="s">
        <v>589</v>
      </c>
      <c r="C290" t="s">
        <v>31</v>
      </c>
      <c r="D290">
        <v>4.01</v>
      </c>
      <c r="E290">
        <f>53825828/(1000)</f>
        <v>53825.828000000001</v>
      </c>
      <c r="F290">
        <f>1215432960/(1000)</f>
        <v>1215432.96</v>
      </c>
      <c r="G290">
        <f>24318000/(1000)</f>
        <v>24318</v>
      </c>
      <c r="H290">
        <f>108458828/(1000)</f>
        <v>108458.82799999999</v>
      </c>
      <c r="I290">
        <f>28675000/(1000)</f>
        <v>28675</v>
      </c>
      <c r="J290">
        <f t="shared" si="4"/>
        <v>3.7823479686137748E-3</v>
      </c>
      <c r="K290">
        <f>27215001/(1000)</f>
        <v>27215.001</v>
      </c>
      <c r="L290">
        <v>0</v>
      </c>
      <c r="M290">
        <v>17.1334533691406</v>
      </c>
      <c r="N290">
        <v>75.976874208477497</v>
      </c>
      <c r="O290">
        <v>70.254898071289105</v>
      </c>
      <c r="P290">
        <v>0</v>
      </c>
      <c r="Q290">
        <v>0</v>
      </c>
      <c r="R290">
        <v>4.1770836002801301</v>
      </c>
      <c r="S290">
        <v>0</v>
      </c>
      <c r="T290">
        <v>0</v>
      </c>
      <c r="U290">
        <v>0</v>
      </c>
      <c r="V290">
        <v>0</v>
      </c>
      <c r="W290">
        <v>0</v>
      </c>
    </row>
    <row r="291" spans="1:23" x14ac:dyDescent="0.55000000000000004">
      <c r="A291" t="s">
        <v>590</v>
      </c>
      <c r="B291" t="s">
        <v>591</v>
      </c>
      <c r="C291" t="s">
        <v>2</v>
      </c>
      <c r="D291">
        <v>3.49</v>
      </c>
      <c r="E291">
        <f>104707328/(1000)</f>
        <v>104707.32799999999</v>
      </c>
      <c r="F291">
        <f>1206514944/(1000)</f>
        <v>1206514.9439999999</v>
      </c>
      <c r="G291">
        <f>95173000/(1000)</f>
        <v>95173</v>
      </c>
      <c r="H291">
        <f>710118336/(1000)</f>
        <v>710118.33600000001</v>
      </c>
      <c r="I291">
        <f>160534000/(1000)</f>
        <v>160534</v>
      </c>
      <c r="J291">
        <f t="shared" si="4"/>
        <v>4.423476248022226E-3</v>
      </c>
      <c r="K291">
        <f>23410001/(1000)</f>
        <v>23410.001</v>
      </c>
      <c r="L291">
        <v>0</v>
      </c>
      <c r="M291">
        <v>15.906629562377899</v>
      </c>
      <c r="N291">
        <v>89.249419234556996</v>
      </c>
      <c r="O291">
        <v>374.57205200195301</v>
      </c>
      <c r="P291">
        <v>11</v>
      </c>
      <c r="Q291">
        <v>0.62130600175448103</v>
      </c>
      <c r="R291">
        <v>2.7480313997491499</v>
      </c>
      <c r="S291">
        <v>49.984951219754798</v>
      </c>
      <c r="T291">
        <v>0</v>
      </c>
      <c r="U291">
        <v>0</v>
      </c>
      <c r="V291">
        <v>0</v>
      </c>
      <c r="W291">
        <v>0</v>
      </c>
    </row>
    <row r="292" spans="1:23" x14ac:dyDescent="0.55000000000000004">
      <c r="A292" t="s">
        <v>592</v>
      </c>
      <c r="B292" t="s">
        <v>593</v>
      </c>
      <c r="C292" t="s">
        <v>81</v>
      </c>
      <c r="D292">
        <v>29.89</v>
      </c>
      <c r="E292">
        <f>1753619456/(1000)</f>
        <v>1753619.456</v>
      </c>
      <c r="F292">
        <f>1205340032/(1000)</f>
        <v>1205340.0319999999</v>
      </c>
      <c r="G292">
        <f>76965000/(1000)</f>
        <v>76965</v>
      </c>
      <c r="H292">
        <f>1542168448/(1000)</f>
        <v>1542168.4480000001</v>
      </c>
      <c r="I292">
        <f>98512000/(1000)</f>
        <v>98512</v>
      </c>
      <c r="J292">
        <f t="shared" si="4"/>
        <v>1.565462530453143E-2</v>
      </c>
      <c r="K292">
        <f>247567009/(1000)</f>
        <v>247567.00899999999</v>
      </c>
      <c r="L292">
        <v>46.439502716064503</v>
      </c>
      <c r="M292">
        <v>15.8473768234253</v>
      </c>
      <c r="N292">
        <v>95.195082875518196</v>
      </c>
      <c r="O292">
        <v>0</v>
      </c>
      <c r="P292">
        <v>0</v>
      </c>
      <c r="Q292">
        <v>5.7702703436642802</v>
      </c>
      <c r="R292">
        <v>26.687499696488601</v>
      </c>
      <c r="S292">
        <v>688.80412549245398</v>
      </c>
      <c r="T292">
        <v>0</v>
      </c>
      <c r="U292">
        <v>0</v>
      </c>
      <c r="V292">
        <v>0</v>
      </c>
      <c r="W292">
        <v>0</v>
      </c>
    </row>
    <row r="293" spans="1:23" x14ac:dyDescent="0.55000000000000004">
      <c r="A293" t="s">
        <v>594</v>
      </c>
      <c r="B293" t="s">
        <v>595</v>
      </c>
      <c r="C293" t="s">
        <v>94</v>
      </c>
      <c r="D293">
        <v>23.47</v>
      </c>
      <c r="E293">
        <f>842814784/(1000)</f>
        <v>842814.78399999999</v>
      </c>
      <c r="F293">
        <f>1200060032/(1000)</f>
        <v>1200060.0319999999</v>
      </c>
      <c r="G293">
        <f>140092992/(1000)</f>
        <v>140092.992</v>
      </c>
      <c r="H293">
        <f>1681773760/(1000)</f>
        <v>1681773.76</v>
      </c>
      <c r="I293">
        <f>231240992/(1000)</f>
        <v>231240.992</v>
      </c>
      <c r="J293">
        <f t="shared" si="4"/>
        <v>7.2728184802113285E-3</v>
      </c>
      <c r="K293">
        <f>84880001/(1000)</f>
        <v>84880.001000000004</v>
      </c>
      <c r="L293">
        <v>0</v>
      </c>
      <c r="M293">
        <v>6.7941207885742196</v>
      </c>
      <c r="N293">
        <v>99.164581753981196</v>
      </c>
      <c r="O293">
        <v>102.836372375488</v>
      </c>
      <c r="P293">
        <v>1.3200000524520901</v>
      </c>
      <c r="Q293">
        <v>0</v>
      </c>
      <c r="R293">
        <v>14.1385542144341</v>
      </c>
      <c r="S293">
        <v>53.118879634166298</v>
      </c>
      <c r="T293">
        <v>0</v>
      </c>
      <c r="U293">
        <v>0</v>
      </c>
      <c r="V293">
        <v>0</v>
      </c>
      <c r="W293">
        <v>0</v>
      </c>
    </row>
    <row r="294" spans="1:23" x14ac:dyDescent="0.55000000000000004">
      <c r="A294" t="s">
        <v>596</v>
      </c>
      <c r="B294" t="s">
        <v>597</v>
      </c>
      <c r="C294" t="s">
        <v>5</v>
      </c>
      <c r="D294">
        <v>10.93</v>
      </c>
      <c r="E294">
        <f>764467136/(1000)</f>
        <v>764467.13600000006</v>
      </c>
      <c r="F294">
        <f>1199373952/(1000)</f>
        <v>1199373.952</v>
      </c>
      <c r="G294">
        <f>-6386000/(1000)</f>
        <v>-6386</v>
      </c>
      <c r="H294">
        <f>652055136/(1000)</f>
        <v>652055.13600000006</v>
      </c>
      <c r="I294">
        <f>26935000/(1000)</f>
        <v>26935</v>
      </c>
      <c r="J294">
        <f t="shared" si="4"/>
        <v>2.4208469871913871E-2</v>
      </c>
      <c r="K294">
        <f>-9191999/(1000)</f>
        <v>-9191.9989999999998</v>
      </c>
      <c r="L294">
        <v>0</v>
      </c>
      <c r="M294">
        <v>0.55330401659011796</v>
      </c>
      <c r="N294">
        <v>66.720901502500496</v>
      </c>
      <c r="O294">
        <v>1.5122770071029701</v>
      </c>
      <c r="P294">
        <v>0</v>
      </c>
      <c r="Q294">
        <v>1.4103226200226799</v>
      </c>
      <c r="R294">
        <v>697.02195690721805</v>
      </c>
      <c r="S294">
        <v>0</v>
      </c>
      <c r="T294">
        <v>0</v>
      </c>
      <c r="U294">
        <v>0</v>
      </c>
      <c r="V294">
        <v>0</v>
      </c>
      <c r="W294">
        <v>0</v>
      </c>
    </row>
    <row r="295" spans="1:23" x14ac:dyDescent="0.55000000000000004">
      <c r="A295" t="s">
        <v>598</v>
      </c>
      <c r="B295" t="s">
        <v>599</v>
      </c>
      <c r="C295" t="s">
        <v>20</v>
      </c>
      <c r="D295">
        <v>21.04</v>
      </c>
      <c r="E295">
        <f>1029661824/(1000)</f>
        <v>1029661.824</v>
      </c>
      <c r="F295">
        <f>1198972032/(1000)</f>
        <v>1198972.0319999999</v>
      </c>
      <c r="G295">
        <f>138780000/(1000)</f>
        <v>138780</v>
      </c>
      <c r="H295">
        <f>966076824/(1000)</f>
        <v>966076.82400000002</v>
      </c>
      <c r="I295">
        <f>161570992/(1000)</f>
        <v>161570.992</v>
      </c>
      <c r="J295">
        <f t="shared" si="4"/>
        <v>5.9792714771473342E-3</v>
      </c>
      <c r="K295">
        <f>105409001/(1000)</f>
        <v>105409.001</v>
      </c>
      <c r="L295">
        <v>17.467445373535199</v>
      </c>
      <c r="M295">
        <v>18.8919792175293</v>
      </c>
      <c r="N295">
        <v>97.015423392311206</v>
      </c>
      <c r="O295">
        <v>2.2413260936737101</v>
      </c>
      <c r="P295">
        <v>0.43999999761581399</v>
      </c>
      <c r="Q295">
        <v>2.3587444770817698</v>
      </c>
      <c r="R295">
        <v>11.073684483948201</v>
      </c>
      <c r="S295">
        <v>44.959891769525498</v>
      </c>
      <c r="T295">
        <v>0</v>
      </c>
      <c r="U295">
        <v>0</v>
      </c>
      <c r="V295">
        <v>0</v>
      </c>
      <c r="W295">
        <v>0</v>
      </c>
    </row>
    <row r="296" spans="1:23" x14ac:dyDescent="0.55000000000000004">
      <c r="A296" t="s">
        <v>600</v>
      </c>
      <c r="B296" t="s">
        <v>601</v>
      </c>
      <c r="C296" t="s">
        <v>5</v>
      </c>
      <c r="D296">
        <v>51.39</v>
      </c>
      <c r="E296">
        <f>811093504/(1000)</f>
        <v>811093.50399999996</v>
      </c>
      <c r="F296">
        <f>1196756992/(1000)</f>
        <v>1196756.9920000001</v>
      </c>
      <c r="G296">
        <f>79268000/(1000)</f>
        <v>79268</v>
      </c>
      <c r="H296">
        <f>1277662496/(1000)</f>
        <v>1277662.496</v>
      </c>
      <c r="I296">
        <f>115191000/(1000)</f>
        <v>115191</v>
      </c>
      <c r="J296">
        <f t="shared" si="4"/>
        <v>1.1091686815810263E-2</v>
      </c>
      <c r="K296">
        <f>-50551999/(1000)</f>
        <v>-50551.999000000003</v>
      </c>
      <c r="L296">
        <v>17.39306640625</v>
      </c>
      <c r="M296">
        <v>8.2308092117309606</v>
      </c>
      <c r="N296">
        <v>99.653425957323904</v>
      </c>
      <c r="O296">
        <v>81.828720092773395</v>
      </c>
      <c r="P296">
        <v>2.1600000858306898</v>
      </c>
      <c r="Q296">
        <v>0</v>
      </c>
      <c r="R296">
        <v>22.839999274942599</v>
      </c>
      <c r="S296">
        <v>71.9871279104119</v>
      </c>
      <c r="T296">
        <v>0</v>
      </c>
      <c r="U296">
        <v>0</v>
      </c>
      <c r="V296">
        <v>0</v>
      </c>
      <c r="W296">
        <v>0</v>
      </c>
    </row>
    <row r="297" spans="1:23" x14ac:dyDescent="0.55000000000000004">
      <c r="A297" t="s">
        <v>602</v>
      </c>
      <c r="B297" t="s">
        <v>603</v>
      </c>
      <c r="C297" t="s">
        <v>20</v>
      </c>
      <c r="D297">
        <v>2.3199999999999998</v>
      </c>
      <c r="E297">
        <f>139529440/(1000)</f>
        <v>139529.44</v>
      </c>
      <c r="F297">
        <f>1194944000/(1000)</f>
        <v>1194944</v>
      </c>
      <c r="G297">
        <f>44880000/(1000)</f>
        <v>44880</v>
      </c>
      <c r="H297">
        <f>119377440/(1000)</f>
        <v>119377.44</v>
      </c>
      <c r="I297">
        <f>83380000/(1000)</f>
        <v>83380</v>
      </c>
      <c r="J297">
        <f t="shared" si="4"/>
        <v>1.4317275125929482E-3</v>
      </c>
      <c r="K297">
        <f>8092004/(1000)</f>
        <v>8092.0039999999999</v>
      </c>
      <c r="L297">
        <v>0</v>
      </c>
      <c r="M297">
        <v>-2.02055096626282</v>
      </c>
      <c r="N297">
        <v>43.9730982532895</v>
      </c>
      <c r="O297">
        <v>10.626727104186999</v>
      </c>
      <c r="P297">
        <v>0</v>
      </c>
      <c r="Q297">
        <v>0</v>
      </c>
      <c r="R297">
        <v>7.1060139696214097</v>
      </c>
      <c r="S297">
        <v>28.2358501172845</v>
      </c>
      <c r="T297">
        <v>0</v>
      </c>
      <c r="U297">
        <v>0</v>
      </c>
      <c r="V297">
        <v>0</v>
      </c>
      <c r="W297">
        <v>0</v>
      </c>
    </row>
    <row r="298" spans="1:23" x14ac:dyDescent="0.55000000000000004">
      <c r="A298" t="s">
        <v>604</v>
      </c>
      <c r="B298" t="s">
        <v>605</v>
      </c>
      <c r="C298" t="s">
        <v>5</v>
      </c>
      <c r="D298">
        <v>3.04</v>
      </c>
      <c r="E298">
        <f>120640272/(1000)</f>
        <v>120640.272</v>
      </c>
      <c r="F298">
        <f>1194293888/(1000)</f>
        <v>1194293.888</v>
      </c>
      <c r="G298">
        <f>120591000/(1000)</f>
        <v>120591</v>
      </c>
      <c r="H298">
        <f>374254272/(1000)</f>
        <v>374254.272</v>
      </c>
      <c r="I298">
        <f>165904000/(1000)</f>
        <v>165904</v>
      </c>
      <c r="J298">
        <f t="shared" si="4"/>
        <v>2.2558483942520975E-3</v>
      </c>
      <c r="K298">
        <f>95098001/(1000)</f>
        <v>95098.001000000004</v>
      </c>
      <c r="L298">
        <v>19.827396392822301</v>
      </c>
      <c r="M298">
        <v>7.0520968437194798</v>
      </c>
      <c r="N298">
        <v>98.720150095150402</v>
      </c>
      <c r="O298">
        <v>46.647720336914098</v>
      </c>
      <c r="P298">
        <v>0</v>
      </c>
      <c r="Q298">
        <v>0.14855863214269999</v>
      </c>
      <c r="R298">
        <v>1.38181819068499</v>
      </c>
      <c r="S298">
        <v>230.764271165189</v>
      </c>
      <c r="T298">
        <v>0</v>
      </c>
      <c r="U298">
        <v>0</v>
      </c>
      <c r="V298">
        <v>0</v>
      </c>
      <c r="W298">
        <v>0</v>
      </c>
    </row>
    <row r="299" spans="1:23" x14ac:dyDescent="0.55000000000000004">
      <c r="A299" t="s">
        <v>606</v>
      </c>
      <c r="B299" t="s">
        <v>607</v>
      </c>
      <c r="C299" t="s">
        <v>5</v>
      </c>
      <c r="D299">
        <v>17.7</v>
      </c>
      <c r="E299">
        <f>991014144/(1000)</f>
        <v>991014.14399999997</v>
      </c>
      <c r="F299">
        <f>1189560064/(1000)</f>
        <v>1189560.064</v>
      </c>
      <c r="G299">
        <f>0/(1000)</f>
        <v>0</v>
      </c>
      <c r="H299">
        <f>732882144/(1000)</f>
        <v>732882.14399999997</v>
      </c>
      <c r="I299">
        <f>0/(1000)</f>
        <v>0</v>
      </c>
      <c r="J299">
        <f t="shared" si="4"/>
        <v>1</v>
      </c>
      <c r="K299">
        <f>443299009/(1000)</f>
        <v>443299.00900000002</v>
      </c>
      <c r="L299">
        <v>33.2415771484375</v>
      </c>
      <c r="M299">
        <v>20.393650054931602</v>
      </c>
      <c r="N299">
        <v>100.00000332486</v>
      </c>
      <c r="O299">
        <v>27.1343288421631</v>
      </c>
      <c r="P299">
        <v>0.36000001430511502</v>
      </c>
      <c r="Q299">
        <v>0.79880855705526999</v>
      </c>
      <c r="R299">
        <v>0</v>
      </c>
      <c r="S299">
        <v>139.78811501185299</v>
      </c>
      <c r="T299">
        <v>0</v>
      </c>
      <c r="U299">
        <v>0</v>
      </c>
      <c r="V299">
        <v>0</v>
      </c>
      <c r="W299">
        <v>0</v>
      </c>
    </row>
    <row r="300" spans="1:23" x14ac:dyDescent="0.55000000000000004">
      <c r="A300" t="s">
        <v>608</v>
      </c>
      <c r="B300" t="s">
        <v>609</v>
      </c>
      <c r="C300" t="s">
        <v>31</v>
      </c>
      <c r="D300">
        <v>17.829999999999998</v>
      </c>
      <c r="E300">
        <f>1677193216/(1000)</f>
        <v>1677193.216</v>
      </c>
      <c r="F300">
        <f>1189197952/(1000)</f>
        <v>1189197.952</v>
      </c>
      <c r="G300">
        <f>142206000/(1000)</f>
        <v>142206</v>
      </c>
      <c r="H300">
        <f>1956522208/(1000)</f>
        <v>1956522.2080000001</v>
      </c>
      <c r="I300">
        <f>168595008/(1000)</f>
        <v>168595.008</v>
      </c>
      <c r="J300">
        <f t="shared" si="4"/>
        <v>1.1604864409745751E-2</v>
      </c>
      <c r="K300">
        <f>124163001/(1000)</f>
        <v>124163.001</v>
      </c>
      <c r="L300">
        <v>30.951484680175799</v>
      </c>
      <c r="M300">
        <v>335.73580932617199</v>
      </c>
      <c r="N300">
        <v>97.766240813314994</v>
      </c>
      <c r="O300">
        <v>2251.68579101563</v>
      </c>
      <c r="P300">
        <v>0</v>
      </c>
      <c r="Q300">
        <v>0</v>
      </c>
      <c r="R300">
        <v>17.829999658018401</v>
      </c>
      <c r="S300">
        <v>33.980092209467401</v>
      </c>
      <c r="T300">
        <v>0</v>
      </c>
      <c r="U300">
        <v>0</v>
      </c>
      <c r="V300">
        <v>0</v>
      </c>
      <c r="W300">
        <v>0</v>
      </c>
    </row>
    <row r="301" spans="1:23" x14ac:dyDescent="0.55000000000000004">
      <c r="A301" t="s">
        <v>610</v>
      </c>
      <c r="B301" t="s">
        <v>611</v>
      </c>
      <c r="C301" t="s">
        <v>2</v>
      </c>
      <c r="D301">
        <v>12.94</v>
      </c>
      <c r="E301">
        <f>244597040/(1000)</f>
        <v>244597.04</v>
      </c>
      <c r="F301">
        <f>1187298944/(1000)</f>
        <v>1187298.9439999999</v>
      </c>
      <c r="G301">
        <f>46836000/(1000)</f>
        <v>46836</v>
      </c>
      <c r="H301">
        <f>168728040/(1000)</f>
        <v>168728.04</v>
      </c>
      <c r="I301">
        <f>57749000/(1000)</f>
        <v>57749</v>
      </c>
      <c r="J301">
        <f t="shared" si="4"/>
        <v>2.9217482553810458E-3</v>
      </c>
      <c r="K301">
        <f>48978001/(1000)</f>
        <v>48978.000999999997</v>
      </c>
      <c r="L301">
        <v>29.209266662597699</v>
      </c>
      <c r="M301">
        <v>10.7840023040771</v>
      </c>
      <c r="N301">
        <v>64.554768732049595</v>
      </c>
      <c r="O301">
        <v>0.29046699404716497</v>
      </c>
      <c r="P301">
        <v>0.519999980926514</v>
      </c>
      <c r="Q301">
        <v>0</v>
      </c>
      <c r="R301">
        <v>8.1383644976592695</v>
      </c>
      <c r="S301">
        <v>1.5241027686352799</v>
      </c>
      <c r="T301">
        <v>0</v>
      </c>
      <c r="U301">
        <v>0</v>
      </c>
      <c r="V301">
        <v>0</v>
      </c>
      <c r="W301">
        <v>0</v>
      </c>
    </row>
    <row r="302" spans="1:23" x14ac:dyDescent="0.55000000000000004">
      <c r="A302" t="s">
        <v>612</v>
      </c>
      <c r="B302" t="s">
        <v>613</v>
      </c>
      <c r="C302" t="s">
        <v>5</v>
      </c>
      <c r="D302">
        <v>1.95</v>
      </c>
      <c r="E302">
        <f>159166800/(1000)</f>
        <v>159166.79999999999</v>
      </c>
      <c r="F302">
        <f>1185163904/(1000)</f>
        <v>1185163.9040000001</v>
      </c>
      <c r="G302">
        <f>0/(1000)</f>
        <v>0</v>
      </c>
      <c r="H302">
        <f>-21897232/(1000)</f>
        <v>-21897.232</v>
      </c>
      <c r="I302">
        <f>0/(1000)</f>
        <v>0</v>
      </c>
      <c r="J302">
        <f t="shared" si="4"/>
        <v>1</v>
      </c>
      <c r="K302">
        <f>539962945/(1000)</f>
        <v>539962.94499999995</v>
      </c>
      <c r="L302">
        <v>0</v>
      </c>
      <c r="M302">
        <v>-30.1017246246338</v>
      </c>
      <c r="N302">
        <v>99.225227206384801</v>
      </c>
      <c r="O302">
        <v>19.7612609863281</v>
      </c>
      <c r="P302">
        <v>9.9999997764830002E-3</v>
      </c>
      <c r="Q302">
        <v>0.118541030835507</v>
      </c>
      <c r="R302">
        <v>0</v>
      </c>
      <c r="S302">
        <v>10.0290750009536</v>
      </c>
      <c r="T302">
        <v>0</v>
      </c>
      <c r="U302">
        <v>0</v>
      </c>
      <c r="V302">
        <v>0</v>
      </c>
      <c r="W302">
        <v>0</v>
      </c>
    </row>
    <row r="303" spans="1:23" x14ac:dyDescent="0.55000000000000004">
      <c r="A303" t="s">
        <v>614</v>
      </c>
      <c r="B303" t="s">
        <v>615</v>
      </c>
      <c r="C303" t="s">
        <v>2</v>
      </c>
      <c r="D303">
        <v>18.96</v>
      </c>
      <c r="E303">
        <f>436686720/(1000)</f>
        <v>436686.72</v>
      </c>
      <c r="F303">
        <f>1184786048/(1000)</f>
        <v>1184786.048</v>
      </c>
      <c r="G303">
        <f>50935000/(1000)</f>
        <v>50935</v>
      </c>
      <c r="H303">
        <f>428905722/(1000)</f>
        <v>428905.72200000001</v>
      </c>
      <c r="I303">
        <f>64754000/(1000)</f>
        <v>64754</v>
      </c>
      <c r="J303">
        <f t="shared" si="4"/>
        <v>6.6236174135960715E-3</v>
      </c>
      <c r="K303">
        <f>56294005/(1000)</f>
        <v>56294.004999999997</v>
      </c>
      <c r="L303">
        <v>11.167417526245099</v>
      </c>
      <c r="M303">
        <v>9.0298929214477504</v>
      </c>
      <c r="N303">
        <v>78.634075737940293</v>
      </c>
      <c r="O303">
        <v>28.4278354644775</v>
      </c>
      <c r="P303">
        <v>7.9999998211861004E-2</v>
      </c>
      <c r="Q303">
        <v>1.16390411411213</v>
      </c>
      <c r="R303">
        <v>20.387096122946101</v>
      </c>
      <c r="S303">
        <v>315.41267036467798</v>
      </c>
      <c r="T303">
        <v>0</v>
      </c>
      <c r="U303">
        <v>0</v>
      </c>
      <c r="V303">
        <v>0</v>
      </c>
      <c r="W303">
        <v>0</v>
      </c>
    </row>
    <row r="304" spans="1:23" x14ac:dyDescent="0.55000000000000004">
      <c r="A304" t="s">
        <v>616</v>
      </c>
      <c r="B304" t="s">
        <v>617</v>
      </c>
      <c r="C304" t="s">
        <v>121</v>
      </c>
      <c r="D304">
        <v>23.88</v>
      </c>
      <c r="E304">
        <f>1154509568/(1000)</f>
        <v>1154509.568</v>
      </c>
      <c r="F304">
        <f>1184777984/(1000)</f>
        <v>1184777.9839999999</v>
      </c>
      <c r="G304">
        <f>147370000/(1000)</f>
        <v>147370</v>
      </c>
      <c r="H304">
        <f>1628298592/(1000)</f>
        <v>1628298.5919999999</v>
      </c>
      <c r="I304">
        <f>191682000/(1000)</f>
        <v>191682</v>
      </c>
      <c r="J304">
        <f t="shared" si="4"/>
        <v>8.4947913314760912E-3</v>
      </c>
      <c r="K304">
        <f>63244001/(1000)</f>
        <v>63244.000999999997</v>
      </c>
      <c r="L304">
        <v>14.999407768249499</v>
      </c>
      <c r="M304">
        <v>10.244941711425801</v>
      </c>
      <c r="N304">
        <v>97.396288311251396</v>
      </c>
      <c r="O304">
        <v>62.266075134277301</v>
      </c>
      <c r="P304">
        <v>0.75999999046325695</v>
      </c>
      <c r="Q304">
        <v>0</v>
      </c>
      <c r="R304">
        <v>12.908107903998101</v>
      </c>
      <c r="S304">
        <v>26.055496499694701</v>
      </c>
      <c r="T304">
        <v>0</v>
      </c>
      <c r="U304">
        <v>0</v>
      </c>
      <c r="V304">
        <v>0</v>
      </c>
      <c r="W304">
        <v>0</v>
      </c>
    </row>
    <row r="305" spans="1:23" x14ac:dyDescent="0.55000000000000004">
      <c r="A305" t="s">
        <v>618</v>
      </c>
      <c r="B305" t="s">
        <v>619</v>
      </c>
      <c r="C305" t="s">
        <v>2</v>
      </c>
      <c r="D305">
        <v>3.35</v>
      </c>
      <c r="E305">
        <f>85709416/(1000)</f>
        <v>85709.415999999997</v>
      </c>
      <c r="F305">
        <f>1179074944/(1000)</f>
        <v>1179074.9439999999</v>
      </c>
      <c r="G305">
        <f>26876000/(1000)</f>
        <v>26876</v>
      </c>
      <c r="H305">
        <f>42385416/(1000)</f>
        <v>42385.415999999997</v>
      </c>
      <c r="I305">
        <f>41865000/(1000)</f>
        <v>41865</v>
      </c>
      <c r="J305">
        <f t="shared" si="4"/>
        <v>1.0124308133285559E-3</v>
      </c>
      <c r="K305">
        <f>24491003/(1000)</f>
        <v>24491.003000000001</v>
      </c>
      <c r="L305">
        <v>0</v>
      </c>
      <c r="M305">
        <v>8.0664653778076207</v>
      </c>
      <c r="N305">
        <v>97.858893705135898</v>
      </c>
      <c r="O305">
        <v>0.12143000215292001</v>
      </c>
      <c r="P305">
        <v>0</v>
      </c>
      <c r="Q305">
        <v>0</v>
      </c>
      <c r="R305">
        <v>7.9761903566601804</v>
      </c>
      <c r="S305">
        <v>10.665647733915799</v>
      </c>
      <c r="T305">
        <v>0</v>
      </c>
      <c r="U305">
        <v>0</v>
      </c>
      <c r="V305">
        <v>0</v>
      </c>
      <c r="W305">
        <v>0</v>
      </c>
    </row>
    <row r="306" spans="1:23" x14ac:dyDescent="0.55000000000000004">
      <c r="A306" t="s">
        <v>620</v>
      </c>
      <c r="B306" t="s">
        <v>621</v>
      </c>
      <c r="C306" t="s">
        <v>121</v>
      </c>
      <c r="D306">
        <v>8.39</v>
      </c>
      <c r="E306">
        <f>94807000/(1000)</f>
        <v>94807</v>
      </c>
      <c r="F306">
        <f>1173325952/(1000)</f>
        <v>1173325.952</v>
      </c>
      <c r="G306">
        <f>52775000/(1000)</f>
        <v>52775</v>
      </c>
      <c r="H306">
        <f>0/(1000)</f>
        <v>0</v>
      </c>
      <c r="I306">
        <f>104100000/(1000)</f>
        <v>104100</v>
      </c>
      <c r="J306">
        <f t="shared" si="4"/>
        <v>0</v>
      </c>
      <c r="K306">
        <f>88137001/(1000)</f>
        <v>88137.001000000004</v>
      </c>
      <c r="L306">
        <v>0</v>
      </c>
      <c r="M306">
        <v>0</v>
      </c>
      <c r="N306">
        <v>99.991148754708107</v>
      </c>
      <c r="O306">
        <v>37.421375274658203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55000000000000004">
      <c r="A307" t="s">
        <v>622</v>
      </c>
      <c r="B307" t="s">
        <v>623</v>
      </c>
      <c r="C307" t="s">
        <v>5</v>
      </c>
      <c r="D307">
        <v>11.6</v>
      </c>
      <c r="E307">
        <f>187256480/(1000)</f>
        <v>187256.48</v>
      </c>
      <c r="F307">
        <f>1171923200/(1000)</f>
        <v>1171923.2</v>
      </c>
      <c r="G307">
        <f>111354376/(1000)</f>
        <v>111354.376</v>
      </c>
      <c r="H307">
        <f>1016908320/(1000)</f>
        <v>1016908.32</v>
      </c>
      <c r="I307">
        <f>177969280/(1000)</f>
        <v>177969.28</v>
      </c>
      <c r="J307">
        <f t="shared" si="4"/>
        <v>5.7139542285050545E-3</v>
      </c>
      <c r="K307">
        <f>-21044135/(1000)</f>
        <v>-21044.134999999998</v>
      </c>
      <c r="L307">
        <v>15.731341361999499</v>
      </c>
      <c r="M307">
        <v>4.46319580078125</v>
      </c>
      <c r="N307">
        <v>45.181135126985701</v>
      </c>
      <c r="O307">
        <v>280.42709350585898</v>
      </c>
      <c r="P307">
        <v>0</v>
      </c>
      <c r="Q307">
        <v>0</v>
      </c>
      <c r="R307">
        <v>7.3201361920620798</v>
      </c>
      <c r="S307">
        <v>30.971137469734298</v>
      </c>
      <c r="T307">
        <v>0</v>
      </c>
      <c r="U307">
        <v>0</v>
      </c>
      <c r="V307">
        <v>0</v>
      </c>
      <c r="W307">
        <v>0</v>
      </c>
    </row>
    <row r="308" spans="1:23" x14ac:dyDescent="0.55000000000000004">
      <c r="A308" t="s">
        <v>624</v>
      </c>
      <c r="B308" t="s">
        <v>625</v>
      </c>
      <c r="C308" t="s">
        <v>2</v>
      </c>
      <c r="D308">
        <v>7.39</v>
      </c>
      <c r="E308">
        <f>712115904/(1000)</f>
        <v>712115.90399999998</v>
      </c>
      <c r="F308">
        <f>1171100032/(1000)</f>
        <v>1171100.0319999999</v>
      </c>
      <c r="G308">
        <f>134800000/(1000)</f>
        <v>134800</v>
      </c>
      <c r="H308">
        <f>1058415904/(1000)</f>
        <v>1058415.9040000001</v>
      </c>
      <c r="I308">
        <f>174600000/(1000)</f>
        <v>174600</v>
      </c>
      <c r="J308">
        <f t="shared" si="4"/>
        <v>6.0619467583046972E-3</v>
      </c>
      <c r="K308">
        <f>-7099999/(1000)</f>
        <v>-7099.9989999999998</v>
      </c>
      <c r="L308">
        <v>0</v>
      </c>
      <c r="M308">
        <v>16.812946319580099</v>
      </c>
      <c r="N308">
        <v>98.349767475592401</v>
      </c>
      <c r="O308">
        <v>73.877456665039105</v>
      </c>
      <c r="P308">
        <v>0</v>
      </c>
      <c r="Q308">
        <v>1.3821686504149699</v>
      </c>
      <c r="R308">
        <v>8.3977271665103199</v>
      </c>
      <c r="S308">
        <v>37.646924306534999</v>
      </c>
      <c r="T308">
        <v>0</v>
      </c>
      <c r="U308">
        <v>0</v>
      </c>
      <c r="V308">
        <v>0</v>
      </c>
      <c r="W308">
        <v>0</v>
      </c>
    </row>
    <row r="309" spans="1:23" x14ac:dyDescent="0.55000000000000004">
      <c r="A309" t="s">
        <v>626</v>
      </c>
      <c r="B309" t="s">
        <v>627</v>
      </c>
      <c r="C309" t="s">
        <v>20</v>
      </c>
      <c r="D309">
        <v>7.84</v>
      </c>
      <c r="E309">
        <f>278820960/(1000)</f>
        <v>278820.96000000002</v>
      </c>
      <c r="F309">
        <f>1164950016/(1000)</f>
        <v>1164950.0160000001</v>
      </c>
      <c r="G309">
        <f>80065000/(1000)</f>
        <v>80065</v>
      </c>
      <c r="H309">
        <f>354088960/(1000)</f>
        <v>354088.96000000002</v>
      </c>
      <c r="I309">
        <f>112039000/(1000)</f>
        <v>112039</v>
      </c>
      <c r="J309">
        <f t="shared" si="4"/>
        <v>3.1604080721891487E-3</v>
      </c>
      <c r="K309">
        <f>82420001/(1000)</f>
        <v>82420.001000000004</v>
      </c>
      <c r="L309">
        <v>14.657773017883301</v>
      </c>
      <c r="M309">
        <v>3.3411738872528098</v>
      </c>
      <c r="N309">
        <v>71.532649693554404</v>
      </c>
      <c r="O309">
        <v>53.103309631347699</v>
      </c>
      <c r="P309">
        <v>1.08000004291534</v>
      </c>
      <c r="Q309">
        <v>0</v>
      </c>
      <c r="R309">
        <v>7.1366219400146704</v>
      </c>
      <c r="S309">
        <v>-9.5944941196804905</v>
      </c>
      <c r="T309">
        <v>0</v>
      </c>
      <c r="U309">
        <v>0</v>
      </c>
      <c r="V309">
        <v>0</v>
      </c>
      <c r="W309">
        <v>0</v>
      </c>
    </row>
    <row r="310" spans="1:23" x14ac:dyDescent="0.55000000000000004">
      <c r="A310" t="s">
        <v>628</v>
      </c>
      <c r="B310" t="s">
        <v>629</v>
      </c>
      <c r="C310" t="s">
        <v>38</v>
      </c>
      <c r="D310">
        <v>8.4600000000000009</v>
      </c>
      <c r="E310">
        <f>275584512/(1000)</f>
        <v>275584.51199999999</v>
      </c>
      <c r="F310">
        <f>1164022016/(1000)</f>
        <v>1164022.0160000001</v>
      </c>
      <c r="G310">
        <f>73241000/(1000)</f>
        <v>73241</v>
      </c>
      <c r="H310">
        <f>426197504/(1000)</f>
        <v>426197.50400000002</v>
      </c>
      <c r="I310">
        <f>84915000/(1000)</f>
        <v>84915</v>
      </c>
      <c r="J310">
        <f t="shared" si="4"/>
        <v>5.0191073897426844E-3</v>
      </c>
      <c r="K310">
        <f>70485001/(1000)</f>
        <v>70485.001000000004</v>
      </c>
      <c r="L310">
        <v>23.488519668579102</v>
      </c>
      <c r="M310">
        <v>14.03258228302</v>
      </c>
      <c r="N310">
        <v>98.805830379651098</v>
      </c>
      <c r="O310">
        <v>53.2245903015137</v>
      </c>
      <c r="P310">
        <v>0</v>
      </c>
      <c r="Q310">
        <v>0</v>
      </c>
      <c r="R310">
        <v>7.7614678994401798</v>
      </c>
      <c r="S310">
        <v>50.064137540060699</v>
      </c>
      <c r="T310">
        <v>0</v>
      </c>
      <c r="U310">
        <v>0</v>
      </c>
      <c r="V310">
        <v>0</v>
      </c>
      <c r="W310">
        <v>0</v>
      </c>
    </row>
    <row r="311" spans="1:23" x14ac:dyDescent="0.55000000000000004">
      <c r="A311" t="s">
        <v>630</v>
      </c>
      <c r="B311" t="s">
        <v>631</v>
      </c>
      <c r="C311" t="s">
        <v>38</v>
      </c>
      <c r="D311">
        <v>9.7100000000000009</v>
      </c>
      <c r="E311">
        <f>536777536/(1000)</f>
        <v>536777.53599999996</v>
      </c>
      <c r="F311">
        <f>1162969984/(1000)</f>
        <v>1162969.9839999999</v>
      </c>
      <c r="G311">
        <f>85806000/(1000)</f>
        <v>85806</v>
      </c>
      <c r="H311">
        <f>770844544/(1000)</f>
        <v>770844.54399999999</v>
      </c>
      <c r="I311">
        <f>123492000/(1000)</f>
        <v>123492</v>
      </c>
      <c r="J311">
        <f t="shared" si="4"/>
        <v>6.242060570725229E-3</v>
      </c>
      <c r="K311">
        <f>-51338999/(1000)</f>
        <v>-51338.999000000003</v>
      </c>
      <c r="L311">
        <v>0</v>
      </c>
      <c r="M311">
        <v>17.359848022460898</v>
      </c>
      <c r="N311">
        <v>97.040209048634907</v>
      </c>
      <c r="O311">
        <v>16.224096298217798</v>
      </c>
      <c r="P311">
        <v>0</v>
      </c>
      <c r="Q311">
        <v>1.2545220058506801</v>
      </c>
      <c r="R311">
        <v>10.221052639669301</v>
      </c>
      <c r="S311">
        <v>87.8135879903692</v>
      </c>
      <c r="T311">
        <v>0</v>
      </c>
      <c r="U311">
        <v>0</v>
      </c>
      <c r="V311">
        <v>0</v>
      </c>
      <c r="W311">
        <v>0</v>
      </c>
    </row>
    <row r="312" spans="1:23" x14ac:dyDescent="0.55000000000000004">
      <c r="A312" t="s">
        <v>632</v>
      </c>
      <c r="B312" t="s">
        <v>633</v>
      </c>
      <c r="C312" t="s">
        <v>81</v>
      </c>
      <c r="D312">
        <v>6.24</v>
      </c>
      <c r="E312">
        <f>395025696/(1000)</f>
        <v>395025.696</v>
      </c>
      <c r="F312">
        <f>1162886016/(1000)</f>
        <v>1162886.0160000001</v>
      </c>
      <c r="G312">
        <f>164927008/(1000)</f>
        <v>164927.008</v>
      </c>
      <c r="H312">
        <f>668508704/(1000)</f>
        <v>668508.70400000003</v>
      </c>
      <c r="I312">
        <f>201631008/(1000)</f>
        <v>201631.008</v>
      </c>
      <c r="J312">
        <f t="shared" si="4"/>
        <v>3.3155054405124037E-3</v>
      </c>
      <c r="K312">
        <f>114998001/(1000)</f>
        <v>114998.001</v>
      </c>
      <c r="L312">
        <v>19.8375053405762</v>
      </c>
      <c r="M312">
        <v>20.5412921905518</v>
      </c>
      <c r="N312">
        <v>64.452320739137306</v>
      </c>
      <c r="O312">
        <v>63.431430816650398</v>
      </c>
      <c r="P312">
        <v>3</v>
      </c>
      <c r="Q312">
        <v>1.1399341975172099</v>
      </c>
      <c r="R312">
        <v>5.3793103023034599</v>
      </c>
      <c r="S312">
        <v>27.961652548937899</v>
      </c>
      <c r="T312">
        <v>0</v>
      </c>
      <c r="U312">
        <v>0</v>
      </c>
      <c r="V312">
        <v>0</v>
      </c>
      <c r="W312">
        <v>0</v>
      </c>
    </row>
    <row r="313" spans="1:23" x14ac:dyDescent="0.55000000000000004">
      <c r="A313" t="s">
        <v>634</v>
      </c>
      <c r="B313" t="s">
        <v>635</v>
      </c>
      <c r="C313" t="s">
        <v>17</v>
      </c>
      <c r="D313">
        <v>27.24</v>
      </c>
      <c r="E313">
        <f>858983424/(1000)</f>
        <v>858983.424</v>
      </c>
      <c r="F313">
        <f>1157901952/(1000)</f>
        <v>1157901.952</v>
      </c>
      <c r="G313">
        <f>84944000/(1000)</f>
        <v>84944</v>
      </c>
      <c r="H313">
        <f>1408953408/(1000)</f>
        <v>1408953.4080000001</v>
      </c>
      <c r="I313">
        <f>119930000/(1000)</f>
        <v>119930</v>
      </c>
      <c r="J313">
        <f t="shared" si="4"/>
        <v>1.1748131476694739E-2</v>
      </c>
      <c r="K313">
        <f>76588001/(1000)</f>
        <v>76588.001000000004</v>
      </c>
      <c r="L313">
        <v>0</v>
      </c>
      <c r="M313">
        <v>6.9050178527831996</v>
      </c>
      <c r="N313">
        <v>95.270805894569307</v>
      </c>
      <c r="O313">
        <v>98.700164794921903</v>
      </c>
      <c r="P313">
        <v>0</v>
      </c>
      <c r="Q313">
        <v>0</v>
      </c>
      <c r="R313">
        <v>21.1162791508951</v>
      </c>
      <c r="S313">
        <v>0</v>
      </c>
      <c r="T313">
        <v>0</v>
      </c>
      <c r="U313">
        <v>0</v>
      </c>
      <c r="V313">
        <v>0</v>
      </c>
      <c r="W313">
        <v>0</v>
      </c>
    </row>
    <row r="314" spans="1:23" x14ac:dyDescent="0.55000000000000004">
      <c r="A314" t="s">
        <v>636</v>
      </c>
      <c r="B314" t="s">
        <v>637</v>
      </c>
      <c r="C314" t="s">
        <v>121</v>
      </c>
      <c r="D314">
        <v>9.3000000000000007</v>
      </c>
      <c r="E314">
        <f>421441600/(1000)</f>
        <v>421441.6</v>
      </c>
      <c r="F314">
        <f>1157767936/(1000)</f>
        <v>1157767.936</v>
      </c>
      <c r="G314">
        <f>40168000/(1000)</f>
        <v>40168</v>
      </c>
      <c r="H314">
        <f>719584576/(1000)</f>
        <v>719584.576</v>
      </c>
      <c r="I314">
        <f>96169000/(1000)</f>
        <v>96169</v>
      </c>
      <c r="J314">
        <f t="shared" si="4"/>
        <v>7.4825003483451015E-3</v>
      </c>
      <c r="K314">
        <f>71372001/(1000)</f>
        <v>71372.001000000004</v>
      </c>
      <c r="L314">
        <v>37.910335540771499</v>
      </c>
      <c r="M314">
        <v>14.6851816177368</v>
      </c>
      <c r="N314">
        <v>97.587403534657795</v>
      </c>
      <c r="O314">
        <v>65.7857666015625</v>
      </c>
      <c r="P314">
        <v>0.36000001430511502</v>
      </c>
      <c r="Q314">
        <v>0.80137876411692799</v>
      </c>
      <c r="R314">
        <v>9.0291264209780806</v>
      </c>
      <c r="S314">
        <v>110.441649897758</v>
      </c>
      <c r="T314">
        <v>0</v>
      </c>
      <c r="U314">
        <v>0</v>
      </c>
      <c r="V314">
        <v>0</v>
      </c>
      <c r="W314">
        <v>0</v>
      </c>
    </row>
    <row r="315" spans="1:23" x14ac:dyDescent="0.55000000000000004">
      <c r="A315" t="s">
        <v>638</v>
      </c>
      <c r="B315" t="s">
        <v>639</v>
      </c>
      <c r="C315" t="s">
        <v>17</v>
      </c>
      <c r="D315">
        <v>10.43</v>
      </c>
      <c r="E315">
        <f>673376448/(1000)</f>
        <v>673376.44799999997</v>
      </c>
      <c r="F315">
        <f>1157666944/(1000)</f>
        <v>1157666.9439999999</v>
      </c>
      <c r="G315">
        <f>90688000/(1000)</f>
        <v>90688</v>
      </c>
      <c r="H315">
        <f>758092440/(1000)</f>
        <v>758092.44</v>
      </c>
      <c r="I315">
        <f>123655000/(1000)</f>
        <v>123655</v>
      </c>
      <c r="J315">
        <f t="shared" si="4"/>
        <v>6.1307059156524195E-3</v>
      </c>
      <c r="K315">
        <f>25917001/(1000)</f>
        <v>25917.001</v>
      </c>
      <c r="L315">
        <v>20.5608100891113</v>
      </c>
      <c r="M315">
        <v>14.771990776061999</v>
      </c>
      <c r="N315">
        <v>75.314854187531495</v>
      </c>
      <c r="O315">
        <v>72.968521118164105</v>
      </c>
      <c r="P315">
        <v>0.43999999761581399</v>
      </c>
      <c r="Q315">
        <v>2.0653465170776601</v>
      </c>
      <c r="R315">
        <v>9.9333339341103297</v>
      </c>
      <c r="S315">
        <v>20.081585034387999</v>
      </c>
      <c r="T315">
        <v>0</v>
      </c>
      <c r="U315">
        <v>0</v>
      </c>
      <c r="V315">
        <v>0</v>
      </c>
      <c r="W315">
        <v>0</v>
      </c>
    </row>
    <row r="316" spans="1:23" x14ac:dyDescent="0.55000000000000004">
      <c r="A316" t="s">
        <v>640</v>
      </c>
      <c r="B316" t="s">
        <v>641</v>
      </c>
      <c r="C316" t="s">
        <v>5</v>
      </c>
      <c r="D316">
        <v>2.61</v>
      </c>
      <c r="E316">
        <f>284266336/(1000)</f>
        <v>284266.33600000001</v>
      </c>
      <c r="F316">
        <f>1152999936/(1000)</f>
        <v>1152999.936</v>
      </c>
      <c r="G316">
        <f>0/(1000)</f>
        <v>0</v>
      </c>
      <c r="H316">
        <f>0/(1000)</f>
        <v>0</v>
      </c>
      <c r="I316">
        <f>0/(1000)</f>
        <v>0</v>
      </c>
      <c r="J316">
        <f t="shared" si="4"/>
        <v>1</v>
      </c>
      <c r="K316">
        <f>86000001/(1000)</f>
        <v>86000.001000000004</v>
      </c>
      <c r="L316">
        <v>0</v>
      </c>
      <c r="M316">
        <v>0</v>
      </c>
      <c r="N316">
        <v>79.420793032033998</v>
      </c>
      <c r="O316">
        <v>541.124755859375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</row>
    <row r="317" spans="1:23" x14ac:dyDescent="0.55000000000000004">
      <c r="A317" t="s">
        <v>642</v>
      </c>
      <c r="B317" t="s">
        <v>643</v>
      </c>
      <c r="C317" t="s">
        <v>20</v>
      </c>
      <c r="D317">
        <v>26.6</v>
      </c>
      <c r="E317">
        <f>976749312/(1000)</f>
        <v>976749.31200000003</v>
      </c>
      <c r="F317">
        <f>1152156032/(1000)</f>
        <v>1152156.0319999999</v>
      </c>
      <c r="G317">
        <f>176830000/(1000)</f>
        <v>176830</v>
      </c>
      <c r="H317">
        <f>1393411328/(1000)</f>
        <v>1393411.328</v>
      </c>
      <c r="I317">
        <f>270624000/(1000)</f>
        <v>270624</v>
      </c>
      <c r="J317">
        <f t="shared" si="4"/>
        <v>5.1488830554570182E-3</v>
      </c>
      <c r="K317">
        <f>66104005/(1000)</f>
        <v>66104.005000000005</v>
      </c>
      <c r="L317">
        <v>27.482753753662099</v>
      </c>
      <c r="M317">
        <v>14.267723083496101</v>
      </c>
      <c r="N317">
        <v>82.528006519078104</v>
      </c>
      <c r="O317">
        <v>73.378974914550795</v>
      </c>
      <c r="P317">
        <v>0</v>
      </c>
      <c r="Q317">
        <v>1.30424122502748</v>
      </c>
      <c r="R317">
        <v>11.3740448592975</v>
      </c>
      <c r="S317">
        <v>62.184579074049701</v>
      </c>
      <c r="T317">
        <v>0</v>
      </c>
      <c r="U317">
        <v>0</v>
      </c>
      <c r="V317">
        <v>0</v>
      </c>
      <c r="W317">
        <v>0</v>
      </c>
    </row>
    <row r="318" spans="1:23" x14ac:dyDescent="0.55000000000000004">
      <c r="A318" t="s">
        <v>644</v>
      </c>
      <c r="B318" t="s">
        <v>645</v>
      </c>
      <c r="C318" t="s">
        <v>20</v>
      </c>
      <c r="D318">
        <v>2.85</v>
      </c>
      <c r="E318">
        <f>259881808/(1000)</f>
        <v>259881.80799999999</v>
      </c>
      <c r="F318">
        <f>1151472000/(1000)</f>
        <v>1151472</v>
      </c>
      <c r="G318">
        <f>-10669000/(1000)</f>
        <v>-10669</v>
      </c>
      <c r="H318">
        <f>187531808/(1000)</f>
        <v>187531.80799999999</v>
      </c>
      <c r="I318">
        <f>41784000/(1000)</f>
        <v>41784</v>
      </c>
      <c r="J318">
        <f t="shared" si="4"/>
        <v>4.4881248324717595E-3</v>
      </c>
      <c r="K318">
        <f>-68903999/(1000)</f>
        <v>-68903.998999999996</v>
      </c>
      <c r="L318">
        <v>0</v>
      </c>
      <c r="M318">
        <v>-0.80346298217773404</v>
      </c>
      <c r="N318">
        <v>81.525246274057693</v>
      </c>
      <c r="O318">
        <v>4.7925710678100604</v>
      </c>
      <c r="P318">
        <v>0</v>
      </c>
      <c r="Q318">
        <v>0.91639871407286799</v>
      </c>
      <c r="R318">
        <v>0</v>
      </c>
      <c r="S318">
        <v>143.35167761406001</v>
      </c>
      <c r="T318">
        <v>0</v>
      </c>
      <c r="U318">
        <v>0</v>
      </c>
      <c r="V318">
        <v>0</v>
      </c>
      <c r="W318">
        <v>0</v>
      </c>
    </row>
    <row r="319" spans="1:23" x14ac:dyDescent="0.55000000000000004">
      <c r="A319" t="s">
        <v>646</v>
      </c>
      <c r="B319" t="s">
        <v>647</v>
      </c>
      <c r="C319" t="s">
        <v>2</v>
      </c>
      <c r="D319">
        <v>42.46</v>
      </c>
      <c r="E319">
        <f>703999488/(1000)</f>
        <v>703999.48800000001</v>
      </c>
      <c r="F319">
        <f>1151090048/(1000)</f>
        <v>1151090.048</v>
      </c>
      <c r="G319">
        <f>126325000/(1000)</f>
        <v>126325</v>
      </c>
      <c r="H319">
        <f>1084686496/(1000)</f>
        <v>1084686.496</v>
      </c>
      <c r="I319">
        <f>169540000/(1000)</f>
        <v>169540</v>
      </c>
      <c r="J319">
        <f t="shared" si="4"/>
        <v>6.3978205497227797E-3</v>
      </c>
      <c r="K319">
        <f>-11245999/(1000)</f>
        <v>-11245.999</v>
      </c>
      <c r="L319">
        <v>19.9289455413818</v>
      </c>
      <c r="M319">
        <v>10.192319869995099</v>
      </c>
      <c r="N319">
        <v>96.554951364638399</v>
      </c>
      <c r="O319">
        <v>60.602775573730497</v>
      </c>
      <c r="P319">
        <v>7.9999998211861004E-2</v>
      </c>
      <c r="Q319">
        <v>0.91037735077450499</v>
      </c>
      <c r="R319">
        <v>7.7127805963418004</v>
      </c>
      <c r="S319">
        <v>103.595462933427</v>
      </c>
      <c r="T319">
        <v>0</v>
      </c>
      <c r="U319">
        <v>0</v>
      </c>
      <c r="V319">
        <v>0</v>
      </c>
      <c r="W319">
        <v>0</v>
      </c>
    </row>
    <row r="320" spans="1:23" x14ac:dyDescent="0.55000000000000004">
      <c r="A320" t="s">
        <v>648</v>
      </c>
      <c r="B320" t="s">
        <v>649</v>
      </c>
      <c r="C320" t="s">
        <v>17</v>
      </c>
      <c r="D320">
        <v>12.61</v>
      </c>
      <c r="E320">
        <f>363381120/(1000)</f>
        <v>363381.12</v>
      </c>
      <c r="F320">
        <f>1141074944/(1000)</f>
        <v>1141074.9439999999</v>
      </c>
      <c r="G320">
        <f>49030000/(1000)</f>
        <v>49030</v>
      </c>
      <c r="H320">
        <f>789719104/(1000)</f>
        <v>789719.10400000005</v>
      </c>
      <c r="I320">
        <f>80931000/(1000)</f>
        <v>80931</v>
      </c>
      <c r="J320">
        <f t="shared" si="4"/>
        <v>9.7579308793910857E-3</v>
      </c>
      <c r="K320">
        <f>-14117999/(1000)</f>
        <v>-14117.999</v>
      </c>
      <c r="L320">
        <v>16.793794631958001</v>
      </c>
      <c r="M320">
        <v>6.0532779693603498</v>
      </c>
      <c r="N320">
        <v>84.579187163658801</v>
      </c>
      <c r="O320">
        <v>102.18537902832</v>
      </c>
      <c r="P320">
        <v>0</v>
      </c>
      <c r="Q320">
        <v>0.99213214939657002</v>
      </c>
      <c r="R320">
        <v>9.1949764433551504</v>
      </c>
      <c r="S320">
        <v>51.730411983482398</v>
      </c>
      <c r="T320">
        <v>0</v>
      </c>
      <c r="U320">
        <v>0</v>
      </c>
      <c r="V320">
        <v>0</v>
      </c>
      <c r="W320">
        <v>0</v>
      </c>
    </row>
    <row r="321" spans="1:23" x14ac:dyDescent="0.55000000000000004">
      <c r="A321" t="s">
        <v>650</v>
      </c>
      <c r="B321" t="s">
        <v>651</v>
      </c>
      <c r="C321" t="s">
        <v>2</v>
      </c>
      <c r="D321">
        <v>9.58</v>
      </c>
      <c r="E321">
        <f>176882240/(1000)</f>
        <v>176882.24</v>
      </c>
      <c r="F321">
        <f>1133400064/(1000)</f>
        <v>1133400.064</v>
      </c>
      <c r="G321">
        <f>12200000/(1000)</f>
        <v>12200</v>
      </c>
      <c r="H321">
        <f>102482240/(1000)</f>
        <v>102482.24000000001</v>
      </c>
      <c r="I321">
        <f>67700000/(1000)</f>
        <v>67700</v>
      </c>
      <c r="J321">
        <f t="shared" si="4"/>
        <v>1.5137701624815363E-3</v>
      </c>
      <c r="K321">
        <f>-23999999/(1000)</f>
        <v>-23999.999</v>
      </c>
      <c r="L321">
        <v>0</v>
      </c>
      <c r="M321">
        <v>-23.065467834472699</v>
      </c>
      <c r="N321">
        <v>99.852257582788397</v>
      </c>
      <c r="O321">
        <v>8.4193592071533203</v>
      </c>
      <c r="P321">
        <v>0</v>
      </c>
      <c r="Q321">
        <v>0</v>
      </c>
      <c r="R321">
        <v>0</v>
      </c>
      <c r="S321">
        <v>-15.6570910834545</v>
      </c>
      <c r="T321">
        <v>0</v>
      </c>
      <c r="U321">
        <v>0</v>
      </c>
      <c r="V321">
        <v>0</v>
      </c>
      <c r="W321">
        <v>0</v>
      </c>
    </row>
    <row r="322" spans="1:23" x14ac:dyDescent="0.55000000000000004">
      <c r="A322" t="s">
        <v>652</v>
      </c>
      <c r="B322" t="s">
        <v>653</v>
      </c>
      <c r="C322" t="s">
        <v>401</v>
      </c>
      <c r="D322">
        <v>1.1499999999999999</v>
      </c>
      <c r="E322">
        <f>106689520/(1000)</f>
        <v>106689.52</v>
      </c>
      <c r="F322">
        <f>1131944960/(1000)</f>
        <v>1131944.96</v>
      </c>
      <c r="G322">
        <f>154284992/(1000)</f>
        <v>154284.992</v>
      </c>
      <c r="H322">
        <f>2857343472/(1000)</f>
        <v>2857343.4720000001</v>
      </c>
      <c r="I322">
        <f>322871008/(1000)</f>
        <v>322871.00799999997</v>
      </c>
      <c r="J322">
        <f t="shared" ref="J322:J385" si="5">(IF(I322=0,1000,H322/I322))/(1000)</f>
        <v>8.8497988397892961E-3</v>
      </c>
      <c r="K322">
        <f>-2030689023/(1000)</f>
        <v>-2030689.023</v>
      </c>
      <c r="L322">
        <v>0</v>
      </c>
      <c r="M322">
        <v>0.64051097631454501</v>
      </c>
      <c r="N322">
        <v>95.881152920294099</v>
      </c>
      <c r="O322">
        <v>182.50981140136699</v>
      </c>
      <c r="P322">
        <v>0</v>
      </c>
      <c r="Q322">
        <v>0.12147882748067999</v>
      </c>
      <c r="R322">
        <v>0</v>
      </c>
      <c r="S322">
        <v>3101.3828836472699</v>
      </c>
      <c r="T322">
        <v>0</v>
      </c>
      <c r="U322">
        <v>0</v>
      </c>
      <c r="V322">
        <v>0</v>
      </c>
      <c r="W322">
        <v>0</v>
      </c>
    </row>
    <row r="323" spans="1:23" x14ac:dyDescent="0.55000000000000004">
      <c r="A323" t="s">
        <v>654</v>
      </c>
      <c r="B323" t="s">
        <v>655</v>
      </c>
      <c r="C323" t="s">
        <v>17</v>
      </c>
      <c r="D323">
        <v>57.39</v>
      </c>
      <c r="E323">
        <f>380455520/(1000)</f>
        <v>380455.52</v>
      </c>
      <c r="F323">
        <f>1127762048/(1000)</f>
        <v>1127762.048</v>
      </c>
      <c r="G323">
        <f>38746000/(1000)</f>
        <v>38746</v>
      </c>
      <c r="H323">
        <f>371067520/(1000)</f>
        <v>371067.52</v>
      </c>
      <c r="I323">
        <f>52459000/(1000)</f>
        <v>52459</v>
      </c>
      <c r="J323">
        <f t="shared" si="5"/>
        <v>7.0734768104615039E-3</v>
      </c>
      <c r="K323">
        <f>20441001/(1000)</f>
        <v>20441.001</v>
      </c>
      <c r="L323">
        <v>11.9024038314819</v>
      </c>
      <c r="M323">
        <v>13.3155736923218</v>
      </c>
      <c r="N323">
        <v>60.730582417995798</v>
      </c>
      <c r="O323">
        <v>19.000648498535199</v>
      </c>
      <c r="P323">
        <v>0.74000000953674305</v>
      </c>
      <c r="Q323">
        <v>0</v>
      </c>
      <c r="R323">
        <v>16.7254929849626</v>
      </c>
      <c r="S323">
        <v>24.970865892896601</v>
      </c>
      <c r="T323">
        <v>0</v>
      </c>
      <c r="U323">
        <v>0</v>
      </c>
      <c r="V323">
        <v>0</v>
      </c>
      <c r="W323">
        <v>0</v>
      </c>
    </row>
    <row r="324" spans="1:23" x14ac:dyDescent="0.55000000000000004">
      <c r="A324" t="s">
        <v>656</v>
      </c>
      <c r="B324" t="s">
        <v>657</v>
      </c>
      <c r="C324" t="s">
        <v>20</v>
      </c>
      <c r="D324">
        <v>3.2</v>
      </c>
      <c r="E324">
        <f>101829760/(1000)</f>
        <v>101829.75999999999</v>
      </c>
      <c r="F324">
        <f>1125351936/(1000)</f>
        <v>1125351.936</v>
      </c>
      <c r="G324">
        <f>55561000/(1000)</f>
        <v>55561</v>
      </c>
      <c r="H324">
        <f>1482411776/(1000)</f>
        <v>1482411.7760000001</v>
      </c>
      <c r="I324">
        <f>191952992/(1000)</f>
        <v>191952.992</v>
      </c>
      <c r="J324">
        <f t="shared" si="5"/>
        <v>7.7227854619739402E-3</v>
      </c>
      <c r="K324">
        <f>-57101999/(1000)</f>
        <v>-57101.999000000003</v>
      </c>
      <c r="L324">
        <v>0</v>
      </c>
      <c r="M324">
        <v>-41.237541198730497</v>
      </c>
      <c r="N324">
        <v>44.631667273643103</v>
      </c>
      <c r="O324">
        <v>801.69830322265602</v>
      </c>
      <c r="P324">
        <v>0</v>
      </c>
      <c r="Q324">
        <v>0.52631580392079402</v>
      </c>
      <c r="R324">
        <v>0</v>
      </c>
      <c r="S324">
        <v>5.5943756100601796</v>
      </c>
      <c r="T324">
        <v>0</v>
      </c>
      <c r="U324">
        <v>0</v>
      </c>
      <c r="V324">
        <v>0</v>
      </c>
      <c r="W324">
        <v>0</v>
      </c>
    </row>
    <row r="325" spans="1:23" x14ac:dyDescent="0.55000000000000004">
      <c r="A325" t="s">
        <v>658</v>
      </c>
      <c r="B325" t="s">
        <v>659</v>
      </c>
      <c r="C325" t="s">
        <v>2</v>
      </c>
      <c r="D325">
        <v>32.29</v>
      </c>
      <c r="E325">
        <f>1082054144/(1000)</f>
        <v>1082054.1440000001</v>
      </c>
      <c r="F325">
        <f>1124828928/(1000)</f>
        <v>1124828.9280000001</v>
      </c>
      <c r="G325">
        <f>195958992/(1000)</f>
        <v>195958.992</v>
      </c>
      <c r="H325">
        <f>1365887168/(1000)</f>
        <v>1365887.1680000001</v>
      </c>
      <c r="I325">
        <f>228196000/(1000)</f>
        <v>228196</v>
      </c>
      <c r="J325">
        <f t="shared" si="5"/>
        <v>5.9855876877771743E-3</v>
      </c>
      <c r="K325">
        <f>87656001/(1000)</f>
        <v>87656.001000000004</v>
      </c>
      <c r="L325">
        <v>16.3500862121582</v>
      </c>
      <c r="M325">
        <v>21.2632846832275</v>
      </c>
      <c r="N325">
        <v>83.423101556284394</v>
      </c>
      <c r="O325">
        <v>51.486995697021499</v>
      </c>
      <c r="P325">
        <v>0.365000009536743</v>
      </c>
      <c r="Q325">
        <v>1.84198514835919</v>
      </c>
      <c r="R325">
        <v>9.1732956090122304</v>
      </c>
      <c r="S325">
        <v>68.552329525091693</v>
      </c>
      <c r="T325">
        <v>0</v>
      </c>
      <c r="U325">
        <v>0</v>
      </c>
      <c r="V325">
        <v>0</v>
      </c>
      <c r="W325">
        <v>0</v>
      </c>
    </row>
    <row r="326" spans="1:23" x14ac:dyDescent="0.55000000000000004">
      <c r="A326" t="s">
        <v>660</v>
      </c>
      <c r="B326" t="s">
        <v>661</v>
      </c>
      <c r="C326" t="s">
        <v>20</v>
      </c>
      <c r="D326">
        <v>9.2899999999999991</v>
      </c>
      <c r="E326">
        <f>599954752/(1000)</f>
        <v>599954.75199999998</v>
      </c>
      <c r="F326">
        <f>1124590976/(1000)</f>
        <v>1124590.976</v>
      </c>
      <c r="G326">
        <f>90183000/(1000)</f>
        <v>90183</v>
      </c>
      <c r="H326">
        <f>591690753.5/(1000)</f>
        <v>591690.75349999999</v>
      </c>
      <c r="I326">
        <f>125509000/(1000)</f>
        <v>125509</v>
      </c>
      <c r="J326">
        <f t="shared" si="5"/>
        <v>4.7143292791751983E-3</v>
      </c>
      <c r="K326">
        <f>119051993/(1000)</f>
        <v>119051.993</v>
      </c>
      <c r="L326">
        <v>46.949989318847699</v>
      </c>
      <c r="M326">
        <v>9.5319585800170898</v>
      </c>
      <c r="N326">
        <v>96.911300713715093</v>
      </c>
      <c r="O326">
        <v>6.4024000167846697</v>
      </c>
      <c r="P326">
        <v>0.28000000119209301</v>
      </c>
      <c r="Q326">
        <v>0.97944125441407404</v>
      </c>
      <c r="R326">
        <v>9.9464667647707596</v>
      </c>
      <c r="S326">
        <v>41.775595977649601</v>
      </c>
      <c r="T326">
        <v>0</v>
      </c>
      <c r="U326">
        <v>0</v>
      </c>
      <c r="V326">
        <v>0</v>
      </c>
      <c r="W326">
        <v>0</v>
      </c>
    </row>
    <row r="327" spans="1:23" x14ac:dyDescent="0.55000000000000004">
      <c r="A327" t="s">
        <v>662</v>
      </c>
      <c r="B327" t="s">
        <v>663</v>
      </c>
      <c r="C327" t="s">
        <v>17</v>
      </c>
      <c r="D327">
        <v>20.66</v>
      </c>
      <c r="E327">
        <f>611717824/(1000)</f>
        <v>611717.82400000002</v>
      </c>
      <c r="F327">
        <f>1119875968/(1000)</f>
        <v>1119875.9680000001</v>
      </c>
      <c r="G327">
        <f>49796000/(1000)</f>
        <v>49796</v>
      </c>
      <c r="H327">
        <f>593314824/(1000)</f>
        <v>593314.82400000002</v>
      </c>
      <c r="I327">
        <f>61166000/(1000)</f>
        <v>61166</v>
      </c>
      <c r="J327">
        <f t="shared" si="5"/>
        <v>9.7000755975541961E-3</v>
      </c>
      <c r="K327">
        <f>20147001/(1000)</f>
        <v>20147.001</v>
      </c>
      <c r="L327">
        <v>0</v>
      </c>
      <c r="M327">
        <v>14.661171913146999</v>
      </c>
      <c r="N327">
        <v>42.797748034130599</v>
      </c>
      <c r="O327">
        <v>10.632540702819799</v>
      </c>
      <c r="P327">
        <v>0.31999999284744302</v>
      </c>
      <c r="Q327">
        <v>0</v>
      </c>
      <c r="R327">
        <v>15.807191610356799</v>
      </c>
      <c r="S327">
        <v>0</v>
      </c>
      <c r="T327">
        <v>0</v>
      </c>
      <c r="U327">
        <v>0</v>
      </c>
      <c r="V327">
        <v>0</v>
      </c>
      <c r="W327">
        <v>0</v>
      </c>
    </row>
    <row r="328" spans="1:23" x14ac:dyDescent="0.55000000000000004">
      <c r="A328" t="s">
        <v>664</v>
      </c>
      <c r="B328" t="s">
        <v>665</v>
      </c>
      <c r="C328" t="s">
        <v>184</v>
      </c>
      <c r="D328">
        <v>2.76</v>
      </c>
      <c r="E328">
        <f>222893184/(1000)</f>
        <v>222893.18400000001</v>
      </c>
      <c r="F328">
        <f>1117640960/(1000)</f>
        <v>1117640.96</v>
      </c>
      <c r="G328">
        <f>42674000/(1000)</f>
        <v>42674</v>
      </c>
      <c r="H328">
        <f>877547200/(1000)</f>
        <v>877547.2</v>
      </c>
      <c r="I328">
        <f>138240000/(1000)</f>
        <v>138240</v>
      </c>
      <c r="J328">
        <f t="shared" si="5"/>
        <v>6.3479976851851848E-3</v>
      </c>
      <c r="K328">
        <f>287864993/(1000)</f>
        <v>287864.99300000002</v>
      </c>
      <c r="L328">
        <v>0</v>
      </c>
      <c r="M328">
        <v>12.7331352233887</v>
      </c>
      <c r="N328">
        <v>81.955945904166597</v>
      </c>
      <c r="O328">
        <v>99.068428039550795</v>
      </c>
      <c r="P328">
        <v>0.40000000596046398</v>
      </c>
      <c r="Q328">
        <v>0</v>
      </c>
      <c r="R328">
        <v>12.545454782518499</v>
      </c>
      <c r="S328">
        <v>784.167650269766</v>
      </c>
      <c r="T328">
        <v>0</v>
      </c>
      <c r="U328">
        <v>0</v>
      </c>
      <c r="V328">
        <v>0</v>
      </c>
      <c r="W328">
        <v>0</v>
      </c>
    </row>
    <row r="329" spans="1:23" x14ac:dyDescent="0.55000000000000004">
      <c r="A329" t="s">
        <v>666</v>
      </c>
      <c r="B329" t="s">
        <v>667</v>
      </c>
      <c r="C329" t="s">
        <v>184</v>
      </c>
      <c r="D329">
        <v>30.06</v>
      </c>
      <c r="E329">
        <f>1189080448/(1000)</f>
        <v>1189080.4480000001</v>
      </c>
      <c r="F329">
        <f>1113400064/(1000)</f>
        <v>1113400.064</v>
      </c>
      <c r="G329">
        <f>0/(1000)</f>
        <v>0</v>
      </c>
      <c r="H329">
        <f>1225480448/(1000)</f>
        <v>1225480.4480000001</v>
      </c>
      <c r="I329">
        <f>0/(1000)</f>
        <v>0</v>
      </c>
      <c r="J329">
        <f t="shared" si="5"/>
        <v>1</v>
      </c>
      <c r="K329">
        <f>120800001/(1000)</f>
        <v>120800.001</v>
      </c>
      <c r="L329">
        <v>12.208098411560099</v>
      </c>
      <c r="M329">
        <v>13.459907531738301</v>
      </c>
      <c r="N329">
        <v>98.410391046755507</v>
      </c>
      <c r="O329">
        <v>12.6135759353638</v>
      </c>
      <c r="P329">
        <v>0.60000002384185802</v>
      </c>
      <c r="Q329">
        <v>1.49831773038965</v>
      </c>
      <c r="R329">
        <v>103.655170891784</v>
      </c>
      <c r="S329">
        <v>15.082610746055099</v>
      </c>
      <c r="T329">
        <v>0</v>
      </c>
      <c r="U329">
        <v>0</v>
      </c>
      <c r="V329">
        <v>0</v>
      </c>
      <c r="W329">
        <v>0</v>
      </c>
    </row>
    <row r="330" spans="1:23" x14ac:dyDescent="0.55000000000000004">
      <c r="A330" t="s">
        <v>668</v>
      </c>
      <c r="B330" t="s">
        <v>669</v>
      </c>
      <c r="C330" t="s">
        <v>2</v>
      </c>
      <c r="D330">
        <v>10.66</v>
      </c>
      <c r="E330">
        <f>420985792/(1000)</f>
        <v>420985.79200000002</v>
      </c>
      <c r="F330">
        <f>1109534080/(1000)</f>
        <v>1109534.08</v>
      </c>
      <c r="G330">
        <f>49905000/(1000)</f>
        <v>49905</v>
      </c>
      <c r="H330">
        <f>333518792/(1000)</f>
        <v>333518.79200000002</v>
      </c>
      <c r="I330">
        <f>56758000/(1000)</f>
        <v>56758</v>
      </c>
      <c r="J330">
        <f t="shared" si="5"/>
        <v>5.8761547623242538E-3</v>
      </c>
      <c r="K330">
        <f>72554001/(1000)</f>
        <v>72554.001000000004</v>
      </c>
      <c r="L330">
        <v>22.496871948242202</v>
      </c>
      <c r="M330">
        <v>12.850391387939499</v>
      </c>
      <c r="N330">
        <v>97.763350727646895</v>
      </c>
      <c r="O330">
        <v>0.57125902175903298</v>
      </c>
      <c r="P330">
        <v>0.18000000715255701</v>
      </c>
      <c r="Q330">
        <v>0</v>
      </c>
      <c r="R330">
        <v>9.4336282233585393</v>
      </c>
      <c r="S330">
        <v>38.607730449492301</v>
      </c>
      <c r="T330">
        <v>0</v>
      </c>
      <c r="U330">
        <v>0</v>
      </c>
      <c r="V330">
        <v>0</v>
      </c>
      <c r="W330">
        <v>0</v>
      </c>
    </row>
    <row r="331" spans="1:23" x14ac:dyDescent="0.55000000000000004">
      <c r="A331" t="s">
        <v>670</v>
      </c>
      <c r="B331" t="s">
        <v>671</v>
      </c>
      <c r="C331" t="s">
        <v>20</v>
      </c>
      <c r="D331">
        <v>7.09</v>
      </c>
      <c r="E331">
        <f>530565280/(1000)</f>
        <v>530565.28</v>
      </c>
      <c r="F331">
        <f>1106722048/(1000)</f>
        <v>1106722.048</v>
      </c>
      <c r="G331">
        <f>244114000/(1000)</f>
        <v>244114</v>
      </c>
      <c r="H331">
        <f>961638272/(1000)</f>
        <v>961638.272</v>
      </c>
      <c r="I331">
        <f>284256000/(1000)</f>
        <v>284256</v>
      </c>
      <c r="J331">
        <f t="shared" si="5"/>
        <v>3.3830007880220644E-3</v>
      </c>
      <c r="K331">
        <f>110212001/(1000)</f>
        <v>110212.001</v>
      </c>
      <c r="L331">
        <v>19.053043365478501</v>
      </c>
      <c r="M331">
        <v>108.196235656738</v>
      </c>
      <c r="N331">
        <v>96.317393868051994</v>
      </c>
      <c r="O331">
        <v>1250.66271972656</v>
      </c>
      <c r="P331">
        <v>0</v>
      </c>
      <c r="Q331">
        <v>4.4661418954765404</v>
      </c>
      <c r="R331">
        <v>5.4538463462386604</v>
      </c>
      <c r="S331">
        <v>271.43556762037201</v>
      </c>
      <c r="T331">
        <v>0</v>
      </c>
      <c r="U331">
        <v>0</v>
      </c>
      <c r="V331">
        <v>0</v>
      </c>
      <c r="W331">
        <v>0</v>
      </c>
    </row>
    <row r="332" spans="1:23" x14ac:dyDescent="0.55000000000000004">
      <c r="A332" t="s">
        <v>672</v>
      </c>
      <c r="B332" t="s">
        <v>673</v>
      </c>
      <c r="C332" t="s">
        <v>2</v>
      </c>
      <c r="D332">
        <v>4.5</v>
      </c>
      <c r="E332">
        <f>138151344/(1000)</f>
        <v>138151.34400000001</v>
      </c>
      <c r="F332">
        <f>1102544000/(1000)</f>
        <v>1102544</v>
      </c>
      <c r="G332">
        <f>26466000/(1000)</f>
        <v>26466</v>
      </c>
      <c r="H332">
        <f>210032344/(1000)</f>
        <v>210032.34400000001</v>
      </c>
      <c r="I332">
        <f>45933000/(1000)</f>
        <v>45933</v>
      </c>
      <c r="J332">
        <f t="shared" si="5"/>
        <v>4.5725805847647667E-3</v>
      </c>
      <c r="K332">
        <f>52612001/(1000)</f>
        <v>52612.000999999997</v>
      </c>
      <c r="L332">
        <v>0</v>
      </c>
      <c r="M332">
        <v>5.8381309509277299</v>
      </c>
      <c r="N332">
        <v>97.775916809100295</v>
      </c>
      <c r="O332">
        <v>37.330898284912102</v>
      </c>
      <c r="P332">
        <v>0</v>
      </c>
      <c r="Q332">
        <v>0</v>
      </c>
      <c r="R332">
        <v>0</v>
      </c>
      <c r="S332">
        <v>34.527458368311102</v>
      </c>
      <c r="T332">
        <v>0</v>
      </c>
      <c r="U332">
        <v>0</v>
      </c>
      <c r="V332">
        <v>0</v>
      </c>
      <c r="W332">
        <v>0</v>
      </c>
    </row>
    <row r="333" spans="1:23" x14ac:dyDescent="0.55000000000000004">
      <c r="A333" t="s">
        <v>674</v>
      </c>
      <c r="B333" t="s">
        <v>675</v>
      </c>
      <c r="C333" t="s">
        <v>38</v>
      </c>
      <c r="D333">
        <v>39.770000000000003</v>
      </c>
      <c r="E333">
        <f>889654912/(1000)</f>
        <v>889654.91200000001</v>
      </c>
      <c r="F333">
        <f>1100057984/(1000)</f>
        <v>1100057.9839999999</v>
      </c>
      <c r="G333">
        <f>122755000/(1000)</f>
        <v>122755</v>
      </c>
      <c r="H333">
        <f>1100086912/(1000)</f>
        <v>1100086.912</v>
      </c>
      <c r="I333">
        <f>148143008/(1000)</f>
        <v>148143.008</v>
      </c>
      <c r="J333">
        <f t="shared" si="5"/>
        <v>7.4258443030939397E-3</v>
      </c>
      <c r="K333">
        <f>72944001/(1000)</f>
        <v>72944.001000000004</v>
      </c>
      <c r="L333">
        <v>32.362110137939503</v>
      </c>
      <c r="M333">
        <v>16.284889221191399</v>
      </c>
      <c r="N333">
        <v>96.696911884162802</v>
      </c>
      <c r="O333">
        <v>61.707595825195298</v>
      </c>
      <c r="P333">
        <v>0.239999994635582</v>
      </c>
      <c r="Q333">
        <v>2.4294440084846101</v>
      </c>
      <c r="R333">
        <v>0</v>
      </c>
      <c r="S333">
        <v>250.14068038297</v>
      </c>
      <c r="T333">
        <v>0</v>
      </c>
      <c r="U333">
        <v>0</v>
      </c>
      <c r="V333">
        <v>0</v>
      </c>
      <c r="W333">
        <v>0</v>
      </c>
    </row>
    <row r="334" spans="1:23" x14ac:dyDescent="0.55000000000000004">
      <c r="A334" t="s">
        <v>676</v>
      </c>
      <c r="B334" t="s">
        <v>677</v>
      </c>
      <c r="C334" t="s">
        <v>184</v>
      </c>
      <c r="D334">
        <v>46.73</v>
      </c>
      <c r="E334">
        <f>669094144/(1000)</f>
        <v>669094.14399999997</v>
      </c>
      <c r="F334">
        <f>1098226048/(1000)</f>
        <v>1098226.048</v>
      </c>
      <c r="G334">
        <f>0/(1000)</f>
        <v>0</v>
      </c>
      <c r="H334">
        <f>789633144/(1000)</f>
        <v>789633.14399999997</v>
      </c>
      <c r="I334">
        <f>0/(1000)</f>
        <v>0</v>
      </c>
      <c r="J334">
        <f t="shared" si="5"/>
        <v>1</v>
      </c>
      <c r="K334">
        <f>50377001/(1000)</f>
        <v>50377.000999999997</v>
      </c>
      <c r="L334">
        <v>10.1202688217163</v>
      </c>
      <c r="M334">
        <v>11.3671321868896</v>
      </c>
      <c r="N334">
        <v>98.570359304816805</v>
      </c>
      <c r="O334">
        <v>33.181644439697301</v>
      </c>
      <c r="P334">
        <v>0.43999999761581399</v>
      </c>
      <c r="Q334">
        <v>1.2456350873653701</v>
      </c>
      <c r="R334">
        <v>13.1264043570058</v>
      </c>
      <c r="S334">
        <v>55.897705094849002</v>
      </c>
      <c r="T334">
        <v>0</v>
      </c>
      <c r="U334">
        <v>0</v>
      </c>
      <c r="V334">
        <v>0</v>
      </c>
      <c r="W334">
        <v>0</v>
      </c>
    </row>
    <row r="335" spans="1:23" x14ac:dyDescent="0.55000000000000004">
      <c r="A335" t="s">
        <v>678</v>
      </c>
      <c r="B335" t="s">
        <v>679</v>
      </c>
      <c r="C335" t="s">
        <v>5</v>
      </c>
      <c r="D335">
        <v>22.64</v>
      </c>
      <c r="E335">
        <f>252374864/(1000)</f>
        <v>252374.864</v>
      </c>
      <c r="F335">
        <f>1095387904/(1000)</f>
        <v>1095387.9040000001</v>
      </c>
      <c r="G335">
        <f>100295000/(1000)</f>
        <v>100295</v>
      </c>
      <c r="H335">
        <f>615323856/(1000)</f>
        <v>615323.85600000003</v>
      </c>
      <c r="I335">
        <f>154180992/(1000)</f>
        <v>154180.992</v>
      </c>
      <c r="J335">
        <f t="shared" si="5"/>
        <v>3.9909190362454024E-3</v>
      </c>
      <c r="K335">
        <f>68788001/(1000)</f>
        <v>68788.001000000004</v>
      </c>
      <c r="L335">
        <v>19.651685714721701</v>
      </c>
      <c r="M335">
        <v>18.3856601715088</v>
      </c>
      <c r="N335">
        <v>94.066726647777401</v>
      </c>
      <c r="O335">
        <v>137.85191345214801</v>
      </c>
      <c r="P335">
        <v>0</v>
      </c>
      <c r="Q335">
        <v>0</v>
      </c>
      <c r="R335">
        <v>5.0347449159617002</v>
      </c>
      <c r="S335">
        <v>54.219389987969997</v>
      </c>
      <c r="T335">
        <v>0</v>
      </c>
      <c r="U335">
        <v>0</v>
      </c>
      <c r="V335">
        <v>0</v>
      </c>
      <c r="W335">
        <v>0</v>
      </c>
    </row>
    <row r="336" spans="1:23" x14ac:dyDescent="0.55000000000000004">
      <c r="A336" t="s">
        <v>680</v>
      </c>
      <c r="B336" t="s">
        <v>681</v>
      </c>
      <c r="C336" t="s">
        <v>2</v>
      </c>
      <c r="D336">
        <v>12.84</v>
      </c>
      <c r="E336">
        <f>383688736/(1000)</f>
        <v>383688.73599999998</v>
      </c>
      <c r="F336">
        <f>1092977024/(1000)</f>
        <v>1092977.024</v>
      </c>
      <c r="G336">
        <f>65073996/(1000)</f>
        <v>65073.995999999999</v>
      </c>
      <c r="H336">
        <f>835563744/(1000)</f>
        <v>835563.74399999995</v>
      </c>
      <c r="I336">
        <f>127590992/(1000)</f>
        <v>127590.992</v>
      </c>
      <c r="J336">
        <f t="shared" si="5"/>
        <v>6.5487675180078541E-3</v>
      </c>
      <c r="K336">
        <f>-67915991/(1000)</f>
        <v>-67915.990999999995</v>
      </c>
      <c r="L336">
        <v>19.258806228637699</v>
      </c>
      <c r="M336">
        <v>3.23663401603699</v>
      </c>
      <c r="N336">
        <v>99.151854600480206</v>
      </c>
      <c r="O336">
        <v>79.978691101074205</v>
      </c>
      <c r="P336">
        <v>0.479999989271164</v>
      </c>
      <c r="Q336">
        <v>0.58980247508487604</v>
      </c>
      <c r="R336">
        <v>0</v>
      </c>
      <c r="S336">
        <v>33.935552259187602</v>
      </c>
      <c r="T336">
        <v>0</v>
      </c>
      <c r="U336">
        <v>0</v>
      </c>
      <c r="V336">
        <v>0</v>
      </c>
      <c r="W336">
        <v>0</v>
      </c>
    </row>
    <row r="337" spans="1:23" x14ac:dyDescent="0.55000000000000004">
      <c r="A337" t="s">
        <v>682</v>
      </c>
      <c r="B337" t="s">
        <v>683</v>
      </c>
      <c r="C337" t="s">
        <v>5</v>
      </c>
      <c r="D337">
        <v>20.94</v>
      </c>
      <c r="E337">
        <f>498122784/(1000)</f>
        <v>498122.78399999999</v>
      </c>
      <c r="F337">
        <f>1092722048/(1000)</f>
        <v>1092722.048</v>
      </c>
      <c r="G337">
        <f>51075000/(1000)</f>
        <v>51075</v>
      </c>
      <c r="H337">
        <f>680335792/(1000)</f>
        <v>680335.79200000002</v>
      </c>
      <c r="I337">
        <f>108326000/(1000)</f>
        <v>108326</v>
      </c>
      <c r="J337">
        <f t="shared" si="5"/>
        <v>6.2804478333917989E-3</v>
      </c>
      <c r="K337">
        <f>-13632999/(1000)</f>
        <v>-13632.999</v>
      </c>
      <c r="L337">
        <v>38.919998168945298</v>
      </c>
      <c r="M337">
        <v>10.991545677185099</v>
      </c>
      <c r="N337">
        <v>92.726618180272894</v>
      </c>
      <c r="O337">
        <v>61.466423034667997</v>
      </c>
      <c r="P337">
        <v>0</v>
      </c>
      <c r="Q337">
        <v>1.56560751656506</v>
      </c>
      <c r="R337">
        <v>14.1486488271578</v>
      </c>
      <c r="S337">
        <v>168.74023533722701</v>
      </c>
      <c r="T337">
        <v>0</v>
      </c>
      <c r="U337">
        <v>0</v>
      </c>
      <c r="V337">
        <v>0</v>
      </c>
      <c r="W337">
        <v>0</v>
      </c>
    </row>
    <row r="338" spans="1:23" x14ac:dyDescent="0.55000000000000004">
      <c r="A338" t="s">
        <v>684</v>
      </c>
      <c r="B338" t="s">
        <v>685</v>
      </c>
      <c r="C338" t="s">
        <v>5</v>
      </c>
      <c r="D338">
        <v>5.65</v>
      </c>
      <c r="E338">
        <f>498914752/(1000)</f>
        <v>498914.75199999998</v>
      </c>
      <c r="F338">
        <f>1092612992/(1000)</f>
        <v>1092612.9920000001</v>
      </c>
      <c r="G338">
        <f>71836000/(1000)</f>
        <v>71836</v>
      </c>
      <c r="H338">
        <f>1016622752/(1000)</f>
        <v>1016622.752</v>
      </c>
      <c r="I338">
        <f>115066000/(1000)</f>
        <v>115066</v>
      </c>
      <c r="J338">
        <f t="shared" si="5"/>
        <v>8.8351272487094366E-3</v>
      </c>
      <c r="K338">
        <f>139484001/(1000)</f>
        <v>139484.00099999999</v>
      </c>
      <c r="L338">
        <v>0</v>
      </c>
      <c r="M338">
        <v>-3.2108790874481201</v>
      </c>
      <c r="N338">
        <v>81.554753990715099</v>
      </c>
      <c r="O338">
        <v>149.72383117675801</v>
      </c>
      <c r="P338">
        <v>0.10000000149011599</v>
      </c>
      <c r="Q338">
        <v>1.0907336452904</v>
      </c>
      <c r="R338">
        <v>6.9753086108602496</v>
      </c>
      <c r="S338">
        <v>0</v>
      </c>
      <c r="T338">
        <v>0</v>
      </c>
      <c r="U338">
        <v>0</v>
      </c>
      <c r="V338">
        <v>0</v>
      </c>
      <c r="W338">
        <v>0</v>
      </c>
    </row>
    <row r="339" spans="1:23" x14ac:dyDescent="0.55000000000000004">
      <c r="A339" t="s">
        <v>686</v>
      </c>
      <c r="B339" t="s">
        <v>687</v>
      </c>
      <c r="C339" t="s">
        <v>5</v>
      </c>
      <c r="D339">
        <v>19.12</v>
      </c>
      <c r="E339">
        <f>359201696/(1000)</f>
        <v>359201.696</v>
      </c>
      <c r="F339">
        <f>1087902976/(1000)</f>
        <v>1087902.976</v>
      </c>
      <c r="G339">
        <f>99488000/(1000)</f>
        <v>99488</v>
      </c>
      <c r="H339">
        <f>797847712/(1000)</f>
        <v>797847.71200000006</v>
      </c>
      <c r="I339">
        <f>124836000/(1000)</f>
        <v>124836</v>
      </c>
      <c r="J339">
        <f t="shared" si="5"/>
        <v>6.3911669069819611E-3</v>
      </c>
      <c r="K339">
        <f>85983001/(1000)</f>
        <v>85983.001000000004</v>
      </c>
      <c r="L339">
        <v>22.1487731933594</v>
      </c>
      <c r="M339">
        <v>8.2969388961791992</v>
      </c>
      <c r="N339">
        <v>96.684892405723204</v>
      </c>
      <c r="O339">
        <v>93.137489318847699</v>
      </c>
      <c r="P339">
        <v>0</v>
      </c>
      <c r="Q339">
        <v>0.73369152843695096</v>
      </c>
      <c r="R339">
        <v>9.3268296234385009</v>
      </c>
      <c r="S339">
        <v>25.042004987561299</v>
      </c>
      <c r="T339">
        <v>0</v>
      </c>
      <c r="U339">
        <v>0</v>
      </c>
      <c r="V339">
        <v>0</v>
      </c>
      <c r="W339">
        <v>0</v>
      </c>
    </row>
    <row r="340" spans="1:23" x14ac:dyDescent="0.55000000000000004">
      <c r="A340" t="s">
        <v>688</v>
      </c>
      <c r="B340" t="s">
        <v>689</v>
      </c>
      <c r="C340" t="s">
        <v>2</v>
      </c>
      <c r="D340">
        <v>18.13</v>
      </c>
      <c r="E340">
        <f>461622432/(1000)</f>
        <v>461622.43199999997</v>
      </c>
      <c r="F340">
        <f>1086030976/(1000)</f>
        <v>1086030.976</v>
      </c>
      <c r="G340">
        <f>62149000/(1000)</f>
        <v>62149</v>
      </c>
      <c r="H340">
        <f>547846432/(1000)</f>
        <v>547846.43200000003</v>
      </c>
      <c r="I340">
        <f>72042000/(1000)</f>
        <v>72042</v>
      </c>
      <c r="J340">
        <f t="shared" si="5"/>
        <v>7.6045422392493275E-3</v>
      </c>
      <c r="K340">
        <f>11564001/(1000)</f>
        <v>11564.001</v>
      </c>
      <c r="L340">
        <v>23.192979812622099</v>
      </c>
      <c r="M340">
        <v>16.1829128265381</v>
      </c>
      <c r="N340">
        <v>98.007997749098195</v>
      </c>
      <c r="O340">
        <v>3.2631559371948202</v>
      </c>
      <c r="P340">
        <v>0.56000000238418601</v>
      </c>
      <c r="Q340">
        <v>0</v>
      </c>
      <c r="R340">
        <v>10.9878782395598</v>
      </c>
      <c r="S340">
        <v>23.303879306429799</v>
      </c>
      <c r="T340">
        <v>0</v>
      </c>
      <c r="U340">
        <v>0</v>
      </c>
      <c r="V340">
        <v>0</v>
      </c>
      <c r="W340">
        <v>0</v>
      </c>
    </row>
    <row r="341" spans="1:23" x14ac:dyDescent="0.55000000000000004">
      <c r="A341" t="s">
        <v>690</v>
      </c>
      <c r="B341" t="s">
        <v>691</v>
      </c>
      <c r="C341" t="s">
        <v>2</v>
      </c>
      <c r="D341">
        <v>19.53</v>
      </c>
      <c r="E341">
        <f>1148547584/(1000)</f>
        <v>1148547.584</v>
      </c>
      <c r="F341">
        <f>1084092032/(1000)</f>
        <v>1084092.0319999999</v>
      </c>
      <c r="G341">
        <f>86439000/(1000)</f>
        <v>86439</v>
      </c>
      <c r="H341">
        <f>951635600/(1000)</f>
        <v>951635.6</v>
      </c>
      <c r="I341">
        <f>103446000/(1000)</f>
        <v>103446</v>
      </c>
      <c r="J341">
        <f t="shared" si="5"/>
        <v>9.1993465189567497E-3</v>
      </c>
      <c r="K341">
        <f>81927001/(1000)</f>
        <v>81927.001000000004</v>
      </c>
      <c r="L341">
        <v>25.175075531005898</v>
      </c>
      <c r="M341">
        <v>13.714469909668001</v>
      </c>
      <c r="N341">
        <v>98.203180655881695</v>
      </c>
      <c r="O341">
        <v>33.191024780273402</v>
      </c>
      <c r="P341">
        <v>0</v>
      </c>
      <c r="Q341">
        <v>0</v>
      </c>
      <c r="R341">
        <v>18.4245286492181</v>
      </c>
      <c r="S341">
        <v>96.520920754757299</v>
      </c>
      <c r="T341">
        <v>0</v>
      </c>
      <c r="U341">
        <v>0</v>
      </c>
      <c r="V341">
        <v>0</v>
      </c>
      <c r="W341">
        <v>0</v>
      </c>
    </row>
    <row r="342" spans="1:23" x14ac:dyDescent="0.55000000000000004">
      <c r="A342" t="s">
        <v>692</v>
      </c>
      <c r="B342" t="s">
        <v>693</v>
      </c>
      <c r="C342" t="s">
        <v>81</v>
      </c>
      <c r="D342">
        <v>8.4700000000000006</v>
      </c>
      <c r="E342">
        <f>1249521408/(1000)</f>
        <v>1249521.4080000001</v>
      </c>
      <c r="F342">
        <f>1083678976/(1000)</f>
        <v>1083678.976</v>
      </c>
      <c r="G342">
        <f>37549000/(1000)</f>
        <v>37549</v>
      </c>
      <c r="H342">
        <f>2290273344/(1000)</f>
        <v>2290273.344</v>
      </c>
      <c r="I342">
        <f>317003008/(1000)</f>
        <v>317003.00799999997</v>
      </c>
      <c r="J342">
        <f t="shared" si="5"/>
        <v>7.2247684917866786E-3</v>
      </c>
      <c r="K342">
        <f>6302003/(1000)</f>
        <v>6302.0029999999997</v>
      </c>
      <c r="L342">
        <v>0</v>
      </c>
      <c r="M342">
        <v>-7.1981368064880398</v>
      </c>
      <c r="N342">
        <v>91.436469702360696</v>
      </c>
      <c r="O342">
        <v>243.30523681640599</v>
      </c>
      <c r="P342">
        <v>0</v>
      </c>
      <c r="Q342">
        <v>2.1829896951560501</v>
      </c>
      <c r="R342">
        <v>0</v>
      </c>
      <c r="S342">
        <v>55.796371167159499</v>
      </c>
      <c r="T342">
        <v>0</v>
      </c>
      <c r="U342">
        <v>0</v>
      </c>
      <c r="V342">
        <v>0</v>
      </c>
      <c r="W342">
        <v>0</v>
      </c>
    </row>
    <row r="343" spans="1:23" x14ac:dyDescent="0.55000000000000004">
      <c r="A343" t="s">
        <v>694</v>
      </c>
      <c r="B343" t="s">
        <v>695</v>
      </c>
      <c r="C343" t="s">
        <v>31</v>
      </c>
      <c r="D343">
        <v>4.8099999999999996</v>
      </c>
      <c r="E343">
        <f>289033856/(1000)</f>
        <v>289033.85600000003</v>
      </c>
      <c r="F343">
        <f>1081975040/(1000)</f>
        <v>1081975.04</v>
      </c>
      <c r="G343">
        <f>54520000/(1000)</f>
        <v>54520</v>
      </c>
      <c r="H343">
        <f>435814848/(1000)</f>
        <v>435814.848</v>
      </c>
      <c r="I343">
        <f>72212000/(1000)</f>
        <v>72212</v>
      </c>
      <c r="J343">
        <f t="shared" si="5"/>
        <v>6.0352136487010471E-3</v>
      </c>
      <c r="K343">
        <f>9504001/(1000)</f>
        <v>9504.0010000000002</v>
      </c>
      <c r="L343">
        <v>19.33522605896</v>
      </c>
      <c r="M343">
        <v>6.6674251556396502</v>
      </c>
      <c r="N343">
        <v>89.074593396450098</v>
      </c>
      <c r="O343">
        <v>46.150413513183601</v>
      </c>
      <c r="P343">
        <v>0</v>
      </c>
      <c r="Q343">
        <v>0.61587707785151202</v>
      </c>
      <c r="R343">
        <v>9.2499999641798993</v>
      </c>
      <c r="S343">
        <v>77.863389138880905</v>
      </c>
      <c r="T343">
        <v>0</v>
      </c>
      <c r="U343">
        <v>0</v>
      </c>
      <c r="V343">
        <v>0</v>
      </c>
      <c r="W343">
        <v>0</v>
      </c>
    </row>
    <row r="344" spans="1:23" x14ac:dyDescent="0.55000000000000004">
      <c r="A344" t="s">
        <v>696</v>
      </c>
      <c r="B344" t="s">
        <v>697</v>
      </c>
      <c r="C344" t="s">
        <v>2</v>
      </c>
      <c r="D344">
        <v>4.6399999999999997</v>
      </c>
      <c r="E344">
        <f>292758496/(1000)</f>
        <v>292758.49599999998</v>
      </c>
      <c r="F344">
        <f>1081272960/(1000)</f>
        <v>1081272.96</v>
      </c>
      <c r="G344">
        <f>131264008/(1000)</f>
        <v>131264.008</v>
      </c>
      <c r="H344">
        <f>517237488/(1000)</f>
        <v>517237.48800000001</v>
      </c>
      <c r="I344">
        <f>153751008/(1000)</f>
        <v>153751.008</v>
      </c>
      <c r="J344">
        <f t="shared" si="5"/>
        <v>3.3641242078881199E-3</v>
      </c>
      <c r="K344">
        <f>25116003/(1000)</f>
        <v>25116.003000000001</v>
      </c>
      <c r="L344">
        <v>0</v>
      </c>
      <c r="M344">
        <v>-3.8034529685974099</v>
      </c>
      <c r="N344">
        <v>98.429427053112207</v>
      </c>
      <c r="O344">
        <v>102.950355529785</v>
      </c>
      <c r="P344">
        <v>0.119999997317791</v>
      </c>
      <c r="Q344">
        <v>0.854511972959907</v>
      </c>
      <c r="R344">
        <v>4.46153830503218</v>
      </c>
      <c r="S344">
        <v>45.075581478222901</v>
      </c>
      <c r="T344">
        <v>0</v>
      </c>
      <c r="U344">
        <v>0</v>
      </c>
      <c r="V344">
        <v>0</v>
      </c>
      <c r="W344">
        <v>0</v>
      </c>
    </row>
    <row r="345" spans="1:23" x14ac:dyDescent="0.55000000000000004">
      <c r="A345" t="s">
        <v>698</v>
      </c>
      <c r="B345" t="s">
        <v>699</v>
      </c>
      <c r="C345" t="s">
        <v>5</v>
      </c>
      <c r="D345">
        <v>8.64</v>
      </c>
      <c r="E345">
        <f>494708256/(1000)</f>
        <v>494708.25599999999</v>
      </c>
      <c r="F345">
        <f>1080523008/(1000)</f>
        <v>1080523.0079999999</v>
      </c>
      <c r="G345">
        <f>178470992/(1000)</f>
        <v>178470.992</v>
      </c>
      <c r="H345">
        <f>2042166304/(1000)</f>
        <v>2042166.304</v>
      </c>
      <c r="I345">
        <f>273280992/(1000)</f>
        <v>273280.99200000003</v>
      </c>
      <c r="J345">
        <f t="shared" si="5"/>
        <v>7.4727711175755678E-3</v>
      </c>
      <c r="K345">
        <f>-74566007/(1000)</f>
        <v>-74566.006999999998</v>
      </c>
      <c r="L345">
        <v>19.360883712768601</v>
      </c>
      <c r="M345">
        <v>14.815691947936999</v>
      </c>
      <c r="N345">
        <v>44.138188607920902</v>
      </c>
      <c r="O345">
        <v>327.14508056640602</v>
      </c>
      <c r="P345">
        <v>0</v>
      </c>
      <c r="Q345">
        <v>1.0313340228096399</v>
      </c>
      <c r="R345">
        <v>6.9230772206592803</v>
      </c>
      <c r="S345">
        <v>54.810927744755197</v>
      </c>
      <c r="T345">
        <v>0</v>
      </c>
      <c r="U345">
        <v>0</v>
      </c>
      <c r="V345">
        <v>0</v>
      </c>
      <c r="W345">
        <v>0</v>
      </c>
    </row>
    <row r="346" spans="1:23" x14ac:dyDescent="0.55000000000000004">
      <c r="A346" t="s">
        <v>700</v>
      </c>
      <c r="B346" t="s">
        <v>701</v>
      </c>
      <c r="C346" t="s">
        <v>121</v>
      </c>
      <c r="D346">
        <v>40.9</v>
      </c>
      <c r="E346">
        <f>766523264/(1000)</f>
        <v>766523.26399999997</v>
      </c>
      <c r="F346">
        <f>1077720960/(1000)</f>
        <v>1077720.96</v>
      </c>
      <c r="G346">
        <f>101588000/(1000)</f>
        <v>101588</v>
      </c>
      <c r="H346">
        <f>716764264/(1000)</f>
        <v>716764.26399999997</v>
      </c>
      <c r="I346">
        <f>186152992/(1000)</f>
        <v>186152.992</v>
      </c>
      <c r="J346">
        <f t="shared" si="5"/>
        <v>3.8504042094579926E-3</v>
      </c>
      <c r="K346">
        <f>133618993/(1000)</f>
        <v>133618.99299999999</v>
      </c>
      <c r="L346">
        <v>24.284225463867202</v>
      </c>
      <c r="M346">
        <v>-8.4475269317627006</v>
      </c>
      <c r="N346">
        <v>99.398658763871893</v>
      </c>
      <c r="O346">
        <v>17.004604339599599</v>
      </c>
      <c r="P346">
        <v>0.20000000298023199</v>
      </c>
      <c r="Q346">
        <v>1.00888013325658</v>
      </c>
      <c r="R346">
        <v>11.0540543239947</v>
      </c>
      <c r="S346">
        <v>43.184482117234403</v>
      </c>
      <c r="T346">
        <v>0</v>
      </c>
      <c r="U346">
        <v>0</v>
      </c>
      <c r="V346">
        <v>0</v>
      </c>
      <c r="W346">
        <v>0</v>
      </c>
    </row>
    <row r="347" spans="1:23" x14ac:dyDescent="0.55000000000000004">
      <c r="A347" t="s">
        <v>702</v>
      </c>
      <c r="B347" t="s">
        <v>703</v>
      </c>
      <c r="C347" t="s">
        <v>2</v>
      </c>
      <c r="D347">
        <v>6.17</v>
      </c>
      <c r="E347">
        <f>68006968/(1000)</f>
        <v>68006.967999999993</v>
      </c>
      <c r="F347">
        <f>1071441024/(1000)</f>
        <v>1071441.024</v>
      </c>
      <c r="G347">
        <f>60425000/(1000)</f>
        <v>60425</v>
      </c>
      <c r="H347">
        <f>419391960/(1000)</f>
        <v>419391.96</v>
      </c>
      <c r="I347">
        <f>81036000/(1000)</f>
        <v>81036</v>
      </c>
      <c r="J347">
        <f t="shared" si="5"/>
        <v>5.1753783503628017E-3</v>
      </c>
      <c r="K347">
        <f>9590001/(1000)</f>
        <v>9590.0010000000002</v>
      </c>
      <c r="L347">
        <v>11.238309860229499</v>
      </c>
      <c r="M347">
        <v>13.6660060882568</v>
      </c>
      <c r="N347">
        <v>64.324728616131296</v>
      </c>
      <c r="O347">
        <v>209.96804809570301</v>
      </c>
      <c r="P347">
        <v>0</v>
      </c>
      <c r="Q347">
        <v>0</v>
      </c>
      <c r="R347">
        <v>4.4710144669324601</v>
      </c>
      <c r="S347">
        <v>68.875799930598703</v>
      </c>
      <c r="T347">
        <v>0</v>
      </c>
      <c r="U347">
        <v>0</v>
      </c>
      <c r="V347">
        <v>0</v>
      </c>
      <c r="W347">
        <v>0</v>
      </c>
    </row>
    <row r="348" spans="1:23" x14ac:dyDescent="0.55000000000000004">
      <c r="A348" t="s">
        <v>704</v>
      </c>
      <c r="B348" t="s">
        <v>705</v>
      </c>
      <c r="C348" t="s">
        <v>31</v>
      </c>
      <c r="D348">
        <v>12.65</v>
      </c>
      <c r="E348">
        <f>1469908480/(1000)</f>
        <v>1469908.48</v>
      </c>
      <c r="F348">
        <f>1070329984/(1000)</f>
        <v>1070329.9839999999</v>
      </c>
      <c r="G348">
        <f>147234000/(1000)</f>
        <v>147234</v>
      </c>
      <c r="H348">
        <f>1301472480/(1000)</f>
        <v>1301472.48</v>
      </c>
      <c r="I348">
        <f>207255008/(1000)</f>
        <v>207255.008</v>
      </c>
      <c r="J348">
        <f t="shared" si="5"/>
        <v>6.2795707209159449E-3</v>
      </c>
      <c r="K348">
        <f>196800993/(1000)</f>
        <v>196800.99299999999</v>
      </c>
      <c r="L348">
        <v>24.143863677978501</v>
      </c>
      <c r="M348">
        <v>12.289904594421399</v>
      </c>
      <c r="N348">
        <v>97.902892593890201</v>
      </c>
      <c r="O348">
        <v>12.5981283187866</v>
      </c>
      <c r="P348">
        <v>0</v>
      </c>
      <c r="Q348">
        <v>2.1673316784832899</v>
      </c>
      <c r="R348">
        <v>12.6499996185303</v>
      </c>
      <c r="S348">
        <v>59.289525102337699</v>
      </c>
      <c r="T348">
        <v>0</v>
      </c>
      <c r="U348">
        <v>0</v>
      </c>
      <c r="V348">
        <v>0</v>
      </c>
      <c r="W348">
        <v>0</v>
      </c>
    </row>
    <row r="349" spans="1:23" x14ac:dyDescent="0.55000000000000004">
      <c r="A349" t="s">
        <v>706</v>
      </c>
      <c r="B349" t="s">
        <v>707</v>
      </c>
      <c r="C349" t="s">
        <v>20</v>
      </c>
      <c r="D349">
        <v>16.37</v>
      </c>
      <c r="E349">
        <f>1401149184/(1000)</f>
        <v>1401149.1839999999</v>
      </c>
      <c r="F349">
        <f>1068671040/(1000)</f>
        <v>1068671.04</v>
      </c>
      <c r="G349">
        <f>51377000/(1000)</f>
        <v>51377</v>
      </c>
      <c r="H349">
        <f>1426046184/(1000)</f>
        <v>1426046.1839999999</v>
      </c>
      <c r="I349">
        <f>96154000/(1000)</f>
        <v>96154</v>
      </c>
      <c r="J349">
        <f t="shared" si="5"/>
        <v>1.4830856584229463E-2</v>
      </c>
      <c r="K349">
        <f>-41266999/(1000)</f>
        <v>-41266.999000000003</v>
      </c>
      <c r="L349">
        <v>32.778553009033203</v>
      </c>
      <c r="M349">
        <v>5.2677340507507298</v>
      </c>
      <c r="N349">
        <v>89.647108209627106</v>
      </c>
      <c r="O349">
        <v>18.389562606811499</v>
      </c>
      <c r="P349">
        <v>0</v>
      </c>
      <c r="Q349">
        <v>3.2245547359994302</v>
      </c>
      <c r="R349">
        <v>34.104168647990797</v>
      </c>
      <c r="S349">
        <v>106.589107221365</v>
      </c>
      <c r="T349">
        <v>0</v>
      </c>
      <c r="U349">
        <v>0</v>
      </c>
      <c r="V349">
        <v>0</v>
      </c>
      <c r="W349">
        <v>0</v>
      </c>
    </row>
    <row r="350" spans="1:23" x14ac:dyDescent="0.55000000000000004">
      <c r="A350" t="s">
        <v>708</v>
      </c>
      <c r="B350" t="s">
        <v>709</v>
      </c>
      <c r="C350" t="s">
        <v>2</v>
      </c>
      <c r="D350">
        <v>1.38</v>
      </c>
      <c r="E350">
        <f>46155204/(1000)</f>
        <v>46155.203999999998</v>
      </c>
      <c r="F350">
        <f>1068270016/(1000)</f>
        <v>1068270.0160000001</v>
      </c>
      <c r="G350">
        <f>102980000/(1000)</f>
        <v>102980</v>
      </c>
      <c r="H350">
        <f>657295172/(1000)</f>
        <v>657295.17200000002</v>
      </c>
      <c r="I350">
        <f>144330000/(1000)</f>
        <v>144330</v>
      </c>
      <c r="J350">
        <f t="shared" si="5"/>
        <v>4.5541132959190742E-3</v>
      </c>
      <c r="K350">
        <f>30240001/(1000)</f>
        <v>30240.001</v>
      </c>
      <c r="L350">
        <v>0</v>
      </c>
      <c r="M350">
        <v>-71.806373596191406</v>
      </c>
      <c r="N350">
        <v>88.580626888768805</v>
      </c>
      <c r="O350">
        <v>295.45303344726602</v>
      </c>
      <c r="P350">
        <v>0</v>
      </c>
      <c r="Q350">
        <v>0.19464033364342301</v>
      </c>
      <c r="R350">
        <v>1.7037037241442501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55000000000000004">
      <c r="A351" t="s">
        <v>710</v>
      </c>
      <c r="B351" t="s">
        <v>711</v>
      </c>
      <c r="C351" t="s">
        <v>31</v>
      </c>
      <c r="D351">
        <v>2.89</v>
      </c>
      <c r="E351">
        <f>131995840/(1000)</f>
        <v>131995.84</v>
      </c>
      <c r="F351">
        <f>1068207040/(1000)</f>
        <v>1068207.04</v>
      </c>
      <c r="G351">
        <f>19836000/(1000)</f>
        <v>19836</v>
      </c>
      <c r="H351">
        <f>10971840/(1000)</f>
        <v>10971.84</v>
      </c>
      <c r="I351">
        <f>40617000/(1000)</f>
        <v>40617</v>
      </c>
      <c r="J351">
        <f t="shared" si="5"/>
        <v>2.7012925622276385E-4</v>
      </c>
      <c r="K351">
        <f>-33708999/(1000)</f>
        <v>-33708.999000000003</v>
      </c>
      <c r="L351">
        <v>17.940313339233398</v>
      </c>
      <c r="M351">
        <v>1.65806400775909</v>
      </c>
      <c r="N351">
        <v>98.621510437416504</v>
      </c>
      <c r="O351">
        <v>7.3995999991894004E-2</v>
      </c>
      <c r="P351">
        <v>0</v>
      </c>
      <c r="Q351">
        <v>0</v>
      </c>
      <c r="R351">
        <v>6.16660957347126</v>
      </c>
      <c r="S351">
        <v>144.44823769222899</v>
      </c>
      <c r="T351">
        <v>0</v>
      </c>
      <c r="U351">
        <v>0</v>
      </c>
      <c r="V351">
        <v>0</v>
      </c>
      <c r="W351">
        <v>0</v>
      </c>
    </row>
    <row r="352" spans="1:23" x14ac:dyDescent="0.55000000000000004">
      <c r="A352" t="s">
        <v>712</v>
      </c>
      <c r="B352" t="s">
        <v>713</v>
      </c>
      <c r="C352" t="s">
        <v>20</v>
      </c>
      <c r="D352">
        <v>18.43</v>
      </c>
      <c r="E352">
        <f>514701984/(1000)</f>
        <v>514701.984</v>
      </c>
      <c r="F352">
        <f>1063595008/(1000)</f>
        <v>1063595.0079999999</v>
      </c>
      <c r="G352">
        <f>74900000/(1000)</f>
        <v>74900</v>
      </c>
      <c r="H352">
        <f>656108992/(1000)</f>
        <v>656108.99199999997</v>
      </c>
      <c r="I352">
        <f>106766000/(1000)</f>
        <v>106766</v>
      </c>
      <c r="J352">
        <f t="shared" si="5"/>
        <v>6.1452989903152686E-3</v>
      </c>
      <c r="K352">
        <f>30443001/(1000)</f>
        <v>30443.001</v>
      </c>
      <c r="L352">
        <v>18.1348266601563</v>
      </c>
      <c r="M352">
        <v>23.975450515747099</v>
      </c>
      <c r="N352">
        <v>77.400329225493195</v>
      </c>
      <c r="O352">
        <v>112.45281982421901</v>
      </c>
      <c r="P352">
        <v>0</v>
      </c>
      <c r="Q352">
        <v>0</v>
      </c>
      <c r="R352">
        <v>10.905325832059299</v>
      </c>
      <c r="S352">
        <v>12.404739178522201</v>
      </c>
      <c r="T352">
        <v>0</v>
      </c>
      <c r="U352">
        <v>0</v>
      </c>
      <c r="V352">
        <v>0</v>
      </c>
      <c r="W352">
        <v>0</v>
      </c>
    </row>
    <row r="353" spans="1:23" x14ac:dyDescent="0.55000000000000004">
      <c r="A353" t="s">
        <v>714</v>
      </c>
      <c r="B353" t="s">
        <v>715</v>
      </c>
      <c r="C353" t="s">
        <v>401</v>
      </c>
      <c r="D353">
        <v>6.19</v>
      </c>
      <c r="E353">
        <f>300195808/(1000)</f>
        <v>300195.80800000002</v>
      </c>
      <c r="F353">
        <f>1056739008/(1000)</f>
        <v>1056739.0079999999</v>
      </c>
      <c r="G353">
        <f>155392000/(1000)</f>
        <v>155392</v>
      </c>
      <c r="H353">
        <f>2102953824/(1000)</f>
        <v>2102953.824</v>
      </c>
      <c r="I353">
        <f>278104000/(1000)</f>
        <v>278104</v>
      </c>
      <c r="J353">
        <f t="shared" si="5"/>
        <v>7.5617532433909619E-3</v>
      </c>
      <c r="K353">
        <f>-324500991/(1000)</f>
        <v>-324500.99099999998</v>
      </c>
      <c r="L353">
        <v>0</v>
      </c>
      <c r="M353">
        <v>11.617973327636699</v>
      </c>
      <c r="N353">
        <v>96.712576070910998</v>
      </c>
      <c r="O353">
        <v>144.30252075195301</v>
      </c>
      <c r="P353">
        <v>1.2382127046585101</v>
      </c>
      <c r="Q353">
        <v>0.37568659748512201</v>
      </c>
      <c r="R353">
        <v>11.4734394530992</v>
      </c>
      <c r="S353">
        <v>297.66497877592798</v>
      </c>
      <c r="T353">
        <v>0</v>
      </c>
      <c r="U353">
        <v>0</v>
      </c>
      <c r="V353">
        <v>0</v>
      </c>
      <c r="W353">
        <v>0</v>
      </c>
    </row>
    <row r="354" spans="1:23" x14ac:dyDescent="0.55000000000000004">
      <c r="A354" t="s">
        <v>716</v>
      </c>
      <c r="B354" t="s">
        <v>717</v>
      </c>
      <c r="C354" t="s">
        <v>17</v>
      </c>
      <c r="D354">
        <v>19.09</v>
      </c>
      <c r="E354">
        <f>772148480/(1000)</f>
        <v>772148.48</v>
      </c>
      <c r="F354">
        <f>1056371008/(1000)</f>
        <v>1056371.0079999999</v>
      </c>
      <c r="G354">
        <f>76756000/(1000)</f>
        <v>76756</v>
      </c>
      <c r="H354">
        <f>1083321472/(1000)</f>
        <v>1083321.4720000001</v>
      </c>
      <c r="I354">
        <f>96736000/(1000)</f>
        <v>96736</v>
      </c>
      <c r="J354">
        <f t="shared" si="5"/>
        <v>1.1198741647370163E-2</v>
      </c>
      <c r="K354">
        <f>4675001/(1000)</f>
        <v>4675.0010000000002</v>
      </c>
      <c r="L354">
        <v>25.278732299804702</v>
      </c>
      <c r="M354">
        <v>5.7260651588439897</v>
      </c>
      <c r="N354">
        <v>92.684646122076202</v>
      </c>
      <c r="O354">
        <v>39.885791778564503</v>
      </c>
      <c r="P354">
        <v>0</v>
      </c>
      <c r="Q354">
        <v>0.95354643936508299</v>
      </c>
      <c r="R354">
        <v>15.1037082495852</v>
      </c>
      <c r="S354">
        <v>126.465989483046</v>
      </c>
      <c r="T354">
        <v>0</v>
      </c>
      <c r="U354">
        <v>0</v>
      </c>
      <c r="V354">
        <v>0</v>
      </c>
      <c r="W354">
        <v>0</v>
      </c>
    </row>
    <row r="355" spans="1:23" x14ac:dyDescent="0.55000000000000004">
      <c r="A355" t="s">
        <v>718</v>
      </c>
      <c r="B355" t="s">
        <v>719</v>
      </c>
      <c r="C355" t="s">
        <v>2</v>
      </c>
      <c r="D355">
        <v>9.02</v>
      </c>
      <c r="E355">
        <f>425045856/(1000)</f>
        <v>425045.85600000003</v>
      </c>
      <c r="F355">
        <f>1055814016/(1000)</f>
        <v>1055814.0160000001</v>
      </c>
      <c r="G355">
        <f>142188000/(1000)</f>
        <v>142188</v>
      </c>
      <c r="H355">
        <f>738836864/(1000)</f>
        <v>738836.86399999994</v>
      </c>
      <c r="I355">
        <f>163510000/(1000)</f>
        <v>163510</v>
      </c>
      <c r="J355">
        <f t="shared" si="5"/>
        <v>4.5186035349519902E-3</v>
      </c>
      <c r="K355">
        <f>85863001/(1000)</f>
        <v>85863.001000000004</v>
      </c>
      <c r="L355">
        <v>0</v>
      </c>
      <c r="M355">
        <v>180.62828063964801</v>
      </c>
      <c r="N355">
        <v>94.744558818422206</v>
      </c>
      <c r="O355">
        <v>493.26962280273398</v>
      </c>
      <c r="P355">
        <v>0.479999989271164</v>
      </c>
      <c r="Q355">
        <v>4.1140250795671003</v>
      </c>
      <c r="R355">
        <v>5.0391064244766799</v>
      </c>
      <c r="S355">
        <v>36.540096806600502</v>
      </c>
      <c r="T355">
        <v>0</v>
      </c>
      <c r="U355">
        <v>0</v>
      </c>
      <c r="V355">
        <v>0</v>
      </c>
      <c r="W355">
        <v>0</v>
      </c>
    </row>
    <row r="356" spans="1:23" x14ac:dyDescent="0.55000000000000004">
      <c r="A356" t="s">
        <v>720</v>
      </c>
      <c r="B356" t="s">
        <v>721</v>
      </c>
      <c r="C356" t="s">
        <v>184</v>
      </c>
      <c r="D356">
        <v>14.54</v>
      </c>
      <c r="E356">
        <f>537855552/(1000)</f>
        <v>537855.55200000003</v>
      </c>
      <c r="F356">
        <f>1051278016/(1000)</f>
        <v>1051278.0160000001</v>
      </c>
      <c r="G356">
        <f>30014000/(1000)</f>
        <v>30014</v>
      </c>
      <c r="H356">
        <f>697969552/(1000)</f>
        <v>697969.55200000003</v>
      </c>
      <c r="I356">
        <f>59660000/(1000)</f>
        <v>59660</v>
      </c>
      <c r="J356">
        <f t="shared" si="5"/>
        <v>1.1699120885015086E-2</v>
      </c>
      <c r="K356">
        <f>7155001/(1000)</f>
        <v>7155.0010000000002</v>
      </c>
      <c r="L356">
        <v>19.9036655426025</v>
      </c>
      <c r="M356">
        <v>6.9261608123779297</v>
      </c>
      <c r="N356">
        <v>42.076428396117997</v>
      </c>
      <c r="O356">
        <v>83.048744201660199</v>
      </c>
      <c r="P356">
        <v>0</v>
      </c>
      <c r="Q356">
        <v>0</v>
      </c>
      <c r="R356">
        <v>12.716980761005299</v>
      </c>
      <c r="S356">
        <v>42.777130270095199</v>
      </c>
      <c r="T356">
        <v>0</v>
      </c>
      <c r="U356">
        <v>0</v>
      </c>
      <c r="V356">
        <v>0</v>
      </c>
      <c r="W356">
        <v>0</v>
      </c>
    </row>
    <row r="357" spans="1:23" x14ac:dyDescent="0.55000000000000004">
      <c r="A357" t="s">
        <v>722</v>
      </c>
      <c r="B357" t="s">
        <v>723</v>
      </c>
      <c r="C357" t="s">
        <v>5</v>
      </c>
      <c r="D357">
        <v>4.9000000000000004</v>
      </c>
      <c r="E357">
        <f>248191872/(1000)</f>
        <v>248191.872</v>
      </c>
      <c r="F357">
        <f>1050360000/(1000)</f>
        <v>1050360</v>
      </c>
      <c r="G357">
        <f>108206000/(1000)</f>
        <v>108206</v>
      </c>
      <c r="H357">
        <f>676299872/(1000)</f>
        <v>676299.87199999997</v>
      </c>
      <c r="I357">
        <f>157576992/(1000)</f>
        <v>157576.992</v>
      </c>
      <c r="J357">
        <f t="shared" si="5"/>
        <v>4.2918694120014679E-3</v>
      </c>
      <c r="K357">
        <f>6451001/(1000)</f>
        <v>6451.0010000000002</v>
      </c>
      <c r="L357">
        <v>0</v>
      </c>
      <c r="M357">
        <v>18.32932472229</v>
      </c>
      <c r="N357">
        <v>73.481678459516502</v>
      </c>
      <c r="O357">
        <v>350.71096801757801</v>
      </c>
      <c r="P357">
        <v>0</v>
      </c>
      <c r="Q357">
        <v>1.3950178018071999</v>
      </c>
      <c r="R357">
        <v>5.32608702826351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55000000000000004">
      <c r="A358" t="s">
        <v>724</v>
      </c>
      <c r="B358" t="s">
        <v>725</v>
      </c>
      <c r="C358" t="s">
        <v>5</v>
      </c>
      <c r="D358">
        <v>1.44</v>
      </c>
      <c r="E358">
        <f>207395712/(1000)</f>
        <v>207395.712</v>
      </c>
      <c r="F358">
        <f>1041012928/(1000)</f>
        <v>1041012.928</v>
      </c>
      <c r="G358">
        <f>100377000/(1000)</f>
        <v>100377</v>
      </c>
      <c r="H358">
        <f>1017939712/(1000)</f>
        <v>1017939.7120000001</v>
      </c>
      <c r="I358">
        <f>177534000/(1000)</f>
        <v>177534</v>
      </c>
      <c r="J358">
        <f t="shared" si="5"/>
        <v>5.7337733166604715E-3</v>
      </c>
      <c r="K358">
        <f>31660997/(1000)</f>
        <v>31660.996999999999</v>
      </c>
      <c r="L358">
        <v>0</v>
      </c>
      <c r="M358">
        <v>0</v>
      </c>
      <c r="N358">
        <v>80.732070870382103</v>
      </c>
      <c r="O358">
        <v>517.53308105468795</v>
      </c>
      <c r="P358">
        <v>0</v>
      </c>
      <c r="Q358">
        <v>0.66055046473576096</v>
      </c>
      <c r="R358">
        <v>0</v>
      </c>
      <c r="S358">
        <v>315.80141424087702</v>
      </c>
      <c r="T358">
        <v>0</v>
      </c>
      <c r="U358">
        <v>0</v>
      </c>
      <c r="V358">
        <v>0</v>
      </c>
      <c r="W358">
        <v>0</v>
      </c>
    </row>
    <row r="359" spans="1:23" x14ac:dyDescent="0.55000000000000004">
      <c r="A359" t="s">
        <v>726</v>
      </c>
      <c r="B359" t="s">
        <v>727</v>
      </c>
      <c r="C359" t="s">
        <v>2</v>
      </c>
      <c r="D359">
        <v>11.58</v>
      </c>
      <c r="E359">
        <f>786673408/(1000)</f>
        <v>786673.40800000005</v>
      </c>
      <c r="F359">
        <f>1037779008/(1000)</f>
        <v>1037779.008</v>
      </c>
      <c r="G359">
        <f>14462000/(1000)</f>
        <v>14462</v>
      </c>
      <c r="H359">
        <f>916146408/(1000)</f>
        <v>916146.40800000005</v>
      </c>
      <c r="I359">
        <f>32550000/(1000)</f>
        <v>32550</v>
      </c>
      <c r="J359">
        <f t="shared" si="5"/>
        <v>2.8145818986175117E-2</v>
      </c>
      <c r="K359">
        <f>36563001/(1000)</f>
        <v>36563.000999999997</v>
      </c>
      <c r="L359">
        <v>0</v>
      </c>
      <c r="M359">
        <v>-2.3666350841522199</v>
      </c>
      <c r="N359">
        <v>68.178432790118904</v>
      </c>
      <c r="O359">
        <v>51.809005737304702</v>
      </c>
      <c r="P359">
        <v>0</v>
      </c>
      <c r="Q359">
        <v>2.0641710602690702</v>
      </c>
      <c r="R359">
        <v>13.159090448047801</v>
      </c>
      <c r="S359">
        <v>23.831853245866299</v>
      </c>
      <c r="T359">
        <v>0</v>
      </c>
      <c r="U359">
        <v>0</v>
      </c>
      <c r="V359">
        <v>0</v>
      </c>
      <c r="W359">
        <v>0</v>
      </c>
    </row>
    <row r="360" spans="1:23" x14ac:dyDescent="0.55000000000000004">
      <c r="A360" t="s">
        <v>728</v>
      </c>
      <c r="B360" t="s">
        <v>729</v>
      </c>
      <c r="C360" t="s">
        <v>5</v>
      </c>
      <c r="D360">
        <v>10.3</v>
      </c>
      <c r="E360">
        <f>33969400/(1000)</f>
        <v>33969.4</v>
      </c>
      <c r="F360">
        <f>1037323008/(1000)</f>
        <v>1037323.008</v>
      </c>
      <c r="G360">
        <f>0/(1000)</f>
        <v>0</v>
      </c>
      <c r="H360">
        <f>0/(1000)</f>
        <v>0</v>
      </c>
      <c r="I360">
        <f>0/(1000)</f>
        <v>0</v>
      </c>
      <c r="J360">
        <f t="shared" si="5"/>
        <v>1</v>
      </c>
      <c r="K360">
        <f>121293009/(1000)</f>
        <v>121293.00900000001</v>
      </c>
      <c r="L360">
        <v>16.332344055175799</v>
      </c>
      <c r="M360">
        <v>9.3586282730102504</v>
      </c>
      <c r="N360">
        <v>69.511823298439296</v>
      </c>
      <c r="O360">
        <v>528.01672363281295</v>
      </c>
      <c r="P360">
        <v>2.49999952316284</v>
      </c>
      <c r="Q360">
        <v>0</v>
      </c>
      <c r="R360">
        <v>0.60588236442641397</v>
      </c>
      <c r="S360">
        <v>186.936956593899</v>
      </c>
      <c r="T360">
        <v>0</v>
      </c>
      <c r="U360">
        <v>0</v>
      </c>
      <c r="V360">
        <v>0</v>
      </c>
      <c r="W360">
        <v>0</v>
      </c>
    </row>
    <row r="361" spans="1:23" x14ac:dyDescent="0.55000000000000004">
      <c r="A361" t="s">
        <v>730</v>
      </c>
      <c r="B361" t="s">
        <v>731</v>
      </c>
      <c r="C361" t="s">
        <v>2</v>
      </c>
      <c r="D361">
        <v>7.68</v>
      </c>
      <c r="E361">
        <f>297414144/(1000)</f>
        <v>297414.14399999997</v>
      </c>
      <c r="F361">
        <f>1036915008/(1000)</f>
        <v>1036915.008</v>
      </c>
      <c r="G361">
        <f>71487000/(1000)</f>
        <v>71487</v>
      </c>
      <c r="H361">
        <f>313270144/(1000)</f>
        <v>313270.14399999997</v>
      </c>
      <c r="I361">
        <f>85974000/(1000)</f>
        <v>85974</v>
      </c>
      <c r="J361">
        <f t="shared" si="5"/>
        <v>3.6437777002349546E-3</v>
      </c>
      <c r="K361">
        <f>37353001/(1000)</f>
        <v>37353.000999999997</v>
      </c>
      <c r="L361">
        <v>28.120643615722699</v>
      </c>
      <c r="M361">
        <v>14.055534362793001</v>
      </c>
      <c r="N361">
        <v>82.630443691601101</v>
      </c>
      <c r="O361">
        <v>18.1967449188232</v>
      </c>
      <c r="P361">
        <v>0</v>
      </c>
      <c r="Q361">
        <v>0</v>
      </c>
      <c r="R361">
        <v>10.5205476499226</v>
      </c>
      <c r="S361">
        <v>101.912384231046</v>
      </c>
      <c r="T361">
        <v>0</v>
      </c>
      <c r="U361">
        <v>0</v>
      </c>
      <c r="V361">
        <v>0</v>
      </c>
      <c r="W361">
        <v>0</v>
      </c>
    </row>
    <row r="362" spans="1:23" x14ac:dyDescent="0.55000000000000004">
      <c r="A362" t="s">
        <v>732</v>
      </c>
      <c r="B362" t="s">
        <v>733</v>
      </c>
      <c r="C362" t="s">
        <v>94</v>
      </c>
      <c r="D362">
        <v>44.23</v>
      </c>
      <c r="E362">
        <f>1170798976/(1000)</f>
        <v>1170798.976</v>
      </c>
      <c r="F362">
        <f>1033193024/(1000)</f>
        <v>1033193.024</v>
      </c>
      <c r="G362">
        <f>154923008/(1000)</f>
        <v>154923.008</v>
      </c>
      <c r="H362">
        <f>1853496000/(1000)</f>
        <v>1853496</v>
      </c>
      <c r="I362">
        <f>223266000/(1000)</f>
        <v>223266</v>
      </c>
      <c r="J362">
        <f t="shared" si="5"/>
        <v>8.3017387331703E-3</v>
      </c>
      <c r="K362">
        <f>65413001/(1000)</f>
        <v>65413.000999999997</v>
      </c>
      <c r="L362">
        <v>17.594722747802699</v>
      </c>
      <c r="M362">
        <v>12.475466728210399</v>
      </c>
      <c r="N362">
        <v>98.702341384048594</v>
      </c>
      <c r="O362">
        <v>110.98762512207</v>
      </c>
      <c r="P362">
        <v>1.58000004291534</v>
      </c>
      <c r="Q362">
        <v>0</v>
      </c>
      <c r="R362">
        <v>17.834677151187702</v>
      </c>
      <c r="S362">
        <v>61.0900663573317</v>
      </c>
      <c r="T362">
        <v>0</v>
      </c>
      <c r="U362">
        <v>0</v>
      </c>
      <c r="V362">
        <v>0</v>
      </c>
      <c r="W362">
        <v>0</v>
      </c>
    </row>
    <row r="363" spans="1:23" x14ac:dyDescent="0.55000000000000004">
      <c r="A363" t="s">
        <v>734</v>
      </c>
      <c r="B363" t="s">
        <v>735</v>
      </c>
      <c r="C363" t="s">
        <v>94</v>
      </c>
      <c r="D363">
        <v>22.83</v>
      </c>
      <c r="E363">
        <f>1375032576/(1000)</f>
        <v>1375032.5759999999</v>
      </c>
      <c r="F363">
        <f>1030616000/(1000)</f>
        <v>1030616</v>
      </c>
      <c r="G363">
        <f>97559000/(1000)</f>
        <v>97559</v>
      </c>
      <c r="H363">
        <f>2292498560/(1000)</f>
        <v>2292498.56</v>
      </c>
      <c r="I363">
        <f>179690000/(1000)</f>
        <v>179690</v>
      </c>
      <c r="J363">
        <f t="shared" si="5"/>
        <v>1.2758075351995104E-2</v>
      </c>
      <c r="K363">
        <f>-245731999/(1000)</f>
        <v>-245731.99900000001</v>
      </c>
      <c r="L363">
        <v>16.553550720214801</v>
      </c>
      <c r="M363">
        <v>16.043836593627901</v>
      </c>
      <c r="N363">
        <v>98.097935079360099</v>
      </c>
      <c r="O363">
        <v>85.933326721191406</v>
      </c>
      <c r="P363">
        <v>0.89999997615814198</v>
      </c>
      <c r="Q363">
        <v>1.4219868881812601</v>
      </c>
      <c r="R363">
        <v>13.589285490483199</v>
      </c>
      <c r="S363">
        <v>73.070528332693499</v>
      </c>
      <c r="T363">
        <v>0</v>
      </c>
      <c r="U363">
        <v>0</v>
      </c>
      <c r="V363">
        <v>0</v>
      </c>
      <c r="W363">
        <v>0</v>
      </c>
    </row>
    <row r="364" spans="1:23" x14ac:dyDescent="0.55000000000000004">
      <c r="A364" t="s">
        <v>736</v>
      </c>
      <c r="B364" t="s">
        <v>737</v>
      </c>
      <c r="C364" t="s">
        <v>5</v>
      </c>
      <c r="D364">
        <v>4.1900000000000004</v>
      </c>
      <c r="E364">
        <f>280972192/(1000)</f>
        <v>280972.19199999998</v>
      </c>
      <c r="F364">
        <f>1030467008/(1000)</f>
        <v>1030467.008</v>
      </c>
      <c r="G364">
        <f>-88068000/(1000)</f>
        <v>-88068</v>
      </c>
      <c r="H364">
        <f>106790496/(1000)</f>
        <v>106790.496</v>
      </c>
      <c r="I364">
        <f>187704992/(1000)</f>
        <v>187704.992</v>
      </c>
      <c r="J364">
        <f t="shared" si="5"/>
        <v>5.6892730908296787E-4</v>
      </c>
      <c r="K364">
        <f>-30977999/(1000)</f>
        <v>-30977.999</v>
      </c>
      <c r="L364">
        <v>0</v>
      </c>
      <c r="M364">
        <v>-4.68186712265015</v>
      </c>
      <c r="N364">
        <v>98.640873561335297</v>
      </c>
      <c r="O364">
        <v>0</v>
      </c>
      <c r="P364">
        <v>0</v>
      </c>
      <c r="Q364">
        <v>0.42546712418761401</v>
      </c>
      <c r="R364">
        <v>0</v>
      </c>
      <c r="S364">
        <v>120.351459620586</v>
      </c>
      <c r="T364">
        <v>0</v>
      </c>
      <c r="U364">
        <v>0</v>
      </c>
      <c r="V364">
        <v>0</v>
      </c>
      <c r="W364">
        <v>0</v>
      </c>
    </row>
    <row r="365" spans="1:23" x14ac:dyDescent="0.55000000000000004">
      <c r="A365" t="s">
        <v>738</v>
      </c>
      <c r="B365" t="s">
        <v>739</v>
      </c>
      <c r="C365" t="s">
        <v>2</v>
      </c>
      <c r="D365">
        <v>21.54</v>
      </c>
      <c r="E365">
        <f>436723488/(1000)</f>
        <v>436723.48800000001</v>
      </c>
      <c r="F365">
        <f>1030000000/(1000)</f>
        <v>1030000</v>
      </c>
      <c r="G365">
        <f>63200000/(1000)</f>
        <v>63200</v>
      </c>
      <c r="H365">
        <f>547223488/(1000)</f>
        <v>547223.48800000001</v>
      </c>
      <c r="I365">
        <f>103400000/(1000)</f>
        <v>103400</v>
      </c>
      <c r="J365">
        <f t="shared" si="5"/>
        <v>5.2922967891682786E-3</v>
      </c>
      <c r="K365">
        <f>58000005/(1000)</f>
        <v>58000.004999999997</v>
      </c>
      <c r="L365">
        <v>11.611921310424799</v>
      </c>
      <c r="M365">
        <v>9.1467580795288104</v>
      </c>
      <c r="N365">
        <v>97.519114041952605</v>
      </c>
      <c r="O365">
        <v>39.086509704589801</v>
      </c>
      <c r="P365">
        <v>0</v>
      </c>
      <c r="Q365">
        <v>0</v>
      </c>
      <c r="R365">
        <v>4.8954547137391504</v>
      </c>
      <c r="S365">
        <v>45.090851327078099</v>
      </c>
      <c r="T365">
        <v>0</v>
      </c>
      <c r="U365">
        <v>0</v>
      </c>
      <c r="V365">
        <v>0</v>
      </c>
      <c r="W365">
        <v>0</v>
      </c>
    </row>
    <row r="366" spans="1:23" x14ac:dyDescent="0.55000000000000004">
      <c r="A366" t="s">
        <v>740</v>
      </c>
      <c r="B366" t="s">
        <v>741</v>
      </c>
      <c r="C366" t="s">
        <v>121</v>
      </c>
      <c r="D366">
        <v>20.37</v>
      </c>
      <c r="E366">
        <f>221252832/(1000)</f>
        <v>221252.83199999999</v>
      </c>
      <c r="F366">
        <f>1028963008/(1000)</f>
        <v>1028963.008</v>
      </c>
      <c r="G366">
        <f>43324000/(1000)</f>
        <v>43324</v>
      </c>
      <c r="H366">
        <f>308415832/(1000)</f>
        <v>308415.83199999999</v>
      </c>
      <c r="I366">
        <f>52274000/(1000)</f>
        <v>52274</v>
      </c>
      <c r="J366">
        <f t="shared" si="5"/>
        <v>5.8999853081838005E-3</v>
      </c>
      <c r="K366">
        <f>52183001/(1000)</f>
        <v>52183.000999999997</v>
      </c>
      <c r="L366">
        <v>0</v>
      </c>
      <c r="M366">
        <v>10.1535491943359</v>
      </c>
      <c r="N366">
        <v>83.328576113161503</v>
      </c>
      <c r="O366">
        <v>6.3399357795715297</v>
      </c>
      <c r="P366">
        <v>0.20000000298023199</v>
      </c>
      <c r="Q366">
        <v>0.776295770461639</v>
      </c>
      <c r="R366">
        <v>3.1146789746063699</v>
      </c>
      <c r="S366">
        <v>123.987558992042</v>
      </c>
      <c r="T366">
        <v>0</v>
      </c>
      <c r="U366">
        <v>0</v>
      </c>
      <c r="V366">
        <v>0</v>
      </c>
      <c r="W366">
        <v>0</v>
      </c>
    </row>
    <row r="367" spans="1:23" x14ac:dyDescent="0.55000000000000004">
      <c r="A367" t="s">
        <v>742</v>
      </c>
      <c r="B367" t="s">
        <v>743</v>
      </c>
      <c r="C367" t="s">
        <v>81</v>
      </c>
      <c r="D367">
        <v>0.41</v>
      </c>
      <c r="E367">
        <f>17231516/(1000)</f>
        <v>17231.516</v>
      </c>
      <c r="F367">
        <f>1028867968/(1000)</f>
        <v>1028867.968</v>
      </c>
      <c r="G367">
        <f>115944000/(1000)</f>
        <v>115944</v>
      </c>
      <c r="H367">
        <f>1331412508/(1000)</f>
        <v>1331412.5079999999</v>
      </c>
      <c r="I367">
        <f>207022000/(1000)</f>
        <v>207022</v>
      </c>
      <c r="J367">
        <f t="shared" si="5"/>
        <v>6.4312609674334123E-3</v>
      </c>
      <c r="K367">
        <f>107265001/(1000)</f>
        <v>107265.001</v>
      </c>
      <c r="L367">
        <v>0</v>
      </c>
      <c r="M367">
        <v>-141.232345581055</v>
      </c>
      <c r="N367">
        <v>97.965321020097306</v>
      </c>
      <c r="O367">
        <v>909.42095947265602</v>
      </c>
      <c r="P367">
        <v>0</v>
      </c>
      <c r="Q367">
        <v>0</v>
      </c>
      <c r="R367">
        <v>0</v>
      </c>
      <c r="S367">
        <v>58.939522736390998</v>
      </c>
      <c r="T367">
        <v>0</v>
      </c>
      <c r="U367">
        <v>0</v>
      </c>
      <c r="V367">
        <v>0</v>
      </c>
      <c r="W367">
        <v>0</v>
      </c>
    </row>
    <row r="368" spans="1:23" x14ac:dyDescent="0.55000000000000004">
      <c r="A368" t="s">
        <v>744</v>
      </c>
      <c r="B368" t="s">
        <v>745</v>
      </c>
      <c r="C368" t="s">
        <v>5</v>
      </c>
      <c r="D368">
        <v>34.5</v>
      </c>
      <c r="E368">
        <f>950074816/(1000)</f>
        <v>950074.81599999999</v>
      </c>
      <c r="F368">
        <f>1028854016/(1000)</f>
        <v>1028854.0159999999</v>
      </c>
      <c r="G368">
        <f>97615000/(1000)</f>
        <v>97615</v>
      </c>
      <c r="H368">
        <f>1370950816/(1000)</f>
        <v>1370950.8160000001</v>
      </c>
      <c r="I368">
        <f>153192000/(1000)</f>
        <v>153192</v>
      </c>
      <c r="J368">
        <f t="shared" si="5"/>
        <v>8.9492324403363105E-3</v>
      </c>
      <c r="K368">
        <f>-210969999/(1000)</f>
        <v>-210969.99900000001</v>
      </c>
      <c r="L368">
        <v>25.7140998840332</v>
      </c>
      <c r="M368">
        <v>11.3157653808594</v>
      </c>
      <c r="N368">
        <v>82.710685669321194</v>
      </c>
      <c r="O368">
        <v>50.165153503417997</v>
      </c>
      <c r="P368">
        <v>0.30000001192092901</v>
      </c>
      <c r="Q368">
        <v>0</v>
      </c>
      <c r="R368">
        <v>13.9609251133092</v>
      </c>
      <c r="S368">
        <v>-24.576850254412498</v>
      </c>
      <c r="T368">
        <v>0</v>
      </c>
      <c r="U368">
        <v>0</v>
      </c>
      <c r="V368">
        <v>0</v>
      </c>
      <c r="W368">
        <v>0</v>
      </c>
    </row>
    <row r="369" spans="1:23" x14ac:dyDescent="0.55000000000000004">
      <c r="A369" t="s">
        <v>746</v>
      </c>
      <c r="B369" t="s">
        <v>747</v>
      </c>
      <c r="C369" t="s">
        <v>31</v>
      </c>
      <c r="D369">
        <v>3.48</v>
      </c>
      <c r="E369">
        <f>142674432/(1000)</f>
        <v>142674.432</v>
      </c>
      <c r="F369">
        <f>1026555072/(1000)</f>
        <v>1026555.072</v>
      </c>
      <c r="G369">
        <f>91414000/(1000)</f>
        <v>91414</v>
      </c>
      <c r="H369">
        <f>468359424/(1000)</f>
        <v>468359.424</v>
      </c>
      <c r="I369">
        <f>124765000/(1000)</f>
        <v>124765</v>
      </c>
      <c r="J369">
        <f t="shared" si="5"/>
        <v>3.7539327856369975E-3</v>
      </c>
      <c r="K369">
        <f>78532001/(1000)</f>
        <v>78532.001000000004</v>
      </c>
      <c r="L369">
        <v>21.431341171264599</v>
      </c>
      <c r="M369">
        <v>11.839947700500501</v>
      </c>
      <c r="N369">
        <v>93.802437314404301</v>
      </c>
      <c r="O369">
        <v>1.8330160379409799</v>
      </c>
      <c r="P369">
        <v>0.34999999403953602</v>
      </c>
      <c r="Q369">
        <v>0</v>
      </c>
      <c r="R369">
        <v>2.9000000627090499</v>
      </c>
      <c r="S369">
        <v>152.62579710790899</v>
      </c>
      <c r="T369">
        <v>0</v>
      </c>
      <c r="U369">
        <v>0</v>
      </c>
      <c r="V369">
        <v>0</v>
      </c>
      <c r="W369">
        <v>0</v>
      </c>
    </row>
    <row r="370" spans="1:23" x14ac:dyDescent="0.55000000000000004">
      <c r="A370" t="s">
        <v>748</v>
      </c>
      <c r="B370" t="s">
        <v>749</v>
      </c>
      <c r="C370" t="s">
        <v>5</v>
      </c>
      <c r="D370">
        <v>24.77</v>
      </c>
      <c r="E370">
        <f>2007700224/(1000)</f>
        <v>2007700.2239999999</v>
      </c>
      <c r="F370">
        <f>1025529984/(1000)</f>
        <v>1025529.9840000001</v>
      </c>
      <c r="G370">
        <f>168563008/(1000)</f>
        <v>168563.008</v>
      </c>
      <c r="H370">
        <f>1911604224/(1000)</f>
        <v>1911604.2239999999</v>
      </c>
      <c r="I370">
        <f>256486000/(1000)</f>
        <v>256486</v>
      </c>
      <c r="J370">
        <f t="shared" si="5"/>
        <v>7.4530548411999098E-3</v>
      </c>
      <c r="K370">
        <f>230131009/(1000)</f>
        <v>230131.00899999999</v>
      </c>
      <c r="L370">
        <v>19.210147857666001</v>
      </c>
      <c r="M370">
        <v>16.781843185424801</v>
      </c>
      <c r="N370">
        <v>98.832498369003204</v>
      </c>
      <c r="O370">
        <v>49.147556304931598</v>
      </c>
      <c r="P370">
        <v>0</v>
      </c>
      <c r="Q370">
        <v>2.5761831562563899</v>
      </c>
      <c r="R370">
        <v>13.3891894797673</v>
      </c>
      <c r="S370">
        <v>23.578526269614098</v>
      </c>
      <c r="T370">
        <v>0</v>
      </c>
      <c r="U370">
        <v>0</v>
      </c>
      <c r="V370">
        <v>0</v>
      </c>
      <c r="W370">
        <v>0</v>
      </c>
    </row>
    <row r="371" spans="1:23" x14ac:dyDescent="0.55000000000000004">
      <c r="A371" t="s">
        <v>750</v>
      </c>
      <c r="B371" t="s">
        <v>751</v>
      </c>
      <c r="C371" t="s">
        <v>401</v>
      </c>
      <c r="D371">
        <v>18.03</v>
      </c>
      <c r="E371">
        <f>921291520/(1000)</f>
        <v>921291.52</v>
      </c>
      <c r="F371">
        <f>1024832000/(1000)</f>
        <v>1024832</v>
      </c>
      <c r="G371">
        <f>95836000/(1000)</f>
        <v>95836</v>
      </c>
      <c r="H371">
        <f>1275953536/(1000)</f>
        <v>1275953.5360000001</v>
      </c>
      <c r="I371">
        <f>132180000/(1000)</f>
        <v>132180</v>
      </c>
      <c r="J371">
        <f t="shared" si="5"/>
        <v>9.6531512785595405E-3</v>
      </c>
      <c r="K371">
        <f>-36275999/(1000)</f>
        <v>-36275.999000000003</v>
      </c>
      <c r="L371">
        <v>16.846601486206101</v>
      </c>
      <c r="M371">
        <v>10.780418395996101</v>
      </c>
      <c r="N371">
        <v>98.662174157359999</v>
      </c>
      <c r="O371">
        <v>64.032669067382798</v>
      </c>
      <c r="P371">
        <v>0</v>
      </c>
      <c r="Q371">
        <v>1.64085112927372</v>
      </c>
      <c r="R371">
        <v>15.543103888467</v>
      </c>
      <c r="S371">
        <v>80.233983397268204</v>
      </c>
      <c r="T371">
        <v>0</v>
      </c>
      <c r="U371">
        <v>0</v>
      </c>
      <c r="V371">
        <v>0</v>
      </c>
      <c r="W371">
        <v>0</v>
      </c>
    </row>
    <row r="372" spans="1:23" x14ac:dyDescent="0.55000000000000004">
      <c r="A372" t="s">
        <v>752</v>
      </c>
      <c r="B372" t="s">
        <v>753</v>
      </c>
      <c r="C372" t="s">
        <v>2</v>
      </c>
      <c r="D372">
        <v>29.69</v>
      </c>
      <c r="E372">
        <f>573818624/(1000)</f>
        <v>573818.62399999995</v>
      </c>
      <c r="F372">
        <f>1023174976/(1000)</f>
        <v>1023174.976</v>
      </c>
      <c r="G372">
        <f>108638000/(1000)</f>
        <v>108638</v>
      </c>
      <c r="H372">
        <f>783702624/(1000)</f>
        <v>783702.62399999995</v>
      </c>
      <c r="I372">
        <f>162422000/(1000)</f>
        <v>162422</v>
      </c>
      <c r="J372">
        <f t="shared" si="5"/>
        <v>4.825101427146569E-3</v>
      </c>
      <c r="K372">
        <f>45670001/(1000)</f>
        <v>45670.000999999997</v>
      </c>
      <c r="L372">
        <v>16.023279190063501</v>
      </c>
      <c r="M372">
        <v>11.569712638855</v>
      </c>
      <c r="N372">
        <v>96.692517395166803</v>
      </c>
      <c r="O372">
        <v>42.304542541503899</v>
      </c>
      <c r="P372">
        <v>0.15000000596046401</v>
      </c>
      <c r="Q372">
        <v>0</v>
      </c>
      <c r="R372">
        <v>9.4554140464114003</v>
      </c>
      <c r="S372">
        <v>71.404468150689496</v>
      </c>
      <c r="T372">
        <v>0</v>
      </c>
      <c r="U372">
        <v>0</v>
      </c>
      <c r="V372">
        <v>0</v>
      </c>
      <c r="W372">
        <v>0</v>
      </c>
    </row>
    <row r="373" spans="1:23" x14ac:dyDescent="0.55000000000000004">
      <c r="A373" t="s">
        <v>754</v>
      </c>
      <c r="B373" t="s">
        <v>755</v>
      </c>
      <c r="C373" t="s">
        <v>184</v>
      </c>
      <c r="D373">
        <v>0.71</v>
      </c>
      <c r="E373">
        <f>59374956/(1000)</f>
        <v>59374.955999999998</v>
      </c>
      <c r="F373">
        <f>1022624000/(1000)</f>
        <v>1022624</v>
      </c>
      <c r="G373">
        <f>0/(1000)</f>
        <v>0</v>
      </c>
      <c r="H373">
        <f>0/(1000)</f>
        <v>0</v>
      </c>
      <c r="I373">
        <f>0/(1000)</f>
        <v>0</v>
      </c>
      <c r="J373">
        <f t="shared" si="5"/>
        <v>1</v>
      </c>
      <c r="K373">
        <f>-1442777983/(1000)</f>
        <v>-1442777.983</v>
      </c>
      <c r="L373">
        <v>0</v>
      </c>
      <c r="M373">
        <v>-5.2118902206420898</v>
      </c>
      <c r="N373">
        <v>70.346909595635296</v>
      </c>
      <c r="O373">
        <v>960.73541259765602</v>
      </c>
      <c r="P373">
        <v>0</v>
      </c>
      <c r="Q373">
        <v>8.7546240271139997E-2</v>
      </c>
      <c r="R373">
        <v>0</v>
      </c>
      <c r="S373">
        <v>49.390023848551003</v>
      </c>
      <c r="T373">
        <v>0</v>
      </c>
      <c r="U373">
        <v>0</v>
      </c>
      <c r="V373">
        <v>0</v>
      </c>
      <c r="W373">
        <v>0</v>
      </c>
    </row>
    <row r="374" spans="1:23" x14ac:dyDescent="0.55000000000000004">
      <c r="A374" t="s">
        <v>756</v>
      </c>
      <c r="B374" t="s">
        <v>757</v>
      </c>
      <c r="C374" t="s">
        <v>401</v>
      </c>
      <c r="D374">
        <v>1.84</v>
      </c>
      <c r="E374">
        <f>116684520/(1000)</f>
        <v>116684.52</v>
      </c>
      <c r="F374">
        <f>1021884032/(1000)</f>
        <v>1021884.032</v>
      </c>
      <c r="G374">
        <f>108192000/(1000)</f>
        <v>108192</v>
      </c>
      <c r="H374">
        <f>2088604520/(1000)</f>
        <v>2088604.52</v>
      </c>
      <c r="I374">
        <f>223196000/(1000)</f>
        <v>223196</v>
      </c>
      <c r="J374">
        <f t="shared" si="5"/>
        <v>9.3577148335991685E-3</v>
      </c>
      <c r="K374">
        <f>-156407007/(1000)</f>
        <v>-156407.00700000001</v>
      </c>
      <c r="L374">
        <v>0</v>
      </c>
      <c r="M374">
        <v>9.7349605560302699</v>
      </c>
      <c r="N374">
        <v>95.380939027103807</v>
      </c>
      <c r="O374">
        <v>141.39909362793</v>
      </c>
      <c r="P374">
        <v>0</v>
      </c>
      <c r="Q374">
        <v>0.129395217920278</v>
      </c>
      <c r="R374">
        <v>0</v>
      </c>
      <c r="S374">
        <v>-17.734953738290301</v>
      </c>
      <c r="T374">
        <v>0</v>
      </c>
      <c r="U374">
        <v>0</v>
      </c>
      <c r="V374">
        <v>0</v>
      </c>
      <c r="W374">
        <v>0</v>
      </c>
    </row>
    <row r="375" spans="1:23" x14ac:dyDescent="0.55000000000000004">
      <c r="A375" t="s">
        <v>758</v>
      </c>
      <c r="B375" t="s">
        <v>759</v>
      </c>
      <c r="C375" t="s">
        <v>121</v>
      </c>
      <c r="D375">
        <v>21.11</v>
      </c>
      <c r="E375">
        <f>643236480/(1000)</f>
        <v>643236.48</v>
      </c>
      <c r="F375">
        <f>1021500992/(1000)</f>
        <v>1021500.992</v>
      </c>
      <c r="G375">
        <f>196235008/(1000)</f>
        <v>196235.008</v>
      </c>
      <c r="H375">
        <f>583362484/(1000)</f>
        <v>583362.48400000005</v>
      </c>
      <c r="I375">
        <f>229464000/(1000)</f>
        <v>229464</v>
      </c>
      <c r="J375">
        <f t="shared" si="5"/>
        <v>2.5422832514032704E-3</v>
      </c>
      <c r="K375">
        <f>21647001/(1000)</f>
        <v>21647.001</v>
      </c>
      <c r="L375">
        <v>0</v>
      </c>
      <c r="M375">
        <v>27.2710056304932</v>
      </c>
      <c r="N375">
        <v>99.017090788587595</v>
      </c>
      <c r="O375">
        <v>0.15258599817752799</v>
      </c>
      <c r="P375">
        <v>0</v>
      </c>
      <c r="Q375">
        <v>0.55552633185135702</v>
      </c>
      <c r="R375">
        <v>3.2779504368863202</v>
      </c>
      <c r="S375">
        <v>38.240937141372399</v>
      </c>
      <c r="T375">
        <v>0</v>
      </c>
      <c r="U375">
        <v>0</v>
      </c>
      <c r="V375">
        <v>0</v>
      </c>
      <c r="W375">
        <v>0</v>
      </c>
    </row>
    <row r="376" spans="1:23" x14ac:dyDescent="0.55000000000000004">
      <c r="A376" t="s">
        <v>760</v>
      </c>
      <c r="B376" t="s">
        <v>761</v>
      </c>
      <c r="C376" t="s">
        <v>38</v>
      </c>
      <c r="D376">
        <v>37.770000000000003</v>
      </c>
      <c r="E376">
        <f>1235683328/(1000)</f>
        <v>1235683.328</v>
      </c>
      <c r="F376">
        <f>1020099968/(1000)</f>
        <v>1020099.968</v>
      </c>
      <c r="G376">
        <f>123200000/(1000)</f>
        <v>123200</v>
      </c>
      <c r="H376">
        <f>1515083328/(1000)</f>
        <v>1515083.328</v>
      </c>
      <c r="I376">
        <f>179800000/(1000)</f>
        <v>179800</v>
      </c>
      <c r="J376">
        <f t="shared" si="5"/>
        <v>8.4264923692992221E-3</v>
      </c>
      <c r="K376">
        <f>-199999/(1000)</f>
        <v>-199.999</v>
      </c>
      <c r="L376">
        <v>18.551210403442401</v>
      </c>
      <c r="M376">
        <v>15.714603424072299</v>
      </c>
      <c r="N376">
        <v>97.450789786694799</v>
      </c>
      <c r="O376">
        <v>80.484825134277301</v>
      </c>
      <c r="P376">
        <v>0.60000002384185802</v>
      </c>
      <c r="Q376">
        <v>2.3228782242373298</v>
      </c>
      <c r="R376">
        <v>16.280172243032201</v>
      </c>
      <c r="S376">
        <v>143.05455515844699</v>
      </c>
      <c r="T376">
        <v>0</v>
      </c>
      <c r="U376">
        <v>0</v>
      </c>
      <c r="V376">
        <v>0</v>
      </c>
      <c r="W376">
        <v>0</v>
      </c>
    </row>
    <row r="377" spans="1:23" x14ac:dyDescent="0.55000000000000004">
      <c r="A377" t="s">
        <v>762</v>
      </c>
      <c r="B377" t="s">
        <v>763</v>
      </c>
      <c r="C377" t="s">
        <v>5</v>
      </c>
      <c r="D377">
        <v>7.96</v>
      </c>
      <c r="E377">
        <f>174010368/(1000)</f>
        <v>174010.36799999999</v>
      </c>
      <c r="F377">
        <f>1019000000/(1000)</f>
        <v>1019000</v>
      </c>
      <c r="G377">
        <f>58300000/(1000)</f>
        <v>58300</v>
      </c>
      <c r="H377">
        <f>503210368/(1000)</f>
        <v>503210.36800000002</v>
      </c>
      <c r="I377">
        <f>105100000/(1000)</f>
        <v>105100</v>
      </c>
      <c r="J377">
        <f t="shared" si="5"/>
        <v>4.7879197716460516E-3</v>
      </c>
      <c r="K377">
        <f>39800005/(1000)</f>
        <v>39800.004999999997</v>
      </c>
      <c r="L377">
        <v>0</v>
      </c>
      <c r="M377">
        <v>7.1912879943847701</v>
      </c>
      <c r="N377">
        <v>49.480802167302897</v>
      </c>
      <c r="O377">
        <v>242.54461669921901</v>
      </c>
      <c r="P377">
        <v>0</v>
      </c>
      <c r="Q377">
        <v>0.86365249127750499</v>
      </c>
      <c r="R377">
        <v>10.756756669679101</v>
      </c>
      <c r="S377">
        <v>0</v>
      </c>
      <c r="T377">
        <v>0</v>
      </c>
      <c r="U377">
        <v>0</v>
      </c>
      <c r="V377">
        <v>0</v>
      </c>
      <c r="W377">
        <v>0</v>
      </c>
    </row>
    <row r="378" spans="1:23" x14ac:dyDescent="0.55000000000000004">
      <c r="A378" t="s">
        <v>764</v>
      </c>
      <c r="B378" t="s">
        <v>765</v>
      </c>
      <c r="C378" t="s">
        <v>31</v>
      </c>
      <c r="D378">
        <v>26.12</v>
      </c>
      <c r="E378">
        <f>457969792/(1000)</f>
        <v>457969.79200000002</v>
      </c>
      <c r="F378">
        <f>1016742016/(1000)</f>
        <v>1016742.0159999999</v>
      </c>
      <c r="G378">
        <f>84632000/(1000)</f>
        <v>84632</v>
      </c>
      <c r="H378">
        <f>642981792/(1000)</f>
        <v>642981.79200000002</v>
      </c>
      <c r="I378">
        <f>102369000/(1000)</f>
        <v>102369</v>
      </c>
      <c r="J378">
        <f t="shared" si="5"/>
        <v>6.2810205433285471E-3</v>
      </c>
      <c r="K378">
        <f>77880001/(1000)</f>
        <v>77880.001000000004</v>
      </c>
      <c r="L378">
        <v>17.178731918335</v>
      </c>
      <c r="M378">
        <v>6.3280558586120597</v>
      </c>
      <c r="N378">
        <v>99.115395297840095</v>
      </c>
      <c r="O378">
        <v>30.813838958740199</v>
      </c>
      <c r="P378">
        <v>0.239999994635582</v>
      </c>
      <c r="Q378">
        <v>0</v>
      </c>
      <c r="R378">
        <v>8.6153982382134497</v>
      </c>
      <c r="S378">
        <v>68.051802786957595</v>
      </c>
      <c r="T378">
        <v>0</v>
      </c>
      <c r="U378">
        <v>0</v>
      </c>
      <c r="V378">
        <v>0</v>
      </c>
      <c r="W378">
        <v>0</v>
      </c>
    </row>
    <row r="379" spans="1:23" x14ac:dyDescent="0.55000000000000004">
      <c r="A379" t="s">
        <v>766</v>
      </c>
      <c r="B379" t="s">
        <v>767</v>
      </c>
      <c r="C379" t="s">
        <v>20</v>
      </c>
      <c r="D379">
        <v>10.54</v>
      </c>
      <c r="E379">
        <f>147803472/(1000)</f>
        <v>147803.47200000001</v>
      </c>
      <c r="F379">
        <f>1016460032/(1000)</f>
        <v>1016460.032</v>
      </c>
      <c r="G379">
        <f>12844000/(1000)</f>
        <v>12844</v>
      </c>
      <c r="H379">
        <f>480976464/(1000)</f>
        <v>480976.46399999998</v>
      </c>
      <c r="I379">
        <f>20837000/(1000)</f>
        <v>20837</v>
      </c>
      <c r="J379">
        <f t="shared" si="5"/>
        <v>2.3082807697845181E-2</v>
      </c>
      <c r="K379">
        <f>197750001/(1000)</f>
        <v>197750.00099999999</v>
      </c>
      <c r="L379">
        <v>6.4321370124816903</v>
      </c>
      <c r="M379">
        <v>-24.578975677490199</v>
      </c>
      <c r="N379">
        <v>91.220201609245095</v>
      </c>
      <c r="O379">
        <v>64.234664916992202</v>
      </c>
      <c r="P379">
        <v>0</v>
      </c>
      <c r="Q379">
        <v>0</v>
      </c>
      <c r="R379">
        <v>0</v>
      </c>
      <c r="S379">
        <v>-1.6035421809878601</v>
      </c>
      <c r="T379">
        <v>0</v>
      </c>
      <c r="U379">
        <v>0</v>
      </c>
      <c r="V379">
        <v>0</v>
      </c>
      <c r="W379">
        <v>0</v>
      </c>
    </row>
    <row r="380" spans="1:23" x14ac:dyDescent="0.55000000000000004">
      <c r="A380" t="s">
        <v>768</v>
      </c>
      <c r="B380" t="s">
        <v>769</v>
      </c>
      <c r="C380" t="s">
        <v>5</v>
      </c>
      <c r="D380">
        <v>4.32</v>
      </c>
      <c r="E380">
        <f>107009424/(1000)</f>
        <v>107009.424</v>
      </c>
      <c r="F380">
        <f>1013971008/(1000)</f>
        <v>1013971.008</v>
      </c>
      <c r="G380">
        <f>84322000/(1000)</f>
        <v>84322</v>
      </c>
      <c r="H380">
        <f>217655424/(1000)</f>
        <v>217655.424</v>
      </c>
      <c r="I380">
        <f>121937000/(1000)</f>
        <v>121937</v>
      </c>
      <c r="J380">
        <f t="shared" si="5"/>
        <v>1.7849826057718329E-3</v>
      </c>
      <c r="K380">
        <f>10090997/(1000)</f>
        <v>10090.996999999999</v>
      </c>
      <c r="L380">
        <v>18.645320892333999</v>
      </c>
      <c r="M380">
        <v>18.566724777221701</v>
      </c>
      <c r="N380">
        <v>97.597966776112202</v>
      </c>
      <c r="O380">
        <v>89.744049072265597</v>
      </c>
      <c r="P380">
        <v>0</v>
      </c>
      <c r="Q380">
        <v>0.52554744906631001</v>
      </c>
      <c r="R380">
        <v>3.27440184965617</v>
      </c>
      <c r="S380">
        <v>58.353793103448297</v>
      </c>
      <c r="T380">
        <v>0</v>
      </c>
      <c r="U380">
        <v>0</v>
      </c>
      <c r="V380">
        <v>0</v>
      </c>
      <c r="W380">
        <v>0</v>
      </c>
    </row>
    <row r="381" spans="1:23" x14ac:dyDescent="0.55000000000000004">
      <c r="A381" t="s">
        <v>770</v>
      </c>
      <c r="B381" t="s">
        <v>771</v>
      </c>
      <c r="C381" t="s">
        <v>8</v>
      </c>
      <c r="D381">
        <v>26.79</v>
      </c>
      <c r="E381">
        <f>779639872/(1000)</f>
        <v>779639.87199999997</v>
      </c>
      <c r="F381">
        <f>1012764032/(1000)</f>
        <v>1012764.032</v>
      </c>
      <c r="G381">
        <f>139358000/(1000)</f>
        <v>139358</v>
      </c>
      <c r="H381">
        <f>1345114880/(1000)</f>
        <v>1345114.88</v>
      </c>
      <c r="I381">
        <f>193599008/(1000)</f>
        <v>193599.008</v>
      </c>
      <c r="J381">
        <f t="shared" si="5"/>
        <v>6.9479430390469764E-3</v>
      </c>
      <c r="K381">
        <f>-250445999/(1000)</f>
        <v>-250445.99900000001</v>
      </c>
      <c r="L381">
        <v>14.4863023757935</v>
      </c>
      <c r="M381">
        <v>13.105115890502899</v>
      </c>
      <c r="N381">
        <v>99.611365236233297</v>
      </c>
      <c r="O381">
        <v>62.367401123046903</v>
      </c>
      <c r="P381">
        <v>0</v>
      </c>
      <c r="Q381">
        <v>0.84671306676106195</v>
      </c>
      <c r="R381">
        <v>9.1030956164660601</v>
      </c>
      <c r="S381">
        <v>82.443840465670903</v>
      </c>
      <c r="T381">
        <v>0</v>
      </c>
      <c r="U381">
        <v>0</v>
      </c>
      <c r="V381">
        <v>0</v>
      </c>
      <c r="W381">
        <v>0</v>
      </c>
    </row>
    <row r="382" spans="1:23" x14ac:dyDescent="0.55000000000000004">
      <c r="A382" t="s">
        <v>772</v>
      </c>
      <c r="B382" t="s">
        <v>773</v>
      </c>
      <c r="C382" t="s">
        <v>5</v>
      </c>
      <c r="D382">
        <v>33.51</v>
      </c>
      <c r="E382">
        <f>970439552/(1000)</f>
        <v>970439.55200000003</v>
      </c>
      <c r="F382">
        <f>1012515008/(1000)</f>
        <v>1012515.008</v>
      </c>
      <c r="G382">
        <f>101463000/(1000)</f>
        <v>101463</v>
      </c>
      <c r="H382">
        <f>885294552/(1000)</f>
        <v>885294.55200000003</v>
      </c>
      <c r="I382">
        <f>130809000/(1000)</f>
        <v>130809</v>
      </c>
      <c r="J382">
        <f t="shared" si="5"/>
        <v>6.7678412953237161E-3</v>
      </c>
      <c r="K382">
        <f>55061001/(1000)</f>
        <v>55061.000999999997</v>
      </c>
      <c r="L382">
        <v>21.776086807251001</v>
      </c>
      <c r="M382">
        <v>11.021273612976101</v>
      </c>
      <c r="N382">
        <v>98.962352391188602</v>
      </c>
      <c r="O382">
        <v>3.1905550956726101</v>
      </c>
      <c r="P382">
        <v>0</v>
      </c>
      <c r="Q382">
        <v>1.48175983465316</v>
      </c>
      <c r="R382">
        <v>12.8390798929131</v>
      </c>
      <c r="S382">
        <v>19.437114305821801</v>
      </c>
      <c r="T382">
        <v>0</v>
      </c>
      <c r="U382">
        <v>0</v>
      </c>
      <c r="V382">
        <v>0</v>
      </c>
      <c r="W382">
        <v>0</v>
      </c>
    </row>
    <row r="383" spans="1:23" x14ac:dyDescent="0.55000000000000004">
      <c r="A383" t="s">
        <v>774</v>
      </c>
      <c r="B383" t="s">
        <v>775</v>
      </c>
      <c r="C383" t="s">
        <v>401</v>
      </c>
      <c r="D383">
        <v>1.68</v>
      </c>
      <c r="E383">
        <f>125008808/(1000)</f>
        <v>125008.808</v>
      </c>
      <c r="F383">
        <f>1007992000/(1000)</f>
        <v>1007992</v>
      </c>
      <c r="G383">
        <f>130405000/(1000)</f>
        <v>130405</v>
      </c>
      <c r="H383">
        <f>2088464808/(1000)</f>
        <v>2088464.808</v>
      </c>
      <c r="I383">
        <f>236496000/(1000)</f>
        <v>236496</v>
      </c>
      <c r="J383">
        <f t="shared" si="5"/>
        <v>8.8308673635072044E-3</v>
      </c>
      <c r="K383">
        <f>-67113999/(1000)</f>
        <v>-67113.998999999996</v>
      </c>
      <c r="L383">
        <v>0</v>
      </c>
      <c r="M383">
        <v>4.2540998458862296</v>
      </c>
      <c r="N383">
        <v>98.191367294886106</v>
      </c>
      <c r="O383">
        <v>129.17004394531301</v>
      </c>
      <c r="P383">
        <v>0</v>
      </c>
      <c r="Q383">
        <v>0.111208930727855</v>
      </c>
      <c r="R383">
        <v>84.000014901164306</v>
      </c>
      <c r="S383">
        <v>69.748771979137601</v>
      </c>
      <c r="T383">
        <v>0</v>
      </c>
      <c r="U383">
        <v>0</v>
      </c>
      <c r="V383">
        <v>0</v>
      </c>
      <c r="W383">
        <v>0</v>
      </c>
    </row>
    <row r="384" spans="1:23" x14ac:dyDescent="0.55000000000000004">
      <c r="A384" t="s">
        <v>776</v>
      </c>
      <c r="B384" t="s">
        <v>777</v>
      </c>
      <c r="C384" t="s">
        <v>2</v>
      </c>
      <c r="D384">
        <v>8.32</v>
      </c>
      <c r="E384">
        <f>989997632/(1000)</f>
        <v>989997.63199999998</v>
      </c>
      <c r="F384">
        <f>1004817984/(1000)</f>
        <v>1004817.9840000001</v>
      </c>
      <c r="G384">
        <f>231968000/(1000)</f>
        <v>231968</v>
      </c>
      <c r="H384">
        <f>0/(1000)</f>
        <v>0</v>
      </c>
      <c r="I384">
        <f>270972992/(1000)</f>
        <v>270972.99200000003</v>
      </c>
      <c r="J384">
        <f t="shared" si="5"/>
        <v>0</v>
      </c>
      <c r="K384">
        <f>79955001/(1000)</f>
        <v>79955.001000000004</v>
      </c>
      <c r="L384">
        <v>0</v>
      </c>
      <c r="M384">
        <v>0</v>
      </c>
      <c r="N384">
        <v>99.035384393832601</v>
      </c>
      <c r="O384">
        <v>379.01507568359398</v>
      </c>
      <c r="P384">
        <v>0</v>
      </c>
      <c r="Q384">
        <v>2.07999992370606</v>
      </c>
      <c r="R384">
        <v>0</v>
      </c>
      <c r="S384">
        <v>68.593621476510094</v>
      </c>
      <c r="T384">
        <v>0</v>
      </c>
      <c r="U384">
        <v>0</v>
      </c>
      <c r="V384">
        <v>0</v>
      </c>
      <c r="W384">
        <v>0</v>
      </c>
    </row>
    <row r="385" spans="1:23" x14ac:dyDescent="0.55000000000000004">
      <c r="A385" t="s">
        <v>778</v>
      </c>
      <c r="B385" t="s">
        <v>779</v>
      </c>
      <c r="C385" t="s">
        <v>2</v>
      </c>
      <c r="D385">
        <v>24.74</v>
      </c>
      <c r="E385">
        <f>506521824/(1000)</f>
        <v>506521.82400000002</v>
      </c>
      <c r="F385">
        <f>1003700992/(1000)</f>
        <v>1003700.992</v>
      </c>
      <c r="G385">
        <f>59471000/(1000)</f>
        <v>59471</v>
      </c>
      <c r="H385">
        <f>373157832/(1000)</f>
        <v>373157.83199999999</v>
      </c>
      <c r="I385">
        <f>82364000/(1000)</f>
        <v>82364</v>
      </c>
      <c r="J385">
        <f t="shared" si="5"/>
        <v>4.5305938516827741E-3</v>
      </c>
      <c r="K385">
        <f>48958005/(1000)</f>
        <v>48958.004999999997</v>
      </c>
      <c r="L385">
        <v>21.2364387512207</v>
      </c>
      <c r="M385">
        <v>9.9130001068115199</v>
      </c>
      <c r="N385">
        <v>96.749012700378799</v>
      </c>
      <c r="O385">
        <v>2.9792220592498802</v>
      </c>
      <c r="P385">
        <v>0.15999999642372101</v>
      </c>
      <c r="Q385">
        <v>0</v>
      </c>
      <c r="R385">
        <v>11.6698114121132</v>
      </c>
      <c r="S385">
        <v>-37.9705880142658</v>
      </c>
      <c r="T385">
        <v>0</v>
      </c>
      <c r="U385">
        <v>0</v>
      </c>
      <c r="V385">
        <v>0</v>
      </c>
      <c r="W385">
        <v>0</v>
      </c>
    </row>
    <row r="386" spans="1:23" x14ac:dyDescent="0.55000000000000004">
      <c r="A386" t="s">
        <v>780</v>
      </c>
      <c r="B386" t="s">
        <v>781</v>
      </c>
      <c r="C386" t="s">
        <v>2</v>
      </c>
      <c r="D386">
        <v>7.71</v>
      </c>
      <c r="E386">
        <f>267590208/(1000)</f>
        <v>267590.20799999998</v>
      </c>
      <c r="F386">
        <f>1003134016/(1000)</f>
        <v>1003134.0159999999</v>
      </c>
      <c r="G386">
        <f>140992000/(1000)</f>
        <v>140992</v>
      </c>
      <c r="H386">
        <f>614979200/(1000)</f>
        <v>614979.19999999995</v>
      </c>
      <c r="I386">
        <f>245272992/(1000)</f>
        <v>245272.992</v>
      </c>
      <c r="J386">
        <f t="shared" ref="J386:J449" si="6">(IF(I386=0,1000,H386/I386))/(1000)</f>
        <v>2.5073253886836425E-3</v>
      </c>
      <c r="K386">
        <f>-107914999/(1000)</f>
        <v>-107914.999</v>
      </c>
      <c r="L386">
        <v>0</v>
      </c>
      <c r="M386">
        <v>24.6823329925537</v>
      </c>
      <c r="N386">
        <v>80.734662987406494</v>
      </c>
      <c r="O386">
        <v>130.15606689453099</v>
      </c>
      <c r="P386">
        <v>0</v>
      </c>
      <c r="Q386">
        <v>0.91513351496725304</v>
      </c>
      <c r="R386">
        <v>4.58928579886501</v>
      </c>
      <c r="S386">
        <v>185.78910239544399</v>
      </c>
      <c r="T386">
        <v>0</v>
      </c>
      <c r="U386">
        <v>0</v>
      </c>
      <c r="V386">
        <v>0</v>
      </c>
      <c r="W386">
        <v>0</v>
      </c>
    </row>
    <row r="387" spans="1:23" x14ac:dyDescent="0.55000000000000004">
      <c r="A387" t="s">
        <v>782</v>
      </c>
      <c r="B387" t="s">
        <v>783</v>
      </c>
      <c r="C387" t="s">
        <v>2</v>
      </c>
      <c r="D387">
        <v>20.22</v>
      </c>
      <c r="E387">
        <f>383518816/(1000)</f>
        <v>383518.81599999999</v>
      </c>
      <c r="F387">
        <f>1002395008/(1000)</f>
        <v>1002395.008</v>
      </c>
      <c r="G387">
        <f>90523000/(1000)</f>
        <v>90523</v>
      </c>
      <c r="H387">
        <f>662077824/(1000)</f>
        <v>662077.82400000002</v>
      </c>
      <c r="I387">
        <f>138927008/(1000)</f>
        <v>138927.008</v>
      </c>
      <c r="J387">
        <f t="shared" si="6"/>
        <v>4.7656523632899368E-3</v>
      </c>
      <c r="K387">
        <f>76001001/(1000)</f>
        <v>76001.001000000004</v>
      </c>
      <c r="L387">
        <v>19.183111190795898</v>
      </c>
      <c r="M387">
        <v>8.0174760818481392</v>
      </c>
      <c r="N387">
        <v>98.817963494365799</v>
      </c>
      <c r="O387">
        <v>51.718643188476598</v>
      </c>
      <c r="P387">
        <v>0.28000000119209301</v>
      </c>
      <c r="Q387">
        <v>0.65992166175387401</v>
      </c>
      <c r="R387">
        <v>10.343440621389499</v>
      </c>
      <c r="S387">
        <v>42.065207098316101</v>
      </c>
      <c r="T387">
        <v>0</v>
      </c>
      <c r="U387">
        <v>0</v>
      </c>
      <c r="V387">
        <v>0</v>
      </c>
      <c r="W387">
        <v>0</v>
      </c>
    </row>
    <row r="388" spans="1:23" x14ac:dyDescent="0.55000000000000004">
      <c r="A388" t="s">
        <v>784</v>
      </c>
      <c r="B388" t="s">
        <v>785</v>
      </c>
      <c r="C388" t="s">
        <v>5</v>
      </c>
      <c r="D388">
        <v>8.06</v>
      </c>
      <c r="E388">
        <f>872505472/(1000)</f>
        <v>872505.47199999995</v>
      </c>
      <c r="F388">
        <f>1001374976/(1000)</f>
        <v>1001374.976</v>
      </c>
      <c r="G388">
        <f>247440000/(1000)</f>
        <v>247440</v>
      </c>
      <c r="H388">
        <f>2766428416/(1000)</f>
        <v>2766428.4160000002</v>
      </c>
      <c r="I388">
        <f>387159008/(1000)</f>
        <v>387159.00799999997</v>
      </c>
      <c r="J388">
        <f t="shared" si="6"/>
        <v>7.1454579612932586E-3</v>
      </c>
      <c r="K388">
        <f>67487993/(1000)</f>
        <v>67487.993000000002</v>
      </c>
      <c r="L388">
        <v>199.03335571289099</v>
      </c>
      <c r="M388">
        <v>0</v>
      </c>
      <c r="N388">
        <v>77.4334371275649</v>
      </c>
      <c r="O388">
        <v>0</v>
      </c>
      <c r="P388">
        <v>0</v>
      </c>
      <c r="Q388">
        <v>0</v>
      </c>
      <c r="R388">
        <v>27.819677526178801</v>
      </c>
      <c r="S388">
        <v>33.6171492639115</v>
      </c>
      <c r="T388">
        <v>0</v>
      </c>
      <c r="U388">
        <v>0</v>
      </c>
      <c r="V388">
        <v>0</v>
      </c>
      <c r="W388">
        <v>0</v>
      </c>
    </row>
    <row r="389" spans="1:23" x14ac:dyDescent="0.55000000000000004">
      <c r="A389" t="s">
        <v>786</v>
      </c>
      <c r="B389" t="s">
        <v>787</v>
      </c>
      <c r="C389" t="s">
        <v>184</v>
      </c>
      <c r="D389">
        <v>33.92</v>
      </c>
      <c r="E389">
        <f>1043603072/(1000)</f>
        <v>1043603.072</v>
      </c>
      <c r="F389">
        <f>1000000000/(1000)</f>
        <v>1000000</v>
      </c>
      <c r="G389">
        <f>0/(1000)</f>
        <v>0</v>
      </c>
      <c r="H389">
        <f>1447903072/(1000)</f>
        <v>1447903.0719999999</v>
      </c>
      <c r="I389">
        <f>0/(1000)</f>
        <v>0</v>
      </c>
      <c r="J389">
        <f t="shared" si="6"/>
        <v>1</v>
      </c>
      <c r="K389">
        <f>159500001/(1000)</f>
        <v>159500.00099999999</v>
      </c>
      <c r="L389">
        <v>0</v>
      </c>
      <c r="M389">
        <v>15.764055252075201</v>
      </c>
      <c r="N389">
        <v>87.728901804333006</v>
      </c>
      <c r="O389">
        <v>26.6811122894287</v>
      </c>
      <c r="P389">
        <v>0</v>
      </c>
      <c r="Q389">
        <v>0.74957840069522896</v>
      </c>
      <c r="R389">
        <v>11.9017537372668</v>
      </c>
      <c r="S389">
        <v>226.08768242127601</v>
      </c>
      <c r="T389">
        <v>0</v>
      </c>
      <c r="U389">
        <v>0</v>
      </c>
      <c r="V389">
        <v>0</v>
      </c>
      <c r="W389">
        <v>0</v>
      </c>
    </row>
    <row r="390" spans="1:23" x14ac:dyDescent="0.55000000000000004">
      <c r="A390" t="s">
        <v>788</v>
      </c>
      <c r="B390" t="s">
        <v>789</v>
      </c>
      <c r="C390" t="s">
        <v>5</v>
      </c>
      <c r="D390">
        <v>4.32</v>
      </c>
      <c r="E390">
        <f>319270464/(1000)</f>
        <v>319270.46399999998</v>
      </c>
      <c r="F390">
        <f>993667008/(1000)</f>
        <v>993667.00800000003</v>
      </c>
      <c r="G390">
        <f>0/(1000)</f>
        <v>0</v>
      </c>
      <c r="H390">
        <f>0/(1000)</f>
        <v>0</v>
      </c>
      <c r="I390">
        <f>0/(1000)</f>
        <v>0</v>
      </c>
      <c r="J390">
        <f t="shared" si="6"/>
        <v>1</v>
      </c>
      <c r="K390">
        <f>181268993/(1000)</f>
        <v>181268.99299999999</v>
      </c>
      <c r="L390">
        <v>16.3453369140625</v>
      </c>
      <c r="M390">
        <v>4.708740234375</v>
      </c>
      <c r="N390">
        <v>95.822219190407793</v>
      </c>
      <c r="O390">
        <v>150.67263793945301</v>
      </c>
      <c r="P390">
        <v>3.9999999105930002E-2</v>
      </c>
      <c r="Q390">
        <v>0.24500214073047499</v>
      </c>
      <c r="R390">
        <v>0</v>
      </c>
      <c r="S390">
        <v>143.98895751373999</v>
      </c>
      <c r="T390">
        <v>0</v>
      </c>
      <c r="U390">
        <v>0</v>
      </c>
      <c r="V390">
        <v>0</v>
      </c>
      <c r="W390">
        <v>0</v>
      </c>
    </row>
    <row r="391" spans="1:23" x14ac:dyDescent="0.55000000000000004">
      <c r="A391" t="s">
        <v>790</v>
      </c>
      <c r="B391" t="s">
        <v>791</v>
      </c>
      <c r="C391" t="s">
        <v>31</v>
      </c>
      <c r="D391">
        <v>7.95</v>
      </c>
      <c r="E391">
        <f>976637632/(1000)</f>
        <v>976637.63199999998</v>
      </c>
      <c r="F391">
        <f>992193984/(1000)</f>
        <v>992193.98400000005</v>
      </c>
      <c r="G391">
        <f>100492000/(1000)</f>
        <v>100492</v>
      </c>
      <c r="H391">
        <f>923684632/(1000)</f>
        <v>923684.63199999998</v>
      </c>
      <c r="I391">
        <f>113622000/(1000)</f>
        <v>113622</v>
      </c>
      <c r="J391">
        <f t="shared" si="6"/>
        <v>8.1294523243738009E-3</v>
      </c>
      <c r="K391">
        <f>48352001/(1000)</f>
        <v>48352.000999999997</v>
      </c>
      <c r="L391">
        <v>0</v>
      </c>
      <c r="M391">
        <v>12.131843566894499</v>
      </c>
      <c r="N391">
        <v>98.530614291459798</v>
      </c>
      <c r="O391">
        <v>30.423088073730501</v>
      </c>
      <c r="P391">
        <v>0</v>
      </c>
      <c r="Q391">
        <v>0.98208765250394603</v>
      </c>
      <c r="R391">
        <v>12.2307691055642</v>
      </c>
      <c r="S391">
        <v>52.204302278730403</v>
      </c>
      <c r="T391">
        <v>0</v>
      </c>
      <c r="U391">
        <v>0</v>
      </c>
      <c r="V391">
        <v>0</v>
      </c>
      <c r="W391">
        <v>0</v>
      </c>
    </row>
    <row r="392" spans="1:23" x14ac:dyDescent="0.55000000000000004">
      <c r="A392" t="s">
        <v>792</v>
      </c>
      <c r="B392" t="s">
        <v>793</v>
      </c>
      <c r="C392" t="s">
        <v>121</v>
      </c>
      <c r="D392">
        <v>8.84</v>
      </c>
      <c r="E392">
        <f>129000352/(1000)</f>
        <v>129000.352</v>
      </c>
      <c r="F392">
        <f>990499968/(1000)</f>
        <v>990499.96799999999</v>
      </c>
      <c r="G392">
        <f>55200000/(1000)</f>
        <v>55200</v>
      </c>
      <c r="H392">
        <f>494300352/(1000)</f>
        <v>494300.35200000001</v>
      </c>
      <c r="I392">
        <f>100500000/(1000)</f>
        <v>100500</v>
      </c>
      <c r="J392">
        <f t="shared" si="6"/>
        <v>4.9184114626865671E-3</v>
      </c>
      <c r="K392">
        <f>11200002/(1000)</f>
        <v>11200.002</v>
      </c>
      <c r="L392">
        <v>0</v>
      </c>
      <c r="M392">
        <v>4.3138079643249503</v>
      </c>
      <c r="N392">
        <v>99.237979419226406</v>
      </c>
      <c r="O392">
        <v>115.312507629395</v>
      </c>
      <c r="P392">
        <v>0.40000000596046398</v>
      </c>
      <c r="Q392">
        <v>0.63919018086436996</v>
      </c>
      <c r="R392">
        <v>5.2934133065871496</v>
      </c>
      <c r="S392">
        <v>0</v>
      </c>
      <c r="T392">
        <v>0</v>
      </c>
      <c r="U392">
        <v>0</v>
      </c>
      <c r="V392">
        <v>0</v>
      </c>
      <c r="W392">
        <v>0</v>
      </c>
    </row>
    <row r="393" spans="1:23" x14ac:dyDescent="0.55000000000000004">
      <c r="A393" t="s">
        <v>794</v>
      </c>
      <c r="B393" t="s">
        <v>795</v>
      </c>
      <c r="C393" t="s">
        <v>2</v>
      </c>
      <c r="D393">
        <v>23.91</v>
      </c>
      <c r="E393">
        <f>855657536/(1000)</f>
        <v>855657.53599999996</v>
      </c>
      <c r="F393">
        <f>990252032/(1000)</f>
        <v>990252.03200000001</v>
      </c>
      <c r="G393">
        <f>102715000/(1000)</f>
        <v>102715</v>
      </c>
      <c r="H393">
        <f>978286536/(1000)</f>
        <v>978286.53599999996</v>
      </c>
      <c r="I393">
        <f>127078000/(1000)</f>
        <v>127078</v>
      </c>
      <c r="J393">
        <f t="shared" si="6"/>
        <v>7.6983154912730768E-3</v>
      </c>
      <c r="K393">
        <f>8461003/(1000)</f>
        <v>8461.0030000000006</v>
      </c>
      <c r="L393">
        <v>22.086935043335</v>
      </c>
      <c r="M393">
        <v>15.140666961669901</v>
      </c>
      <c r="N393">
        <v>77.404674903387004</v>
      </c>
      <c r="O393">
        <v>34.246265411377003</v>
      </c>
      <c r="P393">
        <v>0.95999997854232799</v>
      </c>
      <c r="Q393">
        <v>1.81273696801113</v>
      </c>
      <c r="R393">
        <v>11.5507247701777</v>
      </c>
      <c r="S393">
        <v>75.444070221224095</v>
      </c>
      <c r="T393">
        <v>0</v>
      </c>
      <c r="U393">
        <v>0</v>
      </c>
      <c r="V393">
        <v>0</v>
      </c>
      <c r="W393">
        <v>0</v>
      </c>
    </row>
    <row r="394" spans="1:23" x14ac:dyDescent="0.55000000000000004">
      <c r="A394" t="s">
        <v>796</v>
      </c>
      <c r="B394" t="s">
        <v>797</v>
      </c>
      <c r="C394" t="s">
        <v>184</v>
      </c>
      <c r="D394">
        <v>26.16</v>
      </c>
      <c r="E394">
        <f>1958811008/(1000)</f>
        <v>1958811.0079999999</v>
      </c>
      <c r="F394">
        <f>987676032/(1000)</f>
        <v>987676.03200000001</v>
      </c>
      <c r="G394">
        <f>0/(1000)</f>
        <v>0</v>
      </c>
      <c r="H394">
        <f>1927744008/(1000)</f>
        <v>1927744.0079999999</v>
      </c>
      <c r="I394">
        <f>0/(1000)</f>
        <v>0</v>
      </c>
      <c r="J394">
        <f t="shared" si="6"/>
        <v>1</v>
      </c>
      <c r="K394">
        <f>563377985/(1000)</f>
        <v>563377.98499999999</v>
      </c>
      <c r="L394">
        <v>0</v>
      </c>
      <c r="M394">
        <v>25.772586822509801</v>
      </c>
      <c r="N394">
        <v>66.376686423306396</v>
      </c>
      <c r="O394">
        <v>18.089725494384801</v>
      </c>
      <c r="P394">
        <v>0.80000001192092896</v>
      </c>
      <c r="Q394">
        <v>1.05123566834653</v>
      </c>
      <c r="R394">
        <v>8.0740741517481691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55000000000000004">
      <c r="A395" t="s">
        <v>798</v>
      </c>
      <c r="B395" t="s">
        <v>799</v>
      </c>
      <c r="C395" t="s">
        <v>2</v>
      </c>
      <c r="D395">
        <v>6.38</v>
      </c>
      <c r="E395">
        <f>328362016/(1000)</f>
        <v>328362.016</v>
      </c>
      <c r="F395">
        <f>982555008/(1000)</f>
        <v>982555.00800000003</v>
      </c>
      <c r="G395">
        <f>6834000/(1000)</f>
        <v>6834</v>
      </c>
      <c r="H395">
        <f>336391016/(1000)</f>
        <v>336391.016</v>
      </c>
      <c r="I395">
        <f>58849000/(1000)</f>
        <v>58849</v>
      </c>
      <c r="J395">
        <f t="shared" si="6"/>
        <v>5.7161721694506283E-3</v>
      </c>
      <c r="K395">
        <f>52981001/(1000)</f>
        <v>52981.000999999997</v>
      </c>
      <c r="L395">
        <v>0</v>
      </c>
      <c r="M395">
        <v>6.4993357658386204</v>
      </c>
      <c r="N395">
        <v>90.734135327423104</v>
      </c>
      <c r="O395">
        <v>179.86560058593801</v>
      </c>
      <c r="P395">
        <v>0</v>
      </c>
      <c r="Q395">
        <v>1.6422136757020001</v>
      </c>
      <c r="R395">
        <v>0</v>
      </c>
      <c r="S395">
        <v>55.458213450249197</v>
      </c>
      <c r="T395">
        <v>0</v>
      </c>
      <c r="U395">
        <v>0</v>
      </c>
      <c r="V395">
        <v>0</v>
      </c>
      <c r="W395">
        <v>0</v>
      </c>
    </row>
    <row r="396" spans="1:23" x14ac:dyDescent="0.55000000000000004">
      <c r="A396" t="s">
        <v>800</v>
      </c>
      <c r="B396" t="s">
        <v>801</v>
      </c>
      <c r="C396" t="s">
        <v>94</v>
      </c>
      <c r="D396">
        <v>30.03</v>
      </c>
      <c r="E396">
        <f>758509760/(1000)</f>
        <v>758509.76</v>
      </c>
      <c r="F396">
        <f>981998976/(1000)</f>
        <v>981998.97600000002</v>
      </c>
      <c r="G396">
        <f>90165000/(1000)</f>
        <v>90165</v>
      </c>
      <c r="H396">
        <f>1437218752/(1000)</f>
        <v>1437218.7520000001</v>
      </c>
      <c r="I396">
        <f>161172000/(1000)</f>
        <v>161172</v>
      </c>
      <c r="J396">
        <f t="shared" si="6"/>
        <v>8.9172979922070832E-3</v>
      </c>
      <c r="K396">
        <f>-143583007/(1000)</f>
        <v>-143583.00700000001</v>
      </c>
      <c r="L396">
        <v>19.948553085327099</v>
      </c>
      <c r="M396">
        <v>9.6655540466308594</v>
      </c>
      <c r="N396">
        <v>90.826814181665398</v>
      </c>
      <c r="O396">
        <v>128.92840576171901</v>
      </c>
      <c r="P396">
        <v>1.72800004482269</v>
      </c>
      <c r="Q396">
        <v>0</v>
      </c>
      <c r="R396">
        <v>15.805263469704601</v>
      </c>
      <c r="S396">
        <v>-5.3582564201633298</v>
      </c>
      <c r="T396">
        <v>0</v>
      </c>
      <c r="U396">
        <v>0</v>
      </c>
      <c r="V396">
        <v>0</v>
      </c>
      <c r="W396">
        <v>0</v>
      </c>
    </row>
    <row r="397" spans="1:23" x14ac:dyDescent="0.55000000000000004">
      <c r="A397" t="s">
        <v>802</v>
      </c>
      <c r="B397" t="s">
        <v>803</v>
      </c>
      <c r="C397" t="s">
        <v>17</v>
      </c>
      <c r="D397">
        <v>34.299999999999997</v>
      </c>
      <c r="E397">
        <f>958890752/(1000)</f>
        <v>958890.75199999998</v>
      </c>
      <c r="F397">
        <f>980915008/(1000)</f>
        <v>980915.00800000003</v>
      </c>
      <c r="G397">
        <f>76590000/(1000)</f>
        <v>76590</v>
      </c>
      <c r="H397">
        <f>1023093752/(1000)</f>
        <v>1023093.752</v>
      </c>
      <c r="I397">
        <f>100728000/(1000)</f>
        <v>100728</v>
      </c>
      <c r="J397">
        <f t="shared" si="6"/>
        <v>1.0156994599316972E-2</v>
      </c>
      <c r="K397">
        <f>76485001/(1000)</f>
        <v>76485.001000000004</v>
      </c>
      <c r="L397">
        <v>18.681341171264599</v>
      </c>
      <c r="M397">
        <v>9.3637180328369105</v>
      </c>
      <c r="N397">
        <v>73.256905345195307</v>
      </c>
      <c r="O397">
        <v>15.311037063598601</v>
      </c>
      <c r="P397">
        <v>1.1399999856948899</v>
      </c>
      <c r="Q397">
        <v>2.6609773718763798</v>
      </c>
      <c r="R397">
        <v>19.6331738661186</v>
      </c>
      <c r="S397">
        <v>-11.3737795446332</v>
      </c>
      <c r="T397">
        <v>0</v>
      </c>
      <c r="U397">
        <v>0</v>
      </c>
      <c r="V397">
        <v>0</v>
      </c>
      <c r="W397">
        <v>0</v>
      </c>
    </row>
    <row r="398" spans="1:23" x14ac:dyDescent="0.55000000000000004">
      <c r="A398" t="s">
        <v>804</v>
      </c>
      <c r="B398" t="s">
        <v>805</v>
      </c>
      <c r="C398" t="s">
        <v>20</v>
      </c>
      <c r="D398">
        <v>14.37</v>
      </c>
      <c r="E398">
        <f>412548320/(1000)</f>
        <v>412548.32</v>
      </c>
      <c r="F398">
        <f>980044992/(1000)</f>
        <v>980044.99199999997</v>
      </c>
      <c r="G398">
        <f>102836000/(1000)</f>
        <v>102836</v>
      </c>
      <c r="H398">
        <f>535690320/(1000)</f>
        <v>535690.31999999995</v>
      </c>
      <c r="I398">
        <f>127506000/(1000)</f>
        <v>127506</v>
      </c>
      <c r="J398">
        <f t="shared" si="6"/>
        <v>4.2012949978824524E-3</v>
      </c>
      <c r="K398">
        <f>26099003/(1000)</f>
        <v>26099.003000000001</v>
      </c>
      <c r="L398">
        <v>14.183066368103001</v>
      </c>
      <c r="M398">
        <v>14.787595748901399</v>
      </c>
      <c r="N398">
        <v>88.800725644216001</v>
      </c>
      <c r="O398">
        <v>54.029693603515597</v>
      </c>
      <c r="P398">
        <v>1</v>
      </c>
      <c r="Q398">
        <v>1.0715883705496301</v>
      </c>
      <c r="R398">
        <v>8.14745950335573</v>
      </c>
      <c r="S398">
        <v>8.0220301918736006</v>
      </c>
      <c r="T398">
        <v>0</v>
      </c>
      <c r="U398">
        <v>0</v>
      </c>
      <c r="V398">
        <v>0</v>
      </c>
      <c r="W398">
        <v>0</v>
      </c>
    </row>
    <row r="399" spans="1:23" x14ac:dyDescent="0.55000000000000004">
      <c r="A399" t="s">
        <v>806</v>
      </c>
      <c r="B399" t="s">
        <v>807</v>
      </c>
      <c r="C399" t="s">
        <v>5</v>
      </c>
      <c r="D399">
        <v>2</v>
      </c>
      <c r="E399">
        <f>42631000/(1000)</f>
        <v>42631</v>
      </c>
      <c r="F399">
        <f>977752000/(1000)</f>
        <v>977752</v>
      </c>
      <c r="G399">
        <f>34364000/(1000)</f>
        <v>34364</v>
      </c>
      <c r="H399">
        <f>213594008/(1000)</f>
        <v>213594.008</v>
      </c>
      <c r="I399">
        <f>85060000/(1000)</f>
        <v>85060</v>
      </c>
      <c r="J399">
        <f t="shared" si="6"/>
        <v>2.511098142487656E-3</v>
      </c>
      <c r="K399">
        <f>12915002/(1000)</f>
        <v>12915.002</v>
      </c>
      <c r="L399">
        <v>18.793428421020501</v>
      </c>
      <c r="M399">
        <v>1.93796002864838</v>
      </c>
      <c r="N399">
        <v>93.644060693335106</v>
      </c>
      <c r="O399">
        <v>39.733150482177699</v>
      </c>
      <c r="P399">
        <v>0</v>
      </c>
      <c r="Q399">
        <v>0.11918950644571299</v>
      </c>
      <c r="R399">
        <v>16.012811420422601</v>
      </c>
      <c r="S399">
        <v>95.584822928835493</v>
      </c>
      <c r="T399">
        <v>0</v>
      </c>
      <c r="U399">
        <v>0</v>
      </c>
      <c r="V399">
        <v>0</v>
      </c>
      <c r="W399">
        <v>0</v>
      </c>
    </row>
    <row r="400" spans="1:23" x14ac:dyDescent="0.55000000000000004">
      <c r="A400" t="s">
        <v>808</v>
      </c>
      <c r="B400" t="s">
        <v>809</v>
      </c>
      <c r="C400" t="s">
        <v>38</v>
      </c>
      <c r="D400">
        <v>11.54</v>
      </c>
      <c r="E400">
        <f>383848128/(1000)</f>
        <v>383848.12800000003</v>
      </c>
      <c r="F400">
        <f>977299968/(1000)</f>
        <v>977299.96799999999</v>
      </c>
      <c r="G400">
        <f>94793000/(1000)</f>
        <v>94793</v>
      </c>
      <c r="H400">
        <f>699794112/(1000)</f>
        <v>699794.11199999996</v>
      </c>
      <c r="I400">
        <f>123901000/(1000)</f>
        <v>123901</v>
      </c>
      <c r="J400">
        <f t="shared" si="6"/>
        <v>5.6480102016932873E-3</v>
      </c>
      <c r="K400">
        <f>48222001/(1000)</f>
        <v>48222.000999999997</v>
      </c>
      <c r="L400">
        <v>22.224401473998999</v>
      </c>
      <c r="M400">
        <v>11.360787391662599</v>
      </c>
      <c r="N400">
        <v>87.325925427938301</v>
      </c>
      <c r="O400">
        <v>76.787902832031307</v>
      </c>
      <c r="P400">
        <v>0</v>
      </c>
      <c r="Q400">
        <v>0.695180704618231</v>
      </c>
      <c r="R400">
        <v>7.2578614588652597</v>
      </c>
      <c r="S400">
        <v>353.74140700196</v>
      </c>
      <c r="T400">
        <v>0</v>
      </c>
      <c r="U400">
        <v>0</v>
      </c>
      <c r="V400">
        <v>0</v>
      </c>
      <c r="W400">
        <v>0</v>
      </c>
    </row>
    <row r="401" spans="1:23" x14ac:dyDescent="0.55000000000000004">
      <c r="A401" t="s">
        <v>810</v>
      </c>
      <c r="B401" t="s">
        <v>811</v>
      </c>
      <c r="C401" t="s">
        <v>2</v>
      </c>
      <c r="D401">
        <v>10.86</v>
      </c>
      <c r="E401">
        <f>146726208/(1000)</f>
        <v>146726.20800000001</v>
      </c>
      <c r="F401">
        <f>976123008/(1000)</f>
        <v>976123.00800000003</v>
      </c>
      <c r="G401">
        <f>40595000/(1000)</f>
        <v>40595</v>
      </c>
      <c r="H401">
        <f>263397208/(1000)</f>
        <v>263397.20799999998</v>
      </c>
      <c r="I401">
        <f>79280000/(1000)</f>
        <v>79280</v>
      </c>
      <c r="J401">
        <f t="shared" si="6"/>
        <v>3.3223663975782036E-3</v>
      </c>
      <c r="K401">
        <f>-49214999/(1000)</f>
        <v>-49214.999000000003</v>
      </c>
      <c r="L401">
        <v>14.277777671814</v>
      </c>
      <c r="M401">
        <v>9.0845384597778303</v>
      </c>
      <c r="N401">
        <v>96.289605886808999</v>
      </c>
      <c r="O401">
        <v>90.042465209960895</v>
      </c>
      <c r="P401">
        <v>0</v>
      </c>
      <c r="Q401">
        <v>0</v>
      </c>
      <c r="R401">
        <v>16.4545446520174</v>
      </c>
      <c r="S401">
        <v>25.880543111459101</v>
      </c>
      <c r="T401">
        <v>0</v>
      </c>
      <c r="U401">
        <v>0</v>
      </c>
      <c r="V401">
        <v>0</v>
      </c>
      <c r="W401">
        <v>0</v>
      </c>
    </row>
    <row r="402" spans="1:23" x14ac:dyDescent="0.55000000000000004">
      <c r="A402" t="s">
        <v>812</v>
      </c>
      <c r="B402" t="s">
        <v>813</v>
      </c>
      <c r="C402" t="s">
        <v>31</v>
      </c>
      <c r="D402">
        <v>0.36</v>
      </c>
      <c r="E402">
        <f>75636000/(1000)</f>
        <v>75636</v>
      </c>
      <c r="F402">
        <f>975702016/(1000)</f>
        <v>975702.01599999995</v>
      </c>
      <c r="G402">
        <f>1622000/(1000)</f>
        <v>1622</v>
      </c>
      <c r="H402">
        <f>452459008/(1000)</f>
        <v>452459.00799999997</v>
      </c>
      <c r="I402">
        <f>101519000/(1000)</f>
        <v>101519</v>
      </c>
      <c r="J402">
        <f t="shared" si="6"/>
        <v>4.4568899220835505E-3</v>
      </c>
      <c r="K402">
        <f>4631001/(1000)</f>
        <v>4631.0010000000002</v>
      </c>
      <c r="L402">
        <v>0</v>
      </c>
      <c r="M402">
        <v>-24.9703063964844</v>
      </c>
      <c r="N402">
        <v>90.845356713583797</v>
      </c>
      <c r="O402">
        <v>219.29440307617199</v>
      </c>
      <c r="P402">
        <v>0</v>
      </c>
      <c r="Q402">
        <v>0</v>
      </c>
      <c r="R402">
        <v>0</v>
      </c>
      <c r="S402">
        <v>12.0454645173728</v>
      </c>
      <c r="T402">
        <v>0</v>
      </c>
      <c r="U402">
        <v>0</v>
      </c>
      <c r="V402">
        <v>0</v>
      </c>
      <c r="W402">
        <v>0</v>
      </c>
    </row>
    <row r="403" spans="1:23" x14ac:dyDescent="0.55000000000000004">
      <c r="A403" t="s">
        <v>814</v>
      </c>
      <c r="B403" t="s">
        <v>815</v>
      </c>
      <c r="C403" t="s">
        <v>38</v>
      </c>
      <c r="D403">
        <v>1.53</v>
      </c>
      <c r="E403">
        <f>48725912/(1000)</f>
        <v>48725.911999999997</v>
      </c>
      <c r="F403">
        <f>972924032/(1000)</f>
        <v>972924.03200000001</v>
      </c>
      <c r="G403">
        <f>23664000/(1000)</f>
        <v>23664</v>
      </c>
      <c r="H403">
        <f>140737912/(1000)</f>
        <v>140737.91200000001</v>
      </c>
      <c r="I403">
        <f>37259000/(1000)</f>
        <v>37259</v>
      </c>
      <c r="J403">
        <f t="shared" si="6"/>
        <v>3.7772863469228914E-3</v>
      </c>
      <c r="K403">
        <f>-34840999/(1000)</f>
        <v>-34840.999000000003</v>
      </c>
      <c r="L403">
        <v>0</v>
      </c>
      <c r="M403">
        <v>30.244016647338899</v>
      </c>
      <c r="N403">
        <v>96.975852926873102</v>
      </c>
      <c r="O403">
        <v>164.14042663574199</v>
      </c>
      <c r="P403">
        <v>0</v>
      </c>
      <c r="Q403">
        <v>0.61943317962252797</v>
      </c>
      <c r="R403">
        <v>3.3999999701976802</v>
      </c>
      <c r="S403">
        <v>87.315825479393496</v>
      </c>
      <c r="T403">
        <v>0</v>
      </c>
      <c r="U403">
        <v>0</v>
      </c>
      <c r="V403">
        <v>0</v>
      </c>
      <c r="W403">
        <v>0</v>
      </c>
    </row>
    <row r="404" spans="1:23" x14ac:dyDescent="0.55000000000000004">
      <c r="A404" t="s">
        <v>816</v>
      </c>
      <c r="B404" t="s">
        <v>817</v>
      </c>
      <c r="C404" t="s">
        <v>5</v>
      </c>
      <c r="D404">
        <v>0.31</v>
      </c>
      <c r="E404">
        <f>30295896/(1000)</f>
        <v>30295.896000000001</v>
      </c>
      <c r="F404">
        <f>972780032/(1000)</f>
        <v>972780.03200000001</v>
      </c>
      <c r="G404">
        <f>76376000/(1000)</f>
        <v>76376</v>
      </c>
      <c r="H404">
        <f>2853129816/(1000)</f>
        <v>2853129.8160000001</v>
      </c>
      <c r="I404">
        <f>215163008/(1000)</f>
        <v>215163.008</v>
      </c>
      <c r="J404">
        <f t="shared" si="6"/>
        <v>1.326031757280508E-2</v>
      </c>
      <c r="K404">
        <f>-153143999/(1000)</f>
        <v>-153143.99900000001</v>
      </c>
      <c r="L404">
        <v>0</v>
      </c>
      <c r="M404">
        <v>0</v>
      </c>
      <c r="N404">
        <v>87.989609108742499</v>
      </c>
      <c r="O404">
        <v>503.57376098632801</v>
      </c>
      <c r="P404">
        <v>0</v>
      </c>
      <c r="Q404">
        <v>0</v>
      </c>
      <c r="R404">
        <v>0</v>
      </c>
      <c r="S404">
        <v>-21.693983491310401</v>
      </c>
      <c r="T404">
        <v>0</v>
      </c>
      <c r="U404">
        <v>0</v>
      </c>
      <c r="V404">
        <v>0</v>
      </c>
      <c r="W404">
        <v>0</v>
      </c>
    </row>
    <row r="405" spans="1:23" x14ac:dyDescent="0.55000000000000004">
      <c r="A405" t="s">
        <v>818</v>
      </c>
      <c r="B405" t="s">
        <v>819</v>
      </c>
      <c r="C405" t="s">
        <v>5</v>
      </c>
      <c r="D405">
        <v>15.94</v>
      </c>
      <c r="E405">
        <f>342918816/(1000)</f>
        <v>342918.81599999999</v>
      </c>
      <c r="F405">
        <f>970648000/(1000)</f>
        <v>970648</v>
      </c>
      <c r="G405">
        <f>83636000/(1000)</f>
        <v>83636</v>
      </c>
      <c r="H405">
        <f>728586784/(1000)</f>
        <v>728586.78399999999</v>
      </c>
      <c r="I405">
        <f>129496000/(1000)</f>
        <v>129496</v>
      </c>
      <c r="J405">
        <f t="shared" si="6"/>
        <v>5.6263265583492931E-3</v>
      </c>
      <c r="K405">
        <f>-140436991/(1000)</f>
        <v>-140436.99100000001</v>
      </c>
      <c r="L405">
        <v>0</v>
      </c>
      <c r="M405">
        <v>18.227109909057599</v>
      </c>
      <c r="N405">
        <v>98.883472516326705</v>
      </c>
      <c r="O405">
        <v>221.29954528808599</v>
      </c>
      <c r="P405">
        <v>0</v>
      </c>
      <c r="Q405">
        <v>0</v>
      </c>
      <c r="R405">
        <v>12.1679388829542</v>
      </c>
      <c r="S405">
        <v>0</v>
      </c>
      <c r="T405">
        <v>0</v>
      </c>
      <c r="U405">
        <v>0</v>
      </c>
      <c r="V405">
        <v>0</v>
      </c>
      <c r="W405">
        <v>0</v>
      </c>
    </row>
    <row r="406" spans="1:23" x14ac:dyDescent="0.55000000000000004">
      <c r="A406" t="s">
        <v>820</v>
      </c>
      <c r="B406" t="s">
        <v>821</v>
      </c>
      <c r="C406" t="s">
        <v>184</v>
      </c>
      <c r="D406">
        <v>3.54</v>
      </c>
      <c r="E406">
        <f>418801120/(1000)</f>
        <v>418801.12</v>
      </c>
      <c r="F406">
        <f>970540992/(1000)</f>
        <v>970540.99199999997</v>
      </c>
      <c r="G406">
        <f>157814000/(1000)</f>
        <v>157814</v>
      </c>
      <c r="H406">
        <f>313316120/(1000)</f>
        <v>313316.12</v>
      </c>
      <c r="I406">
        <f>182500000/(1000)</f>
        <v>182500</v>
      </c>
      <c r="J406">
        <f t="shared" si="6"/>
        <v>1.7168006575342465E-3</v>
      </c>
      <c r="K406">
        <f>102230001/(1000)</f>
        <v>102230.001</v>
      </c>
      <c r="L406">
        <v>0</v>
      </c>
      <c r="M406">
        <v>24.2398376464844</v>
      </c>
      <c r="N406">
        <v>56.155933428024703</v>
      </c>
      <c r="O406">
        <v>55.292098999023402</v>
      </c>
      <c r="P406">
        <v>0.20000000298023199</v>
      </c>
      <c r="Q406">
        <v>0</v>
      </c>
      <c r="R406">
        <v>3.83739833511143</v>
      </c>
      <c r="S406">
        <v>252.64188358404201</v>
      </c>
      <c r="T406">
        <v>0</v>
      </c>
      <c r="U406">
        <v>0</v>
      </c>
      <c r="V406">
        <v>0</v>
      </c>
      <c r="W406">
        <v>0</v>
      </c>
    </row>
    <row r="407" spans="1:23" x14ac:dyDescent="0.55000000000000004">
      <c r="A407" t="s">
        <v>822</v>
      </c>
      <c r="B407" t="s">
        <v>823</v>
      </c>
      <c r="C407" t="s">
        <v>121</v>
      </c>
      <c r="D407">
        <v>1.92</v>
      </c>
      <c r="E407">
        <f>69931200/(1000)</f>
        <v>69931.199999999997</v>
      </c>
      <c r="F407">
        <f>965578048/(1000)</f>
        <v>965578.04799999995</v>
      </c>
      <c r="G407">
        <f>89023760/(1000)</f>
        <v>89023.76</v>
      </c>
      <c r="H407">
        <f>1150980672/(1000)</f>
        <v>1150980.672</v>
      </c>
      <c r="I407">
        <f>166336800/(1000)</f>
        <v>166336.79999999999</v>
      </c>
      <c r="J407">
        <f t="shared" si="6"/>
        <v>6.9195792632778799E-3</v>
      </c>
      <c r="K407">
        <f>38138357/(1000)</f>
        <v>38138.357000000004</v>
      </c>
      <c r="L407">
        <v>0</v>
      </c>
      <c r="M407">
        <v>8.9528379440307599</v>
      </c>
      <c r="N407">
        <v>77.7469957456792</v>
      </c>
      <c r="O407">
        <v>310.43438720703102</v>
      </c>
      <c r="P407">
        <v>0</v>
      </c>
      <c r="Q407">
        <v>0.264827580287539</v>
      </c>
      <c r="R407">
        <v>0</v>
      </c>
      <c r="S407">
        <v>303.78454075573302</v>
      </c>
      <c r="T407">
        <v>0</v>
      </c>
      <c r="U407">
        <v>0</v>
      </c>
      <c r="V407">
        <v>0</v>
      </c>
      <c r="W407">
        <v>0</v>
      </c>
    </row>
    <row r="408" spans="1:23" x14ac:dyDescent="0.55000000000000004">
      <c r="A408" t="s">
        <v>824</v>
      </c>
      <c r="B408" t="s">
        <v>825</v>
      </c>
      <c r="C408" t="s">
        <v>5</v>
      </c>
      <c r="D408">
        <v>34.729999999999997</v>
      </c>
      <c r="E408">
        <f>980247296/(1000)</f>
        <v>980247.29599999997</v>
      </c>
      <c r="F408">
        <f>962012032/(1000)</f>
        <v>962012.03200000001</v>
      </c>
      <c r="G408">
        <f>0/(1000)</f>
        <v>0</v>
      </c>
      <c r="H408">
        <f>1098602296/(1000)</f>
        <v>1098602.2960000001</v>
      </c>
      <c r="I408">
        <f>0/(1000)</f>
        <v>0</v>
      </c>
      <c r="J408">
        <f t="shared" si="6"/>
        <v>1</v>
      </c>
      <c r="K408">
        <f>171526001/(1000)</f>
        <v>171526.00099999999</v>
      </c>
      <c r="L408">
        <v>0</v>
      </c>
      <c r="M408">
        <v>13.6035070419312</v>
      </c>
      <c r="N408">
        <v>97.500424778502705</v>
      </c>
      <c r="O408">
        <v>15.6159200668335</v>
      </c>
      <c r="P408">
        <v>1.20000004768372</v>
      </c>
      <c r="Q408">
        <v>1.474108672729</v>
      </c>
      <c r="R408">
        <v>12.675182270568</v>
      </c>
      <c r="S408">
        <v>13.480143818358499</v>
      </c>
      <c r="T408">
        <v>0</v>
      </c>
      <c r="U408">
        <v>0</v>
      </c>
      <c r="V408">
        <v>0</v>
      </c>
      <c r="W408">
        <v>0</v>
      </c>
    </row>
    <row r="409" spans="1:23" x14ac:dyDescent="0.55000000000000004">
      <c r="A409" t="s">
        <v>826</v>
      </c>
      <c r="B409" t="s">
        <v>827</v>
      </c>
      <c r="C409" t="s">
        <v>20</v>
      </c>
      <c r="D409">
        <v>10.52</v>
      </c>
      <c r="E409">
        <f>280551552/(1000)</f>
        <v>280551.55200000003</v>
      </c>
      <c r="F409">
        <f>956892032/(1000)</f>
        <v>956892.03200000001</v>
      </c>
      <c r="G409">
        <f>3321000/(1000)</f>
        <v>3321</v>
      </c>
      <c r="H409">
        <f>170192552/(1000)</f>
        <v>170192.552</v>
      </c>
      <c r="I409">
        <f>46246000/(1000)</f>
        <v>46246</v>
      </c>
      <c r="J409">
        <f t="shared" si="6"/>
        <v>3.6801572460320891E-3</v>
      </c>
      <c r="K409">
        <f>37219001/(1000)</f>
        <v>37219.000999999997</v>
      </c>
      <c r="L409">
        <v>0</v>
      </c>
      <c r="M409">
        <v>1.66869103908539</v>
      </c>
      <c r="N409">
        <v>79.608825991162007</v>
      </c>
      <c r="O409">
        <v>0</v>
      </c>
      <c r="P409">
        <v>0.63999998569488503</v>
      </c>
      <c r="Q409">
        <v>0.493664979887809</v>
      </c>
      <c r="R409">
        <v>87.666672440866805</v>
      </c>
      <c r="S409">
        <v>22.271055974394699</v>
      </c>
      <c r="T409">
        <v>0</v>
      </c>
      <c r="U409">
        <v>0</v>
      </c>
      <c r="V409">
        <v>0</v>
      </c>
      <c r="W409">
        <v>0</v>
      </c>
    </row>
    <row r="410" spans="1:23" x14ac:dyDescent="0.55000000000000004">
      <c r="A410" t="s">
        <v>828</v>
      </c>
      <c r="B410" t="s">
        <v>829</v>
      </c>
      <c r="C410" t="s">
        <v>94</v>
      </c>
      <c r="D410">
        <v>39.85</v>
      </c>
      <c r="E410">
        <f>1184688768/(1000)</f>
        <v>1184688.7679999999</v>
      </c>
      <c r="F410">
        <f>956371008/(1000)</f>
        <v>956371.00800000003</v>
      </c>
      <c r="G410">
        <f>129623000/(1000)</f>
        <v>129623</v>
      </c>
      <c r="H410">
        <f>1681121760/(1000)</f>
        <v>1681121.76</v>
      </c>
      <c r="I410">
        <f>162488000/(1000)</f>
        <v>162488</v>
      </c>
      <c r="J410">
        <f t="shared" si="6"/>
        <v>1.0346128698734676E-2</v>
      </c>
      <c r="K410">
        <f>102711001/(1000)</f>
        <v>102711.001</v>
      </c>
      <c r="L410">
        <v>17.575435638427699</v>
      </c>
      <c r="M410">
        <v>13.476229667663601</v>
      </c>
      <c r="N410">
        <v>98.369923247836397</v>
      </c>
      <c r="O410">
        <v>98.914268493652301</v>
      </c>
      <c r="P410">
        <v>1.1900000572204601</v>
      </c>
      <c r="Q410">
        <v>2.2902298475732401</v>
      </c>
      <c r="R410">
        <v>17.750555810399099</v>
      </c>
      <c r="S410">
        <v>89.333152066354899</v>
      </c>
      <c r="T410">
        <v>0</v>
      </c>
      <c r="U410">
        <v>0</v>
      </c>
      <c r="V410">
        <v>0</v>
      </c>
      <c r="W410">
        <v>0</v>
      </c>
    </row>
    <row r="411" spans="1:23" x14ac:dyDescent="0.55000000000000004">
      <c r="A411" t="s">
        <v>830</v>
      </c>
      <c r="B411" t="s">
        <v>831</v>
      </c>
      <c r="C411" t="s">
        <v>31</v>
      </c>
      <c r="D411">
        <v>0.78</v>
      </c>
      <c r="E411">
        <f>205236160/(1000)</f>
        <v>205236.16</v>
      </c>
      <c r="F411">
        <f>956270016/(1000)</f>
        <v>956270.01599999995</v>
      </c>
      <c r="G411">
        <f>-50901000/(1000)</f>
        <v>-50901</v>
      </c>
      <c r="H411">
        <f>601542144/(1000)</f>
        <v>601542.14399999997</v>
      </c>
      <c r="I411">
        <f>46559996/(1000)</f>
        <v>46559.995999999999</v>
      </c>
      <c r="J411">
        <f t="shared" si="6"/>
        <v>1.2919720697570506E-2</v>
      </c>
      <c r="K411">
        <f>-62782999/(1000)</f>
        <v>-62782.999000000003</v>
      </c>
      <c r="L411">
        <v>0</v>
      </c>
      <c r="M411">
        <v>0.58683401346206698</v>
      </c>
      <c r="N411">
        <v>89.974627136273298</v>
      </c>
      <c r="O411">
        <v>50.169097900390597</v>
      </c>
      <c r="P411">
        <v>0</v>
      </c>
      <c r="Q411">
        <v>0.15194814894012501</v>
      </c>
      <c r="R411">
        <v>46.047576715879302</v>
      </c>
      <c r="S411">
        <v>88.309220595381902</v>
      </c>
      <c r="T411">
        <v>0</v>
      </c>
      <c r="U411">
        <v>0</v>
      </c>
      <c r="V411">
        <v>0</v>
      </c>
      <c r="W411">
        <v>0</v>
      </c>
    </row>
    <row r="412" spans="1:23" x14ac:dyDescent="0.55000000000000004">
      <c r="A412" t="s">
        <v>832</v>
      </c>
      <c r="B412" t="s">
        <v>833</v>
      </c>
      <c r="C412" t="s">
        <v>121</v>
      </c>
      <c r="D412">
        <v>12.72</v>
      </c>
      <c r="E412">
        <f>258115520/(1000)</f>
        <v>258115.52</v>
      </c>
      <c r="F412">
        <f>955708992/(1000)</f>
        <v>955708.99199999997</v>
      </c>
      <c r="G412">
        <f>75766000/(1000)</f>
        <v>75766</v>
      </c>
      <c r="H412">
        <f>309123520/(1000)</f>
        <v>309123.52</v>
      </c>
      <c r="I412">
        <f>99646000/(1000)</f>
        <v>99646</v>
      </c>
      <c r="J412">
        <f t="shared" si="6"/>
        <v>3.1022170483511633E-3</v>
      </c>
      <c r="K412">
        <f>20744999/(1000)</f>
        <v>20744.999</v>
      </c>
      <c r="L412">
        <v>0</v>
      </c>
      <c r="M412">
        <v>16.529809951782202</v>
      </c>
      <c r="N412">
        <v>98.555591125214505</v>
      </c>
      <c r="O412">
        <v>10.0386190414429</v>
      </c>
      <c r="P412">
        <v>0</v>
      </c>
      <c r="Q412">
        <v>0</v>
      </c>
      <c r="R412">
        <v>8.5945950103903392</v>
      </c>
      <c r="S412">
        <v>156.33975105972399</v>
      </c>
      <c r="T412">
        <v>0</v>
      </c>
      <c r="U412">
        <v>0</v>
      </c>
      <c r="V412">
        <v>0</v>
      </c>
      <c r="W412">
        <v>0</v>
      </c>
    </row>
    <row r="413" spans="1:23" x14ac:dyDescent="0.55000000000000004">
      <c r="A413" t="s">
        <v>834</v>
      </c>
      <c r="B413" t="s">
        <v>835</v>
      </c>
      <c r="C413" t="s">
        <v>8</v>
      </c>
      <c r="D413">
        <v>9.06</v>
      </c>
      <c r="E413">
        <f>1911007616/(1000)</f>
        <v>1911007.6159999999</v>
      </c>
      <c r="F413">
        <f>954473024/(1000)</f>
        <v>954473.02399999998</v>
      </c>
      <c r="G413">
        <f>343943008/(1000)</f>
        <v>343943.00799999997</v>
      </c>
      <c r="H413">
        <f>5192739712/(1000)</f>
        <v>5192739.7120000003</v>
      </c>
      <c r="I413">
        <f>719363008/(1000)</f>
        <v>719363.00800000003</v>
      </c>
      <c r="J413">
        <f t="shared" si="6"/>
        <v>7.2185247979834957E-3</v>
      </c>
      <c r="K413">
        <f>-2269139967/(1000)</f>
        <v>-2269139.9670000002</v>
      </c>
      <c r="L413">
        <v>0</v>
      </c>
      <c r="M413">
        <v>-7.2584328651428196</v>
      </c>
      <c r="N413">
        <v>89.928034968589799</v>
      </c>
      <c r="O413">
        <v>67.540458679199205</v>
      </c>
      <c r="P413">
        <v>0</v>
      </c>
      <c r="Q413">
        <v>0.65004954352286104</v>
      </c>
      <c r="R413">
        <v>1.4925865123616699</v>
      </c>
      <c r="S413">
        <v>0</v>
      </c>
      <c r="T413">
        <v>0</v>
      </c>
      <c r="U413">
        <v>0</v>
      </c>
      <c r="V413">
        <v>0</v>
      </c>
      <c r="W413">
        <v>0</v>
      </c>
    </row>
    <row r="414" spans="1:23" x14ac:dyDescent="0.55000000000000004">
      <c r="A414" t="s">
        <v>836</v>
      </c>
      <c r="B414" t="s">
        <v>837</v>
      </c>
      <c r="C414" t="s">
        <v>31</v>
      </c>
      <c r="D414">
        <v>16.32</v>
      </c>
      <c r="E414">
        <f>1311811328/(1000)</f>
        <v>1311811.328</v>
      </c>
      <c r="F414">
        <f>954184000/(1000)</f>
        <v>954184</v>
      </c>
      <c r="G414">
        <f>139303008/(1000)</f>
        <v>139303.008</v>
      </c>
      <c r="H414">
        <f>994059328/(1000)</f>
        <v>994059.32799999998</v>
      </c>
      <c r="I414">
        <f>163831008/(1000)</f>
        <v>163831.008</v>
      </c>
      <c r="J414">
        <f t="shared" si="6"/>
        <v>6.0675896470099239E-3</v>
      </c>
      <c r="K414">
        <f>150704001/(1000)</f>
        <v>150704.00099999999</v>
      </c>
      <c r="L414">
        <v>28.423210144043001</v>
      </c>
      <c r="M414">
        <v>16.5476589202881</v>
      </c>
      <c r="N414">
        <v>98.937181389731606</v>
      </c>
      <c r="O414">
        <v>0.191054001450539</v>
      </c>
      <c r="P414">
        <v>0</v>
      </c>
      <c r="Q414">
        <v>1.7894736732032099</v>
      </c>
      <c r="R414">
        <v>12.952380501854501</v>
      </c>
      <c r="S414">
        <v>135.10350167873901</v>
      </c>
      <c r="T414">
        <v>0</v>
      </c>
      <c r="U414">
        <v>0</v>
      </c>
      <c r="V414">
        <v>0</v>
      </c>
      <c r="W414">
        <v>0</v>
      </c>
    </row>
    <row r="415" spans="1:23" x14ac:dyDescent="0.55000000000000004">
      <c r="A415" t="s">
        <v>838</v>
      </c>
      <c r="B415" t="s">
        <v>839</v>
      </c>
      <c r="C415" t="s">
        <v>8</v>
      </c>
      <c r="D415">
        <v>8.4700000000000006</v>
      </c>
      <c r="E415">
        <f>332017216/(1000)</f>
        <v>332017.21600000001</v>
      </c>
      <c r="F415">
        <f>947691008/(1000)</f>
        <v>947691.00800000003</v>
      </c>
      <c r="G415">
        <f>30908000/(1000)</f>
        <v>30908</v>
      </c>
      <c r="H415">
        <f>362860216/(1000)</f>
        <v>362860.21600000001</v>
      </c>
      <c r="I415">
        <f>55670000/(1000)</f>
        <v>55670</v>
      </c>
      <c r="J415">
        <f t="shared" si="6"/>
        <v>6.5180566912160951E-3</v>
      </c>
      <c r="K415">
        <f>-43905999/(1000)</f>
        <v>-43905.999000000003</v>
      </c>
      <c r="L415">
        <v>0</v>
      </c>
      <c r="M415">
        <v>-19.822198867797901</v>
      </c>
      <c r="N415">
        <v>91.956979472714394</v>
      </c>
      <c r="O415">
        <v>38.461402893066399</v>
      </c>
      <c r="P415">
        <v>0</v>
      </c>
      <c r="Q415">
        <v>0.72269625205188504</v>
      </c>
      <c r="R415">
        <v>5.3949045508506304</v>
      </c>
      <c r="S415">
        <v>62.3584334783313</v>
      </c>
      <c r="T415">
        <v>0</v>
      </c>
      <c r="U415">
        <v>0</v>
      </c>
      <c r="V415">
        <v>0</v>
      </c>
      <c r="W415">
        <v>0</v>
      </c>
    </row>
    <row r="416" spans="1:23" x14ac:dyDescent="0.55000000000000004">
      <c r="A416" t="s">
        <v>840</v>
      </c>
      <c r="B416" t="s">
        <v>841</v>
      </c>
      <c r="C416" t="s">
        <v>2</v>
      </c>
      <c r="D416">
        <v>63.44</v>
      </c>
      <c r="E416">
        <f>1505095040/(1000)</f>
        <v>1505095.04</v>
      </c>
      <c r="F416">
        <f>946916992/(1000)</f>
        <v>946916.99199999997</v>
      </c>
      <c r="G416">
        <f>95707000/(1000)</f>
        <v>95707</v>
      </c>
      <c r="H416">
        <f>1330787040/(1000)</f>
        <v>1330787.04</v>
      </c>
      <c r="I416">
        <f>133297000/(1000)</f>
        <v>133297</v>
      </c>
      <c r="J416">
        <f t="shared" si="6"/>
        <v>9.9836233373594308E-3</v>
      </c>
      <c r="K416">
        <f>43467001/(1000)</f>
        <v>43467.000999999997</v>
      </c>
      <c r="L416">
        <v>0</v>
      </c>
      <c r="M416">
        <v>23.6146049499512</v>
      </c>
      <c r="N416">
        <v>87.193512209114601</v>
      </c>
      <c r="O416">
        <v>63.565258026122997</v>
      </c>
      <c r="P416">
        <v>0</v>
      </c>
      <c r="Q416">
        <v>3.3720825902382199</v>
      </c>
      <c r="R416">
        <v>21.4324325554296</v>
      </c>
      <c r="S416">
        <v>170.44494910094099</v>
      </c>
      <c r="T416">
        <v>0</v>
      </c>
      <c r="U416">
        <v>0</v>
      </c>
      <c r="V416">
        <v>0</v>
      </c>
      <c r="W416">
        <v>0</v>
      </c>
    </row>
    <row r="417" spans="1:23" x14ac:dyDescent="0.55000000000000004">
      <c r="A417" t="s">
        <v>842</v>
      </c>
      <c r="B417" t="s">
        <v>843</v>
      </c>
      <c r="C417" t="s">
        <v>20</v>
      </c>
      <c r="D417">
        <v>1.99</v>
      </c>
      <c r="E417">
        <f>190469056/(1000)</f>
        <v>190469.05600000001</v>
      </c>
      <c r="F417">
        <f>939368000/(1000)</f>
        <v>939368</v>
      </c>
      <c r="G417">
        <f>48702000/(1000)</f>
        <v>48702</v>
      </c>
      <c r="H417">
        <f>506995072/(1000)</f>
        <v>506995.07199999999</v>
      </c>
      <c r="I417">
        <f>98049000/(1000)</f>
        <v>98049</v>
      </c>
      <c r="J417">
        <f t="shared" si="6"/>
        <v>5.1708336851982173E-3</v>
      </c>
      <c r="K417">
        <f>19442999/(1000)</f>
        <v>19442.999</v>
      </c>
      <c r="L417">
        <v>0</v>
      </c>
      <c r="M417">
        <v>0</v>
      </c>
      <c r="N417">
        <v>98.577523174203705</v>
      </c>
      <c r="O417">
        <v>0</v>
      </c>
      <c r="P417">
        <v>0</v>
      </c>
      <c r="Q417">
        <v>0</v>
      </c>
      <c r="R417">
        <v>11.7058825424283</v>
      </c>
      <c r="S417">
        <v>-0.97155338905147204</v>
      </c>
      <c r="T417">
        <v>0</v>
      </c>
      <c r="U417">
        <v>0</v>
      </c>
      <c r="V417">
        <v>0</v>
      </c>
      <c r="W417">
        <v>0</v>
      </c>
    </row>
    <row r="418" spans="1:23" x14ac:dyDescent="0.55000000000000004">
      <c r="A418" t="s">
        <v>844</v>
      </c>
      <c r="B418" t="s">
        <v>845</v>
      </c>
      <c r="C418" t="s">
        <v>5</v>
      </c>
      <c r="D418">
        <v>1.41</v>
      </c>
      <c r="E418">
        <f>100431624/(1000)</f>
        <v>100431.624</v>
      </c>
      <c r="F418">
        <f>938558016/(1000)</f>
        <v>938558.01599999995</v>
      </c>
      <c r="G418">
        <f>26823000/(1000)</f>
        <v>26823</v>
      </c>
      <c r="H418">
        <f>69057626/(1000)</f>
        <v>69057.626000000004</v>
      </c>
      <c r="I418">
        <f>39566000/(1000)</f>
        <v>39566</v>
      </c>
      <c r="J418">
        <f t="shared" si="6"/>
        <v>1.7453780013142598E-3</v>
      </c>
      <c r="K418">
        <f>48481001/(1000)</f>
        <v>48481.000999999997</v>
      </c>
      <c r="L418">
        <v>0</v>
      </c>
      <c r="M418">
        <v>8.9955034255981392</v>
      </c>
      <c r="N418">
        <v>35.9231801679733</v>
      </c>
      <c r="O418">
        <v>7.6997818946838397</v>
      </c>
      <c r="P418">
        <v>0</v>
      </c>
      <c r="Q418">
        <v>0</v>
      </c>
      <c r="R418">
        <v>0</v>
      </c>
      <c r="S418">
        <v>469.02306022723099</v>
      </c>
      <c r="T418">
        <v>0</v>
      </c>
      <c r="U418">
        <v>0</v>
      </c>
      <c r="V418">
        <v>0</v>
      </c>
      <c r="W418">
        <v>0</v>
      </c>
    </row>
    <row r="419" spans="1:23" x14ac:dyDescent="0.55000000000000004">
      <c r="A419" t="s">
        <v>846</v>
      </c>
      <c r="B419" t="s">
        <v>847</v>
      </c>
      <c r="C419" t="s">
        <v>81</v>
      </c>
      <c r="D419">
        <v>1.75</v>
      </c>
      <c r="E419">
        <f>39855536/(1000)</f>
        <v>39855.536</v>
      </c>
      <c r="F419">
        <f>932181056/(1000)</f>
        <v>932181.05599999998</v>
      </c>
      <c r="G419">
        <f>107230000/(1000)</f>
        <v>107230</v>
      </c>
      <c r="H419">
        <f>775810544/(1000)</f>
        <v>775810.54399999999</v>
      </c>
      <c r="I419">
        <f>185680000/(1000)</f>
        <v>185680</v>
      </c>
      <c r="J419">
        <f t="shared" si="6"/>
        <v>4.1782127531236534E-3</v>
      </c>
      <c r="K419">
        <f>52686997/(1000)</f>
        <v>52686.997000000003</v>
      </c>
      <c r="L419">
        <v>21.961389541626001</v>
      </c>
      <c r="M419">
        <v>1.1551220417022701</v>
      </c>
      <c r="N419">
        <v>94.797154839343804</v>
      </c>
      <c r="O419">
        <v>98.309432983398395</v>
      </c>
      <c r="P419">
        <v>0.479999989271164</v>
      </c>
      <c r="Q419">
        <v>0</v>
      </c>
      <c r="R419">
        <v>4.3750002607703404</v>
      </c>
      <c r="S419">
        <v>11.398309751434001</v>
      </c>
      <c r="T419">
        <v>0</v>
      </c>
      <c r="U419">
        <v>0</v>
      </c>
      <c r="V419">
        <v>0</v>
      </c>
      <c r="W419">
        <v>0</v>
      </c>
    </row>
    <row r="420" spans="1:23" x14ac:dyDescent="0.55000000000000004">
      <c r="A420" t="s">
        <v>848</v>
      </c>
      <c r="B420" t="s">
        <v>849</v>
      </c>
      <c r="C420" t="s">
        <v>5</v>
      </c>
      <c r="D420">
        <v>2.98</v>
      </c>
      <c r="E420">
        <f>375524704/(1000)</f>
        <v>375524.70400000003</v>
      </c>
      <c r="F420">
        <f>930478976/(1000)</f>
        <v>930478.97600000002</v>
      </c>
      <c r="G420">
        <f>0/(1000)</f>
        <v>0</v>
      </c>
      <c r="H420">
        <f>0/(1000)</f>
        <v>0</v>
      </c>
      <c r="I420">
        <f>0/(1000)</f>
        <v>0</v>
      </c>
      <c r="J420">
        <f t="shared" si="6"/>
        <v>1</v>
      </c>
      <c r="K420">
        <f>167312001/(1000)</f>
        <v>167312.00099999999</v>
      </c>
      <c r="L420">
        <v>17.3364353179932</v>
      </c>
      <c r="M420">
        <v>6.4321398735046396</v>
      </c>
      <c r="N420">
        <v>97.801373326137593</v>
      </c>
      <c r="O420">
        <v>220.65538024902301</v>
      </c>
      <c r="P420">
        <v>0</v>
      </c>
      <c r="Q420">
        <v>0.19899832675536899</v>
      </c>
      <c r="R420">
        <v>8.2777777588063906</v>
      </c>
      <c r="S420">
        <v>66.228200657424594</v>
      </c>
      <c r="T420">
        <v>0</v>
      </c>
      <c r="U420">
        <v>0</v>
      </c>
      <c r="V420">
        <v>0</v>
      </c>
      <c r="W420">
        <v>0</v>
      </c>
    </row>
    <row r="421" spans="1:23" x14ac:dyDescent="0.55000000000000004">
      <c r="A421" t="s">
        <v>850</v>
      </c>
      <c r="B421" t="s">
        <v>851</v>
      </c>
      <c r="C421" t="s">
        <v>31</v>
      </c>
      <c r="D421">
        <v>13.51</v>
      </c>
      <c r="E421">
        <f>1124367104/(1000)</f>
        <v>1124367.1040000001</v>
      </c>
      <c r="F421">
        <f>929907968/(1000)</f>
        <v>929907.96799999999</v>
      </c>
      <c r="G421">
        <f>91260000/(1000)</f>
        <v>91260</v>
      </c>
      <c r="H421">
        <f>843140096/(1000)</f>
        <v>843140.09600000002</v>
      </c>
      <c r="I421">
        <f>138168000/(1000)</f>
        <v>138168</v>
      </c>
      <c r="J421">
        <f t="shared" si="6"/>
        <v>6.102281975565978E-3</v>
      </c>
      <c r="K421">
        <f>119465001/(1000)</f>
        <v>119465.001</v>
      </c>
      <c r="L421">
        <v>34.111045837402301</v>
      </c>
      <c r="M421">
        <v>6.3815450668334996</v>
      </c>
      <c r="N421">
        <v>99.6061268883427</v>
      </c>
      <c r="O421">
        <v>0</v>
      </c>
      <c r="P421">
        <v>0</v>
      </c>
      <c r="Q421">
        <v>1.21566050008839</v>
      </c>
      <c r="R421">
        <v>12.8129742758391</v>
      </c>
      <c r="S421">
        <v>105.69043655918099</v>
      </c>
      <c r="T421">
        <v>0</v>
      </c>
      <c r="U421">
        <v>0</v>
      </c>
      <c r="V421">
        <v>0</v>
      </c>
      <c r="W421">
        <v>0</v>
      </c>
    </row>
    <row r="422" spans="1:23" x14ac:dyDescent="0.55000000000000004">
      <c r="A422" t="s">
        <v>852</v>
      </c>
      <c r="B422" t="s">
        <v>853</v>
      </c>
      <c r="C422" t="s">
        <v>31</v>
      </c>
      <c r="D422">
        <v>10.91</v>
      </c>
      <c r="E422">
        <f>404748992/(1000)</f>
        <v>404748.99200000003</v>
      </c>
      <c r="F422">
        <f>929569984/(1000)</f>
        <v>929569.98400000005</v>
      </c>
      <c r="G422">
        <f>1069000/(1000)</f>
        <v>1069</v>
      </c>
      <c r="H422">
        <f>282314992/(1000)</f>
        <v>282314.99200000003</v>
      </c>
      <c r="I422">
        <f>54255000/(1000)</f>
        <v>54255</v>
      </c>
      <c r="J422">
        <f t="shared" si="6"/>
        <v>5.2034834024513874E-3</v>
      </c>
      <c r="K422">
        <f>67957001/(1000)</f>
        <v>67957.001000000004</v>
      </c>
      <c r="L422">
        <v>34.042194366455099</v>
      </c>
      <c r="M422">
        <v>-1.0228409767150899</v>
      </c>
      <c r="N422">
        <v>98.8905335654986</v>
      </c>
      <c r="O422">
        <v>0</v>
      </c>
      <c r="P422">
        <v>0</v>
      </c>
      <c r="Q422">
        <v>0.68487128929102203</v>
      </c>
      <c r="R422">
        <v>0</v>
      </c>
      <c r="S422">
        <v>122.003292480097</v>
      </c>
      <c r="T422">
        <v>0</v>
      </c>
      <c r="U422">
        <v>0</v>
      </c>
      <c r="V422">
        <v>0</v>
      </c>
      <c r="W422">
        <v>0</v>
      </c>
    </row>
    <row r="423" spans="1:23" x14ac:dyDescent="0.55000000000000004">
      <c r="A423" t="s">
        <v>854</v>
      </c>
      <c r="B423" t="s">
        <v>855</v>
      </c>
      <c r="C423" t="s">
        <v>184</v>
      </c>
      <c r="D423">
        <v>27.35</v>
      </c>
      <c r="E423">
        <f>793617664/(1000)</f>
        <v>793617.66399999999</v>
      </c>
      <c r="F423">
        <f>929393984/(1000)</f>
        <v>929393.98400000005</v>
      </c>
      <c r="G423">
        <f>133509000/(1000)</f>
        <v>133509</v>
      </c>
      <c r="H423">
        <f>1116055680/(1000)</f>
        <v>1116055.68</v>
      </c>
      <c r="I423">
        <f>165634000/(1000)</f>
        <v>165634</v>
      </c>
      <c r="J423">
        <f t="shared" si="6"/>
        <v>6.7380832437784512E-3</v>
      </c>
      <c r="K423">
        <f>202976001/(1000)</f>
        <v>202976.00099999999</v>
      </c>
      <c r="L423">
        <v>20.841077804565401</v>
      </c>
      <c r="M423">
        <v>16.930217742919901</v>
      </c>
      <c r="N423">
        <v>98.567053946223595</v>
      </c>
      <c r="O423">
        <v>58.150592803955099</v>
      </c>
      <c r="P423">
        <v>0.140000000596046</v>
      </c>
      <c r="Q423">
        <v>1.3374082817167801</v>
      </c>
      <c r="R423">
        <v>8.7942123008577209</v>
      </c>
      <c r="S423">
        <v>165.16158447848301</v>
      </c>
      <c r="T423">
        <v>0</v>
      </c>
      <c r="U423">
        <v>0</v>
      </c>
      <c r="V423">
        <v>0</v>
      </c>
      <c r="W423">
        <v>0</v>
      </c>
    </row>
    <row r="424" spans="1:23" x14ac:dyDescent="0.55000000000000004">
      <c r="A424" t="s">
        <v>856</v>
      </c>
      <c r="B424" t="s">
        <v>857</v>
      </c>
      <c r="C424" t="s">
        <v>121</v>
      </c>
      <c r="D424">
        <v>18.18</v>
      </c>
      <c r="E424">
        <f>616365632/(1000)</f>
        <v>616365.63199999998</v>
      </c>
      <c r="F424">
        <f>924364992/(1000)</f>
        <v>924364.99199999997</v>
      </c>
      <c r="G424">
        <f>66044000/(1000)</f>
        <v>66044</v>
      </c>
      <c r="H424">
        <f>598275630/(1000)</f>
        <v>598275.63</v>
      </c>
      <c r="I424">
        <f>112085000/(1000)</f>
        <v>112085</v>
      </c>
      <c r="J424">
        <f t="shared" si="6"/>
        <v>5.3376957666057007E-3</v>
      </c>
      <c r="K424">
        <f>74911001/(1000)</f>
        <v>74911.001000000004</v>
      </c>
      <c r="L424">
        <v>19.428882598876999</v>
      </c>
      <c r="M424">
        <v>3.0258259773254399</v>
      </c>
      <c r="N424">
        <v>72.617282251370696</v>
      </c>
      <c r="O424">
        <v>16.700859069824201</v>
      </c>
      <c r="P424">
        <v>0.15999999642372101</v>
      </c>
      <c r="Q424">
        <v>0</v>
      </c>
      <c r="R424">
        <v>22.725000042840801</v>
      </c>
      <c r="S424">
        <v>22.639723724428499</v>
      </c>
      <c r="T424">
        <v>0</v>
      </c>
      <c r="U424">
        <v>0</v>
      </c>
      <c r="V424">
        <v>0</v>
      </c>
      <c r="W424">
        <v>0</v>
      </c>
    </row>
    <row r="425" spans="1:23" x14ac:dyDescent="0.55000000000000004">
      <c r="A425" t="s">
        <v>858</v>
      </c>
      <c r="B425" t="s">
        <v>859</v>
      </c>
      <c r="C425" t="s">
        <v>20</v>
      </c>
      <c r="D425">
        <v>0</v>
      </c>
      <c r="E425">
        <f>460655616/(1000)</f>
        <v>460655.61599999998</v>
      </c>
      <c r="F425">
        <f>923710976/(1000)</f>
        <v>923710.97600000002</v>
      </c>
      <c r="G425">
        <f>18842000/(1000)</f>
        <v>18842</v>
      </c>
      <c r="H425">
        <f>1252531648/(1000)</f>
        <v>1252531.648</v>
      </c>
      <c r="I425">
        <f>99879000/(1000)</f>
        <v>99879</v>
      </c>
      <c r="J425">
        <f t="shared" si="6"/>
        <v>1.2540490473472901E-2</v>
      </c>
      <c r="K425">
        <f>-392222975/(1000)</f>
        <v>-392222.97499999998</v>
      </c>
      <c r="L425">
        <v>0</v>
      </c>
      <c r="M425">
        <v>-0.160967007279396</v>
      </c>
      <c r="N425">
        <v>99.151898991790205</v>
      </c>
      <c r="O425">
        <v>79.944297790527301</v>
      </c>
      <c r="P425">
        <v>0</v>
      </c>
      <c r="Q425">
        <v>0.447617667824175</v>
      </c>
      <c r="R425">
        <v>0</v>
      </c>
      <c r="S425">
        <v>79.709959781556194</v>
      </c>
      <c r="T425">
        <v>0</v>
      </c>
      <c r="U425">
        <v>0</v>
      </c>
      <c r="V425">
        <v>0</v>
      </c>
      <c r="W425">
        <v>0</v>
      </c>
    </row>
    <row r="426" spans="1:23" x14ac:dyDescent="0.55000000000000004">
      <c r="A426" t="s">
        <v>860</v>
      </c>
      <c r="B426" t="s">
        <v>861</v>
      </c>
      <c r="C426" t="s">
        <v>31</v>
      </c>
      <c r="D426">
        <v>4.9000000000000004</v>
      </c>
      <c r="E426">
        <f>413260128/(1000)</f>
        <v>413260.12800000003</v>
      </c>
      <c r="F426">
        <f>921931008/(1000)</f>
        <v>921931.00800000003</v>
      </c>
      <c r="G426">
        <f>-24707000/(1000)</f>
        <v>-24707</v>
      </c>
      <c r="H426">
        <f>806537120/(1000)</f>
        <v>806537.12</v>
      </c>
      <c r="I426">
        <f>48623000/(1000)</f>
        <v>48623</v>
      </c>
      <c r="J426">
        <f t="shared" si="6"/>
        <v>1.6587563910083706E-2</v>
      </c>
      <c r="K426">
        <f>-44314999/(1000)</f>
        <v>-44314.999000000003</v>
      </c>
      <c r="L426">
        <v>0</v>
      </c>
      <c r="M426">
        <v>-115.19720458984401</v>
      </c>
      <c r="N426">
        <v>96.708634019497097</v>
      </c>
      <c r="O426">
        <v>359.90194702148398</v>
      </c>
      <c r="P426">
        <v>0</v>
      </c>
      <c r="Q426">
        <v>0.69602274459070901</v>
      </c>
      <c r="R426">
        <v>0</v>
      </c>
      <c r="S426">
        <v>171.690763963428</v>
      </c>
      <c r="T426">
        <v>0</v>
      </c>
      <c r="U426">
        <v>0</v>
      </c>
      <c r="V426">
        <v>0</v>
      </c>
      <c r="W426">
        <v>0</v>
      </c>
    </row>
    <row r="427" spans="1:23" x14ac:dyDescent="0.55000000000000004">
      <c r="A427" t="s">
        <v>862</v>
      </c>
      <c r="B427" t="s">
        <v>863</v>
      </c>
      <c r="C427" t="s">
        <v>2</v>
      </c>
      <c r="D427">
        <v>33.18</v>
      </c>
      <c r="E427">
        <f>1684760960/(1000)</f>
        <v>1684760.96</v>
      </c>
      <c r="F427">
        <f>921190976/(1000)</f>
        <v>921190.97600000002</v>
      </c>
      <c r="G427">
        <f>129813992/(1000)</f>
        <v>129813.992</v>
      </c>
      <c r="H427">
        <f>1734259964/(1000)</f>
        <v>1734259.9639999999</v>
      </c>
      <c r="I427">
        <f>153202992/(1000)</f>
        <v>153202.992</v>
      </c>
      <c r="J427">
        <f t="shared" si="6"/>
        <v>1.1320013671795651E-2</v>
      </c>
      <c r="K427">
        <f>100300009/(1000)</f>
        <v>100300.00900000001</v>
      </c>
      <c r="L427">
        <v>20.7692756652832</v>
      </c>
      <c r="M427">
        <v>16.585393905639599</v>
      </c>
      <c r="N427">
        <v>97.375746449349293</v>
      </c>
      <c r="O427">
        <v>3.1095449924468999</v>
      </c>
      <c r="P427">
        <v>0.36000001430511502</v>
      </c>
      <c r="Q427">
        <v>2.4872563662406701</v>
      </c>
      <c r="R427">
        <v>17.6489366570807</v>
      </c>
      <c r="S427">
        <v>28.736528537819598</v>
      </c>
      <c r="T427">
        <v>0</v>
      </c>
      <c r="U427">
        <v>0</v>
      </c>
      <c r="V427">
        <v>0</v>
      </c>
      <c r="W427">
        <v>0</v>
      </c>
    </row>
    <row r="428" spans="1:23" x14ac:dyDescent="0.55000000000000004">
      <c r="A428" t="s">
        <v>864</v>
      </c>
      <c r="B428" t="s">
        <v>865</v>
      </c>
      <c r="C428" t="s">
        <v>5</v>
      </c>
      <c r="D428">
        <v>26.09</v>
      </c>
      <c r="E428">
        <f>757447488/(1000)</f>
        <v>757447.48800000001</v>
      </c>
      <c r="F428">
        <f>920814016/(1000)</f>
        <v>920814.01599999995</v>
      </c>
      <c r="G428">
        <f>130245000/(1000)</f>
        <v>130245</v>
      </c>
      <c r="H428">
        <f>664294488/(1000)</f>
        <v>664294.48800000001</v>
      </c>
      <c r="I428">
        <f>161396000/(1000)</f>
        <v>161396</v>
      </c>
      <c r="J428">
        <f t="shared" si="6"/>
        <v>4.1159290688740739E-3</v>
      </c>
      <c r="K428">
        <f>39073001/(1000)</f>
        <v>39073.000999999997</v>
      </c>
      <c r="L428">
        <v>18.7418422698975</v>
      </c>
      <c r="M428">
        <v>33.193119049072301</v>
      </c>
      <c r="N428">
        <v>95.612784993964297</v>
      </c>
      <c r="O428">
        <v>0</v>
      </c>
      <c r="P428">
        <v>0</v>
      </c>
      <c r="Q428">
        <v>0</v>
      </c>
      <c r="R428">
        <v>8.3621796031815006</v>
      </c>
      <c r="S428">
        <v>68.400810652483997</v>
      </c>
      <c r="T428">
        <v>0</v>
      </c>
      <c r="U428">
        <v>0</v>
      </c>
      <c r="V428">
        <v>0</v>
      </c>
      <c r="W428">
        <v>0</v>
      </c>
    </row>
    <row r="429" spans="1:23" x14ac:dyDescent="0.55000000000000004">
      <c r="A429" t="s">
        <v>866</v>
      </c>
      <c r="B429" t="s">
        <v>867</v>
      </c>
      <c r="C429" t="s">
        <v>20</v>
      </c>
      <c r="D429">
        <v>3.82</v>
      </c>
      <c r="E429">
        <f>242721280/(1000)</f>
        <v>242721.28</v>
      </c>
      <c r="F429">
        <f>919392000/(1000)</f>
        <v>919392</v>
      </c>
      <c r="G429">
        <f>37367000/(1000)</f>
        <v>37367</v>
      </c>
      <c r="H429">
        <f>384091280/(1000)</f>
        <v>384091.28</v>
      </c>
      <c r="I429">
        <f>57730000/(1000)</f>
        <v>57730</v>
      </c>
      <c r="J429">
        <f t="shared" si="6"/>
        <v>6.6532354062012822E-3</v>
      </c>
      <c r="K429">
        <f>37960001/(1000)</f>
        <v>37960.000999999997</v>
      </c>
      <c r="L429">
        <v>52.367179870605497</v>
      </c>
      <c r="M429">
        <v>9.7360439300537092</v>
      </c>
      <c r="N429">
        <v>97.517715445190603</v>
      </c>
      <c r="O429">
        <v>29.436847686767599</v>
      </c>
      <c r="P429">
        <v>0</v>
      </c>
      <c r="Q429">
        <v>0</v>
      </c>
      <c r="R429">
        <v>11.5757575668634</v>
      </c>
      <c r="S429">
        <v>62.546458211625698</v>
      </c>
      <c r="T429">
        <v>0</v>
      </c>
      <c r="U429">
        <v>0</v>
      </c>
      <c r="V429">
        <v>0</v>
      </c>
      <c r="W429">
        <v>0</v>
      </c>
    </row>
    <row r="430" spans="1:23" x14ac:dyDescent="0.55000000000000004">
      <c r="A430" t="s">
        <v>868</v>
      </c>
      <c r="B430" t="s">
        <v>869</v>
      </c>
      <c r="C430" t="s">
        <v>121</v>
      </c>
      <c r="D430">
        <v>8</v>
      </c>
      <c r="E430">
        <f>281884800/(1000)</f>
        <v>281884.79999999999</v>
      </c>
      <c r="F430">
        <f>918792960/(1000)</f>
        <v>918792.96</v>
      </c>
      <c r="G430">
        <f>45801400/(1000)</f>
        <v>45801.4</v>
      </c>
      <c r="H430">
        <f>469529568/(1000)</f>
        <v>469529.56800000003</v>
      </c>
      <c r="I430">
        <f>83528408/(1000)</f>
        <v>83528.407999999996</v>
      </c>
      <c r="J430">
        <f t="shared" si="6"/>
        <v>5.621196180346213E-3</v>
      </c>
      <c r="K430">
        <f>77258665/(1000)</f>
        <v>77258.664999999994</v>
      </c>
      <c r="L430">
        <v>17.209344863891602</v>
      </c>
      <c r="M430">
        <v>18.308465957641602</v>
      </c>
      <c r="N430">
        <v>80.350839456214302</v>
      </c>
      <c r="O430">
        <v>53.859432220458999</v>
      </c>
      <c r="P430">
        <v>0.239999994635582</v>
      </c>
      <c r="Q430">
        <v>0.86206899032298001</v>
      </c>
      <c r="R430">
        <v>15.384615067194201</v>
      </c>
      <c r="S430">
        <v>51.1194901819606</v>
      </c>
      <c r="T430">
        <v>0</v>
      </c>
      <c r="U430">
        <v>0</v>
      </c>
      <c r="V430">
        <v>0</v>
      </c>
      <c r="W430">
        <v>0</v>
      </c>
    </row>
    <row r="431" spans="1:23" x14ac:dyDescent="0.55000000000000004">
      <c r="A431" t="s">
        <v>870</v>
      </c>
      <c r="B431" t="s">
        <v>871</v>
      </c>
      <c r="C431" t="s">
        <v>184</v>
      </c>
      <c r="D431">
        <v>11.25</v>
      </c>
      <c r="E431">
        <f>354656256/(1000)</f>
        <v>354656.25599999999</v>
      </c>
      <c r="F431">
        <f>917903040/(1000)</f>
        <v>917903.04</v>
      </c>
      <c r="G431">
        <f>32974998/(1000)</f>
        <v>32974.998</v>
      </c>
      <c r="H431">
        <f>495990256/(1000)</f>
        <v>495990.25599999999</v>
      </c>
      <c r="I431">
        <f>58305996/(1000)</f>
        <v>58305.995999999999</v>
      </c>
      <c r="J431">
        <f t="shared" si="6"/>
        <v>8.5066766718126206E-3</v>
      </c>
      <c r="K431">
        <f>33074001/(1000)</f>
        <v>33074.000999999997</v>
      </c>
      <c r="L431">
        <v>0</v>
      </c>
      <c r="M431">
        <v>11.7253227233887</v>
      </c>
      <c r="N431">
        <v>72.023791513874599</v>
      </c>
      <c r="O431">
        <v>33.178890228271499</v>
      </c>
      <c r="P431">
        <v>1.3600000143051201</v>
      </c>
      <c r="Q431">
        <v>0.76461434145797003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</row>
    <row r="432" spans="1:23" x14ac:dyDescent="0.55000000000000004">
      <c r="A432" t="s">
        <v>872</v>
      </c>
      <c r="B432" t="s">
        <v>873</v>
      </c>
      <c r="C432" t="s">
        <v>20</v>
      </c>
      <c r="D432">
        <v>8.89</v>
      </c>
      <c r="E432">
        <f>598220544/(1000)</f>
        <v>598220.54399999999</v>
      </c>
      <c r="F432">
        <f>917721984/(1000)</f>
        <v>917721.98400000005</v>
      </c>
      <c r="G432">
        <f>286008992/(1000)</f>
        <v>286008.99200000003</v>
      </c>
      <c r="H432">
        <f>875605568/(1000)</f>
        <v>875605.56799999997</v>
      </c>
      <c r="I432">
        <f>308110016/(1000)</f>
        <v>308110.016</v>
      </c>
      <c r="J432">
        <f t="shared" si="6"/>
        <v>2.8418601231061571E-3</v>
      </c>
      <c r="K432">
        <f>-54540999/(1000)</f>
        <v>-54540.999000000003</v>
      </c>
      <c r="L432">
        <v>0</v>
      </c>
      <c r="M432">
        <v>47.065929412841797</v>
      </c>
      <c r="N432">
        <v>93.414318492320504</v>
      </c>
      <c r="O432">
        <v>44.216968536377003</v>
      </c>
      <c r="P432">
        <v>0.60000002384185802</v>
      </c>
      <c r="Q432">
        <v>0</v>
      </c>
      <c r="R432">
        <v>4.1737090907157501</v>
      </c>
      <c r="S432">
        <v>195.53217832622701</v>
      </c>
      <c r="T432">
        <v>0</v>
      </c>
      <c r="U432">
        <v>0</v>
      </c>
      <c r="V432">
        <v>0</v>
      </c>
      <c r="W432">
        <v>0</v>
      </c>
    </row>
    <row r="433" spans="1:23" x14ac:dyDescent="0.55000000000000004">
      <c r="A433" t="s">
        <v>874</v>
      </c>
      <c r="B433" t="s">
        <v>875</v>
      </c>
      <c r="C433" t="s">
        <v>31</v>
      </c>
      <c r="D433">
        <v>11.61</v>
      </c>
      <c r="E433">
        <f>583892416/(1000)</f>
        <v>583892.41599999997</v>
      </c>
      <c r="F433">
        <f>917573952/(1000)</f>
        <v>917573.95200000005</v>
      </c>
      <c r="G433">
        <f>77177000/(1000)</f>
        <v>77177</v>
      </c>
      <c r="H433">
        <f>848482416/(1000)</f>
        <v>848482.41599999997</v>
      </c>
      <c r="I433">
        <f>125508000/(1000)</f>
        <v>125508</v>
      </c>
      <c r="J433">
        <f t="shared" si="6"/>
        <v>6.7603851228606937E-3</v>
      </c>
      <c r="K433">
        <f>40253001/(1000)</f>
        <v>40253.000999999997</v>
      </c>
      <c r="L433">
        <v>0</v>
      </c>
      <c r="M433">
        <v>10.3620138168335</v>
      </c>
      <c r="N433">
        <v>86.947680915620793</v>
      </c>
      <c r="O433">
        <v>76.112632751464801</v>
      </c>
      <c r="P433">
        <v>0</v>
      </c>
      <c r="Q433">
        <v>0</v>
      </c>
      <c r="R433">
        <v>15.6891889969381</v>
      </c>
      <c r="S433">
        <v>1191.4845625492601</v>
      </c>
      <c r="T433">
        <v>0</v>
      </c>
      <c r="U433">
        <v>0</v>
      </c>
      <c r="V433">
        <v>0</v>
      </c>
      <c r="W433">
        <v>0</v>
      </c>
    </row>
    <row r="434" spans="1:23" x14ac:dyDescent="0.55000000000000004">
      <c r="A434" t="s">
        <v>876</v>
      </c>
      <c r="B434" t="s">
        <v>877</v>
      </c>
      <c r="C434" t="s">
        <v>17</v>
      </c>
      <c r="D434">
        <v>28.7</v>
      </c>
      <c r="E434">
        <f>682746944/(1000)</f>
        <v>682746.94400000002</v>
      </c>
      <c r="F434">
        <f>915939008/(1000)</f>
        <v>915939.00800000003</v>
      </c>
      <c r="G434">
        <f>223636992/(1000)</f>
        <v>223636.992</v>
      </c>
      <c r="H434">
        <f>738381944/(1000)</f>
        <v>738381.94400000002</v>
      </c>
      <c r="I434">
        <f>248956992/(1000)</f>
        <v>248956.992</v>
      </c>
      <c r="J434">
        <f t="shared" si="6"/>
        <v>2.9659016124359344E-3</v>
      </c>
      <c r="K434">
        <f>126730001/(1000)</f>
        <v>126730.001</v>
      </c>
      <c r="L434">
        <v>0</v>
      </c>
      <c r="M434">
        <v>70.400695800781307</v>
      </c>
      <c r="N434">
        <v>59.438242175614803</v>
      </c>
      <c r="O434">
        <v>42.220596313476598</v>
      </c>
      <c r="P434">
        <v>1.5279999971389799</v>
      </c>
      <c r="Q434">
        <v>2.4698796080546299</v>
      </c>
      <c r="R434">
        <v>5.1618706109346899</v>
      </c>
      <c r="S434">
        <v>136.394529057527</v>
      </c>
      <c r="T434">
        <v>0</v>
      </c>
      <c r="U434">
        <v>0</v>
      </c>
      <c r="V434">
        <v>0</v>
      </c>
      <c r="W434">
        <v>0</v>
      </c>
    </row>
    <row r="435" spans="1:23" x14ac:dyDescent="0.55000000000000004">
      <c r="A435" t="s">
        <v>878</v>
      </c>
      <c r="B435" t="s">
        <v>879</v>
      </c>
      <c r="C435" t="s">
        <v>184</v>
      </c>
      <c r="D435">
        <v>15.45</v>
      </c>
      <c r="E435">
        <f>466109504/(1000)</f>
        <v>466109.50400000002</v>
      </c>
      <c r="F435">
        <f>914598976/(1000)</f>
        <v>914598.97600000002</v>
      </c>
      <c r="G435">
        <f>0/(1000)</f>
        <v>0</v>
      </c>
      <c r="H435">
        <f>732969504/(1000)</f>
        <v>732969.50399999996</v>
      </c>
      <c r="I435">
        <f>0/(1000)</f>
        <v>0</v>
      </c>
      <c r="J435">
        <f t="shared" si="6"/>
        <v>1</v>
      </c>
      <c r="K435">
        <f>337188993/(1000)</f>
        <v>337188.99300000002</v>
      </c>
      <c r="L435">
        <v>0</v>
      </c>
      <c r="M435">
        <v>9.6971721649169904</v>
      </c>
      <c r="N435">
        <v>99.092001821782205</v>
      </c>
      <c r="O435">
        <v>35.098152160644503</v>
      </c>
      <c r="P435">
        <v>0.5</v>
      </c>
      <c r="Q435">
        <v>0.50805655661915206</v>
      </c>
      <c r="R435">
        <v>5.8522726867358204</v>
      </c>
      <c r="S435">
        <v>69.021180798592795</v>
      </c>
      <c r="T435">
        <v>0</v>
      </c>
      <c r="U435">
        <v>0</v>
      </c>
      <c r="V435">
        <v>0</v>
      </c>
      <c r="W435">
        <v>0</v>
      </c>
    </row>
    <row r="436" spans="1:23" x14ac:dyDescent="0.55000000000000004">
      <c r="A436" t="s">
        <v>880</v>
      </c>
      <c r="B436" t="s">
        <v>881</v>
      </c>
      <c r="C436" t="s">
        <v>20</v>
      </c>
      <c r="D436">
        <v>8.2799999999999994</v>
      </c>
      <c r="E436">
        <f>477516704/(1000)</f>
        <v>477516.70400000003</v>
      </c>
      <c r="F436">
        <f>912140992/(1000)</f>
        <v>912140.99199999997</v>
      </c>
      <c r="G436">
        <f>46721000/(1000)</f>
        <v>46721</v>
      </c>
      <c r="H436">
        <f>611848704/(1000)</f>
        <v>611848.70400000003</v>
      </c>
      <c r="I436">
        <f>86224000/(1000)</f>
        <v>86224</v>
      </c>
      <c r="J436">
        <f t="shared" si="6"/>
        <v>7.0960371126368533E-3</v>
      </c>
      <c r="K436">
        <f>-54959999/(1000)</f>
        <v>-54959.999000000003</v>
      </c>
      <c r="L436">
        <v>0</v>
      </c>
      <c r="M436">
        <v>0</v>
      </c>
      <c r="N436">
        <v>45.206003910668102</v>
      </c>
      <c r="O436">
        <v>35.3517456054688</v>
      </c>
      <c r="P436">
        <v>0</v>
      </c>
      <c r="Q436">
        <v>0</v>
      </c>
      <c r="R436">
        <v>18.4613320838425</v>
      </c>
      <c r="S436">
        <v>0</v>
      </c>
      <c r="T436">
        <v>0</v>
      </c>
      <c r="U436">
        <v>0</v>
      </c>
      <c r="V436">
        <v>0</v>
      </c>
      <c r="W436">
        <v>0</v>
      </c>
    </row>
    <row r="437" spans="1:23" x14ac:dyDescent="0.55000000000000004">
      <c r="A437" t="s">
        <v>882</v>
      </c>
      <c r="B437" t="s">
        <v>883</v>
      </c>
      <c r="C437" t="s">
        <v>401</v>
      </c>
      <c r="D437">
        <v>2.6</v>
      </c>
      <c r="E437">
        <f>168445664/(1000)</f>
        <v>168445.66399999999</v>
      </c>
      <c r="F437">
        <f>904273024/(1000)</f>
        <v>904273.02399999998</v>
      </c>
      <c r="G437">
        <f>754678016/(1000)</f>
        <v>754678.01599999995</v>
      </c>
      <c r="H437">
        <f>7187498208/(1000)</f>
        <v>7187498.2079999996</v>
      </c>
      <c r="I437">
        <f>842438016/(1000)</f>
        <v>842438.01599999995</v>
      </c>
      <c r="J437">
        <f t="shared" si="6"/>
        <v>8.5317828392017861E-3</v>
      </c>
      <c r="K437">
        <f>25203001/(1000)</f>
        <v>25203.001</v>
      </c>
      <c r="L437">
        <v>10.816901206970201</v>
      </c>
      <c r="M437">
        <v>-51.0993041992188</v>
      </c>
      <c r="N437">
        <v>93.873911383245002</v>
      </c>
      <c r="O437">
        <v>1731.4638671875</v>
      </c>
      <c r="P437">
        <v>210.00001525878901</v>
      </c>
      <c r="Q437">
        <v>0.109519794848343</v>
      </c>
      <c r="R437">
        <v>1.77474381346051</v>
      </c>
      <c r="S437">
        <v>1176.32042907551</v>
      </c>
      <c r="T437">
        <v>0</v>
      </c>
      <c r="U437">
        <v>0</v>
      </c>
      <c r="V437">
        <v>0</v>
      </c>
      <c r="W437">
        <v>0</v>
      </c>
    </row>
    <row r="438" spans="1:23" x14ac:dyDescent="0.55000000000000004">
      <c r="A438" t="s">
        <v>884</v>
      </c>
      <c r="B438" t="s">
        <v>885</v>
      </c>
      <c r="C438" t="s">
        <v>20</v>
      </c>
      <c r="D438">
        <v>24.03</v>
      </c>
      <c r="E438">
        <f>1317132416/(1000)</f>
        <v>1317132.416</v>
      </c>
      <c r="F438">
        <f>899691008/(1000)</f>
        <v>899691.00800000003</v>
      </c>
      <c r="G438">
        <f>199192992/(1000)</f>
        <v>199192.992</v>
      </c>
      <c r="H438">
        <f>1549481408/(1000)</f>
        <v>1549481.4080000001</v>
      </c>
      <c r="I438">
        <f>260926000/(1000)</f>
        <v>260926</v>
      </c>
      <c r="J438">
        <f t="shared" si="6"/>
        <v>5.9383940580854336E-3</v>
      </c>
      <c r="K438">
        <f>49809001/(1000)</f>
        <v>49809.000999999997</v>
      </c>
      <c r="L438">
        <v>0</v>
      </c>
      <c r="M438">
        <v>41.014270782470703</v>
      </c>
      <c r="N438">
        <v>90.748740696838496</v>
      </c>
      <c r="O438">
        <v>93.662704467773395</v>
      </c>
      <c r="P438">
        <v>0</v>
      </c>
      <c r="Q438">
        <v>2.9042784867261302</v>
      </c>
      <c r="R438">
        <v>12.0150005223602</v>
      </c>
      <c r="S438">
        <v>132.850723021015</v>
      </c>
      <c r="T438">
        <v>0</v>
      </c>
      <c r="U438">
        <v>0</v>
      </c>
      <c r="V438">
        <v>0</v>
      </c>
      <c r="W438">
        <v>0</v>
      </c>
    </row>
    <row r="439" spans="1:23" x14ac:dyDescent="0.55000000000000004">
      <c r="A439" t="s">
        <v>886</v>
      </c>
      <c r="B439" t="s">
        <v>887</v>
      </c>
      <c r="C439" t="s">
        <v>20</v>
      </c>
      <c r="D439">
        <v>5.21</v>
      </c>
      <c r="E439">
        <f>112123368/(1000)</f>
        <v>112123.368</v>
      </c>
      <c r="F439">
        <f>898291968/(1000)</f>
        <v>898291.96799999999</v>
      </c>
      <c r="G439">
        <f>52962000/(1000)</f>
        <v>52962</v>
      </c>
      <c r="H439">
        <f>213318368/(1000)</f>
        <v>213318.36799999999</v>
      </c>
      <c r="I439">
        <f>70649000/(1000)</f>
        <v>70649</v>
      </c>
      <c r="J439">
        <f t="shared" si="6"/>
        <v>3.0194110036943196E-3</v>
      </c>
      <c r="K439">
        <f>3895001/(1000)</f>
        <v>3895.0010000000002</v>
      </c>
      <c r="L439">
        <v>16.185827255248999</v>
      </c>
      <c r="M439">
        <v>26.8024711608887</v>
      </c>
      <c r="N439">
        <v>91.750772895066007</v>
      </c>
      <c r="O439">
        <v>98.297836303710895</v>
      </c>
      <c r="P439">
        <v>0.36000001430511502</v>
      </c>
      <c r="Q439">
        <v>1.02023434788467</v>
      </c>
      <c r="R439">
        <v>6.51250013259705</v>
      </c>
      <c r="S439">
        <v>34.565492692610498</v>
      </c>
      <c r="T439">
        <v>0</v>
      </c>
      <c r="U439">
        <v>0</v>
      </c>
      <c r="V439">
        <v>0</v>
      </c>
      <c r="W439">
        <v>0</v>
      </c>
    </row>
    <row r="440" spans="1:23" x14ac:dyDescent="0.55000000000000004">
      <c r="A440" t="s">
        <v>888</v>
      </c>
      <c r="B440" t="s">
        <v>889</v>
      </c>
      <c r="C440" t="s">
        <v>5</v>
      </c>
      <c r="D440">
        <v>16.149999999999999</v>
      </c>
      <c r="E440">
        <f>1446550656/(1000)</f>
        <v>1446550.656</v>
      </c>
      <c r="F440">
        <f>896567040/(1000)</f>
        <v>896567.04</v>
      </c>
      <c r="G440">
        <f>190010000/(1000)</f>
        <v>190010</v>
      </c>
      <c r="H440">
        <f>1846678688/(1000)</f>
        <v>1846678.6880000001</v>
      </c>
      <c r="I440">
        <f>212084992/(1000)</f>
        <v>212084.992</v>
      </c>
      <c r="J440">
        <f t="shared" si="6"/>
        <v>8.7072577393878022E-3</v>
      </c>
      <c r="K440">
        <f>136154001/(1000)</f>
        <v>136154.00099999999</v>
      </c>
      <c r="L440">
        <v>20.0326843261719</v>
      </c>
      <c r="M440">
        <v>13.2304039001465</v>
      </c>
      <c r="N440">
        <v>92.373646462375007</v>
      </c>
      <c r="O440">
        <v>58.989608764648402</v>
      </c>
      <c r="P440">
        <v>0</v>
      </c>
      <c r="Q440">
        <v>0</v>
      </c>
      <c r="R440">
        <v>10.286624007710801</v>
      </c>
      <c r="S440">
        <v>71.212320370552703</v>
      </c>
      <c r="T440">
        <v>0</v>
      </c>
      <c r="U440">
        <v>0</v>
      </c>
      <c r="V440">
        <v>0</v>
      </c>
      <c r="W440">
        <v>0</v>
      </c>
    </row>
    <row r="441" spans="1:23" x14ac:dyDescent="0.55000000000000004">
      <c r="A441" t="s">
        <v>890</v>
      </c>
      <c r="B441" t="s">
        <v>891</v>
      </c>
      <c r="C441" t="s">
        <v>2</v>
      </c>
      <c r="D441">
        <v>18.079999999999998</v>
      </c>
      <c r="E441">
        <f>1823621120/(1000)</f>
        <v>1823621.1200000001</v>
      </c>
      <c r="F441">
        <f>894920000/(1000)</f>
        <v>894920</v>
      </c>
      <c r="G441">
        <f>102572000/(1000)</f>
        <v>102572</v>
      </c>
      <c r="H441">
        <f>1849808120/(1000)</f>
        <v>1849808.12</v>
      </c>
      <c r="I441">
        <f>129640000/(1000)</f>
        <v>129640</v>
      </c>
      <c r="J441">
        <f t="shared" si="6"/>
        <v>1.4268806849737735E-2</v>
      </c>
      <c r="K441">
        <f>72518001/(1000)</f>
        <v>72518.001000000004</v>
      </c>
      <c r="L441">
        <v>28.037000656127901</v>
      </c>
      <c r="M441">
        <v>29.091800689697301</v>
      </c>
      <c r="N441">
        <v>45.314880154572698</v>
      </c>
      <c r="O441">
        <v>0.76513701677322399</v>
      </c>
      <c r="P441">
        <v>0.16666667163372001</v>
      </c>
      <c r="Q441">
        <v>0</v>
      </c>
      <c r="R441">
        <v>26.202898247756298</v>
      </c>
      <c r="S441">
        <v>34.488479952325903</v>
      </c>
      <c r="T441">
        <v>0</v>
      </c>
      <c r="U441">
        <v>0</v>
      </c>
      <c r="V441">
        <v>0</v>
      </c>
      <c r="W441">
        <v>0</v>
      </c>
    </row>
    <row r="442" spans="1:23" x14ac:dyDescent="0.55000000000000004">
      <c r="A442" t="s">
        <v>892</v>
      </c>
      <c r="B442" t="s">
        <v>893</v>
      </c>
      <c r="C442" t="s">
        <v>5</v>
      </c>
      <c r="D442">
        <v>5.98</v>
      </c>
      <c r="E442">
        <f>408548800/(1000)</f>
        <v>408548.8</v>
      </c>
      <c r="F442">
        <f>890672000/(1000)</f>
        <v>890672</v>
      </c>
      <c r="G442">
        <f>5773000/(1000)</f>
        <v>5773</v>
      </c>
      <c r="H442">
        <f>348604796/(1000)</f>
        <v>348604.79599999997</v>
      </c>
      <c r="I442">
        <f>11583000/(1000)</f>
        <v>11583</v>
      </c>
      <c r="J442">
        <f t="shared" si="6"/>
        <v>3.0096244150910816E-2</v>
      </c>
      <c r="K442">
        <f>-68791999/(1000)</f>
        <v>-68791.998999999996</v>
      </c>
      <c r="L442">
        <v>0</v>
      </c>
      <c r="M442">
        <v>3.4048008918762198</v>
      </c>
      <c r="N442">
        <v>97.287440944644501</v>
      </c>
      <c r="O442">
        <v>8.3167476654052699</v>
      </c>
      <c r="P442">
        <v>0</v>
      </c>
      <c r="Q442">
        <v>1.5412370728589999</v>
      </c>
      <c r="R442">
        <v>9.4920637064389801</v>
      </c>
      <c r="S442">
        <v>34069.4307678025</v>
      </c>
      <c r="T442">
        <v>0</v>
      </c>
      <c r="U442">
        <v>0</v>
      </c>
      <c r="V442">
        <v>0</v>
      </c>
      <c r="W442">
        <v>0</v>
      </c>
    </row>
    <row r="443" spans="1:23" x14ac:dyDescent="0.55000000000000004">
      <c r="A443" t="s">
        <v>894</v>
      </c>
      <c r="B443" t="s">
        <v>895</v>
      </c>
      <c r="C443" t="s">
        <v>184</v>
      </c>
      <c r="D443">
        <v>9.19</v>
      </c>
      <c r="E443">
        <f>358977920/(1000)</f>
        <v>358977.92</v>
      </c>
      <c r="F443">
        <f>887004992/(1000)</f>
        <v>887004.99199999997</v>
      </c>
      <c r="G443">
        <f>0/(1000)</f>
        <v>0</v>
      </c>
      <c r="H443">
        <f>543121920/(1000)</f>
        <v>543121.92000000004</v>
      </c>
      <c r="I443">
        <f>0/(1000)</f>
        <v>0</v>
      </c>
      <c r="J443">
        <f t="shared" si="6"/>
        <v>1</v>
      </c>
      <c r="K443">
        <f>201644993/(1000)</f>
        <v>201644.99299999999</v>
      </c>
      <c r="L443">
        <v>56.535732269287102</v>
      </c>
      <c r="M443">
        <v>12.261628150939901</v>
      </c>
      <c r="N443">
        <v>99.762688610810997</v>
      </c>
      <c r="O443">
        <v>28.774171829223601</v>
      </c>
      <c r="P443">
        <v>0.20999999344348899</v>
      </c>
      <c r="Q443">
        <v>0.81147900531219797</v>
      </c>
      <c r="R443">
        <v>7.2362200809032098</v>
      </c>
      <c r="S443">
        <v>14.915777754727401</v>
      </c>
      <c r="T443">
        <v>0</v>
      </c>
      <c r="U443">
        <v>0</v>
      </c>
      <c r="V443">
        <v>0</v>
      </c>
      <c r="W443">
        <v>0</v>
      </c>
    </row>
    <row r="444" spans="1:23" x14ac:dyDescent="0.55000000000000004">
      <c r="A444" t="s">
        <v>896</v>
      </c>
      <c r="B444" t="s">
        <v>897</v>
      </c>
      <c r="C444" t="s">
        <v>121</v>
      </c>
      <c r="D444">
        <v>6.75</v>
      </c>
      <c r="E444">
        <f>285285376/(1000)</f>
        <v>285285.37599999999</v>
      </c>
      <c r="F444">
        <f>886403968/(1000)</f>
        <v>886403.96799999999</v>
      </c>
      <c r="G444">
        <f>52119000/(1000)</f>
        <v>52119</v>
      </c>
      <c r="H444">
        <f>796148384/(1000)</f>
        <v>796148.38399999996</v>
      </c>
      <c r="I444">
        <f>115486000/(1000)</f>
        <v>115486</v>
      </c>
      <c r="J444">
        <f t="shared" si="6"/>
        <v>6.8938952253952863E-3</v>
      </c>
      <c r="K444">
        <f>7287003.5/(1000)</f>
        <v>7287.0034999999998</v>
      </c>
      <c r="L444">
        <v>0</v>
      </c>
      <c r="M444">
        <v>-23.215181350708001</v>
      </c>
      <c r="N444">
        <v>97.012623657359995</v>
      </c>
      <c r="O444">
        <v>84.316093444824205</v>
      </c>
      <c r="P444">
        <v>0</v>
      </c>
      <c r="Q444">
        <v>0.47804532965353702</v>
      </c>
      <c r="R444">
        <v>0</v>
      </c>
      <c r="S444">
        <v>128.672685657036</v>
      </c>
      <c r="T444">
        <v>0</v>
      </c>
      <c r="U444">
        <v>0</v>
      </c>
      <c r="V444">
        <v>0</v>
      </c>
      <c r="W444">
        <v>0</v>
      </c>
    </row>
    <row r="445" spans="1:23" x14ac:dyDescent="0.55000000000000004">
      <c r="A445" t="s">
        <v>898</v>
      </c>
      <c r="B445" t="s">
        <v>899</v>
      </c>
      <c r="C445" t="s">
        <v>20</v>
      </c>
      <c r="D445">
        <v>3.39</v>
      </c>
      <c r="E445">
        <f>62690592/(1000)</f>
        <v>62690.591999999997</v>
      </c>
      <c r="F445">
        <f>885406976/(1000)</f>
        <v>885406.97600000002</v>
      </c>
      <c r="G445">
        <f>-11183000/(1000)</f>
        <v>-11183</v>
      </c>
      <c r="H445">
        <f>404426592/(1000)</f>
        <v>404426.592</v>
      </c>
      <c r="I445">
        <f>-92999.4609375/(1000)</f>
        <v>-92.999460937500004</v>
      </c>
      <c r="J445">
        <f t="shared" si="6"/>
        <v>-4.3486982389262838</v>
      </c>
      <c r="K445">
        <f>-16754999/(1000)</f>
        <v>-16754.999</v>
      </c>
      <c r="L445">
        <v>0</v>
      </c>
      <c r="M445">
        <v>-43.166027069091797</v>
      </c>
      <c r="N445">
        <v>91.419364403453798</v>
      </c>
      <c r="O445">
        <v>149.64820861816401</v>
      </c>
      <c r="P445">
        <v>0</v>
      </c>
      <c r="Q445">
        <v>0.25662377707151801</v>
      </c>
      <c r="R445">
        <v>0</v>
      </c>
      <c r="S445">
        <v>45.745766288394798</v>
      </c>
      <c r="T445">
        <v>0</v>
      </c>
      <c r="U445">
        <v>0</v>
      </c>
      <c r="V445">
        <v>0</v>
      </c>
      <c r="W445">
        <v>0</v>
      </c>
    </row>
    <row r="446" spans="1:23" x14ac:dyDescent="0.55000000000000004">
      <c r="A446" t="s">
        <v>900</v>
      </c>
      <c r="B446" t="s">
        <v>901</v>
      </c>
      <c r="C446" t="s">
        <v>20</v>
      </c>
      <c r="D446">
        <v>1.63</v>
      </c>
      <c r="E446">
        <f>69401000/(1000)</f>
        <v>69401</v>
      </c>
      <c r="F446">
        <f>885281024/(1000)</f>
        <v>885281.02399999998</v>
      </c>
      <c r="G446">
        <f>24851000/(1000)</f>
        <v>24851</v>
      </c>
      <c r="H446">
        <f>101013000/(1000)</f>
        <v>101013</v>
      </c>
      <c r="I446">
        <f>42334000/(1000)</f>
        <v>42334</v>
      </c>
      <c r="J446">
        <f t="shared" si="6"/>
        <v>2.3860962819483157E-3</v>
      </c>
      <c r="K446">
        <f>47514001/(1000)</f>
        <v>47514.000999999997</v>
      </c>
      <c r="L446">
        <v>0</v>
      </c>
      <c r="M446">
        <v>0</v>
      </c>
      <c r="N446">
        <v>72.091699710358498</v>
      </c>
      <c r="O446">
        <v>3.6494629383087198</v>
      </c>
      <c r="P446">
        <v>0</v>
      </c>
      <c r="Q446">
        <v>0.28722465910975697</v>
      </c>
      <c r="R446">
        <v>7.0869564872326603</v>
      </c>
      <c r="S446">
        <v>7.6138468772454404</v>
      </c>
      <c r="T446">
        <v>0</v>
      </c>
      <c r="U446">
        <v>0</v>
      </c>
      <c r="V446">
        <v>0</v>
      </c>
      <c r="W446">
        <v>0</v>
      </c>
    </row>
    <row r="447" spans="1:23" x14ac:dyDescent="0.55000000000000004">
      <c r="A447" t="s">
        <v>902</v>
      </c>
      <c r="B447" t="s">
        <v>903</v>
      </c>
      <c r="C447" t="s">
        <v>81</v>
      </c>
      <c r="D447">
        <v>14.53</v>
      </c>
      <c r="E447">
        <f>303706880/(1000)</f>
        <v>303706.88</v>
      </c>
      <c r="F447">
        <f>882453952/(1000)</f>
        <v>882453.95200000005</v>
      </c>
      <c r="G447">
        <f>-59686000/(1000)</f>
        <v>-59686</v>
      </c>
      <c r="H447">
        <f>529561872/(1000)</f>
        <v>529561.87199999997</v>
      </c>
      <c r="I447">
        <f>17224002/(1000)</f>
        <v>17224.002</v>
      </c>
      <c r="J447">
        <f t="shared" si="6"/>
        <v>3.0745576550676199E-2</v>
      </c>
      <c r="K447">
        <f>36507997/(1000)</f>
        <v>36507.997000000003</v>
      </c>
      <c r="L447">
        <v>0</v>
      </c>
      <c r="M447">
        <v>5.4786691665649396</v>
      </c>
      <c r="N447">
        <v>92.736482668612695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</row>
    <row r="448" spans="1:23" x14ac:dyDescent="0.55000000000000004">
      <c r="A448" t="s">
        <v>904</v>
      </c>
      <c r="B448" t="s">
        <v>905</v>
      </c>
      <c r="C448" t="s">
        <v>2</v>
      </c>
      <c r="D448">
        <v>10.36</v>
      </c>
      <c r="E448">
        <f>288362304/(1000)</f>
        <v>288362.304</v>
      </c>
      <c r="F448">
        <f>881809024/(1000)</f>
        <v>881809.02399999998</v>
      </c>
      <c r="G448">
        <f>66459000/(1000)</f>
        <v>66459</v>
      </c>
      <c r="H448">
        <f>316762304/(1000)</f>
        <v>316762.304</v>
      </c>
      <c r="I448">
        <f>89235000/(1000)</f>
        <v>89235</v>
      </c>
      <c r="J448">
        <f t="shared" si="6"/>
        <v>3.549754065108982E-3</v>
      </c>
      <c r="K448">
        <f>31161005/(1000)</f>
        <v>31161.005000000001</v>
      </c>
      <c r="L448">
        <v>29.258869171142599</v>
      </c>
      <c r="M448">
        <v>18.664487838745099</v>
      </c>
      <c r="N448">
        <v>96.485978010074206</v>
      </c>
      <c r="O448">
        <v>20.451047897338899</v>
      </c>
      <c r="P448">
        <v>0.32600000500678999</v>
      </c>
      <c r="Q448">
        <v>0</v>
      </c>
      <c r="R448">
        <v>5.5698922456985498</v>
      </c>
      <c r="S448">
        <v>14.2477966803273</v>
      </c>
      <c r="T448">
        <v>0</v>
      </c>
      <c r="U448">
        <v>0</v>
      </c>
      <c r="V448">
        <v>0</v>
      </c>
      <c r="W448">
        <v>0</v>
      </c>
    </row>
    <row r="449" spans="1:23" x14ac:dyDescent="0.55000000000000004">
      <c r="A449" t="s">
        <v>906</v>
      </c>
      <c r="B449" t="s">
        <v>907</v>
      </c>
      <c r="C449" t="s">
        <v>2</v>
      </c>
      <c r="D449">
        <v>27.2</v>
      </c>
      <c r="E449">
        <f>726988032/(1000)</f>
        <v>726988.03200000001</v>
      </c>
      <c r="F449">
        <f>881134976/(1000)</f>
        <v>881134.97600000002</v>
      </c>
      <c r="G449">
        <f>59467000/(1000)</f>
        <v>59467</v>
      </c>
      <c r="H449">
        <f>646037032/(1000)</f>
        <v>646037.03200000001</v>
      </c>
      <c r="I449">
        <f>69155000/(1000)</f>
        <v>69155</v>
      </c>
      <c r="J449">
        <f t="shared" si="6"/>
        <v>9.3418701756922858E-3</v>
      </c>
      <c r="K449">
        <f>84555001/(1000)</f>
        <v>84555.001000000004</v>
      </c>
      <c r="L449">
        <v>25.067592620849599</v>
      </c>
      <c r="M449">
        <v>9.5523328781127894</v>
      </c>
      <c r="N449">
        <v>63.862686054885998</v>
      </c>
      <c r="O449">
        <v>8.1637735366821307</v>
      </c>
      <c r="P449">
        <v>0.18000000715255701</v>
      </c>
      <c r="Q449">
        <v>1.58231529481628</v>
      </c>
      <c r="R449">
        <v>18.133333841959601</v>
      </c>
      <c r="S449">
        <v>38.966911246292199</v>
      </c>
      <c r="T449">
        <v>0</v>
      </c>
      <c r="U449">
        <v>0</v>
      </c>
      <c r="V449">
        <v>0</v>
      </c>
      <c r="W449">
        <v>0</v>
      </c>
    </row>
    <row r="450" spans="1:23" x14ac:dyDescent="0.55000000000000004">
      <c r="A450" t="s">
        <v>908</v>
      </c>
      <c r="B450" t="s">
        <v>909</v>
      </c>
      <c r="C450" t="s">
        <v>31</v>
      </c>
      <c r="D450">
        <v>5.17</v>
      </c>
      <c r="E450">
        <f>477500192/(1000)</f>
        <v>477500.19199999998</v>
      </c>
      <c r="F450">
        <f>879731968/(1000)</f>
        <v>879731.96799999999</v>
      </c>
      <c r="G450">
        <f>85215000/(1000)</f>
        <v>85215</v>
      </c>
      <c r="H450">
        <f>638717184/(1000)</f>
        <v>638717.18400000001</v>
      </c>
      <c r="I450">
        <f>133788000/(1000)</f>
        <v>133788</v>
      </c>
      <c r="J450">
        <f t="shared" ref="J450:J513" si="7">(IF(I450=0,1000,H450/I450))/(1000)</f>
        <v>4.7740992017221272E-3</v>
      </c>
      <c r="K450">
        <f>41692001/(1000)</f>
        <v>41692.000999999997</v>
      </c>
      <c r="L450">
        <v>0</v>
      </c>
      <c r="M450">
        <v>0</v>
      </c>
      <c r="N450">
        <v>99.1478952672541</v>
      </c>
      <c r="O450">
        <v>33.681339263916001</v>
      </c>
      <c r="P450">
        <v>0</v>
      </c>
      <c r="Q450">
        <v>0.590182641690851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</row>
    <row r="451" spans="1:23" x14ac:dyDescent="0.55000000000000004">
      <c r="A451" t="s">
        <v>910</v>
      </c>
      <c r="B451" t="s">
        <v>911</v>
      </c>
      <c r="C451" t="s">
        <v>94</v>
      </c>
      <c r="D451">
        <v>29.45</v>
      </c>
      <c r="E451">
        <f>1341930496/(1000)</f>
        <v>1341930.496</v>
      </c>
      <c r="F451">
        <f>879393984/(1000)</f>
        <v>879393.98400000005</v>
      </c>
      <c r="G451">
        <f>152078000/(1000)</f>
        <v>152078</v>
      </c>
      <c r="H451">
        <f>2768964480/(1000)</f>
        <v>2768964.48</v>
      </c>
      <c r="I451">
        <f>272446016/(1000)</f>
        <v>272446.016</v>
      </c>
      <c r="J451">
        <f t="shared" si="7"/>
        <v>1.0163350966380071E-2</v>
      </c>
      <c r="K451">
        <f>-207149999/(1000)</f>
        <v>-207149.99900000001</v>
      </c>
      <c r="L451">
        <v>0</v>
      </c>
      <c r="M451">
        <v>7.0631837844848597</v>
      </c>
      <c r="N451">
        <v>99.045352202996497</v>
      </c>
      <c r="O451">
        <v>112.21437835693401</v>
      </c>
      <c r="P451">
        <v>1.20000004768372</v>
      </c>
      <c r="Q451">
        <v>1.0538558269654901</v>
      </c>
      <c r="R451">
        <v>13.147321975575</v>
      </c>
      <c r="S451">
        <v>-5.3193385012919903</v>
      </c>
      <c r="T451">
        <v>0</v>
      </c>
      <c r="U451">
        <v>0</v>
      </c>
      <c r="V451">
        <v>0</v>
      </c>
      <c r="W451">
        <v>0</v>
      </c>
    </row>
    <row r="452" spans="1:23" x14ac:dyDescent="0.55000000000000004">
      <c r="A452" t="s">
        <v>912</v>
      </c>
      <c r="B452" t="s">
        <v>913</v>
      </c>
      <c r="C452" t="s">
        <v>94</v>
      </c>
      <c r="D452">
        <v>18.09</v>
      </c>
      <c r="E452">
        <f>810951232/(1000)</f>
        <v>810951.23199999996</v>
      </c>
      <c r="F452">
        <f>877427008/(1000)</f>
        <v>877427.00800000003</v>
      </c>
      <c r="G452">
        <f>128321000/(1000)</f>
        <v>128321</v>
      </c>
      <c r="H452">
        <f>1538395200/(1000)</f>
        <v>1538395.2</v>
      </c>
      <c r="I452">
        <f>215884000/(1000)</f>
        <v>215884</v>
      </c>
      <c r="J452">
        <f t="shared" si="7"/>
        <v>7.1260269403939152E-3</v>
      </c>
      <c r="K452">
        <f>-25641999/(1000)</f>
        <v>-25641.999</v>
      </c>
      <c r="L452">
        <v>22.173791885376001</v>
      </c>
      <c r="M452">
        <v>11.997586250305201</v>
      </c>
      <c r="N452">
        <v>98.044107905536094</v>
      </c>
      <c r="O452">
        <v>101.11785125732401</v>
      </c>
      <c r="P452">
        <v>0</v>
      </c>
      <c r="Q452">
        <v>0</v>
      </c>
      <c r="R452">
        <v>9.8315216437094808</v>
      </c>
      <c r="S452">
        <v>27.1476728478106</v>
      </c>
      <c r="T452">
        <v>0</v>
      </c>
      <c r="U452">
        <v>0</v>
      </c>
      <c r="V452">
        <v>0</v>
      </c>
      <c r="W452">
        <v>0</v>
      </c>
    </row>
    <row r="453" spans="1:23" x14ac:dyDescent="0.55000000000000004">
      <c r="A453" t="s">
        <v>914</v>
      </c>
      <c r="B453" t="s">
        <v>915</v>
      </c>
      <c r="C453" t="s">
        <v>8</v>
      </c>
      <c r="D453">
        <v>0</v>
      </c>
      <c r="E453">
        <f>541079168/(1000)</f>
        <v>541079.16799999995</v>
      </c>
      <c r="F453">
        <f>877172992/(1000)</f>
        <v>877172.99199999997</v>
      </c>
      <c r="G453">
        <f>166166000/(1000)</f>
        <v>166166</v>
      </c>
      <c r="H453">
        <f>932613184/(1000)</f>
        <v>932613.18400000001</v>
      </c>
      <c r="I453">
        <f>259214000/(1000)</f>
        <v>259214</v>
      </c>
      <c r="J453">
        <f t="shared" si="7"/>
        <v>3.5978503630205161E-3</v>
      </c>
      <c r="K453">
        <f>100055001/(1000)</f>
        <v>100055.001</v>
      </c>
      <c r="L453">
        <v>0</v>
      </c>
      <c r="M453">
        <v>19.408430099487301</v>
      </c>
      <c r="N453">
        <v>0</v>
      </c>
      <c r="O453">
        <v>80.735908508300795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</row>
    <row r="454" spans="1:23" x14ac:dyDescent="0.55000000000000004">
      <c r="A454" t="s">
        <v>916</v>
      </c>
      <c r="B454" t="s">
        <v>917</v>
      </c>
      <c r="C454" t="s">
        <v>5</v>
      </c>
      <c r="D454">
        <v>31.57</v>
      </c>
      <c r="E454">
        <f>1176108800/(1000)</f>
        <v>1176108.8</v>
      </c>
      <c r="F454">
        <f>873747968/(1000)</f>
        <v>873747.96799999999</v>
      </c>
      <c r="G454">
        <f>0/(1000)</f>
        <v>0</v>
      </c>
      <c r="H454">
        <f>1228573800/(1000)</f>
        <v>1228573.8</v>
      </c>
      <c r="I454">
        <f>0/(1000)</f>
        <v>0</v>
      </c>
      <c r="J454">
        <f t="shared" si="7"/>
        <v>1</v>
      </c>
      <c r="K454">
        <f>-23112999/(1000)</f>
        <v>-23112.999</v>
      </c>
      <c r="L454">
        <v>10.167229652404799</v>
      </c>
      <c r="M454">
        <v>23.226520538330099</v>
      </c>
      <c r="N454">
        <v>96.333543892926301</v>
      </c>
      <c r="O454">
        <v>5.5419578552246103</v>
      </c>
      <c r="P454">
        <v>2</v>
      </c>
      <c r="Q454">
        <v>1.1306293850744999</v>
      </c>
      <c r="R454">
        <v>9.2580645172567309</v>
      </c>
      <c r="S454">
        <v>45.0842206768558</v>
      </c>
      <c r="T454">
        <v>0</v>
      </c>
      <c r="U454">
        <v>0</v>
      </c>
      <c r="V454">
        <v>0</v>
      </c>
      <c r="W454">
        <v>0</v>
      </c>
    </row>
    <row r="455" spans="1:23" x14ac:dyDescent="0.55000000000000004">
      <c r="A455" t="s">
        <v>918</v>
      </c>
      <c r="B455" t="s">
        <v>919</v>
      </c>
      <c r="C455" t="s">
        <v>5</v>
      </c>
      <c r="D455">
        <v>22.9</v>
      </c>
      <c r="E455">
        <f>1866292736/(1000)</f>
        <v>1866292.736</v>
      </c>
      <c r="F455">
        <f>872222016/(1000)</f>
        <v>872222.01599999995</v>
      </c>
      <c r="G455">
        <f>98491000/(1000)</f>
        <v>98491</v>
      </c>
      <c r="H455">
        <f>1776926736/(1000)</f>
        <v>1776926.736</v>
      </c>
      <c r="I455">
        <f>186459008/(1000)</f>
        <v>186459.008</v>
      </c>
      <c r="J455">
        <f t="shared" si="7"/>
        <v>9.5298519232709863E-3</v>
      </c>
      <c r="K455">
        <f>60299001/(1000)</f>
        <v>60299.000999999997</v>
      </c>
      <c r="L455">
        <v>0</v>
      </c>
      <c r="M455">
        <v>-1.46502101421356</v>
      </c>
      <c r="N455">
        <v>98.256268473063201</v>
      </c>
      <c r="O455">
        <v>189.37486267089801</v>
      </c>
      <c r="P455">
        <v>0</v>
      </c>
      <c r="Q455">
        <v>0</v>
      </c>
      <c r="R455">
        <v>254.444430095179</v>
      </c>
      <c r="S455">
        <v>18.335748504725402</v>
      </c>
      <c r="T455">
        <v>0</v>
      </c>
      <c r="U455">
        <v>0</v>
      </c>
      <c r="V455">
        <v>0</v>
      </c>
      <c r="W455">
        <v>0</v>
      </c>
    </row>
    <row r="456" spans="1:23" x14ac:dyDescent="0.55000000000000004">
      <c r="A456" t="s">
        <v>920</v>
      </c>
      <c r="B456" t="s">
        <v>921</v>
      </c>
      <c r="C456" t="s">
        <v>2</v>
      </c>
      <c r="D456">
        <v>31.33</v>
      </c>
      <c r="E456">
        <f>701992512/(1000)</f>
        <v>701992.51199999999</v>
      </c>
      <c r="F456">
        <f>869025344/(1000)</f>
        <v>869025.34400000004</v>
      </c>
      <c r="G456">
        <f>86728416/(1000)</f>
        <v>86728.415999999997</v>
      </c>
      <c r="H456">
        <f>673989512/(1000)</f>
        <v>673989.51199999999</v>
      </c>
      <c r="I456">
        <f>101809368/(1000)</f>
        <v>101809.368</v>
      </c>
      <c r="J456">
        <f t="shared" si="7"/>
        <v>6.6201129153458643E-3</v>
      </c>
      <c r="K456">
        <f>7292782/(1000)</f>
        <v>7292.7820000000002</v>
      </c>
      <c r="L456">
        <v>0</v>
      </c>
      <c r="M456">
        <v>16.884935379028299</v>
      </c>
      <c r="N456">
        <v>87.246052048762806</v>
      </c>
      <c r="O456">
        <v>0</v>
      </c>
      <c r="P456">
        <v>0</v>
      </c>
      <c r="Q456">
        <v>0</v>
      </c>
      <c r="R456">
        <v>10.7294521863576</v>
      </c>
      <c r="S456">
        <v>80.824761255020604</v>
      </c>
      <c r="T456">
        <v>0</v>
      </c>
      <c r="U456">
        <v>0</v>
      </c>
      <c r="V456">
        <v>0</v>
      </c>
      <c r="W456">
        <v>0</v>
      </c>
    </row>
    <row r="457" spans="1:23" x14ac:dyDescent="0.55000000000000004">
      <c r="A457" t="s">
        <v>922</v>
      </c>
      <c r="B457" t="s">
        <v>923</v>
      </c>
      <c r="C457" t="s">
        <v>2</v>
      </c>
      <c r="D457">
        <v>9.3699999999999992</v>
      </c>
      <c r="E457">
        <f>353928320/(1000)</f>
        <v>353928.32</v>
      </c>
      <c r="F457">
        <f>868932992/(1000)</f>
        <v>868932.99199999997</v>
      </c>
      <c r="G457">
        <f>20981000/(1000)</f>
        <v>20981</v>
      </c>
      <c r="H457">
        <f>289066316/(1000)</f>
        <v>289066.31599999999</v>
      </c>
      <c r="I457">
        <f>56092000/(1000)</f>
        <v>56092</v>
      </c>
      <c r="J457">
        <f t="shared" si="7"/>
        <v>5.1534321471867648E-3</v>
      </c>
      <c r="K457">
        <f>49218997/(1000)</f>
        <v>49218.997000000003</v>
      </c>
      <c r="L457">
        <v>0</v>
      </c>
      <c r="M457">
        <v>3.0159819126129199</v>
      </c>
      <c r="N457">
        <v>98.184925273439205</v>
      </c>
      <c r="O457">
        <v>0.46565699577331499</v>
      </c>
      <c r="P457">
        <v>0.119999997317791</v>
      </c>
      <c r="Q457">
        <v>0</v>
      </c>
      <c r="R457">
        <v>10.2967033800174</v>
      </c>
      <c r="S457">
        <v>0</v>
      </c>
      <c r="T457">
        <v>0</v>
      </c>
      <c r="U457">
        <v>0</v>
      </c>
      <c r="V457">
        <v>0</v>
      </c>
      <c r="W457">
        <v>0</v>
      </c>
    </row>
    <row r="458" spans="1:23" x14ac:dyDescent="0.55000000000000004">
      <c r="A458" t="s">
        <v>924</v>
      </c>
      <c r="B458" t="s">
        <v>925</v>
      </c>
      <c r="C458" t="s">
        <v>2</v>
      </c>
      <c r="D458">
        <v>24.01</v>
      </c>
      <c r="E458">
        <f>465825216/(1000)</f>
        <v>465825.21600000001</v>
      </c>
      <c r="F458">
        <f>868273984/(1000)</f>
        <v>868273.98400000005</v>
      </c>
      <c r="G458">
        <f>66713996/(1000)</f>
        <v>66713.995999999999</v>
      </c>
      <c r="H458">
        <f>469579216/(1000)</f>
        <v>469579.21600000001</v>
      </c>
      <c r="I458">
        <f>110333992/(1000)</f>
        <v>110333.992</v>
      </c>
      <c r="J458">
        <f t="shared" si="7"/>
        <v>4.2559795715539778E-3</v>
      </c>
      <c r="K458">
        <f>6793000.5/(1000)</f>
        <v>6793.0005000000001</v>
      </c>
      <c r="L458">
        <v>24.834997177123999</v>
      </c>
      <c r="M458">
        <v>11.857301712036101</v>
      </c>
      <c r="N458">
        <v>96.763616786649493</v>
      </c>
      <c r="O458">
        <v>14.158622741699199</v>
      </c>
      <c r="P458">
        <v>0</v>
      </c>
      <c r="Q458">
        <v>0.97880144952271597</v>
      </c>
      <c r="R458">
        <v>9.7915595314802708</v>
      </c>
      <c r="S458">
        <v>239.80268358786299</v>
      </c>
      <c r="T458">
        <v>0</v>
      </c>
      <c r="U458">
        <v>0</v>
      </c>
      <c r="V458">
        <v>0</v>
      </c>
      <c r="W458">
        <v>0</v>
      </c>
    </row>
    <row r="459" spans="1:23" x14ac:dyDescent="0.55000000000000004">
      <c r="A459" t="s">
        <v>926</v>
      </c>
      <c r="B459" t="s">
        <v>927</v>
      </c>
      <c r="C459" t="s">
        <v>2</v>
      </c>
      <c r="D459">
        <v>8.93</v>
      </c>
      <c r="E459">
        <f>256946464/(1000)</f>
        <v>256946.46400000001</v>
      </c>
      <c r="F459">
        <f>865432000/(1000)</f>
        <v>865432</v>
      </c>
      <c r="G459">
        <f>-1643000/(1000)</f>
        <v>-1643</v>
      </c>
      <c r="H459">
        <f>297392464/(1000)</f>
        <v>297392.46399999998</v>
      </c>
      <c r="I459">
        <f>25131000/(1000)</f>
        <v>25131</v>
      </c>
      <c r="J459">
        <f t="shared" si="7"/>
        <v>1.183369002427281E-2</v>
      </c>
      <c r="K459">
        <f>11542001/(1000)</f>
        <v>11542.001</v>
      </c>
      <c r="L459">
        <v>0</v>
      </c>
      <c r="M459">
        <v>-6.4472279548645002</v>
      </c>
      <c r="N459">
        <v>56.543052772906201</v>
      </c>
      <c r="O459">
        <v>47.298534393310497</v>
      </c>
      <c r="P459">
        <v>0.92000001668930098</v>
      </c>
      <c r="Q459">
        <v>0</v>
      </c>
      <c r="R459">
        <v>13.7384621181961</v>
      </c>
      <c r="S459">
        <v>-15.8208050064378</v>
      </c>
      <c r="T459">
        <v>0</v>
      </c>
      <c r="U459">
        <v>0</v>
      </c>
      <c r="V459">
        <v>0</v>
      </c>
      <c r="W459">
        <v>0</v>
      </c>
    </row>
    <row r="460" spans="1:23" x14ac:dyDescent="0.55000000000000004">
      <c r="A460" t="s">
        <v>928</v>
      </c>
      <c r="B460" t="s">
        <v>929</v>
      </c>
      <c r="C460" t="s">
        <v>5</v>
      </c>
      <c r="D460">
        <v>4.53</v>
      </c>
      <c r="E460">
        <f>76044656/(1000)</f>
        <v>76044.656000000003</v>
      </c>
      <c r="F460">
        <f>864144000/(1000)</f>
        <v>864144</v>
      </c>
      <c r="G460">
        <f>52699000/(1000)</f>
        <v>52699</v>
      </c>
      <c r="H460">
        <f>403830640/(1000)</f>
        <v>403830.64</v>
      </c>
      <c r="I460">
        <f>74361000/(1000)</f>
        <v>74361</v>
      </c>
      <c r="J460">
        <f t="shared" si="7"/>
        <v>5.4306779091190275E-3</v>
      </c>
      <c r="K460">
        <f>17783001/(1000)</f>
        <v>17783.001</v>
      </c>
      <c r="L460">
        <v>0</v>
      </c>
      <c r="M460">
        <v>17.1334533691406</v>
      </c>
      <c r="N460">
        <v>52.373578367421601</v>
      </c>
      <c r="O460">
        <v>383.28347778320301</v>
      </c>
      <c r="P460">
        <v>0</v>
      </c>
      <c r="Q460">
        <v>0.72480003356933598</v>
      </c>
      <c r="R460">
        <v>4.0446430272517802</v>
      </c>
      <c r="S460">
        <v>0</v>
      </c>
      <c r="T460">
        <v>0</v>
      </c>
      <c r="U460">
        <v>0</v>
      </c>
      <c r="V460">
        <v>0</v>
      </c>
      <c r="W460">
        <v>0</v>
      </c>
    </row>
    <row r="461" spans="1:23" x14ac:dyDescent="0.55000000000000004">
      <c r="A461" t="s">
        <v>930</v>
      </c>
      <c r="B461" t="s">
        <v>931</v>
      </c>
      <c r="C461" t="s">
        <v>20</v>
      </c>
      <c r="D461">
        <v>6.34</v>
      </c>
      <c r="E461">
        <f>95660456/(1000)</f>
        <v>95660.456000000006</v>
      </c>
      <c r="F461">
        <f>863865984/(1000)</f>
        <v>863865.98400000005</v>
      </c>
      <c r="G461">
        <f>62483000/(1000)</f>
        <v>62483</v>
      </c>
      <c r="H461">
        <f>313580456/(1000)</f>
        <v>313580.45600000001</v>
      </c>
      <c r="I461">
        <f>75323000/(1000)</f>
        <v>75323</v>
      </c>
      <c r="J461">
        <f t="shared" si="7"/>
        <v>4.1631434754324714E-3</v>
      </c>
      <c r="K461">
        <f>72337001/(1000)</f>
        <v>72337.001000000004</v>
      </c>
      <c r="L461">
        <v>11.612093925476101</v>
      </c>
      <c r="M461">
        <v>10.832414627075201</v>
      </c>
      <c r="N461">
        <v>70.842502054504394</v>
      </c>
      <c r="O461">
        <v>63.519977569580099</v>
      </c>
      <c r="P461">
        <v>0</v>
      </c>
      <c r="Q461">
        <v>0</v>
      </c>
      <c r="R461">
        <v>4.7143366045105504</v>
      </c>
      <c r="S461">
        <v>182.45615521929699</v>
      </c>
      <c r="T461">
        <v>0</v>
      </c>
      <c r="U461">
        <v>0</v>
      </c>
      <c r="V461">
        <v>0</v>
      </c>
      <c r="W461">
        <v>0</v>
      </c>
    </row>
    <row r="462" spans="1:23" x14ac:dyDescent="0.55000000000000004">
      <c r="A462" t="s">
        <v>932</v>
      </c>
      <c r="B462" t="s">
        <v>933</v>
      </c>
      <c r="C462" t="s">
        <v>5</v>
      </c>
      <c r="D462">
        <v>8.8000000000000007</v>
      </c>
      <c r="E462">
        <f>458777440/(1000)</f>
        <v>458777.44</v>
      </c>
      <c r="F462">
        <f>862780032/(1000)</f>
        <v>862780.03200000001</v>
      </c>
      <c r="G462">
        <f>0/(1000)</f>
        <v>0</v>
      </c>
      <c r="H462">
        <f>0/(1000)</f>
        <v>0</v>
      </c>
      <c r="I462">
        <f>0/(1000)</f>
        <v>0</v>
      </c>
      <c r="J462">
        <f t="shared" si="7"/>
        <v>1</v>
      </c>
      <c r="K462">
        <f>107647001/(1000)</f>
        <v>107647.001</v>
      </c>
      <c r="L462">
        <v>13.8394613265991</v>
      </c>
      <c r="M462">
        <v>9.4769973754882795</v>
      </c>
      <c r="N462">
        <v>95.817683565355793</v>
      </c>
      <c r="O462">
        <v>264.89239501953102</v>
      </c>
      <c r="P462">
        <v>26.3999919891357</v>
      </c>
      <c r="Q462">
        <v>0.38843522065846697</v>
      </c>
      <c r="R462">
        <v>11.8918918167874</v>
      </c>
      <c r="S462">
        <v>281.09838311602903</v>
      </c>
      <c r="T462">
        <v>0</v>
      </c>
      <c r="U462">
        <v>0</v>
      </c>
      <c r="V462">
        <v>0</v>
      </c>
      <c r="W462">
        <v>0</v>
      </c>
    </row>
    <row r="463" spans="1:23" x14ac:dyDescent="0.55000000000000004">
      <c r="A463" t="s">
        <v>934</v>
      </c>
      <c r="B463" t="s">
        <v>935</v>
      </c>
      <c r="C463" t="s">
        <v>31</v>
      </c>
      <c r="D463">
        <v>5.54</v>
      </c>
      <c r="E463">
        <f>918333120/(1000)</f>
        <v>918333.12</v>
      </c>
      <c r="F463">
        <f>860017024/(1000)</f>
        <v>860017.02399999998</v>
      </c>
      <c r="G463">
        <f>90938000/(1000)</f>
        <v>90938</v>
      </c>
      <c r="H463">
        <f>880845120/(1000)</f>
        <v>880845.12</v>
      </c>
      <c r="I463">
        <f>142583008/(1000)</f>
        <v>142583.008</v>
      </c>
      <c r="J463">
        <f t="shared" si="7"/>
        <v>6.1777706358951273E-3</v>
      </c>
      <c r="K463">
        <f>108846001/(1000)</f>
        <v>108846.001</v>
      </c>
      <c r="L463">
        <v>26.894203186035199</v>
      </c>
      <c r="M463">
        <v>12.828888893127401</v>
      </c>
      <c r="N463">
        <v>99.213702407213304</v>
      </c>
      <c r="O463">
        <v>19.870029449462901</v>
      </c>
      <c r="P463">
        <v>0</v>
      </c>
      <c r="Q463">
        <v>0.89789301350878903</v>
      </c>
      <c r="R463">
        <v>7.3572378241308103</v>
      </c>
      <c r="S463">
        <v>39.208861785611099</v>
      </c>
      <c r="T463">
        <v>0</v>
      </c>
      <c r="U463">
        <v>0</v>
      </c>
      <c r="V463">
        <v>0</v>
      </c>
      <c r="W463">
        <v>0</v>
      </c>
    </row>
    <row r="464" spans="1:23" x14ac:dyDescent="0.55000000000000004">
      <c r="A464" t="s">
        <v>936</v>
      </c>
      <c r="B464" t="s">
        <v>937</v>
      </c>
      <c r="C464" t="s">
        <v>20</v>
      </c>
      <c r="D464">
        <v>3.88</v>
      </c>
      <c r="E464">
        <f>323145824/(1000)</f>
        <v>323145.82400000002</v>
      </c>
      <c r="F464">
        <f>859000000/(1000)</f>
        <v>859000</v>
      </c>
      <c r="G464">
        <f>42000000/(1000)</f>
        <v>42000</v>
      </c>
      <c r="H464">
        <f>840145824/(1000)</f>
        <v>840145.82400000002</v>
      </c>
      <c r="I464">
        <f>99000000/(1000)</f>
        <v>99000</v>
      </c>
      <c r="J464">
        <f t="shared" si="7"/>
        <v>8.4863214545454532E-3</v>
      </c>
      <c r="K464">
        <f>43000001/(1000)</f>
        <v>43000.000999999997</v>
      </c>
      <c r="L464">
        <v>0</v>
      </c>
      <c r="M464">
        <v>-8.4788026809692401</v>
      </c>
      <c r="N464">
        <v>99.055767992398899</v>
      </c>
      <c r="O464">
        <v>81.300811767578097</v>
      </c>
      <c r="P464">
        <v>0</v>
      </c>
      <c r="Q464">
        <v>0.75084665701396303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</row>
    <row r="465" spans="1:23" x14ac:dyDescent="0.55000000000000004">
      <c r="A465" t="s">
        <v>938</v>
      </c>
      <c r="B465" t="s">
        <v>939</v>
      </c>
      <c r="C465" t="s">
        <v>121</v>
      </c>
      <c r="D465">
        <v>58.66</v>
      </c>
      <c r="E465">
        <f>1902050432/(1000)</f>
        <v>1902050.432</v>
      </c>
      <c r="F465">
        <f>857299968/(1000)</f>
        <v>857299.96799999999</v>
      </c>
      <c r="G465">
        <f>144300000/(1000)</f>
        <v>144300</v>
      </c>
      <c r="H465">
        <f>2398250432/(1000)</f>
        <v>2398250.432</v>
      </c>
      <c r="I465">
        <f>184300000/(1000)</f>
        <v>184300</v>
      </c>
      <c r="J465">
        <f t="shared" si="7"/>
        <v>1.3012753293543136E-2</v>
      </c>
      <c r="K465">
        <f>70500001/(1000)</f>
        <v>70500.001000000004</v>
      </c>
      <c r="L465">
        <v>0</v>
      </c>
      <c r="M465">
        <v>0</v>
      </c>
      <c r="N465">
        <v>97.724597519135003</v>
      </c>
      <c r="O465">
        <v>0</v>
      </c>
      <c r="P465">
        <v>1.3400000333786</v>
      </c>
      <c r="Q465">
        <v>16.808022832985198</v>
      </c>
      <c r="R465">
        <v>15.4368421982819</v>
      </c>
      <c r="S465">
        <v>70.573013927576596</v>
      </c>
      <c r="T465">
        <v>0</v>
      </c>
      <c r="U465">
        <v>0</v>
      </c>
      <c r="V465">
        <v>0</v>
      </c>
      <c r="W465">
        <v>0</v>
      </c>
    </row>
    <row r="466" spans="1:23" x14ac:dyDescent="0.55000000000000004">
      <c r="A466" t="s">
        <v>940</v>
      </c>
      <c r="B466" t="s">
        <v>941</v>
      </c>
      <c r="C466" t="s">
        <v>20</v>
      </c>
      <c r="D466">
        <v>20.63</v>
      </c>
      <c r="E466">
        <f>567766464/(1000)</f>
        <v>567766.46400000004</v>
      </c>
      <c r="F466">
        <f>857084992/(1000)</f>
        <v>857084.99199999997</v>
      </c>
      <c r="G466">
        <f>106998000/(1000)</f>
        <v>106998</v>
      </c>
      <c r="H466">
        <f>472937472/(1000)</f>
        <v>472937.47200000001</v>
      </c>
      <c r="I466">
        <f>133661000/(1000)</f>
        <v>133661</v>
      </c>
      <c r="J466">
        <f t="shared" si="7"/>
        <v>3.5383355803113845E-3</v>
      </c>
      <c r="K466">
        <f>69544009/(1000)</f>
        <v>69544.009000000005</v>
      </c>
      <c r="L466">
        <v>10.470682144165</v>
      </c>
      <c r="M466">
        <v>13.6879215240479</v>
      </c>
      <c r="N466">
        <v>96.553226085546299</v>
      </c>
      <c r="O466">
        <v>14.182406425476101</v>
      </c>
      <c r="P466">
        <v>0</v>
      </c>
      <c r="Q466">
        <v>0</v>
      </c>
      <c r="R466">
        <v>7.11379279943624</v>
      </c>
      <c r="S466">
        <v>176.46476052848899</v>
      </c>
      <c r="T466">
        <v>0</v>
      </c>
      <c r="U466">
        <v>0</v>
      </c>
      <c r="V466">
        <v>0</v>
      </c>
      <c r="W466">
        <v>0</v>
      </c>
    </row>
    <row r="467" spans="1:23" x14ac:dyDescent="0.55000000000000004">
      <c r="A467" t="s">
        <v>942</v>
      </c>
      <c r="B467" t="s">
        <v>943</v>
      </c>
      <c r="C467" t="s">
        <v>31</v>
      </c>
      <c r="D467">
        <v>13.2</v>
      </c>
      <c r="E467">
        <f>645031232/(1000)</f>
        <v>645031.23199999996</v>
      </c>
      <c r="F467">
        <f>856286016/(1000)</f>
        <v>856286.01599999995</v>
      </c>
      <c r="G467">
        <f>82967000/(1000)</f>
        <v>82967</v>
      </c>
      <c r="H467">
        <f>445048224/(1000)</f>
        <v>445048.22399999999</v>
      </c>
      <c r="I467">
        <f>111453000/(1000)</f>
        <v>111453</v>
      </c>
      <c r="J467">
        <f t="shared" si="7"/>
        <v>3.99314710236602E-3</v>
      </c>
      <c r="K467">
        <f>79602001/(1000)</f>
        <v>79602.001000000004</v>
      </c>
      <c r="L467">
        <v>20.791217803955099</v>
      </c>
      <c r="M467">
        <v>12.719597816467299</v>
      </c>
      <c r="N467">
        <v>98.615190288720598</v>
      </c>
      <c r="O467">
        <v>0</v>
      </c>
      <c r="P467">
        <v>0.20000000298023199</v>
      </c>
      <c r="Q467">
        <v>1.02220193587038</v>
      </c>
      <c r="R467">
        <v>8.33801272283557</v>
      </c>
      <c r="S467">
        <v>153.70836128328801</v>
      </c>
      <c r="T467">
        <v>0</v>
      </c>
      <c r="U467">
        <v>0</v>
      </c>
      <c r="V467">
        <v>0</v>
      </c>
      <c r="W467">
        <v>0</v>
      </c>
    </row>
    <row r="468" spans="1:23" x14ac:dyDescent="0.55000000000000004">
      <c r="A468" t="s">
        <v>944</v>
      </c>
      <c r="B468" t="s">
        <v>945</v>
      </c>
      <c r="C468" t="s">
        <v>184</v>
      </c>
      <c r="D468">
        <v>14.91</v>
      </c>
      <c r="E468">
        <f>498532256/(1000)</f>
        <v>498532.25599999999</v>
      </c>
      <c r="F468">
        <f>855539968/(1000)</f>
        <v>855539.96799999999</v>
      </c>
      <c r="G468">
        <f>796985024/(1000)</f>
        <v>796985.02399999998</v>
      </c>
      <c r="H468">
        <f>7115694496/(1000)</f>
        <v>7115694.4960000003</v>
      </c>
      <c r="I468">
        <f>813036992/(1000)</f>
        <v>813036.99199999997</v>
      </c>
      <c r="J468">
        <f t="shared" si="7"/>
        <v>8.7519935329092632E-3</v>
      </c>
      <c r="K468">
        <f>33768001/(1000)</f>
        <v>33768.000999999997</v>
      </c>
      <c r="L468">
        <v>7.2794451713562003</v>
      </c>
      <c r="M468">
        <v>0</v>
      </c>
      <c r="N468">
        <v>98.108930150382093</v>
      </c>
      <c r="O468">
        <v>0</v>
      </c>
      <c r="P468">
        <v>1</v>
      </c>
      <c r="Q468">
        <v>1.33243971461359</v>
      </c>
      <c r="R468">
        <v>0</v>
      </c>
      <c r="S468">
        <v>398.46476993456002</v>
      </c>
      <c r="T468">
        <v>0</v>
      </c>
      <c r="U468">
        <v>0</v>
      </c>
      <c r="V468">
        <v>0</v>
      </c>
      <c r="W468">
        <v>0</v>
      </c>
    </row>
    <row r="469" spans="1:23" x14ac:dyDescent="0.55000000000000004">
      <c r="A469" t="s">
        <v>946</v>
      </c>
      <c r="B469" t="s">
        <v>947</v>
      </c>
      <c r="C469" t="s">
        <v>8</v>
      </c>
      <c r="D469">
        <v>25.98</v>
      </c>
      <c r="E469">
        <f>1087037056/(1000)</f>
        <v>1087037.0560000001</v>
      </c>
      <c r="F469">
        <f>852950016/(1000)</f>
        <v>852950.01599999995</v>
      </c>
      <c r="G469">
        <f>195210000/(1000)</f>
        <v>195210</v>
      </c>
      <c r="H469">
        <f>0/(1000)</f>
        <v>0</v>
      </c>
      <c r="I469">
        <f>324732992/(1000)</f>
        <v>324732.99200000003</v>
      </c>
      <c r="J469">
        <f t="shared" si="7"/>
        <v>0</v>
      </c>
      <c r="K469">
        <f>-108478999/(1000)</f>
        <v>-108478.999</v>
      </c>
      <c r="L469">
        <v>0</v>
      </c>
      <c r="M469">
        <v>8.5120372772216797</v>
      </c>
      <c r="N469">
        <v>98.899649500029497</v>
      </c>
      <c r="O469">
        <v>77.200531005859403</v>
      </c>
      <c r="P469">
        <v>0.22499999403953599</v>
      </c>
      <c r="Q469">
        <v>0.80135721806185101</v>
      </c>
      <c r="R469">
        <v>0</v>
      </c>
      <c r="S469">
        <v>721.75615245288805</v>
      </c>
      <c r="T469">
        <v>0</v>
      </c>
      <c r="U469">
        <v>0</v>
      </c>
      <c r="V469">
        <v>0</v>
      </c>
      <c r="W469">
        <v>0</v>
      </c>
    </row>
    <row r="470" spans="1:23" x14ac:dyDescent="0.55000000000000004">
      <c r="A470" t="s">
        <v>948</v>
      </c>
      <c r="B470" t="s">
        <v>949</v>
      </c>
      <c r="C470" t="s">
        <v>5</v>
      </c>
      <c r="D470">
        <v>4.74</v>
      </c>
      <c r="E470">
        <f>771885760/(1000)</f>
        <v>771885.76</v>
      </c>
      <c r="F470">
        <f>851926016/(1000)</f>
        <v>851926.01599999995</v>
      </c>
      <c r="G470">
        <f>50347000/(1000)</f>
        <v>50347</v>
      </c>
      <c r="H470">
        <f>658937760/(1000)</f>
        <v>658937.76</v>
      </c>
      <c r="I470">
        <f>94930000/(1000)</f>
        <v>94930</v>
      </c>
      <c r="J470">
        <f t="shared" si="7"/>
        <v>6.9413015906457385E-3</v>
      </c>
      <c r="K470">
        <f>58647001/(1000)</f>
        <v>58647.000999999997</v>
      </c>
      <c r="L470">
        <v>41.991741180419901</v>
      </c>
      <c r="M470">
        <v>1.82907903194427</v>
      </c>
      <c r="N470">
        <v>77.622296040484898</v>
      </c>
      <c r="O470">
        <v>33.431510925292997</v>
      </c>
      <c r="P470">
        <v>0</v>
      </c>
      <c r="Q470">
        <v>1.20610679150174</v>
      </c>
      <c r="R470">
        <v>24.0424840797555</v>
      </c>
      <c r="S470">
        <v>147.42419960265599</v>
      </c>
      <c r="T470">
        <v>0</v>
      </c>
      <c r="U470">
        <v>0</v>
      </c>
      <c r="V470">
        <v>0</v>
      </c>
      <c r="W470">
        <v>0</v>
      </c>
    </row>
    <row r="471" spans="1:23" x14ac:dyDescent="0.55000000000000004">
      <c r="A471" t="s">
        <v>950</v>
      </c>
      <c r="B471" t="s">
        <v>951</v>
      </c>
      <c r="C471" t="s">
        <v>5</v>
      </c>
      <c r="D471">
        <v>5.88</v>
      </c>
      <c r="E471">
        <f>158623584/(1000)</f>
        <v>158623.584</v>
      </c>
      <c r="F471">
        <f>850617024/(1000)</f>
        <v>850617.02399999998</v>
      </c>
      <c r="G471">
        <f>48426000/(1000)</f>
        <v>48426</v>
      </c>
      <c r="H471">
        <f>258826584/(1000)</f>
        <v>258826.584</v>
      </c>
      <c r="I471">
        <f>77269000/(1000)</f>
        <v>77269</v>
      </c>
      <c r="J471">
        <f t="shared" si="7"/>
        <v>3.3496820717234597E-3</v>
      </c>
      <c r="K471">
        <f>77643001/(1000)</f>
        <v>77643.001000000004</v>
      </c>
      <c r="L471">
        <v>42.6295166015625</v>
      </c>
      <c r="M471">
        <v>11.1604766845703</v>
      </c>
      <c r="N471">
        <v>86.708946960016505</v>
      </c>
      <c r="O471">
        <v>31.043718338012699</v>
      </c>
      <c r="P471">
        <v>0.21206094324588801</v>
      </c>
      <c r="Q471">
        <v>0</v>
      </c>
      <c r="R471">
        <v>5.8800002896785797</v>
      </c>
      <c r="S471">
        <v>-15.220276317443799</v>
      </c>
      <c r="T471">
        <v>0</v>
      </c>
      <c r="U471">
        <v>0</v>
      </c>
      <c r="V471">
        <v>0</v>
      </c>
      <c r="W471">
        <v>0</v>
      </c>
    </row>
    <row r="472" spans="1:23" x14ac:dyDescent="0.55000000000000004">
      <c r="A472" t="s">
        <v>952</v>
      </c>
      <c r="B472" t="s">
        <v>953</v>
      </c>
      <c r="C472" t="s">
        <v>31</v>
      </c>
      <c r="D472">
        <v>0.27</v>
      </c>
      <c r="E472">
        <f>21743208/(1000)</f>
        <v>21743.207999999999</v>
      </c>
      <c r="F472">
        <f>850120000/(1000)</f>
        <v>850120</v>
      </c>
      <c r="G472">
        <f>20678000/(1000)</f>
        <v>20678</v>
      </c>
      <c r="H472">
        <f>336912200/(1000)</f>
        <v>336912.2</v>
      </c>
      <c r="I472">
        <f>79460000/(1000)</f>
        <v>79460</v>
      </c>
      <c r="J472">
        <f t="shared" si="7"/>
        <v>4.2400226529071237E-3</v>
      </c>
      <c r="K472">
        <f>-64167999/(1000)</f>
        <v>-64167.999000000003</v>
      </c>
      <c r="L472">
        <v>0</v>
      </c>
      <c r="M472">
        <v>-3.2623429298400901</v>
      </c>
      <c r="N472">
        <v>98.485661204093006</v>
      </c>
      <c r="O472">
        <v>76.029304504394503</v>
      </c>
      <c r="P472">
        <v>0</v>
      </c>
      <c r="Q472">
        <v>0</v>
      </c>
      <c r="R472">
        <v>0</v>
      </c>
      <c r="S472">
        <v>90.042295208033394</v>
      </c>
      <c r="T472">
        <v>0</v>
      </c>
      <c r="U472">
        <v>0</v>
      </c>
      <c r="V472">
        <v>0</v>
      </c>
      <c r="W472">
        <v>0</v>
      </c>
    </row>
    <row r="473" spans="1:23" x14ac:dyDescent="0.55000000000000004">
      <c r="A473" t="s">
        <v>954</v>
      </c>
      <c r="B473" t="s">
        <v>955</v>
      </c>
      <c r="C473" t="s">
        <v>5</v>
      </c>
      <c r="D473">
        <v>13.28</v>
      </c>
      <c r="E473">
        <f>820217984/(1000)</f>
        <v>820217.98400000005</v>
      </c>
      <c r="F473">
        <f>849219968/(1000)</f>
        <v>849219.96799999999</v>
      </c>
      <c r="G473">
        <f>37418000/(1000)</f>
        <v>37418</v>
      </c>
      <c r="H473">
        <f>618059984/(1000)</f>
        <v>618059.98400000005</v>
      </c>
      <c r="I473">
        <f>50732000/(1000)</f>
        <v>50732</v>
      </c>
      <c r="J473">
        <f t="shared" si="7"/>
        <v>1.218284286052196E-2</v>
      </c>
      <c r="K473">
        <f>40846001/(1000)</f>
        <v>40846.000999999997</v>
      </c>
      <c r="L473">
        <v>0</v>
      </c>
      <c r="M473">
        <v>5.1129350662231499</v>
      </c>
      <c r="N473">
        <v>98.5055858063524</v>
      </c>
      <c r="O473">
        <v>20.656419754028299</v>
      </c>
      <c r="P473">
        <v>0</v>
      </c>
      <c r="Q473">
        <v>1.55914292361894</v>
      </c>
      <c r="R473">
        <v>16.852791804452</v>
      </c>
      <c r="S473">
        <v>-32.921440854266201</v>
      </c>
      <c r="T473">
        <v>0</v>
      </c>
      <c r="U473">
        <v>0</v>
      </c>
      <c r="V473">
        <v>0</v>
      </c>
      <c r="W473">
        <v>0</v>
      </c>
    </row>
    <row r="474" spans="1:23" x14ac:dyDescent="0.55000000000000004">
      <c r="A474" t="s">
        <v>956</v>
      </c>
      <c r="B474" t="s">
        <v>957</v>
      </c>
      <c r="C474" t="s">
        <v>5</v>
      </c>
      <c r="D474">
        <v>2.2999999999999998</v>
      </c>
      <c r="E474">
        <f>352610272/(1000)</f>
        <v>352610.272</v>
      </c>
      <c r="F474">
        <f>849155008/(1000)</f>
        <v>849155.00800000003</v>
      </c>
      <c r="G474">
        <f>-66439000/(1000)</f>
        <v>-66439</v>
      </c>
      <c r="H474">
        <f>716222272/(1000)</f>
        <v>716222.272</v>
      </c>
      <c r="I474">
        <f>20078000/(1000)</f>
        <v>20078</v>
      </c>
      <c r="J474">
        <f t="shared" si="7"/>
        <v>3.5671992827970914E-2</v>
      </c>
      <c r="K474">
        <f>-138335999/(1000)</f>
        <v>-138335.99900000001</v>
      </c>
      <c r="L474">
        <v>0</v>
      </c>
      <c r="M474">
        <v>-25.075700759887699</v>
      </c>
      <c r="N474">
        <v>99.3232565102915</v>
      </c>
      <c r="O474">
        <v>80.156532287597699</v>
      </c>
      <c r="P474">
        <v>0</v>
      </c>
      <c r="Q474">
        <v>0.63711911887887496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</row>
    <row r="475" spans="1:23" x14ac:dyDescent="0.55000000000000004">
      <c r="A475" t="s">
        <v>958</v>
      </c>
      <c r="B475" t="s">
        <v>959</v>
      </c>
      <c r="C475" t="s">
        <v>20</v>
      </c>
      <c r="D475">
        <v>1.24</v>
      </c>
      <c r="E475">
        <f>102917520/(1000)</f>
        <v>102917.52</v>
      </c>
      <c r="F475">
        <f>847350016/(1000)</f>
        <v>847350.01599999995</v>
      </c>
      <c r="G475">
        <f>237767008/(1000)</f>
        <v>237767.008</v>
      </c>
      <c r="H475">
        <f>66173520/(1000)</f>
        <v>66173.52</v>
      </c>
      <c r="I475">
        <f>258716000/(1000)</f>
        <v>258716</v>
      </c>
      <c r="J475">
        <f t="shared" si="7"/>
        <v>2.5577668176687954E-4</v>
      </c>
      <c r="K475">
        <f>-48440999/(1000)</f>
        <v>-48440.999000000003</v>
      </c>
      <c r="L475">
        <v>0</v>
      </c>
      <c r="M475">
        <v>51.574333190917997</v>
      </c>
      <c r="N475">
        <v>83.971540371407897</v>
      </c>
      <c r="O475">
        <v>1.60229504108429</v>
      </c>
      <c r="P475">
        <v>0</v>
      </c>
      <c r="Q475">
        <v>0.39365078476040599</v>
      </c>
      <c r="R475">
        <v>17.7142810614754</v>
      </c>
      <c r="S475">
        <v>0</v>
      </c>
      <c r="T475">
        <v>0</v>
      </c>
      <c r="U475">
        <v>0</v>
      </c>
      <c r="V475">
        <v>0</v>
      </c>
      <c r="W475">
        <v>0</v>
      </c>
    </row>
    <row r="476" spans="1:23" x14ac:dyDescent="0.55000000000000004">
      <c r="A476" t="s">
        <v>960</v>
      </c>
      <c r="B476" t="s">
        <v>961</v>
      </c>
      <c r="C476" t="s">
        <v>20</v>
      </c>
      <c r="D476">
        <v>15.1</v>
      </c>
      <c r="E476">
        <f>443746720/(1000)</f>
        <v>443746.72</v>
      </c>
      <c r="F476">
        <f>846436992/(1000)</f>
        <v>846436.99199999997</v>
      </c>
      <c r="G476">
        <f>41024000/(1000)</f>
        <v>41024</v>
      </c>
      <c r="H476">
        <f>307918720/(1000)</f>
        <v>307918.71999999997</v>
      </c>
      <c r="I476">
        <f>63236000/(1000)</f>
        <v>63236</v>
      </c>
      <c r="J476">
        <f t="shared" si="7"/>
        <v>4.8693579606553222E-3</v>
      </c>
      <c r="K476">
        <f>55834001/(1000)</f>
        <v>55834.000999999997</v>
      </c>
      <c r="L476">
        <v>15.8688621520996</v>
      </c>
      <c r="M476">
        <v>12.3316602706909</v>
      </c>
      <c r="N476">
        <v>98.810218421528305</v>
      </c>
      <c r="O476">
        <v>0</v>
      </c>
      <c r="P476">
        <v>0.66000002622604403</v>
      </c>
      <c r="Q476">
        <v>0</v>
      </c>
      <c r="R476">
        <v>15.729167385086701</v>
      </c>
      <c r="S476">
        <v>13.1099717840371</v>
      </c>
      <c r="T476">
        <v>0</v>
      </c>
      <c r="U476">
        <v>0</v>
      </c>
      <c r="V476">
        <v>0</v>
      </c>
      <c r="W476">
        <v>0</v>
      </c>
    </row>
    <row r="477" spans="1:23" x14ac:dyDescent="0.55000000000000004">
      <c r="A477" t="s">
        <v>962</v>
      </c>
      <c r="B477" t="s">
        <v>963</v>
      </c>
      <c r="C477" t="s">
        <v>5</v>
      </c>
      <c r="D477">
        <v>14.15</v>
      </c>
      <c r="E477">
        <f>841735424/(1000)</f>
        <v>841735.424</v>
      </c>
      <c r="F477">
        <f>842901952/(1000)</f>
        <v>842901.95200000005</v>
      </c>
      <c r="G477">
        <f>117574000/(1000)</f>
        <v>117574</v>
      </c>
      <c r="H477">
        <f>896300420/(1000)</f>
        <v>896300.42</v>
      </c>
      <c r="I477">
        <f>159692000/(1000)</f>
        <v>159692</v>
      </c>
      <c r="J477">
        <f t="shared" si="7"/>
        <v>5.6126820379230023E-3</v>
      </c>
      <c r="K477">
        <f>97860993/(1000)</f>
        <v>97860.993000000002</v>
      </c>
      <c r="L477">
        <v>37.376663208007798</v>
      </c>
      <c r="M477">
        <v>17.722713470458999</v>
      </c>
      <c r="N477">
        <v>95.298506411174998</v>
      </c>
      <c r="O477">
        <v>3.50704002380371</v>
      </c>
      <c r="P477">
        <v>0</v>
      </c>
      <c r="Q477">
        <v>0</v>
      </c>
      <c r="R477">
        <v>13.224298613140601</v>
      </c>
      <c r="S477">
        <v>0</v>
      </c>
      <c r="T477">
        <v>0</v>
      </c>
      <c r="U477">
        <v>0</v>
      </c>
      <c r="V477">
        <v>0</v>
      </c>
      <c r="W477">
        <v>0</v>
      </c>
    </row>
    <row r="478" spans="1:23" x14ac:dyDescent="0.55000000000000004">
      <c r="A478" t="s">
        <v>964</v>
      </c>
      <c r="B478" t="s">
        <v>965</v>
      </c>
      <c r="C478" t="s">
        <v>94</v>
      </c>
      <c r="D478">
        <v>32.270000000000003</v>
      </c>
      <c r="E478">
        <f>1020709824/(1000)</f>
        <v>1020709.824</v>
      </c>
      <c r="F478">
        <f>841699968/(1000)</f>
        <v>841699.96799999999</v>
      </c>
      <c r="G478">
        <f>133700000/(1000)</f>
        <v>133700</v>
      </c>
      <c r="H478">
        <f>1512609824/(1000)</f>
        <v>1512609.824</v>
      </c>
      <c r="I478">
        <f>182200000/(1000)</f>
        <v>182200</v>
      </c>
      <c r="J478">
        <f t="shared" si="7"/>
        <v>8.3019200000000008E-3</v>
      </c>
      <c r="K478">
        <f>-87099999/(1000)</f>
        <v>-87099.998999999996</v>
      </c>
      <c r="L478">
        <v>18.950544357299801</v>
      </c>
      <c r="M478">
        <v>12.439647674560501</v>
      </c>
      <c r="N478">
        <v>99.114138919872005</v>
      </c>
      <c r="O478">
        <v>56.217582702636697</v>
      </c>
      <c r="P478">
        <v>1.7200000286102299</v>
      </c>
      <c r="Q478">
        <v>0</v>
      </c>
      <c r="R478">
        <v>11.483985918286001</v>
      </c>
      <c r="S478">
        <v>-43.672625980376097</v>
      </c>
      <c r="T478">
        <v>0</v>
      </c>
      <c r="U478">
        <v>0</v>
      </c>
      <c r="V478">
        <v>0</v>
      </c>
      <c r="W478">
        <v>0</v>
      </c>
    </row>
    <row r="479" spans="1:23" x14ac:dyDescent="0.55000000000000004">
      <c r="A479" t="s">
        <v>966</v>
      </c>
      <c r="B479" t="s">
        <v>967</v>
      </c>
      <c r="C479" t="s">
        <v>2</v>
      </c>
      <c r="D479">
        <v>16.38</v>
      </c>
      <c r="E479">
        <f>741263808/(1000)</f>
        <v>741263.80799999996</v>
      </c>
      <c r="F479">
        <f>840284992/(1000)</f>
        <v>840284.99199999997</v>
      </c>
      <c r="G479">
        <f>84453000/(1000)</f>
        <v>84453</v>
      </c>
      <c r="H479">
        <f>619521808/(1000)</f>
        <v>619521.80799999996</v>
      </c>
      <c r="I479">
        <f>94019000/(1000)</f>
        <v>94019</v>
      </c>
      <c r="J479">
        <f t="shared" si="7"/>
        <v>6.5893256469437026E-3</v>
      </c>
      <c r="K479">
        <f>46081001/(1000)</f>
        <v>46081.000999999997</v>
      </c>
      <c r="L479">
        <v>26.5258483886719</v>
      </c>
      <c r="M479">
        <v>14.699927330017101</v>
      </c>
      <c r="N479">
        <v>94.4752089691099</v>
      </c>
      <c r="O479">
        <v>0</v>
      </c>
      <c r="P479">
        <v>0</v>
      </c>
      <c r="Q479">
        <v>1.9758744555054599</v>
      </c>
      <c r="R479">
        <v>15.1666657054498</v>
      </c>
      <c r="S479">
        <v>315.937369197414</v>
      </c>
      <c r="T479">
        <v>0</v>
      </c>
      <c r="U479">
        <v>0</v>
      </c>
      <c r="V479">
        <v>0</v>
      </c>
      <c r="W479">
        <v>0</v>
      </c>
    </row>
    <row r="480" spans="1:23" x14ac:dyDescent="0.55000000000000004">
      <c r="A480" t="s">
        <v>968</v>
      </c>
      <c r="B480" t="s">
        <v>969</v>
      </c>
      <c r="C480" t="s">
        <v>2</v>
      </c>
      <c r="D480">
        <v>8.25</v>
      </c>
      <c r="E480">
        <f>284781760/(1000)</f>
        <v>284781.76</v>
      </c>
      <c r="F480">
        <f>837020992/(1000)</f>
        <v>837020.99199999997</v>
      </c>
      <c r="G480">
        <f>24838000/(1000)</f>
        <v>24838</v>
      </c>
      <c r="H480">
        <f>449142752/(1000)</f>
        <v>449142.75199999998</v>
      </c>
      <c r="I480">
        <f>53458000/(1000)</f>
        <v>53458</v>
      </c>
      <c r="J480">
        <f t="shared" si="7"/>
        <v>8.4017874219013064E-3</v>
      </c>
      <c r="K480">
        <f>37945001/(1000)</f>
        <v>37945.000999999997</v>
      </c>
      <c r="L480">
        <v>0</v>
      </c>
      <c r="M480">
        <v>-3.15293288230896</v>
      </c>
      <c r="N480">
        <v>94.7649093126727</v>
      </c>
      <c r="O480">
        <v>73.388572692871094</v>
      </c>
      <c r="P480">
        <v>1.9999999552965001E-2</v>
      </c>
      <c r="Q480">
        <v>0</v>
      </c>
      <c r="R480">
        <v>12.499999954845</v>
      </c>
      <c r="S480">
        <v>80.852381487403306</v>
      </c>
      <c r="T480">
        <v>0</v>
      </c>
      <c r="U480">
        <v>0</v>
      </c>
      <c r="V480">
        <v>0</v>
      </c>
      <c r="W480">
        <v>0</v>
      </c>
    </row>
    <row r="481" spans="1:23" x14ac:dyDescent="0.55000000000000004">
      <c r="A481" t="s">
        <v>970</v>
      </c>
      <c r="B481" t="s">
        <v>971</v>
      </c>
      <c r="C481" t="s">
        <v>2</v>
      </c>
      <c r="D481">
        <v>11.42</v>
      </c>
      <c r="E481">
        <f>511020992/(1000)</f>
        <v>511020.99200000003</v>
      </c>
      <c r="F481">
        <f>835642048/(1000)</f>
        <v>835642.04799999995</v>
      </c>
      <c r="G481">
        <f>91853000/(1000)</f>
        <v>91853</v>
      </c>
      <c r="H481">
        <f>231179008/(1000)</f>
        <v>231179.008</v>
      </c>
      <c r="I481">
        <f>102294000/(1000)</f>
        <v>102294</v>
      </c>
      <c r="J481">
        <f t="shared" si="7"/>
        <v>2.2599468981562947E-3</v>
      </c>
      <c r="K481">
        <f>92535001/(1000)</f>
        <v>92535.001000000004</v>
      </c>
      <c r="L481">
        <v>22.222753524780298</v>
      </c>
      <c r="M481">
        <v>14.252885818481399</v>
      </c>
      <c r="N481">
        <v>98.403951622081195</v>
      </c>
      <c r="O481">
        <v>0</v>
      </c>
      <c r="P481">
        <v>0</v>
      </c>
      <c r="Q481">
        <v>1.05642919824224</v>
      </c>
      <c r="R481">
        <v>8.1693091399663302</v>
      </c>
      <c r="S481">
        <v>146.89099865350099</v>
      </c>
      <c r="T481">
        <v>0</v>
      </c>
      <c r="U481">
        <v>0</v>
      </c>
      <c r="V481">
        <v>0</v>
      </c>
      <c r="W481">
        <v>0</v>
      </c>
    </row>
    <row r="482" spans="1:23" x14ac:dyDescent="0.55000000000000004">
      <c r="A482" t="s">
        <v>972</v>
      </c>
      <c r="B482" t="s">
        <v>973</v>
      </c>
      <c r="C482" t="s">
        <v>31</v>
      </c>
      <c r="D482">
        <v>9.84</v>
      </c>
      <c r="E482">
        <f>380802112/(1000)</f>
        <v>380802.11200000002</v>
      </c>
      <c r="F482">
        <f>834156032/(1000)</f>
        <v>834156.03200000001</v>
      </c>
      <c r="G482">
        <f>66948000/(1000)</f>
        <v>66948</v>
      </c>
      <c r="H482">
        <f>429809120/(1000)</f>
        <v>429809.12</v>
      </c>
      <c r="I482">
        <f>88007000/(1000)</f>
        <v>88007</v>
      </c>
      <c r="J482">
        <f t="shared" si="7"/>
        <v>4.8838060608815213E-3</v>
      </c>
      <c r="K482">
        <f>53608001/(1000)</f>
        <v>53608.000999999997</v>
      </c>
      <c r="L482">
        <v>21.320131301879901</v>
      </c>
      <c r="M482">
        <v>11.0683689117432</v>
      </c>
      <c r="N482">
        <v>98.498163207691505</v>
      </c>
      <c r="O482">
        <v>16.207565307617202</v>
      </c>
      <c r="P482">
        <v>0</v>
      </c>
      <c r="Q482">
        <v>0.65382059985923602</v>
      </c>
      <c r="R482">
        <v>7.5692310774820202</v>
      </c>
      <c r="S482">
        <v>30.4416376792202</v>
      </c>
      <c r="T482">
        <v>0</v>
      </c>
      <c r="U482">
        <v>0</v>
      </c>
      <c r="V482">
        <v>0</v>
      </c>
      <c r="W482">
        <v>0</v>
      </c>
    </row>
    <row r="483" spans="1:23" x14ac:dyDescent="0.55000000000000004">
      <c r="A483" t="s">
        <v>974</v>
      </c>
      <c r="B483" t="s">
        <v>975</v>
      </c>
      <c r="C483" t="s">
        <v>184</v>
      </c>
      <c r="D483">
        <v>20.59</v>
      </c>
      <c r="E483">
        <f>1667254656/(1000)</f>
        <v>1667254.656</v>
      </c>
      <c r="F483">
        <f>833916992/(1000)</f>
        <v>833916.99199999997</v>
      </c>
      <c r="G483">
        <f>0/(1000)</f>
        <v>0</v>
      </c>
      <c r="H483">
        <f>0/(1000)</f>
        <v>0</v>
      </c>
      <c r="I483">
        <f>0/(1000)</f>
        <v>0</v>
      </c>
      <c r="J483">
        <f t="shared" si="7"/>
        <v>1</v>
      </c>
      <c r="K483">
        <f>160462001/(1000)</f>
        <v>160462.00099999999</v>
      </c>
      <c r="L483">
        <v>18.342836380004901</v>
      </c>
      <c r="M483">
        <v>13.9558553695679</v>
      </c>
      <c r="N483">
        <v>97.954159306176805</v>
      </c>
      <c r="O483">
        <v>213.87680053710901</v>
      </c>
      <c r="P483">
        <v>1.1432249546051001</v>
      </c>
      <c r="Q483">
        <v>1.78943891736118</v>
      </c>
      <c r="R483">
        <v>13.635761776575301</v>
      </c>
      <c r="S483">
        <v>-5.9680616278867997E-2</v>
      </c>
      <c r="T483">
        <v>0</v>
      </c>
      <c r="U483">
        <v>0</v>
      </c>
      <c r="V483">
        <v>0</v>
      </c>
      <c r="W483">
        <v>0</v>
      </c>
    </row>
    <row r="484" spans="1:23" x14ac:dyDescent="0.55000000000000004">
      <c r="A484" t="s">
        <v>976</v>
      </c>
      <c r="B484" t="s">
        <v>977</v>
      </c>
      <c r="C484" t="s">
        <v>38</v>
      </c>
      <c r="D484">
        <v>26.96</v>
      </c>
      <c r="E484">
        <f>326552992/(1000)</f>
        <v>326552.99200000003</v>
      </c>
      <c r="F484">
        <f>831363968/(1000)</f>
        <v>831363.96799999999</v>
      </c>
      <c r="G484">
        <f>32351000/(1000)</f>
        <v>32351</v>
      </c>
      <c r="H484">
        <f>323327992/(1000)</f>
        <v>323327.99200000003</v>
      </c>
      <c r="I484">
        <f>35440000/(1000)</f>
        <v>35440</v>
      </c>
      <c r="J484">
        <f t="shared" si="7"/>
        <v>9.1232503386004526E-3</v>
      </c>
      <c r="K484">
        <f>7376001/(1000)</f>
        <v>7376.0010000000002</v>
      </c>
      <c r="L484">
        <v>0</v>
      </c>
      <c r="M484">
        <v>11.6810445785522</v>
      </c>
      <c r="N484">
        <v>89.839420669926994</v>
      </c>
      <c r="O484">
        <v>0.10718099772930099</v>
      </c>
      <c r="P484">
        <v>0</v>
      </c>
      <c r="Q484">
        <v>0</v>
      </c>
      <c r="R484">
        <v>16.641974694517</v>
      </c>
      <c r="S484">
        <v>143.29587737197099</v>
      </c>
      <c r="T484">
        <v>0</v>
      </c>
      <c r="U484">
        <v>0</v>
      </c>
      <c r="V484">
        <v>0</v>
      </c>
      <c r="W484">
        <v>0</v>
      </c>
    </row>
    <row r="485" spans="1:23" x14ac:dyDescent="0.55000000000000004">
      <c r="A485" t="s">
        <v>978</v>
      </c>
      <c r="B485" t="s">
        <v>979</v>
      </c>
      <c r="C485" t="s">
        <v>81</v>
      </c>
      <c r="D485">
        <v>0.66</v>
      </c>
      <c r="E485">
        <f>103333104/(1000)</f>
        <v>103333.10400000001</v>
      </c>
      <c r="F485">
        <f>828227968/(1000)</f>
        <v>828227.96799999999</v>
      </c>
      <c r="G485">
        <f>-261780000/(1000)</f>
        <v>-261780</v>
      </c>
      <c r="H485">
        <f>266962096/(1000)</f>
        <v>266962.09600000002</v>
      </c>
      <c r="I485">
        <f>-226062000/(1000)</f>
        <v>-226062</v>
      </c>
      <c r="J485">
        <f t="shared" si="7"/>
        <v>-1.1809242420221001E-3</v>
      </c>
      <c r="K485">
        <f>-291311999/(1000)</f>
        <v>-291311.99900000001</v>
      </c>
      <c r="L485">
        <v>0</v>
      </c>
      <c r="M485">
        <v>0</v>
      </c>
      <c r="N485">
        <v>48.223007477878603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</row>
    <row r="486" spans="1:23" x14ac:dyDescent="0.55000000000000004">
      <c r="A486" t="s">
        <v>980</v>
      </c>
      <c r="B486" t="s">
        <v>981</v>
      </c>
      <c r="C486" t="s">
        <v>5</v>
      </c>
      <c r="D486">
        <v>3.64</v>
      </c>
      <c r="E486">
        <f>140663072/(1000)</f>
        <v>140663.07199999999</v>
      </c>
      <c r="F486">
        <f>825516992/(1000)</f>
        <v>825516.99199999997</v>
      </c>
      <c r="G486">
        <f>100429000/(1000)</f>
        <v>100429</v>
      </c>
      <c r="H486">
        <f>515189088/(1000)</f>
        <v>515189.08799999999</v>
      </c>
      <c r="I486">
        <f>153456992/(1000)</f>
        <v>153456.992</v>
      </c>
      <c r="J486">
        <f t="shared" si="7"/>
        <v>3.3572213379498539E-3</v>
      </c>
      <c r="K486">
        <f>43109001/(1000)</f>
        <v>43109.000999999997</v>
      </c>
      <c r="L486">
        <v>0</v>
      </c>
      <c r="M486">
        <v>12.128578186035201</v>
      </c>
      <c r="N486">
        <v>95.139700227458206</v>
      </c>
      <c r="O486">
        <v>91.832977294921903</v>
      </c>
      <c r="P486">
        <v>0</v>
      </c>
      <c r="Q486">
        <v>0.29934211764639501</v>
      </c>
      <c r="R486">
        <v>3.4469698636285502</v>
      </c>
      <c r="S486">
        <v>28.7693325663633</v>
      </c>
      <c r="T486">
        <v>0</v>
      </c>
      <c r="U486">
        <v>0</v>
      </c>
      <c r="V486">
        <v>0</v>
      </c>
      <c r="W486">
        <v>0</v>
      </c>
    </row>
    <row r="487" spans="1:23" x14ac:dyDescent="0.55000000000000004">
      <c r="A487" t="s">
        <v>982</v>
      </c>
      <c r="B487" t="s">
        <v>983</v>
      </c>
      <c r="C487" t="s">
        <v>20</v>
      </c>
      <c r="D487">
        <v>8.48</v>
      </c>
      <c r="E487">
        <f>190254736/(1000)</f>
        <v>190254.736</v>
      </c>
      <c r="F487">
        <f>824128000/(1000)</f>
        <v>824128</v>
      </c>
      <c r="G487">
        <f>59737000/(1000)</f>
        <v>59737</v>
      </c>
      <c r="H487">
        <f>219399736/(1000)</f>
        <v>219399.736</v>
      </c>
      <c r="I487">
        <f>72178000/(1000)</f>
        <v>72178</v>
      </c>
      <c r="J487">
        <f t="shared" si="7"/>
        <v>3.0397037324392472E-3</v>
      </c>
      <c r="K487">
        <f>-24588999/(1000)</f>
        <v>-24588.999</v>
      </c>
      <c r="L487">
        <v>15.2749376296997</v>
      </c>
      <c r="M487">
        <v>13.296344757080099</v>
      </c>
      <c r="N487">
        <v>57.151772875227998</v>
      </c>
      <c r="O487">
        <v>3.9090998470782998E-2</v>
      </c>
      <c r="P487">
        <v>0</v>
      </c>
      <c r="Q487">
        <v>0</v>
      </c>
      <c r="R487">
        <v>6.7058099057009199</v>
      </c>
      <c r="S487">
        <v>84.793253130449699</v>
      </c>
      <c r="T487">
        <v>0</v>
      </c>
      <c r="U487">
        <v>0</v>
      </c>
      <c r="V487">
        <v>0</v>
      </c>
      <c r="W487">
        <v>0</v>
      </c>
    </row>
    <row r="488" spans="1:23" x14ac:dyDescent="0.55000000000000004">
      <c r="A488" t="s">
        <v>984</v>
      </c>
      <c r="B488" t="s">
        <v>985</v>
      </c>
      <c r="C488" t="s">
        <v>5</v>
      </c>
      <c r="D488">
        <v>6.49</v>
      </c>
      <c r="E488">
        <f>136154352/(1000)</f>
        <v>136154.35200000001</v>
      </c>
      <c r="F488">
        <f>823252224/(1000)</f>
        <v>823252.22400000005</v>
      </c>
      <c r="G488">
        <f>33862664/(1000)</f>
        <v>33862.663999999997</v>
      </c>
      <c r="H488">
        <f>90692268/(1000)</f>
        <v>90692.267999999996</v>
      </c>
      <c r="I488">
        <f>77728168/(1000)</f>
        <v>77728.168000000005</v>
      </c>
      <c r="J488">
        <f t="shared" si="7"/>
        <v>1.1667876695614387E-3</v>
      </c>
      <c r="K488">
        <f>51915965/(1000)</f>
        <v>51915.964999999997</v>
      </c>
      <c r="L488">
        <v>14.441326141357401</v>
      </c>
      <c r="M488">
        <v>8.2512388229370099</v>
      </c>
      <c r="N488">
        <v>92.392908518795593</v>
      </c>
      <c r="O488">
        <v>0</v>
      </c>
      <c r="P488">
        <v>0</v>
      </c>
      <c r="Q488">
        <v>0</v>
      </c>
      <c r="R488">
        <v>6.3627448415763999</v>
      </c>
      <c r="S488">
        <v>80.2918377023678</v>
      </c>
      <c r="T488">
        <v>0</v>
      </c>
      <c r="U488">
        <v>0</v>
      </c>
      <c r="V488">
        <v>0</v>
      </c>
      <c r="W488">
        <v>0</v>
      </c>
    </row>
    <row r="489" spans="1:23" x14ac:dyDescent="0.55000000000000004">
      <c r="A489" t="s">
        <v>986</v>
      </c>
      <c r="B489" t="s">
        <v>987</v>
      </c>
      <c r="C489" t="s">
        <v>184</v>
      </c>
      <c r="D489">
        <v>15.97</v>
      </c>
      <c r="E489">
        <f>1016765184/(1000)</f>
        <v>1016765.184</v>
      </c>
      <c r="F489">
        <f>823209984/(1000)</f>
        <v>823209.98400000005</v>
      </c>
      <c r="G489">
        <f t="shared" ref="G489:I490" si="8">0/(1000)</f>
        <v>0</v>
      </c>
      <c r="H489">
        <f t="shared" si="8"/>
        <v>0</v>
      </c>
      <c r="I489">
        <f t="shared" si="8"/>
        <v>0</v>
      </c>
      <c r="J489">
        <f t="shared" si="7"/>
        <v>1</v>
      </c>
      <c r="K489">
        <f>211558001/(1000)</f>
        <v>211558.00099999999</v>
      </c>
      <c r="L489">
        <v>18.856201171875</v>
      </c>
      <c r="M489">
        <v>14.7103004455566</v>
      </c>
      <c r="N489">
        <v>94.1140834083984</v>
      </c>
      <c r="O489">
        <v>280.28643798828102</v>
      </c>
      <c r="P489">
        <v>0.40000000596046398</v>
      </c>
      <c r="Q489">
        <v>0.86817069147115</v>
      </c>
      <c r="R489">
        <v>55.068972620763901</v>
      </c>
      <c r="S489">
        <v>329.48217015334598</v>
      </c>
      <c r="T489">
        <v>0</v>
      </c>
      <c r="U489">
        <v>0</v>
      </c>
      <c r="V489">
        <v>0</v>
      </c>
      <c r="W489">
        <v>0</v>
      </c>
    </row>
    <row r="490" spans="1:23" x14ac:dyDescent="0.55000000000000004">
      <c r="A490" t="s">
        <v>988</v>
      </c>
      <c r="B490" t="s">
        <v>989</v>
      </c>
      <c r="C490" t="s">
        <v>5</v>
      </c>
      <c r="D490">
        <v>12.49</v>
      </c>
      <c r="E490">
        <f>582522368/(1000)</f>
        <v>582522.36800000002</v>
      </c>
      <c r="F490">
        <f>822329984/(1000)</f>
        <v>822329.98400000005</v>
      </c>
      <c r="G490">
        <f t="shared" si="8"/>
        <v>0</v>
      </c>
      <c r="H490">
        <f t="shared" si="8"/>
        <v>0</v>
      </c>
      <c r="I490">
        <f t="shared" si="8"/>
        <v>0</v>
      </c>
      <c r="J490">
        <f t="shared" si="7"/>
        <v>1</v>
      </c>
      <c r="K490">
        <f>-269883007/(1000)</f>
        <v>-269883.00699999998</v>
      </c>
      <c r="L490">
        <v>18.401546478271499</v>
      </c>
      <c r="M490">
        <v>-6.4969401359558097</v>
      </c>
      <c r="N490">
        <v>9.2263788990165292</v>
      </c>
      <c r="O490">
        <v>584.99896240234398</v>
      </c>
      <c r="P490">
        <v>0</v>
      </c>
      <c r="Q490">
        <v>0</v>
      </c>
      <c r="R490">
        <v>25.489795730318502</v>
      </c>
      <c r="S490">
        <v>76.2912651011127</v>
      </c>
      <c r="T490">
        <v>0</v>
      </c>
      <c r="U490">
        <v>0</v>
      </c>
      <c r="V490">
        <v>0</v>
      </c>
      <c r="W490">
        <v>0</v>
      </c>
    </row>
    <row r="491" spans="1:23" x14ac:dyDescent="0.55000000000000004">
      <c r="A491" t="s">
        <v>990</v>
      </c>
      <c r="B491" t="s">
        <v>991</v>
      </c>
      <c r="C491" t="s">
        <v>2</v>
      </c>
      <c r="D491">
        <v>36.68</v>
      </c>
      <c r="E491">
        <f>1121153536/(1000)</f>
        <v>1121153.5360000001</v>
      </c>
      <c r="F491">
        <f>818622976/(1000)</f>
        <v>818622.97600000002</v>
      </c>
      <c r="G491">
        <f>132952000/(1000)</f>
        <v>132952</v>
      </c>
      <c r="H491">
        <f>1355583536/(1000)</f>
        <v>1355583.5360000001</v>
      </c>
      <c r="I491">
        <f>157887008/(1000)</f>
        <v>157887.008</v>
      </c>
      <c r="J491">
        <f t="shared" si="7"/>
        <v>8.5857826630041656E-3</v>
      </c>
      <c r="K491">
        <f>92491001/(1000)</f>
        <v>92491.001000000004</v>
      </c>
      <c r="L491">
        <v>19.827020645141602</v>
      </c>
      <c r="M491">
        <v>18.468910217285199</v>
      </c>
      <c r="N491">
        <v>98.3419386441998</v>
      </c>
      <c r="O491">
        <v>54.699405670166001</v>
      </c>
      <c r="P491">
        <v>0.259999990463257</v>
      </c>
      <c r="Q491">
        <v>0</v>
      </c>
      <c r="R491">
        <v>14.672000122070299</v>
      </c>
      <c r="S491">
        <v>78.401706443537094</v>
      </c>
      <c r="T491">
        <v>0</v>
      </c>
      <c r="U491">
        <v>0</v>
      </c>
      <c r="V491">
        <v>0</v>
      </c>
      <c r="W491">
        <v>0</v>
      </c>
    </row>
    <row r="492" spans="1:23" x14ac:dyDescent="0.55000000000000004">
      <c r="A492" t="s">
        <v>992</v>
      </c>
      <c r="B492" t="s">
        <v>993</v>
      </c>
      <c r="C492" t="s">
        <v>2</v>
      </c>
      <c r="D492">
        <v>8.76</v>
      </c>
      <c r="E492">
        <f>128116752/(1000)</f>
        <v>128116.75199999999</v>
      </c>
      <c r="F492">
        <f>818286976/(1000)</f>
        <v>818286.97600000002</v>
      </c>
      <c r="G492">
        <f>14514000/(1000)</f>
        <v>14514</v>
      </c>
      <c r="H492">
        <f>93051752/(1000)</f>
        <v>93051.751999999993</v>
      </c>
      <c r="I492">
        <f>22364000/(1000)</f>
        <v>22364</v>
      </c>
      <c r="J492">
        <f t="shared" si="7"/>
        <v>4.1607830441781433E-3</v>
      </c>
      <c r="K492">
        <f>1721001.625/(1000)</f>
        <v>1721.0016250000001</v>
      </c>
      <c r="L492">
        <v>0</v>
      </c>
      <c r="M492">
        <v>0.45443800091743503</v>
      </c>
      <c r="N492">
        <v>88.092468894341096</v>
      </c>
      <c r="O492">
        <v>20.151454925537099</v>
      </c>
      <c r="P492">
        <v>0</v>
      </c>
      <c r="Q492">
        <v>0</v>
      </c>
      <c r="R492">
        <v>33.1818178239132</v>
      </c>
      <c r="S492">
        <v>-43.479215337618101</v>
      </c>
      <c r="T492">
        <v>0</v>
      </c>
      <c r="U492">
        <v>0</v>
      </c>
      <c r="V492">
        <v>0</v>
      </c>
      <c r="W492">
        <v>0</v>
      </c>
    </row>
    <row r="493" spans="1:23" x14ac:dyDescent="0.55000000000000004">
      <c r="A493" t="s">
        <v>994</v>
      </c>
      <c r="B493" t="s">
        <v>995</v>
      </c>
      <c r="C493" t="s">
        <v>2</v>
      </c>
      <c r="D493">
        <v>18.27</v>
      </c>
      <c r="E493">
        <f>217281456/(1000)</f>
        <v>217281.45600000001</v>
      </c>
      <c r="F493">
        <f>817025024/(1000)</f>
        <v>817025.02399999998</v>
      </c>
      <c r="G493">
        <f>64449996/(1000)</f>
        <v>64449.995999999999</v>
      </c>
      <c r="H493">
        <f>89228464/(1000)</f>
        <v>89228.464000000007</v>
      </c>
      <c r="I493">
        <f>68360000/(1000)</f>
        <v>68360</v>
      </c>
      <c r="J493">
        <f t="shared" si="7"/>
        <v>1.3052730251609129E-3</v>
      </c>
      <c r="K493">
        <f>35325001/(1000)</f>
        <v>35325.000999999997</v>
      </c>
      <c r="L493">
        <v>0</v>
      </c>
      <c r="M493">
        <v>13.170091629028301</v>
      </c>
      <c r="N493">
        <v>99.014527042810201</v>
      </c>
      <c r="O493">
        <v>0</v>
      </c>
      <c r="P493">
        <v>0.239999994635582</v>
      </c>
      <c r="Q493">
        <v>1.0900954778198499</v>
      </c>
      <c r="R493">
        <v>32.625002414786501</v>
      </c>
      <c r="S493">
        <v>262.32191691497201</v>
      </c>
      <c r="T493">
        <v>0</v>
      </c>
      <c r="U493">
        <v>0</v>
      </c>
      <c r="V493">
        <v>0</v>
      </c>
      <c r="W493">
        <v>0</v>
      </c>
    </row>
    <row r="494" spans="1:23" x14ac:dyDescent="0.55000000000000004">
      <c r="A494" t="s">
        <v>996</v>
      </c>
      <c r="B494" t="s">
        <v>997</v>
      </c>
      <c r="C494" t="s">
        <v>2</v>
      </c>
      <c r="D494">
        <v>27.76</v>
      </c>
      <c r="E494">
        <f>1350129792/(1000)</f>
        <v>1350129.7919999999</v>
      </c>
      <c r="F494">
        <f>816987968/(1000)</f>
        <v>816987.96799999999</v>
      </c>
      <c r="G494">
        <f>120802000/(1000)</f>
        <v>120802</v>
      </c>
      <c r="H494">
        <f>1186901792/(1000)</f>
        <v>1186901.7919999999</v>
      </c>
      <c r="I494">
        <f>148786000/(1000)</f>
        <v>148786</v>
      </c>
      <c r="J494">
        <f t="shared" si="7"/>
        <v>7.9772410845106393E-3</v>
      </c>
      <c r="K494">
        <f>48284005/(1000)</f>
        <v>48284.004999999997</v>
      </c>
      <c r="L494">
        <v>18.512029647827099</v>
      </c>
      <c r="M494">
        <v>9.9895725250244105</v>
      </c>
      <c r="N494">
        <v>78.564556283919202</v>
      </c>
      <c r="O494">
        <v>0.14224499464035001</v>
      </c>
      <c r="P494">
        <v>0.40000000596046398</v>
      </c>
      <c r="Q494">
        <v>1.8084690253423901</v>
      </c>
      <c r="R494">
        <v>22.754098848417499</v>
      </c>
      <c r="S494">
        <v>75.5174287033838</v>
      </c>
      <c r="T494">
        <v>0</v>
      </c>
      <c r="U494">
        <v>0</v>
      </c>
      <c r="V494">
        <v>0</v>
      </c>
      <c r="W494">
        <v>0</v>
      </c>
    </row>
    <row r="495" spans="1:23" x14ac:dyDescent="0.55000000000000004">
      <c r="A495" t="s">
        <v>998</v>
      </c>
      <c r="B495" t="s">
        <v>999</v>
      </c>
      <c r="C495" t="s">
        <v>20</v>
      </c>
      <c r="D495">
        <v>1.25</v>
      </c>
      <c r="E495">
        <f>18412624/(1000)</f>
        <v>18412.624</v>
      </c>
      <c r="F495">
        <f>816366976/(1000)</f>
        <v>816366.97600000002</v>
      </c>
      <c r="G495">
        <f>66100996/(1000)</f>
        <v>66100.995999999999</v>
      </c>
      <c r="H495">
        <f>535395632/(1000)</f>
        <v>535395.63199999998</v>
      </c>
      <c r="I495">
        <f>107673000/(1000)</f>
        <v>107673</v>
      </c>
      <c r="J495">
        <f t="shared" si="7"/>
        <v>4.9724223528646921E-3</v>
      </c>
      <c r="K495">
        <f>8336003.5/(1000)</f>
        <v>8336.0035000000007</v>
      </c>
      <c r="L495">
        <v>0</v>
      </c>
      <c r="M495">
        <v>-2.5496640205383301</v>
      </c>
      <c r="N495">
        <v>97.042113172600494</v>
      </c>
      <c r="O495">
        <v>533.35546875</v>
      </c>
      <c r="P495">
        <v>0.10000000149011599</v>
      </c>
      <c r="Q495">
        <v>0</v>
      </c>
      <c r="R495">
        <v>0</v>
      </c>
      <c r="S495">
        <v>88.206637078144595</v>
      </c>
      <c r="T495">
        <v>0</v>
      </c>
      <c r="U495">
        <v>0</v>
      </c>
      <c r="V495">
        <v>0</v>
      </c>
      <c r="W495">
        <v>0</v>
      </c>
    </row>
    <row r="496" spans="1:23" x14ac:dyDescent="0.55000000000000004">
      <c r="A496" t="s">
        <v>1000</v>
      </c>
      <c r="B496" t="s">
        <v>1001</v>
      </c>
      <c r="C496" t="s">
        <v>184</v>
      </c>
      <c r="D496">
        <v>21.83</v>
      </c>
      <c r="E496">
        <f>1497088256/(1000)</f>
        <v>1497088.2560000001</v>
      </c>
      <c r="F496">
        <f>808936000/(1000)</f>
        <v>808936</v>
      </c>
      <c r="G496">
        <f>0/(1000)</f>
        <v>0</v>
      </c>
      <c r="H496">
        <f>0/(1000)</f>
        <v>0</v>
      </c>
      <c r="I496">
        <f>0/(1000)</f>
        <v>0</v>
      </c>
      <c r="J496">
        <f t="shared" si="7"/>
        <v>1</v>
      </c>
      <c r="K496">
        <f>102778001/(1000)</f>
        <v>102778.001</v>
      </c>
      <c r="L496">
        <v>14.5298299789429</v>
      </c>
      <c r="M496">
        <v>13.6461944580078</v>
      </c>
      <c r="N496">
        <v>75.286019811902307</v>
      </c>
      <c r="O496">
        <v>319.14007568359398</v>
      </c>
      <c r="P496">
        <v>0.66000002622604403</v>
      </c>
      <c r="Q496">
        <v>0</v>
      </c>
      <c r="R496">
        <v>11.025252546461701</v>
      </c>
      <c r="S496">
        <v>84.027684758211905</v>
      </c>
      <c r="T496">
        <v>0</v>
      </c>
      <c r="U496">
        <v>0</v>
      </c>
      <c r="V496">
        <v>0</v>
      </c>
      <c r="W496">
        <v>0</v>
      </c>
    </row>
    <row r="497" spans="1:23" x14ac:dyDescent="0.55000000000000004">
      <c r="A497" t="s">
        <v>1002</v>
      </c>
      <c r="B497" t="s">
        <v>1003</v>
      </c>
      <c r="C497" t="s">
        <v>20</v>
      </c>
      <c r="D497">
        <v>12.17</v>
      </c>
      <c r="E497">
        <f>735643648/(1000)</f>
        <v>735643.64800000004</v>
      </c>
      <c r="F497">
        <f>804713024/(1000)</f>
        <v>804713.02399999998</v>
      </c>
      <c r="G497">
        <f>166701008/(1000)</f>
        <v>166701.008</v>
      </c>
      <c r="H497">
        <f>1488184640/(1000)</f>
        <v>1488184.64</v>
      </c>
      <c r="I497">
        <f>217354000/(1000)</f>
        <v>217354</v>
      </c>
      <c r="J497">
        <f t="shared" si="7"/>
        <v>6.846824259042851E-3</v>
      </c>
      <c r="K497">
        <f>21716997/(1000)</f>
        <v>21716.996999999999</v>
      </c>
      <c r="L497">
        <v>24.891433715820298</v>
      </c>
      <c r="M497">
        <v>0</v>
      </c>
      <c r="N497">
        <v>94.077816610823604</v>
      </c>
      <c r="O497">
        <v>0</v>
      </c>
      <c r="P497">
        <v>0</v>
      </c>
      <c r="Q497">
        <v>243.39999789893599</v>
      </c>
      <c r="R497">
        <v>12.418367183094301</v>
      </c>
      <c r="S497">
        <v>81.8055247091376</v>
      </c>
      <c r="T497">
        <v>0</v>
      </c>
      <c r="U497">
        <v>0</v>
      </c>
      <c r="V497">
        <v>0</v>
      </c>
      <c r="W497">
        <v>0</v>
      </c>
    </row>
    <row r="498" spans="1:23" x14ac:dyDescent="0.55000000000000004">
      <c r="A498" t="s">
        <v>1004</v>
      </c>
      <c r="B498" t="s">
        <v>1005</v>
      </c>
      <c r="C498" t="s">
        <v>5</v>
      </c>
      <c r="D498">
        <v>3.36</v>
      </c>
      <c r="E498">
        <f>123363064/(1000)</f>
        <v>123363.064</v>
      </c>
      <c r="F498">
        <f>803803008/(1000)</f>
        <v>803803.00800000003</v>
      </c>
      <c r="G498">
        <f>41620000/(1000)</f>
        <v>41620</v>
      </c>
      <c r="H498">
        <f>430861048/(1000)</f>
        <v>430861.04800000001</v>
      </c>
      <c r="I498">
        <f>72477000/(1000)</f>
        <v>72477</v>
      </c>
      <c r="J498">
        <f t="shared" si="7"/>
        <v>5.9447969424783033E-3</v>
      </c>
      <c r="K498">
        <f>14619002/(1000)</f>
        <v>14619.002</v>
      </c>
      <c r="L498">
        <v>17.266365051269499</v>
      </c>
      <c r="M498">
        <v>-29.072517395019499</v>
      </c>
      <c r="N498">
        <v>73.392766724756996</v>
      </c>
      <c r="O498">
        <v>136.116775512695</v>
      </c>
      <c r="P498">
        <v>0</v>
      </c>
      <c r="Q498">
        <v>0</v>
      </c>
      <c r="R498">
        <v>335.99993443490098</v>
      </c>
      <c r="S498">
        <v>59.702101183820901</v>
      </c>
      <c r="T498">
        <v>0</v>
      </c>
      <c r="U498">
        <v>0</v>
      </c>
      <c r="V498">
        <v>0</v>
      </c>
      <c r="W498">
        <v>0</v>
      </c>
    </row>
    <row r="499" spans="1:23" x14ac:dyDescent="0.55000000000000004">
      <c r="A499" t="s">
        <v>1006</v>
      </c>
      <c r="B499" t="s">
        <v>1007</v>
      </c>
      <c r="C499" t="s">
        <v>31</v>
      </c>
      <c r="D499">
        <v>5.25</v>
      </c>
      <c r="E499">
        <f>262682704/(1000)</f>
        <v>262682.70400000003</v>
      </c>
      <c r="F499">
        <f>799628032/(1000)</f>
        <v>799628.03200000001</v>
      </c>
      <c r="G499">
        <f>64654000/(1000)</f>
        <v>64654</v>
      </c>
      <c r="H499">
        <f>22119696/(1000)</f>
        <v>22119.696</v>
      </c>
      <c r="I499">
        <f>78298000/(1000)</f>
        <v>78298</v>
      </c>
      <c r="J499">
        <f t="shared" si="7"/>
        <v>2.8250652634805484E-4</v>
      </c>
      <c r="K499">
        <f>36949001/(1000)</f>
        <v>36949.000999999997</v>
      </c>
      <c r="L499">
        <v>18.9955348968506</v>
      </c>
      <c r="M499">
        <v>13.012566566467299</v>
      </c>
      <c r="N499">
        <v>98.226831211765699</v>
      </c>
      <c r="O499">
        <v>6.51159620285034</v>
      </c>
      <c r="P499">
        <v>0</v>
      </c>
      <c r="Q499">
        <v>0.55166354142198504</v>
      </c>
      <c r="R499">
        <v>7.6980148809094198</v>
      </c>
      <c r="S499">
        <v>633.61715994788904</v>
      </c>
      <c r="T499">
        <v>0</v>
      </c>
      <c r="U499">
        <v>0</v>
      </c>
      <c r="V499">
        <v>0</v>
      </c>
      <c r="W499">
        <v>0</v>
      </c>
    </row>
    <row r="500" spans="1:23" x14ac:dyDescent="0.55000000000000004">
      <c r="A500" t="s">
        <v>1008</v>
      </c>
      <c r="B500" t="s">
        <v>1009</v>
      </c>
      <c r="C500" t="s">
        <v>5</v>
      </c>
      <c r="D500">
        <v>6.89</v>
      </c>
      <c r="E500">
        <f>368368320/(1000)</f>
        <v>368368.32</v>
      </c>
      <c r="F500">
        <f>793833024/(1000)</f>
        <v>793833.02399999998</v>
      </c>
      <c r="G500">
        <f>32293000/(1000)</f>
        <v>32293</v>
      </c>
      <c r="H500">
        <f>853745312/(1000)</f>
        <v>853745.31200000003</v>
      </c>
      <c r="I500">
        <f>127098000/(1000)</f>
        <v>127098</v>
      </c>
      <c r="J500">
        <f t="shared" si="7"/>
        <v>6.7172206643692275E-3</v>
      </c>
      <c r="K500">
        <f>-231301007/(1000)</f>
        <v>-231301.00700000001</v>
      </c>
      <c r="L500">
        <v>0</v>
      </c>
      <c r="M500">
        <v>0</v>
      </c>
      <c r="N500">
        <v>57.999746637233201</v>
      </c>
      <c r="O500">
        <v>342.32925415039102</v>
      </c>
      <c r="P500">
        <v>0</v>
      </c>
      <c r="Q500">
        <v>2.11999995891864</v>
      </c>
      <c r="R500">
        <v>0</v>
      </c>
      <c r="S500">
        <v>236.36422433518101</v>
      </c>
      <c r="T500">
        <v>0</v>
      </c>
      <c r="U500">
        <v>0</v>
      </c>
      <c r="V500">
        <v>0</v>
      </c>
      <c r="W500">
        <v>0</v>
      </c>
    </row>
    <row r="501" spans="1:23" x14ac:dyDescent="0.55000000000000004">
      <c r="A501" t="s">
        <v>1010</v>
      </c>
      <c r="B501" t="s">
        <v>1011</v>
      </c>
      <c r="C501" t="s">
        <v>184</v>
      </c>
      <c r="D501">
        <v>45.85</v>
      </c>
      <c r="E501">
        <f>1176153344/(1000)</f>
        <v>1176153.344</v>
      </c>
      <c r="F501">
        <f>793089984/(1000)</f>
        <v>793089.98400000005</v>
      </c>
      <c r="G501">
        <f>83871000/(1000)</f>
        <v>83871</v>
      </c>
      <c r="H501">
        <f>1828910336/(1000)</f>
        <v>1828910.3359999999</v>
      </c>
      <c r="I501">
        <f>99534000/(1000)</f>
        <v>99534</v>
      </c>
      <c r="J501">
        <f t="shared" si="7"/>
        <v>1.8374729599935698E-2</v>
      </c>
      <c r="K501">
        <f>47147001/(1000)</f>
        <v>47147.000999999997</v>
      </c>
      <c r="L501">
        <v>14.482916831970201</v>
      </c>
      <c r="M501">
        <v>9.9767103195190394</v>
      </c>
      <c r="N501">
        <v>90.644854501859996</v>
      </c>
      <c r="O501">
        <v>117.28652954101599</v>
      </c>
      <c r="P501">
        <v>0</v>
      </c>
      <c r="Q501">
        <v>2.00964266495096</v>
      </c>
      <c r="R501">
        <v>17.323676880490499</v>
      </c>
      <c r="S501">
        <v>308.571271019611</v>
      </c>
      <c r="T501">
        <v>0</v>
      </c>
      <c r="U501">
        <v>0</v>
      </c>
      <c r="V501">
        <v>0</v>
      </c>
      <c r="W501">
        <v>0</v>
      </c>
    </row>
    <row r="502" spans="1:23" x14ac:dyDescent="0.55000000000000004">
      <c r="A502" t="s">
        <v>1012</v>
      </c>
      <c r="B502" t="s">
        <v>1013</v>
      </c>
      <c r="C502" t="s">
        <v>5</v>
      </c>
      <c r="D502">
        <v>16.170000000000002</v>
      </c>
      <c r="E502">
        <f>561210624/(1000)</f>
        <v>561210.62399999995</v>
      </c>
      <c r="F502">
        <f>787168000/(1000)</f>
        <v>787168</v>
      </c>
      <c r="G502">
        <f>123033000/(1000)</f>
        <v>123033</v>
      </c>
      <c r="H502">
        <f>486871624/(1000)</f>
        <v>486871.62400000001</v>
      </c>
      <c r="I502">
        <f>139282000/(1000)</f>
        <v>139282</v>
      </c>
      <c r="J502">
        <f t="shared" si="7"/>
        <v>3.4955817980787183E-3</v>
      </c>
      <c r="K502">
        <f>67446001/(1000)</f>
        <v>67446.001000000004</v>
      </c>
      <c r="L502">
        <v>26.067562103271499</v>
      </c>
      <c r="M502">
        <v>19.155868530273398</v>
      </c>
      <c r="N502">
        <v>81.203157703837405</v>
      </c>
      <c r="O502">
        <v>6.5237379074096697</v>
      </c>
      <c r="P502">
        <v>0.15000000596046401</v>
      </c>
      <c r="Q502">
        <v>1.0068493533007199</v>
      </c>
      <c r="R502">
        <v>7.2511210484259099</v>
      </c>
      <c r="S502">
        <v>40.3714402124602</v>
      </c>
      <c r="T502">
        <v>0</v>
      </c>
      <c r="U502">
        <v>0</v>
      </c>
      <c r="V502">
        <v>0</v>
      </c>
      <c r="W502">
        <v>0</v>
      </c>
    </row>
    <row r="503" spans="1:23" x14ac:dyDescent="0.55000000000000004">
      <c r="A503" t="s">
        <v>1014</v>
      </c>
      <c r="B503" t="s">
        <v>1015</v>
      </c>
      <c r="C503" t="s">
        <v>121</v>
      </c>
      <c r="D503">
        <v>17.579999999999998</v>
      </c>
      <c r="E503">
        <f>118656208/(1000)</f>
        <v>118656.208</v>
      </c>
      <c r="F503">
        <f>786014976/(1000)</f>
        <v>786014.97600000002</v>
      </c>
      <c r="G503">
        <f>56928000/(1000)</f>
        <v>56928</v>
      </c>
      <c r="H503">
        <f>291676208/(1000)</f>
        <v>291676.20799999998</v>
      </c>
      <c r="I503">
        <f>76194000/(1000)</f>
        <v>76194</v>
      </c>
      <c r="J503">
        <f t="shared" si="7"/>
        <v>3.8280731816153503E-3</v>
      </c>
      <c r="K503">
        <f>41463001/(1000)</f>
        <v>41463.000999999997</v>
      </c>
      <c r="L503">
        <v>0</v>
      </c>
      <c r="M503">
        <v>60.126247406005902</v>
      </c>
      <c r="N503">
        <v>65.179644888947706</v>
      </c>
      <c r="O503">
        <v>461.60491943359398</v>
      </c>
      <c r="P503">
        <v>0</v>
      </c>
      <c r="Q503">
        <v>0</v>
      </c>
      <c r="R503">
        <v>0</v>
      </c>
      <c r="S503">
        <v>18.988975569612698</v>
      </c>
      <c r="T503">
        <v>0</v>
      </c>
      <c r="U503">
        <v>0</v>
      </c>
      <c r="V503">
        <v>0</v>
      </c>
      <c r="W503">
        <v>0</v>
      </c>
    </row>
    <row r="504" spans="1:23" x14ac:dyDescent="0.55000000000000004">
      <c r="A504" t="s">
        <v>1016</v>
      </c>
      <c r="B504" t="s">
        <v>1017</v>
      </c>
      <c r="C504" t="s">
        <v>5</v>
      </c>
      <c r="D504">
        <v>24.25</v>
      </c>
      <c r="E504">
        <f>550436224/(1000)</f>
        <v>550436.22400000005</v>
      </c>
      <c r="F504">
        <f>785322048/(1000)</f>
        <v>785322.04799999995</v>
      </c>
      <c r="G504">
        <f>114182000/(1000)</f>
        <v>114182</v>
      </c>
      <c r="H504">
        <f>940153216/(1000)</f>
        <v>940153.21600000001</v>
      </c>
      <c r="I504">
        <f>186100992/(1000)</f>
        <v>186100.992</v>
      </c>
      <c r="J504">
        <f t="shared" si="7"/>
        <v>5.051844194360877E-3</v>
      </c>
      <c r="K504">
        <f>53676005/(1000)</f>
        <v>53676.004999999997</v>
      </c>
      <c r="L504">
        <v>17.801620483398398</v>
      </c>
      <c r="M504">
        <v>19.376680374145501</v>
      </c>
      <c r="N504">
        <v>95.978128513770699</v>
      </c>
      <c r="O504">
        <v>151.32366943359401</v>
      </c>
      <c r="P504">
        <v>0</v>
      </c>
      <c r="Q504">
        <v>0</v>
      </c>
      <c r="R504">
        <v>10.589519775376001</v>
      </c>
      <c r="S504">
        <v>30.5013781675333</v>
      </c>
      <c r="T504">
        <v>0</v>
      </c>
      <c r="U504">
        <v>0</v>
      </c>
      <c r="V504">
        <v>0</v>
      </c>
      <c r="W504">
        <v>0</v>
      </c>
    </row>
    <row r="505" spans="1:23" x14ac:dyDescent="0.55000000000000004">
      <c r="A505" t="s">
        <v>1018</v>
      </c>
      <c r="B505" t="s">
        <v>1019</v>
      </c>
      <c r="C505" t="s">
        <v>20</v>
      </c>
      <c r="D505">
        <v>9.33</v>
      </c>
      <c r="E505">
        <f>200133792/(1000)</f>
        <v>200133.79199999999</v>
      </c>
      <c r="F505">
        <f>784612992/(1000)</f>
        <v>784612.99199999997</v>
      </c>
      <c r="G505">
        <f>-233000/(1000)</f>
        <v>-233</v>
      </c>
      <c r="H505">
        <f>203865792/(1000)</f>
        <v>203865.79199999999</v>
      </c>
      <c r="I505">
        <f>22183000/(1000)</f>
        <v>22183</v>
      </c>
      <c r="J505">
        <f t="shared" si="7"/>
        <v>9.1901813100121708E-3</v>
      </c>
      <c r="K505">
        <f>25279001/(1000)</f>
        <v>25279.001</v>
      </c>
      <c r="L505">
        <v>38.024784088134801</v>
      </c>
      <c r="M505">
        <v>0.61601197719573997</v>
      </c>
      <c r="N505">
        <v>91.056809240670006</v>
      </c>
      <c r="O505">
        <v>10.2867183685303</v>
      </c>
      <c r="P505">
        <v>0</v>
      </c>
      <c r="Q505">
        <v>0</v>
      </c>
      <c r="R505">
        <v>0</v>
      </c>
      <c r="S505">
        <v>11.457204006160699</v>
      </c>
      <c r="T505">
        <v>0</v>
      </c>
      <c r="U505">
        <v>0</v>
      </c>
      <c r="V505">
        <v>0</v>
      </c>
      <c r="W505">
        <v>0</v>
      </c>
    </row>
    <row r="506" spans="1:23" x14ac:dyDescent="0.55000000000000004">
      <c r="A506" t="s">
        <v>1020</v>
      </c>
      <c r="B506" t="s">
        <v>1021</v>
      </c>
      <c r="C506" t="s">
        <v>184</v>
      </c>
      <c r="D506">
        <v>7</v>
      </c>
      <c r="E506">
        <f>372104576/(1000)</f>
        <v>372104.576</v>
      </c>
      <c r="F506">
        <f>782401984/(1000)</f>
        <v>782401.98400000005</v>
      </c>
      <c r="G506">
        <f>0/(1000)</f>
        <v>0</v>
      </c>
      <c r="H506">
        <f>895517568/(1000)</f>
        <v>895517.56799999997</v>
      </c>
      <c r="I506">
        <f>0/(1000)</f>
        <v>0</v>
      </c>
      <c r="J506">
        <f t="shared" si="7"/>
        <v>1</v>
      </c>
      <c r="K506">
        <f>82604001/(1000)</f>
        <v>82604.001000000004</v>
      </c>
      <c r="L506">
        <v>9.4138736724853498</v>
      </c>
      <c r="M506">
        <v>4.8025150299072301</v>
      </c>
      <c r="N506">
        <v>91.203738914063706</v>
      </c>
      <c r="O506">
        <v>129.79866027832</v>
      </c>
      <c r="P506">
        <v>7.0000000298023002E-2</v>
      </c>
      <c r="Q506">
        <v>0.60362001019570599</v>
      </c>
      <c r="R506">
        <v>5.1094889221616198</v>
      </c>
      <c r="S506">
        <v>179.71596488835601</v>
      </c>
      <c r="T506">
        <v>0</v>
      </c>
      <c r="U506">
        <v>0</v>
      </c>
      <c r="V506">
        <v>0</v>
      </c>
      <c r="W506">
        <v>0</v>
      </c>
    </row>
    <row r="507" spans="1:23" x14ac:dyDescent="0.55000000000000004">
      <c r="A507" t="s">
        <v>1022</v>
      </c>
      <c r="B507" t="s">
        <v>1023</v>
      </c>
      <c r="C507" t="s">
        <v>5</v>
      </c>
      <c r="D507">
        <v>0.5</v>
      </c>
      <c r="E507">
        <f>65820448/(1000)</f>
        <v>65820.448000000004</v>
      </c>
      <c r="F507">
        <f>780517056/(1000)</f>
        <v>780517.05599999998</v>
      </c>
      <c r="G507">
        <f>-101862000/(1000)</f>
        <v>-101862</v>
      </c>
      <c r="H507">
        <f>358149440/(1000)</f>
        <v>358149.44</v>
      </c>
      <c r="I507">
        <f>-45847000/(1000)</f>
        <v>-45847</v>
      </c>
      <c r="J507">
        <f t="shared" si="7"/>
        <v>-7.8118402512705309E-3</v>
      </c>
      <c r="K507">
        <f>-40503999/(1000)</f>
        <v>-40503.999000000003</v>
      </c>
      <c r="L507">
        <v>0</v>
      </c>
      <c r="M507">
        <v>-59.866626739502003</v>
      </c>
      <c r="N507">
        <v>87.967265721116604</v>
      </c>
      <c r="O507">
        <v>95.067245483398395</v>
      </c>
      <c r="P507">
        <v>0</v>
      </c>
      <c r="Q507">
        <v>0.185873601994136</v>
      </c>
      <c r="R507">
        <v>0</v>
      </c>
      <c r="S507">
        <v>102.79017384836</v>
      </c>
      <c r="T507">
        <v>0</v>
      </c>
      <c r="U507">
        <v>0</v>
      </c>
      <c r="V507">
        <v>0</v>
      </c>
      <c r="W507">
        <v>0</v>
      </c>
    </row>
    <row r="508" spans="1:23" x14ac:dyDescent="0.55000000000000004">
      <c r="A508" t="s">
        <v>1024</v>
      </c>
      <c r="B508" t="s">
        <v>1025</v>
      </c>
      <c r="C508" t="s">
        <v>31</v>
      </c>
      <c r="D508">
        <v>14.79</v>
      </c>
      <c r="E508">
        <f>726786496/(1000)</f>
        <v>726786.49600000004</v>
      </c>
      <c r="F508">
        <f>780486976/(1000)</f>
        <v>780486.97600000002</v>
      </c>
      <c r="G508">
        <f>106985000/(1000)</f>
        <v>106985</v>
      </c>
      <c r="H508">
        <f>488424496/(1000)</f>
        <v>488424.49599999998</v>
      </c>
      <c r="I508">
        <f>137628992/(1000)</f>
        <v>137628.992</v>
      </c>
      <c r="J508">
        <f t="shared" si="7"/>
        <v>3.5488488936982116E-3</v>
      </c>
      <c r="K508">
        <f>104029001/(1000)</f>
        <v>104029.001</v>
      </c>
      <c r="L508">
        <v>0</v>
      </c>
      <c r="M508">
        <v>9.3099069595336896</v>
      </c>
      <c r="N508">
        <v>86.932137423311701</v>
      </c>
      <c r="O508">
        <v>2.7330980300903298</v>
      </c>
      <c r="P508">
        <v>0</v>
      </c>
      <c r="Q508">
        <v>0</v>
      </c>
      <c r="R508">
        <v>13.2053570525759</v>
      </c>
      <c r="S508">
        <v>147.952307374345</v>
      </c>
      <c r="T508">
        <v>0</v>
      </c>
      <c r="U508">
        <v>0</v>
      </c>
      <c r="V508">
        <v>0</v>
      </c>
      <c r="W508">
        <v>0</v>
      </c>
    </row>
    <row r="509" spans="1:23" x14ac:dyDescent="0.55000000000000004">
      <c r="A509" t="s">
        <v>1026</v>
      </c>
      <c r="B509" t="s">
        <v>1027</v>
      </c>
      <c r="C509" t="s">
        <v>20</v>
      </c>
      <c r="D509">
        <v>14.59</v>
      </c>
      <c r="E509">
        <f>431773536/(1000)</f>
        <v>431773.53600000002</v>
      </c>
      <c r="F509">
        <f>776767040/(1000)</f>
        <v>776767.04</v>
      </c>
      <c r="G509">
        <f>162854000/(1000)</f>
        <v>162854</v>
      </c>
      <c r="H509">
        <f>373724536/(1000)</f>
        <v>373724.53600000002</v>
      </c>
      <c r="I509">
        <f>168666000/(1000)</f>
        <v>168666</v>
      </c>
      <c r="J509">
        <f t="shared" si="7"/>
        <v>2.215766876548919E-3</v>
      </c>
      <c r="K509">
        <f>89522001/(1000)</f>
        <v>89522.001000000004</v>
      </c>
      <c r="L509">
        <v>43.4473686218262</v>
      </c>
      <c r="M509">
        <v>72.62939453125</v>
      </c>
      <c r="N509">
        <v>88.945658765452293</v>
      </c>
      <c r="O509">
        <v>0</v>
      </c>
      <c r="P509">
        <v>0.69999998807907104</v>
      </c>
      <c r="Q509">
        <v>3.4738097178963101</v>
      </c>
      <c r="R509">
        <v>7.6387436688787798</v>
      </c>
      <c r="S509">
        <v>2717.5379593021098</v>
      </c>
      <c r="T509">
        <v>0</v>
      </c>
      <c r="U509">
        <v>0</v>
      </c>
      <c r="V509">
        <v>0</v>
      </c>
      <c r="W509">
        <v>0</v>
      </c>
    </row>
    <row r="510" spans="1:23" x14ac:dyDescent="0.55000000000000004">
      <c r="A510" t="s">
        <v>1028</v>
      </c>
      <c r="B510" t="s">
        <v>1029</v>
      </c>
      <c r="C510" t="s">
        <v>2</v>
      </c>
      <c r="D510">
        <v>3.94</v>
      </c>
      <c r="E510">
        <f>142347472/(1000)</f>
        <v>142347.47200000001</v>
      </c>
      <c r="F510">
        <f>772439168/(1000)</f>
        <v>772439.16799999995</v>
      </c>
      <c r="G510">
        <f>40524804/(1000)</f>
        <v>40524.803999999996</v>
      </c>
      <c r="H510">
        <f>525754352/(1000)</f>
        <v>525754.35199999996</v>
      </c>
      <c r="I510">
        <f>50891616/(1000)</f>
        <v>50891.616000000002</v>
      </c>
      <c r="J510">
        <f t="shared" si="7"/>
        <v>1.0330863771352828E-2</v>
      </c>
      <c r="K510">
        <f>23039565/(1000)</f>
        <v>23039.564999999999</v>
      </c>
      <c r="L510">
        <v>0</v>
      </c>
      <c r="M510">
        <v>66.499809265136705</v>
      </c>
      <c r="N510">
        <v>39.068832121135102</v>
      </c>
      <c r="O510">
        <v>146.80009460449199</v>
      </c>
      <c r="P510">
        <v>0</v>
      </c>
      <c r="Q510">
        <v>0</v>
      </c>
      <c r="R510">
        <v>39.009894442996497</v>
      </c>
      <c r="S510">
        <v>0</v>
      </c>
      <c r="T510">
        <v>0</v>
      </c>
      <c r="U510">
        <v>0</v>
      </c>
      <c r="V510">
        <v>0</v>
      </c>
      <c r="W510">
        <v>0</v>
      </c>
    </row>
    <row r="511" spans="1:23" x14ac:dyDescent="0.55000000000000004">
      <c r="A511" t="s">
        <v>1030</v>
      </c>
      <c r="B511" t="s">
        <v>1031</v>
      </c>
      <c r="C511" t="s">
        <v>31</v>
      </c>
      <c r="D511">
        <v>4.29</v>
      </c>
      <c r="E511">
        <f>97262880/(1000)</f>
        <v>97262.88</v>
      </c>
      <c r="F511">
        <f>770960000/(1000)</f>
        <v>770960</v>
      </c>
      <c r="G511">
        <f>-19104000/(1000)</f>
        <v>-19104</v>
      </c>
      <c r="H511">
        <f>68753880/(1000)</f>
        <v>68753.88</v>
      </c>
      <c r="I511">
        <f>4816999.5/(1000)</f>
        <v>4816.9994999999999</v>
      </c>
      <c r="J511">
        <f t="shared" si="7"/>
        <v>1.4273175656339596E-2</v>
      </c>
      <c r="K511">
        <f>-166115999/(1000)</f>
        <v>-166115.99900000001</v>
      </c>
      <c r="L511">
        <v>0</v>
      </c>
      <c r="M511">
        <v>0.66147899627685502</v>
      </c>
      <c r="N511">
        <v>94.127995619963102</v>
      </c>
      <c r="O511">
        <v>6.4237996935844005E-2</v>
      </c>
      <c r="P511">
        <v>0.119999997317791</v>
      </c>
      <c r="Q511">
        <v>0.218543053757598</v>
      </c>
      <c r="R511">
        <v>0</v>
      </c>
      <c r="S511">
        <v>-34.1977110717838</v>
      </c>
      <c r="T511">
        <v>0</v>
      </c>
      <c r="U511">
        <v>0</v>
      </c>
      <c r="V511">
        <v>0</v>
      </c>
      <c r="W511">
        <v>0</v>
      </c>
    </row>
    <row r="512" spans="1:23" x14ac:dyDescent="0.55000000000000004">
      <c r="A512" t="s">
        <v>1032</v>
      </c>
      <c r="B512" t="s">
        <v>1033</v>
      </c>
      <c r="C512" t="s">
        <v>5</v>
      </c>
      <c r="D512">
        <v>13.41</v>
      </c>
      <c r="E512">
        <f>462618208/(1000)</f>
        <v>462618.20799999998</v>
      </c>
      <c r="F512">
        <f>769665984/(1000)</f>
        <v>769665.98400000005</v>
      </c>
      <c r="G512">
        <f>53588000/(1000)</f>
        <v>53588</v>
      </c>
      <c r="H512">
        <f>374953208/(1000)</f>
        <v>374953.20799999998</v>
      </c>
      <c r="I512">
        <f>79213000/(1000)</f>
        <v>79213</v>
      </c>
      <c r="J512">
        <f t="shared" si="7"/>
        <v>4.733480716549051E-3</v>
      </c>
      <c r="K512">
        <f>92198001/(1000)</f>
        <v>92198.001000000004</v>
      </c>
      <c r="L512">
        <v>48.522018432617202</v>
      </c>
      <c r="M512">
        <v>11.897401809692401</v>
      </c>
      <c r="N512">
        <v>98.163658535398696</v>
      </c>
      <c r="O512">
        <v>45.687656402587898</v>
      </c>
      <c r="P512">
        <v>0</v>
      </c>
      <c r="Q512">
        <v>0.97244379147990501</v>
      </c>
      <c r="R512">
        <v>0</v>
      </c>
      <c r="S512">
        <v>101.69285038759401</v>
      </c>
      <c r="T512">
        <v>0</v>
      </c>
      <c r="U512">
        <v>0</v>
      </c>
      <c r="V512">
        <v>0</v>
      </c>
      <c r="W512">
        <v>0</v>
      </c>
    </row>
    <row r="513" spans="1:23" x14ac:dyDescent="0.55000000000000004">
      <c r="A513" t="s">
        <v>1034</v>
      </c>
      <c r="B513" t="s">
        <v>1035</v>
      </c>
      <c r="C513" t="s">
        <v>2</v>
      </c>
      <c r="D513">
        <v>15.87</v>
      </c>
      <c r="E513">
        <f>769694976/(1000)</f>
        <v>769694.97600000002</v>
      </c>
      <c r="F513">
        <f>767057984/(1000)</f>
        <v>767057.98400000005</v>
      </c>
      <c r="G513">
        <f>71065000/(1000)</f>
        <v>71065</v>
      </c>
      <c r="H513">
        <f>1038382976/(1000)</f>
        <v>1038382.976</v>
      </c>
      <c r="I513">
        <f>104738000/(1000)</f>
        <v>104738</v>
      </c>
      <c r="J513">
        <f t="shared" si="7"/>
        <v>9.9140997154805316E-3</v>
      </c>
      <c r="K513">
        <f>67763001/(1000)</f>
        <v>67763.001000000004</v>
      </c>
      <c r="L513">
        <v>27.3625812530518</v>
      </c>
      <c r="M513">
        <v>8.0537395477294904</v>
      </c>
      <c r="N513">
        <v>98.331546391752596</v>
      </c>
      <c r="O513">
        <v>78.281448364257798</v>
      </c>
      <c r="P513">
        <v>0</v>
      </c>
      <c r="Q513">
        <v>1.9937185690332599</v>
      </c>
      <c r="R513">
        <v>17.83146053363</v>
      </c>
      <c r="S513">
        <v>197.28626911317099</v>
      </c>
      <c r="T513">
        <v>0</v>
      </c>
      <c r="U513">
        <v>0</v>
      </c>
      <c r="V513">
        <v>0</v>
      </c>
      <c r="W513">
        <v>0</v>
      </c>
    </row>
    <row r="514" spans="1:23" x14ac:dyDescent="0.55000000000000004">
      <c r="A514" t="s">
        <v>1036</v>
      </c>
      <c r="B514" t="s">
        <v>1037</v>
      </c>
      <c r="C514" t="s">
        <v>20</v>
      </c>
      <c r="D514">
        <v>16.829999999999998</v>
      </c>
      <c r="E514">
        <f>260223776/(1000)</f>
        <v>260223.77600000001</v>
      </c>
      <c r="F514">
        <f>763472000/(1000)</f>
        <v>763472</v>
      </c>
      <c r="G514">
        <f>56045000/(1000)</f>
        <v>56045</v>
      </c>
      <c r="H514">
        <f>478192768/(1000)</f>
        <v>478192.76799999998</v>
      </c>
      <c r="I514">
        <f>99704000/(1000)</f>
        <v>99704</v>
      </c>
      <c r="J514">
        <f t="shared" ref="J514:J577" si="9">(IF(I514=0,1000,H514/I514))/(1000)</f>
        <v>4.7961242076546579E-3</v>
      </c>
      <c r="K514">
        <f>15760003/(1000)</f>
        <v>15760.003000000001</v>
      </c>
      <c r="L514">
        <v>26.7868747711182</v>
      </c>
      <c r="M514">
        <v>11.610776901245099</v>
      </c>
      <c r="N514">
        <v>87.075975211708496</v>
      </c>
      <c r="O514">
        <v>54.051792144775398</v>
      </c>
      <c r="P514">
        <v>0</v>
      </c>
      <c r="Q514">
        <v>0.99792470513565901</v>
      </c>
      <c r="R514">
        <v>8.457286353292</v>
      </c>
      <c r="S514">
        <v>178.22308060358799</v>
      </c>
      <c r="T514">
        <v>0</v>
      </c>
      <c r="U514">
        <v>0</v>
      </c>
      <c r="V514">
        <v>0</v>
      </c>
      <c r="W514">
        <v>0</v>
      </c>
    </row>
    <row r="515" spans="1:23" x14ac:dyDescent="0.55000000000000004">
      <c r="A515" t="s">
        <v>1038</v>
      </c>
      <c r="B515" t="s">
        <v>1039</v>
      </c>
      <c r="C515" t="s">
        <v>17</v>
      </c>
      <c r="D515">
        <v>22.94</v>
      </c>
      <c r="E515">
        <f>722935744/(1000)</f>
        <v>722935.74399999995</v>
      </c>
      <c r="F515">
        <f>762736000/(1000)</f>
        <v>762736</v>
      </c>
      <c r="G515">
        <f>38542000/(1000)</f>
        <v>38542</v>
      </c>
      <c r="H515">
        <f>803892744/(1000)</f>
        <v>803892.74399999995</v>
      </c>
      <c r="I515">
        <f>67849000/(1000)</f>
        <v>67849</v>
      </c>
      <c r="J515">
        <f t="shared" si="9"/>
        <v>1.1848262229362258E-2</v>
      </c>
      <c r="K515">
        <f>12874001/(1000)</f>
        <v>12874.001</v>
      </c>
      <c r="L515">
        <v>25.002029418945298</v>
      </c>
      <c r="M515">
        <v>10.1546974182129</v>
      </c>
      <c r="N515">
        <v>95.601664642257603</v>
      </c>
      <c r="O515">
        <v>20.234968185424801</v>
      </c>
      <c r="P515">
        <v>0.63999998569488503</v>
      </c>
      <c r="Q515">
        <v>0</v>
      </c>
      <c r="R515">
        <v>65.542859436115506</v>
      </c>
      <c r="S515">
        <v>40.516206864757997</v>
      </c>
      <c r="T515">
        <v>0</v>
      </c>
      <c r="U515">
        <v>0</v>
      </c>
      <c r="V515">
        <v>0</v>
      </c>
      <c r="W515">
        <v>0</v>
      </c>
    </row>
    <row r="516" spans="1:23" x14ac:dyDescent="0.55000000000000004">
      <c r="A516" t="s">
        <v>1040</v>
      </c>
      <c r="B516" t="s">
        <v>1041</v>
      </c>
      <c r="C516" t="s">
        <v>20</v>
      </c>
      <c r="D516">
        <v>10.78</v>
      </c>
      <c r="E516">
        <f>245191104/(1000)</f>
        <v>245191.10399999999</v>
      </c>
      <c r="F516">
        <f>760161024/(1000)</f>
        <v>760161.02399999998</v>
      </c>
      <c r="G516">
        <f>-29316000/(1000)</f>
        <v>-29316</v>
      </c>
      <c r="H516">
        <f>241209104/(1000)</f>
        <v>241209.10399999999</v>
      </c>
      <c r="I516">
        <f>179000/(1000)</f>
        <v>179</v>
      </c>
      <c r="J516">
        <f t="shared" si="9"/>
        <v>1.3475368938547485</v>
      </c>
      <c r="K516">
        <f>7130001/(1000)</f>
        <v>7130.0010000000002</v>
      </c>
      <c r="L516">
        <v>0</v>
      </c>
      <c r="M516">
        <v>-101.391983032227</v>
      </c>
      <c r="N516">
        <v>65.752910301954799</v>
      </c>
      <c r="O516">
        <v>296.00820922851602</v>
      </c>
      <c r="P516">
        <v>0</v>
      </c>
      <c r="Q516">
        <v>0</v>
      </c>
      <c r="R516">
        <v>0</v>
      </c>
      <c r="S516">
        <v>728.20646735814501</v>
      </c>
      <c r="T516">
        <v>0</v>
      </c>
      <c r="U516">
        <v>0</v>
      </c>
      <c r="V516">
        <v>0</v>
      </c>
      <c r="W516">
        <v>0</v>
      </c>
    </row>
    <row r="517" spans="1:23" x14ac:dyDescent="0.55000000000000004">
      <c r="A517" t="s">
        <v>1042</v>
      </c>
      <c r="B517" t="s">
        <v>1043</v>
      </c>
      <c r="C517" t="s">
        <v>38</v>
      </c>
      <c r="D517">
        <v>10.5</v>
      </c>
      <c r="E517">
        <f>576092992/(1000)</f>
        <v>576092.99199999997</v>
      </c>
      <c r="F517">
        <f>757110976/(1000)</f>
        <v>757110.97600000002</v>
      </c>
      <c r="G517">
        <f>63761000/(1000)</f>
        <v>63761</v>
      </c>
      <c r="H517">
        <f>980499008/(1000)</f>
        <v>980499.00800000003</v>
      </c>
      <c r="I517">
        <f>169803008/(1000)</f>
        <v>169803.008</v>
      </c>
      <c r="J517">
        <f t="shared" si="9"/>
        <v>5.7743323840293813E-3</v>
      </c>
      <c r="K517">
        <f>58611001/(1000)</f>
        <v>58611.000999999997</v>
      </c>
      <c r="L517">
        <v>0</v>
      </c>
      <c r="M517">
        <v>4.6382207870483398</v>
      </c>
      <c r="N517">
        <v>27.400939909237401</v>
      </c>
      <c r="O517">
        <v>83.732063293457003</v>
      </c>
      <c r="P517">
        <v>0</v>
      </c>
      <c r="Q517">
        <v>0.84473047000874601</v>
      </c>
      <c r="R517">
        <v>7.45738640404499</v>
      </c>
      <c r="S517">
        <v>0</v>
      </c>
      <c r="T517">
        <v>0</v>
      </c>
      <c r="U517">
        <v>0</v>
      </c>
      <c r="V517">
        <v>0</v>
      </c>
      <c r="W517">
        <v>0</v>
      </c>
    </row>
    <row r="518" spans="1:23" x14ac:dyDescent="0.55000000000000004">
      <c r="A518" t="s">
        <v>1044</v>
      </c>
      <c r="B518" t="s">
        <v>1045</v>
      </c>
      <c r="C518" t="s">
        <v>5</v>
      </c>
      <c r="D518">
        <v>20.309999999999999</v>
      </c>
      <c r="E518">
        <f>533622880/(1000)</f>
        <v>533622.88</v>
      </c>
      <c r="F518">
        <f>756835008/(1000)</f>
        <v>756835.00800000003</v>
      </c>
      <c r="G518">
        <f>220778000/(1000)</f>
        <v>220778</v>
      </c>
      <c r="H518">
        <f>442236888/(1000)</f>
        <v>442236.88799999998</v>
      </c>
      <c r="I518">
        <f>247528992/(1000)</f>
        <v>247528.992</v>
      </c>
      <c r="J518">
        <f t="shared" si="9"/>
        <v>1.7866064270968306E-3</v>
      </c>
      <c r="K518">
        <f>111341001/(1000)</f>
        <v>111341.001</v>
      </c>
      <c r="L518">
        <v>21.141126632690401</v>
      </c>
      <c r="M518">
        <v>29.285249710083001</v>
      </c>
      <c r="N518">
        <v>94.801688648132199</v>
      </c>
      <c r="O518">
        <v>20.911500930786101</v>
      </c>
      <c r="P518">
        <v>0</v>
      </c>
      <c r="Q518">
        <v>0.83614650886897401</v>
      </c>
      <c r="R518">
        <v>4.3212764382740101</v>
      </c>
      <c r="S518">
        <v>1135.8911264247699</v>
      </c>
      <c r="T518">
        <v>0</v>
      </c>
      <c r="U518">
        <v>0</v>
      </c>
      <c r="V518">
        <v>0</v>
      </c>
      <c r="W518">
        <v>0</v>
      </c>
    </row>
    <row r="519" spans="1:23" x14ac:dyDescent="0.55000000000000004">
      <c r="A519" t="s">
        <v>1046</v>
      </c>
      <c r="B519" t="s">
        <v>1047</v>
      </c>
      <c r="C519" t="s">
        <v>5</v>
      </c>
      <c r="D519">
        <v>6.88</v>
      </c>
      <c r="E519">
        <f>764317760/(1000)</f>
        <v>764317.76</v>
      </c>
      <c r="F519">
        <f>751633024/(1000)</f>
        <v>751633.02399999998</v>
      </c>
      <c r="G519">
        <f>0/(1000)</f>
        <v>0</v>
      </c>
      <c r="H519">
        <f>0/(1000)</f>
        <v>0</v>
      </c>
      <c r="I519">
        <f>0/(1000)</f>
        <v>0</v>
      </c>
      <c r="J519">
        <f t="shared" si="9"/>
        <v>1</v>
      </c>
      <c r="K519">
        <f>101689001/(1000)</f>
        <v>101689.001</v>
      </c>
      <c r="L519">
        <v>20.2234001159668</v>
      </c>
      <c r="M519">
        <v>11.6711750030518</v>
      </c>
      <c r="N519">
        <v>98.305291714070194</v>
      </c>
      <c r="O519">
        <v>302.07092285156301</v>
      </c>
      <c r="P519">
        <v>0.15999999642372101</v>
      </c>
      <c r="Q519">
        <v>0.691341285099628</v>
      </c>
      <c r="R519">
        <v>14.9565222010946</v>
      </c>
      <c r="S519">
        <v>245.864634640162</v>
      </c>
      <c r="T519">
        <v>0</v>
      </c>
      <c r="U519">
        <v>0</v>
      </c>
      <c r="V519">
        <v>0</v>
      </c>
      <c r="W519">
        <v>0</v>
      </c>
    </row>
    <row r="520" spans="1:23" x14ac:dyDescent="0.55000000000000004">
      <c r="A520" t="s">
        <v>1048</v>
      </c>
      <c r="B520" t="s">
        <v>1049</v>
      </c>
      <c r="C520" t="s">
        <v>5</v>
      </c>
      <c r="D520">
        <v>10.52</v>
      </c>
      <c r="E520">
        <f>500312288/(1000)</f>
        <v>500312.288</v>
      </c>
      <c r="F520">
        <f>749956992/(1000)</f>
        <v>749956.99199999997</v>
      </c>
      <c r="G520">
        <f>4942000/(1000)</f>
        <v>4942</v>
      </c>
      <c r="H520">
        <f>741189280/(1000)</f>
        <v>741189.28</v>
      </c>
      <c r="I520">
        <f>42279000/(1000)</f>
        <v>42279</v>
      </c>
      <c r="J520">
        <f t="shared" si="9"/>
        <v>1.7530908488847891E-2</v>
      </c>
      <c r="K520">
        <f>3938001/(1000)</f>
        <v>3938.0010000000002</v>
      </c>
      <c r="L520">
        <v>0</v>
      </c>
      <c r="M520">
        <v>1.2738720178604099</v>
      </c>
      <c r="N520">
        <v>47.989830562800599</v>
      </c>
      <c r="O520">
        <v>95.080604553222699</v>
      </c>
      <c r="P520">
        <v>0</v>
      </c>
      <c r="Q520">
        <v>2.1338744065045598</v>
      </c>
      <c r="R520">
        <v>0</v>
      </c>
      <c r="S520">
        <v>334.41014840301699</v>
      </c>
      <c r="T520">
        <v>0</v>
      </c>
      <c r="U520">
        <v>0</v>
      </c>
      <c r="V520">
        <v>0</v>
      </c>
      <c r="W520">
        <v>0</v>
      </c>
    </row>
    <row r="521" spans="1:23" x14ac:dyDescent="0.55000000000000004">
      <c r="A521" t="s">
        <v>1050</v>
      </c>
      <c r="B521" t="s">
        <v>1051</v>
      </c>
      <c r="C521" t="s">
        <v>401</v>
      </c>
      <c r="D521">
        <v>10.84</v>
      </c>
      <c r="E521">
        <f>443429696/(1000)</f>
        <v>443429.696</v>
      </c>
      <c r="F521">
        <f>747723008/(1000)</f>
        <v>747723.00800000003</v>
      </c>
      <c r="G521">
        <f>43182000/(1000)</f>
        <v>43182</v>
      </c>
      <c r="H521">
        <f>1679173696/(1000)</f>
        <v>1679173.696</v>
      </c>
      <c r="I521">
        <f>120531000/(1000)</f>
        <v>120531</v>
      </c>
      <c r="J521">
        <f t="shared" si="9"/>
        <v>1.3931467390131999E-2</v>
      </c>
      <c r="K521">
        <f>-552115967/(1000)</f>
        <v>-552115.96699999995</v>
      </c>
      <c r="L521">
        <v>0</v>
      </c>
      <c r="M521">
        <v>12.8668975830078</v>
      </c>
      <c r="N521">
        <v>83.391271304667001</v>
      </c>
      <c r="O521">
        <v>104.20693969726599</v>
      </c>
      <c r="P521">
        <v>0</v>
      </c>
      <c r="Q521">
        <v>0.48193842416414201</v>
      </c>
      <c r="R521">
        <v>40.508221246435603</v>
      </c>
      <c r="S521">
        <v>0</v>
      </c>
      <c r="T521">
        <v>0</v>
      </c>
      <c r="U521">
        <v>0</v>
      </c>
      <c r="V521">
        <v>0</v>
      </c>
      <c r="W521">
        <v>0</v>
      </c>
    </row>
    <row r="522" spans="1:23" x14ac:dyDescent="0.55000000000000004">
      <c r="A522" t="s">
        <v>1052</v>
      </c>
      <c r="B522" t="s">
        <v>1053</v>
      </c>
      <c r="C522" t="s">
        <v>2</v>
      </c>
      <c r="D522">
        <v>3.68</v>
      </c>
      <c r="E522">
        <f>211968000/(1000)</f>
        <v>211968</v>
      </c>
      <c r="F522">
        <f>745400000/(1000)</f>
        <v>745400</v>
      </c>
      <c r="G522">
        <f>44800000/(1000)</f>
        <v>44800</v>
      </c>
      <c r="H522">
        <f>594968000/(1000)</f>
        <v>594968</v>
      </c>
      <c r="I522">
        <f>73200000/(1000)</f>
        <v>73200</v>
      </c>
      <c r="J522">
        <f t="shared" si="9"/>
        <v>8.1279781420765026E-3</v>
      </c>
      <c r="K522">
        <f>2000001/(1000)</f>
        <v>2000.001</v>
      </c>
      <c r="L522">
        <v>0</v>
      </c>
      <c r="M522">
        <v>0</v>
      </c>
      <c r="N522">
        <v>93.596356646123397</v>
      </c>
      <c r="O522">
        <v>0</v>
      </c>
      <c r="P522">
        <v>0</v>
      </c>
      <c r="Q522">
        <v>0</v>
      </c>
      <c r="R522">
        <v>7.2156862504479502</v>
      </c>
      <c r="S522">
        <v>-34.325994892631101</v>
      </c>
      <c r="T522">
        <v>0</v>
      </c>
      <c r="U522">
        <v>0</v>
      </c>
      <c r="V522">
        <v>0</v>
      </c>
      <c r="W522">
        <v>0</v>
      </c>
    </row>
    <row r="523" spans="1:23" x14ac:dyDescent="0.55000000000000004">
      <c r="A523" t="s">
        <v>1054</v>
      </c>
      <c r="B523" t="s">
        <v>1055</v>
      </c>
      <c r="C523" t="s">
        <v>31</v>
      </c>
      <c r="D523">
        <v>35.11</v>
      </c>
      <c r="E523">
        <f>619874048/(1000)</f>
        <v>619874.04799999995</v>
      </c>
      <c r="F523">
        <f>745132992/(1000)</f>
        <v>745132.99199999997</v>
      </c>
      <c r="G523">
        <f>86095000/(1000)</f>
        <v>86095</v>
      </c>
      <c r="H523">
        <f>499663048/(1000)</f>
        <v>499663.04800000001</v>
      </c>
      <c r="I523">
        <f>98623000/(1000)</f>
        <v>98623</v>
      </c>
      <c r="J523">
        <f t="shared" si="9"/>
        <v>5.0663947355079446E-3</v>
      </c>
      <c r="K523">
        <f>46255005/(1000)</f>
        <v>46255.004999999997</v>
      </c>
      <c r="L523">
        <v>21.4461555480957</v>
      </c>
      <c r="M523">
        <v>1.9491870403289799</v>
      </c>
      <c r="N523">
        <v>97.492528690121603</v>
      </c>
      <c r="O523">
        <v>0.15124799311161</v>
      </c>
      <c r="P523">
        <v>0.239999994635582</v>
      </c>
      <c r="Q523">
        <v>2.2564267135936502</v>
      </c>
      <c r="R523">
        <v>18.382199450265698</v>
      </c>
      <c r="S523">
        <v>33.468685473586902</v>
      </c>
      <c r="T523">
        <v>0</v>
      </c>
      <c r="U523">
        <v>0</v>
      </c>
      <c r="V523">
        <v>0</v>
      </c>
      <c r="W523">
        <v>0</v>
      </c>
    </row>
    <row r="524" spans="1:23" x14ac:dyDescent="0.55000000000000004">
      <c r="A524" t="s">
        <v>1056</v>
      </c>
      <c r="B524" t="s">
        <v>1057</v>
      </c>
      <c r="C524" t="s">
        <v>31</v>
      </c>
      <c r="D524">
        <v>16.86</v>
      </c>
      <c r="E524">
        <f>817339072/(1000)</f>
        <v>817339.07200000004</v>
      </c>
      <c r="F524">
        <f>744841984/(1000)</f>
        <v>744841.98400000005</v>
      </c>
      <c r="G524">
        <f>132449000/(1000)</f>
        <v>132449</v>
      </c>
      <c r="H524">
        <f>1128511072/(1000)</f>
        <v>1128511.0719999999</v>
      </c>
      <c r="I524">
        <f>171943008/(1000)</f>
        <v>171943.008</v>
      </c>
      <c r="J524">
        <f t="shared" si="9"/>
        <v>6.5632856207796476E-3</v>
      </c>
      <c r="K524">
        <f>136370001/(1000)</f>
        <v>136370.00099999999</v>
      </c>
      <c r="L524">
        <v>17.9257698059082</v>
      </c>
      <c r="M524">
        <v>14.881741523742701</v>
      </c>
      <c r="N524">
        <v>98.230123706575</v>
      </c>
      <c r="O524">
        <v>101.434135437012</v>
      </c>
      <c r="P524">
        <v>7.9999998211861004E-2</v>
      </c>
      <c r="Q524">
        <v>1.3110420731307999</v>
      </c>
      <c r="R524">
        <v>9.1135137259829495</v>
      </c>
      <c r="S524">
        <v>18.361342837098999</v>
      </c>
      <c r="T524">
        <v>0</v>
      </c>
      <c r="U524">
        <v>0</v>
      </c>
      <c r="V524">
        <v>0</v>
      </c>
      <c r="W524">
        <v>0</v>
      </c>
    </row>
    <row r="525" spans="1:23" x14ac:dyDescent="0.55000000000000004">
      <c r="A525" t="s">
        <v>1058</v>
      </c>
      <c r="B525" t="s">
        <v>1059</v>
      </c>
      <c r="C525" t="s">
        <v>5</v>
      </c>
      <c r="D525">
        <v>20.95</v>
      </c>
      <c r="E525">
        <f>637190080/(1000)</f>
        <v>637190.07999999996</v>
      </c>
      <c r="F525">
        <f>744334016/(1000)</f>
        <v>744334.01599999995</v>
      </c>
      <c r="G525">
        <f>75327000/(1000)</f>
        <v>75327</v>
      </c>
      <c r="H525">
        <f>892675088/(1000)</f>
        <v>892675.08799999999</v>
      </c>
      <c r="I525">
        <f>104546000/(1000)</f>
        <v>104546</v>
      </c>
      <c r="J525">
        <f t="shared" si="9"/>
        <v>8.5385867273735962E-3</v>
      </c>
      <c r="K525">
        <f>13127001/(1000)</f>
        <v>13127.001</v>
      </c>
      <c r="L525">
        <v>21.235601425170898</v>
      </c>
      <c r="M525">
        <v>17.5340461730957</v>
      </c>
      <c r="N525">
        <v>75.724645608036795</v>
      </c>
      <c r="O525">
        <v>46.5708198547363</v>
      </c>
      <c r="P525">
        <v>0.72000002861022905</v>
      </c>
      <c r="Q525">
        <v>1.6963562846826601</v>
      </c>
      <c r="R525">
        <v>11.574586041626199</v>
      </c>
      <c r="S525">
        <v>149.04693161434901</v>
      </c>
      <c r="T525">
        <v>0</v>
      </c>
      <c r="U525">
        <v>0</v>
      </c>
      <c r="V525">
        <v>0</v>
      </c>
      <c r="W525">
        <v>0</v>
      </c>
    </row>
    <row r="526" spans="1:23" x14ac:dyDescent="0.55000000000000004">
      <c r="A526" t="s">
        <v>1060</v>
      </c>
      <c r="B526" t="s">
        <v>1061</v>
      </c>
      <c r="C526" t="s">
        <v>5</v>
      </c>
      <c r="D526">
        <v>16.88</v>
      </c>
      <c r="E526">
        <f>786867904/(1000)</f>
        <v>786867.90399999998</v>
      </c>
      <c r="F526">
        <f>743854016/(1000)</f>
        <v>743854.01599999995</v>
      </c>
      <c r="G526">
        <f>0/(1000)</f>
        <v>0</v>
      </c>
      <c r="H526">
        <f>0/(1000)</f>
        <v>0</v>
      </c>
      <c r="I526">
        <f>0/(1000)</f>
        <v>0</v>
      </c>
      <c r="J526">
        <f t="shared" si="9"/>
        <v>1</v>
      </c>
      <c r="K526">
        <f>-6335999/(1000)</f>
        <v>-6335.9989999999998</v>
      </c>
      <c r="L526">
        <v>15.802638053894</v>
      </c>
      <c r="M526">
        <v>15.6934728622437</v>
      </c>
      <c r="N526">
        <v>92.079659226017895</v>
      </c>
      <c r="O526">
        <v>251.10494995117199</v>
      </c>
      <c r="P526">
        <v>15.6368961334229</v>
      </c>
      <c r="Q526">
        <v>1.22055268951086</v>
      </c>
      <c r="R526">
        <v>14.8070177676752</v>
      </c>
      <c r="S526">
        <v>118.440093662942</v>
      </c>
      <c r="T526">
        <v>0</v>
      </c>
      <c r="U526">
        <v>0</v>
      </c>
      <c r="V526">
        <v>0</v>
      </c>
      <c r="W526">
        <v>0</v>
      </c>
    </row>
    <row r="527" spans="1:23" x14ac:dyDescent="0.55000000000000004">
      <c r="A527" t="s">
        <v>1062</v>
      </c>
      <c r="B527" t="s">
        <v>1063</v>
      </c>
      <c r="C527" t="s">
        <v>5</v>
      </c>
      <c r="D527">
        <v>2.2400000000000002</v>
      </c>
      <c r="E527">
        <f>45664640/(1000)</f>
        <v>45664.639999999999</v>
      </c>
      <c r="F527">
        <f>743265024/(1000)</f>
        <v>743265.02399999998</v>
      </c>
      <c r="G527">
        <f>43342000/(1000)</f>
        <v>43342</v>
      </c>
      <c r="H527">
        <f>113930640/(1000)</f>
        <v>113930.64</v>
      </c>
      <c r="I527">
        <f>50644000/(1000)</f>
        <v>50644</v>
      </c>
      <c r="J527">
        <f t="shared" si="9"/>
        <v>2.2496374693942024E-3</v>
      </c>
      <c r="K527">
        <f>55722001/(1000)</f>
        <v>55722.000999999997</v>
      </c>
      <c r="L527">
        <v>0</v>
      </c>
      <c r="M527">
        <v>27.8602504730225</v>
      </c>
      <c r="N527">
        <v>83.173747996259394</v>
      </c>
      <c r="O527">
        <v>49.714447021484403</v>
      </c>
      <c r="P527">
        <v>0</v>
      </c>
      <c r="Q527">
        <v>0</v>
      </c>
      <c r="R527">
        <v>1.7499999650753999</v>
      </c>
      <c r="S527">
        <v>33.261807598373899</v>
      </c>
      <c r="T527">
        <v>0</v>
      </c>
      <c r="U527">
        <v>0</v>
      </c>
      <c r="V527">
        <v>0</v>
      </c>
      <c r="W527">
        <v>0</v>
      </c>
    </row>
    <row r="528" spans="1:23" x14ac:dyDescent="0.55000000000000004">
      <c r="A528" t="s">
        <v>1064</v>
      </c>
      <c r="B528" t="s">
        <v>1065</v>
      </c>
      <c r="C528" t="s">
        <v>31</v>
      </c>
      <c r="D528">
        <v>19.41</v>
      </c>
      <c r="E528">
        <f>1640430336/(1000)</f>
        <v>1640430.3359999999</v>
      </c>
      <c r="F528">
        <f>742926016/(1000)</f>
        <v>742926.01599999995</v>
      </c>
      <c r="G528">
        <f>164208992/(1000)</f>
        <v>164208.992</v>
      </c>
      <c r="H528">
        <f>1640159336/(1000)</f>
        <v>1640159.3359999999</v>
      </c>
      <c r="I528">
        <f>226215008/(1000)</f>
        <v>226215.008</v>
      </c>
      <c r="J528">
        <f t="shared" si="9"/>
        <v>7.2504443913818479E-3</v>
      </c>
      <c r="K528">
        <f>149896001/(1000)</f>
        <v>149896.00099999999</v>
      </c>
      <c r="L528">
        <v>22.705991744995099</v>
      </c>
      <c r="M528">
        <v>17.372997283935501</v>
      </c>
      <c r="N528">
        <v>95.913489880533604</v>
      </c>
      <c r="O528">
        <v>11.6679496765137</v>
      </c>
      <c r="P528">
        <v>0.30000001192092901</v>
      </c>
      <c r="Q528">
        <v>2.5931863061034601</v>
      </c>
      <c r="R528">
        <v>16.589743645259599</v>
      </c>
      <c r="S528">
        <v>83.607619192834505</v>
      </c>
      <c r="T528">
        <v>0</v>
      </c>
      <c r="U528">
        <v>0</v>
      </c>
      <c r="V528">
        <v>0</v>
      </c>
      <c r="W528">
        <v>0</v>
      </c>
    </row>
    <row r="529" spans="1:23" x14ac:dyDescent="0.55000000000000004">
      <c r="A529" t="s">
        <v>1066</v>
      </c>
      <c r="B529" t="s">
        <v>1067</v>
      </c>
      <c r="C529" t="s">
        <v>81</v>
      </c>
      <c r="D529">
        <v>2.1800000000000002</v>
      </c>
      <c r="E529">
        <f>44644144/(1000)</f>
        <v>44644.144</v>
      </c>
      <c r="F529">
        <f>738668032/(1000)</f>
        <v>738668.03200000001</v>
      </c>
      <c r="G529">
        <f>26992000/(1000)</f>
        <v>26992</v>
      </c>
      <c r="H529">
        <f>36932144/(1000)</f>
        <v>36932.144</v>
      </c>
      <c r="I529">
        <f>79306000/(1000)</f>
        <v>79306</v>
      </c>
      <c r="J529">
        <f t="shared" si="9"/>
        <v>4.6569167528308077E-4</v>
      </c>
      <c r="K529">
        <f>21030001/(1000)</f>
        <v>21030.001</v>
      </c>
      <c r="L529">
        <v>0</v>
      </c>
      <c r="M529">
        <v>0</v>
      </c>
      <c r="N529">
        <v>115.215297119868</v>
      </c>
      <c r="O529">
        <v>436.287109375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</row>
    <row r="530" spans="1:23" x14ac:dyDescent="0.55000000000000004">
      <c r="A530" t="s">
        <v>1068</v>
      </c>
      <c r="B530" t="s">
        <v>1069</v>
      </c>
      <c r="C530" t="s">
        <v>38</v>
      </c>
      <c r="D530">
        <v>11.48</v>
      </c>
      <c r="E530">
        <f>385897888/(1000)</f>
        <v>385897.88799999998</v>
      </c>
      <c r="F530">
        <f>736243008/(1000)</f>
        <v>736243.00800000003</v>
      </c>
      <c r="G530">
        <f>113482000/(1000)</f>
        <v>113482</v>
      </c>
      <c r="H530">
        <f>702763872/(1000)</f>
        <v>702763.87199999997</v>
      </c>
      <c r="I530">
        <f>162128992/(1000)</f>
        <v>162128.992</v>
      </c>
      <c r="J530">
        <f t="shared" si="9"/>
        <v>4.3345971829640432E-3</v>
      </c>
      <c r="K530">
        <f>22785001/(1000)</f>
        <v>22785.001</v>
      </c>
      <c r="L530">
        <v>37.423351287841797</v>
      </c>
      <c r="M530">
        <v>15.288307189941399</v>
      </c>
      <c r="N530">
        <v>96.512549481282093</v>
      </c>
      <c r="O530">
        <v>99.371780395507798</v>
      </c>
      <c r="P530">
        <v>0</v>
      </c>
      <c r="Q530">
        <v>0</v>
      </c>
      <c r="R530">
        <v>7.6026486014332804</v>
      </c>
      <c r="S530">
        <v>344.93781000599802</v>
      </c>
      <c r="T530">
        <v>0</v>
      </c>
      <c r="U530">
        <v>0</v>
      </c>
      <c r="V530">
        <v>0</v>
      </c>
      <c r="W530">
        <v>0</v>
      </c>
    </row>
    <row r="531" spans="1:23" x14ac:dyDescent="0.55000000000000004">
      <c r="A531" t="s">
        <v>1070</v>
      </c>
      <c r="B531" t="s">
        <v>1071</v>
      </c>
      <c r="C531" t="s">
        <v>20</v>
      </c>
      <c r="D531">
        <v>7.75</v>
      </c>
      <c r="E531">
        <f>543276352/(1000)</f>
        <v>543276.35199999996</v>
      </c>
      <c r="F531">
        <f>735088960/(1000)</f>
        <v>735088.96</v>
      </c>
      <c r="G531">
        <f>64934000/(1000)</f>
        <v>64934</v>
      </c>
      <c r="H531">
        <f>684069360/(1000)</f>
        <v>684069.36</v>
      </c>
      <c r="I531">
        <f>95380000/(1000)</f>
        <v>95380</v>
      </c>
      <c r="J531">
        <f t="shared" si="9"/>
        <v>7.1720419375131059E-3</v>
      </c>
      <c r="K531">
        <f>-25355995/(1000)</f>
        <v>-25355.994999999999</v>
      </c>
      <c r="L531">
        <v>0</v>
      </c>
      <c r="M531">
        <v>11.457415580749499</v>
      </c>
      <c r="N531">
        <v>73.645325457309099</v>
      </c>
      <c r="O531">
        <v>18.061201095581101</v>
      </c>
      <c r="P531">
        <v>0</v>
      </c>
      <c r="Q531">
        <v>1.34083040115616</v>
      </c>
      <c r="R531">
        <v>14.246323340539</v>
      </c>
      <c r="S531">
        <v>215.711041247917</v>
      </c>
      <c r="T531">
        <v>0</v>
      </c>
      <c r="U531">
        <v>0</v>
      </c>
      <c r="V531">
        <v>0</v>
      </c>
      <c r="W531">
        <v>0</v>
      </c>
    </row>
    <row r="532" spans="1:23" x14ac:dyDescent="0.55000000000000004">
      <c r="A532" t="s">
        <v>1072</v>
      </c>
      <c r="B532" t="s">
        <v>1073</v>
      </c>
      <c r="C532" t="s">
        <v>5</v>
      </c>
      <c r="D532">
        <v>1.1100000000000001</v>
      </c>
      <c r="E532">
        <f>59619208/(1000)</f>
        <v>59619.207999999999</v>
      </c>
      <c r="F532">
        <f>731955968/(1000)</f>
        <v>731955.96799999999</v>
      </c>
      <c r="G532">
        <f>0/(1000)</f>
        <v>0</v>
      </c>
      <c r="H532">
        <f>0/(1000)</f>
        <v>0</v>
      </c>
      <c r="I532">
        <f>0/(1000)</f>
        <v>0</v>
      </c>
      <c r="J532">
        <f t="shared" si="9"/>
        <v>1</v>
      </c>
      <c r="K532">
        <f>-83229999/(1000)</f>
        <v>-83229.998999999996</v>
      </c>
      <c r="L532">
        <v>10.7898006439209</v>
      </c>
      <c r="M532">
        <v>12.999870300293001</v>
      </c>
      <c r="N532">
        <v>50.068888558081198</v>
      </c>
      <c r="O532">
        <v>58.2206420898438</v>
      </c>
      <c r="P532">
        <v>0</v>
      </c>
      <c r="Q532">
        <v>0.121710529411599</v>
      </c>
      <c r="R532">
        <v>0</v>
      </c>
      <c r="S532">
        <v>315.98568668546602</v>
      </c>
      <c r="T532">
        <v>0</v>
      </c>
      <c r="U532">
        <v>0</v>
      </c>
      <c r="V532">
        <v>0</v>
      </c>
      <c r="W532">
        <v>0</v>
      </c>
    </row>
    <row r="533" spans="1:23" x14ac:dyDescent="0.55000000000000004">
      <c r="A533" t="s">
        <v>1074</v>
      </c>
      <c r="B533" t="s">
        <v>1075</v>
      </c>
      <c r="C533" t="s">
        <v>8</v>
      </c>
      <c r="D533">
        <v>7.67</v>
      </c>
      <c r="E533">
        <f>200049712/(1000)</f>
        <v>200049.712</v>
      </c>
      <c r="F533">
        <f>731300992/(1000)</f>
        <v>731300.99199999997</v>
      </c>
      <c r="G533">
        <f>34551000/(1000)</f>
        <v>34551</v>
      </c>
      <c r="H533">
        <f>183284712/(1000)</f>
        <v>183284.712</v>
      </c>
      <c r="I533">
        <f>42924000/(1000)</f>
        <v>42924</v>
      </c>
      <c r="J533">
        <f t="shared" si="9"/>
        <v>4.2699821079116582E-3</v>
      </c>
      <c r="K533">
        <f>27294001/(1000)</f>
        <v>27294.001</v>
      </c>
      <c r="L533">
        <v>35.267127990722699</v>
      </c>
      <c r="M533">
        <v>16.205785751342798</v>
      </c>
      <c r="N533">
        <v>98.451045292080195</v>
      </c>
      <c r="O533">
        <v>1.4722419977188099</v>
      </c>
      <c r="P533">
        <v>0</v>
      </c>
      <c r="Q533">
        <v>0</v>
      </c>
      <c r="R533">
        <v>8.2473117639736504</v>
      </c>
      <c r="S533">
        <v>153.555961337002</v>
      </c>
      <c r="T533">
        <v>0</v>
      </c>
      <c r="U533">
        <v>0</v>
      </c>
      <c r="V533">
        <v>0</v>
      </c>
      <c r="W533">
        <v>0</v>
      </c>
    </row>
    <row r="534" spans="1:23" x14ac:dyDescent="0.55000000000000004">
      <c r="A534" t="s">
        <v>1076</v>
      </c>
      <c r="B534" t="s">
        <v>1077</v>
      </c>
      <c r="C534" t="s">
        <v>31</v>
      </c>
      <c r="D534">
        <v>11.69</v>
      </c>
      <c r="E534">
        <f>293577984/(1000)</f>
        <v>293577.984</v>
      </c>
      <c r="F534">
        <f>728804992/(1000)</f>
        <v>728804.99199999997</v>
      </c>
      <c r="G534">
        <f>66343004/(1000)</f>
        <v>66343.004000000001</v>
      </c>
      <c r="H534">
        <f>231487984/(1000)</f>
        <v>231487.984</v>
      </c>
      <c r="I534">
        <f>97493000/(1000)</f>
        <v>97493</v>
      </c>
      <c r="J534">
        <f t="shared" si="9"/>
        <v>2.374406203522304E-3</v>
      </c>
      <c r="K534">
        <f>34303997/(1000)</f>
        <v>34303.997000000003</v>
      </c>
      <c r="L534">
        <v>19.605287551879901</v>
      </c>
      <c r="M534">
        <v>14.4484262466431</v>
      </c>
      <c r="N534">
        <v>39.476618596877202</v>
      </c>
      <c r="O534">
        <v>0</v>
      </c>
      <c r="P534">
        <v>0</v>
      </c>
      <c r="Q534">
        <v>0</v>
      </c>
      <c r="R534">
        <v>5.9340098531014798</v>
      </c>
      <c r="S534">
        <v>463.15344979505898</v>
      </c>
      <c r="T534">
        <v>0</v>
      </c>
      <c r="U534">
        <v>0</v>
      </c>
      <c r="V534">
        <v>0</v>
      </c>
      <c r="W534">
        <v>0</v>
      </c>
    </row>
    <row r="535" spans="1:23" x14ac:dyDescent="0.55000000000000004">
      <c r="A535" t="s">
        <v>1078</v>
      </c>
      <c r="B535" t="s">
        <v>1079</v>
      </c>
      <c r="C535" t="s">
        <v>5</v>
      </c>
      <c r="D535">
        <v>9.27</v>
      </c>
      <c r="E535">
        <f>406102944/(1000)</f>
        <v>406102.94400000002</v>
      </c>
      <c r="F535">
        <f>728121024/(1000)</f>
        <v>728121.02399999998</v>
      </c>
      <c r="G535">
        <f>24297000/(1000)</f>
        <v>24297</v>
      </c>
      <c r="H535">
        <f>345792944/(1000)</f>
        <v>345792.94400000002</v>
      </c>
      <c r="I535">
        <f>65880000/(1000)</f>
        <v>65880</v>
      </c>
      <c r="J535">
        <f t="shared" si="9"/>
        <v>5.2488303582270803E-3</v>
      </c>
      <c r="K535">
        <f>2825001/(1000)</f>
        <v>2825.0010000000002</v>
      </c>
      <c r="L535">
        <v>25.426786422729499</v>
      </c>
      <c r="M535">
        <v>7.0134248733520499</v>
      </c>
      <c r="N535">
        <v>98.813010278661295</v>
      </c>
      <c r="O535">
        <v>0</v>
      </c>
      <c r="P535">
        <v>0</v>
      </c>
      <c r="Q535">
        <v>1.5982758884339201</v>
      </c>
      <c r="R535">
        <v>22.2549794842793</v>
      </c>
      <c r="S535">
        <v>64.268708467680398</v>
      </c>
      <c r="T535">
        <v>0</v>
      </c>
      <c r="U535">
        <v>0</v>
      </c>
      <c r="V535">
        <v>0</v>
      </c>
      <c r="W535">
        <v>0</v>
      </c>
    </row>
    <row r="536" spans="1:23" x14ac:dyDescent="0.55000000000000004">
      <c r="A536" t="s">
        <v>1080</v>
      </c>
      <c r="B536" t="s">
        <v>1081</v>
      </c>
      <c r="C536" t="s">
        <v>31</v>
      </c>
      <c r="D536">
        <v>11.41</v>
      </c>
      <c r="E536">
        <f>402404448/(1000)</f>
        <v>402404.44799999997</v>
      </c>
      <c r="F536">
        <f>727787008/(1000)</f>
        <v>727787.00800000003</v>
      </c>
      <c r="G536">
        <f>69379000/(1000)</f>
        <v>69379</v>
      </c>
      <c r="H536">
        <f>200217440/(1000)</f>
        <v>200217.44</v>
      </c>
      <c r="I536">
        <f>81020000/(1000)</f>
        <v>81020</v>
      </c>
      <c r="J536">
        <f t="shared" si="9"/>
        <v>2.4712100715872623E-3</v>
      </c>
      <c r="K536">
        <f>43534001/(1000)</f>
        <v>43534.000999999997</v>
      </c>
      <c r="L536">
        <v>25.131050109863299</v>
      </c>
      <c r="M536">
        <v>13.801139831543001</v>
      </c>
      <c r="N536">
        <v>98.232376390124401</v>
      </c>
      <c r="O536">
        <v>0</v>
      </c>
      <c r="P536">
        <v>0</v>
      </c>
      <c r="Q536">
        <v>0.98024050780697902</v>
      </c>
      <c r="R536">
        <v>9.92173894632516</v>
      </c>
      <c r="S536">
        <v>206.65485441530501</v>
      </c>
      <c r="T536">
        <v>0</v>
      </c>
      <c r="U536">
        <v>0</v>
      </c>
      <c r="V536">
        <v>0</v>
      </c>
      <c r="W536">
        <v>0</v>
      </c>
    </row>
    <row r="537" spans="1:23" x14ac:dyDescent="0.55000000000000004">
      <c r="A537" t="s">
        <v>1082</v>
      </c>
      <c r="B537" t="s">
        <v>1083</v>
      </c>
      <c r="C537" t="s">
        <v>2</v>
      </c>
      <c r="D537">
        <v>24.57</v>
      </c>
      <c r="E537">
        <f>365547552/(1000)</f>
        <v>365547.55200000003</v>
      </c>
      <c r="F537">
        <f>727120000/(1000)</f>
        <v>727120</v>
      </c>
      <c r="G537">
        <f>70523000/(1000)</f>
        <v>70523</v>
      </c>
      <c r="H537">
        <f>452540552/(1000)</f>
        <v>452540.55200000003</v>
      </c>
      <c r="I537">
        <f>76839000/(1000)</f>
        <v>76839</v>
      </c>
      <c r="J537">
        <f t="shared" si="9"/>
        <v>5.889464360546077E-3</v>
      </c>
      <c r="K537">
        <f>41801001/(1000)</f>
        <v>41801.000999999997</v>
      </c>
      <c r="L537">
        <v>0</v>
      </c>
      <c r="M537">
        <v>29.099727630615199</v>
      </c>
      <c r="N537">
        <v>57.431878416235797</v>
      </c>
      <c r="O537">
        <v>28.568914413452099</v>
      </c>
      <c r="P537">
        <v>0</v>
      </c>
      <c r="Q537">
        <v>1.88757519873802</v>
      </c>
      <c r="R537">
        <v>11.270642024867101</v>
      </c>
      <c r="S537">
        <v>0</v>
      </c>
      <c r="T537">
        <v>0</v>
      </c>
      <c r="U537">
        <v>0</v>
      </c>
      <c r="V537">
        <v>0</v>
      </c>
      <c r="W537">
        <v>0</v>
      </c>
    </row>
    <row r="538" spans="1:23" x14ac:dyDescent="0.55000000000000004">
      <c r="A538" t="s">
        <v>1084</v>
      </c>
      <c r="B538" t="s">
        <v>1085</v>
      </c>
      <c r="C538" t="s">
        <v>20</v>
      </c>
      <c r="D538">
        <v>4.5599999999999996</v>
      </c>
      <c r="E538">
        <f>112487448/(1000)</f>
        <v>112487.448</v>
      </c>
      <c r="F538">
        <f>727120000/(1000)</f>
        <v>727120</v>
      </c>
      <c r="G538">
        <f>34015000/(1000)</f>
        <v>34015</v>
      </c>
      <c r="H538">
        <f>205876448/(1000)</f>
        <v>205876.448</v>
      </c>
      <c r="I538">
        <f>63836000/(1000)</f>
        <v>63836</v>
      </c>
      <c r="J538">
        <f t="shared" si="9"/>
        <v>3.2250837771790213E-3</v>
      </c>
      <c r="K538">
        <f>15384001/(1000)</f>
        <v>15384.001</v>
      </c>
      <c r="L538">
        <v>18.013685226440401</v>
      </c>
      <c r="M538">
        <v>8.6645126342773402</v>
      </c>
      <c r="N538">
        <v>57.776983565053101</v>
      </c>
      <c r="O538">
        <v>96.998382568359403</v>
      </c>
      <c r="P538">
        <v>0</v>
      </c>
      <c r="Q538">
        <v>0.47156152086889902</v>
      </c>
      <c r="R538">
        <v>4.9032256090099402</v>
      </c>
      <c r="S538">
        <v>14.2359771159032</v>
      </c>
      <c r="T538">
        <v>0</v>
      </c>
      <c r="U538">
        <v>0</v>
      </c>
      <c r="V538">
        <v>0</v>
      </c>
      <c r="W538">
        <v>0</v>
      </c>
    </row>
    <row r="539" spans="1:23" x14ac:dyDescent="0.55000000000000004">
      <c r="A539" t="s">
        <v>1086</v>
      </c>
      <c r="B539" t="s">
        <v>1087</v>
      </c>
      <c r="C539" t="s">
        <v>5</v>
      </c>
      <c r="D539">
        <v>36.909999999999997</v>
      </c>
      <c r="E539">
        <f>326664576/(1000)</f>
        <v>326664.576</v>
      </c>
      <c r="F539">
        <f>726965056/(1000)</f>
        <v>726965.05599999998</v>
      </c>
      <c r="G539">
        <f>31375000/(1000)</f>
        <v>31375</v>
      </c>
      <c r="H539">
        <f>285467576/(1000)</f>
        <v>285467.576</v>
      </c>
      <c r="I539">
        <f>37114000/(1000)</f>
        <v>37114</v>
      </c>
      <c r="J539">
        <f t="shared" si="9"/>
        <v>7.6916413213342673E-3</v>
      </c>
      <c r="K539">
        <f>25075001/(1000)</f>
        <v>25075.001</v>
      </c>
      <c r="L539">
        <v>0</v>
      </c>
      <c r="M539">
        <v>18.5357341766357</v>
      </c>
      <c r="N539">
        <v>80.552073181086797</v>
      </c>
      <c r="O539">
        <v>0</v>
      </c>
      <c r="P539">
        <v>0</v>
      </c>
      <c r="Q539">
        <v>0</v>
      </c>
      <c r="R539">
        <v>11.7923322375854</v>
      </c>
      <c r="S539">
        <v>79.380615105215398</v>
      </c>
      <c r="T539">
        <v>0</v>
      </c>
      <c r="U539">
        <v>0</v>
      </c>
      <c r="V539">
        <v>0</v>
      </c>
      <c r="W539">
        <v>0</v>
      </c>
    </row>
    <row r="540" spans="1:23" x14ac:dyDescent="0.55000000000000004">
      <c r="A540" t="s">
        <v>1088</v>
      </c>
      <c r="B540" t="s">
        <v>1089</v>
      </c>
      <c r="C540" t="s">
        <v>5</v>
      </c>
      <c r="D540">
        <v>0.16</v>
      </c>
      <c r="E540">
        <f>43191168/(1000)</f>
        <v>43191.167999999998</v>
      </c>
      <c r="F540">
        <f>719756992/(1000)</f>
        <v>719756.99199999997</v>
      </c>
      <c r="G540">
        <f>196673008/(1000)</f>
        <v>196673.008</v>
      </c>
      <c r="H540">
        <f>2126058240/(1000)</f>
        <v>2126058.2400000002</v>
      </c>
      <c r="I540">
        <f>227351008/(1000)</f>
        <v>227351.008</v>
      </c>
      <c r="J540">
        <f t="shared" si="9"/>
        <v>9.3514352925147363E-3</v>
      </c>
      <c r="K540">
        <f>159578001/(1000)</f>
        <v>159578.00099999999</v>
      </c>
      <c r="L540">
        <v>0</v>
      </c>
      <c r="M540">
        <v>-146.75439453125</v>
      </c>
      <c r="N540">
        <v>67.732256471077903</v>
      </c>
      <c r="O540">
        <v>392.74859619140602</v>
      </c>
      <c r="P540">
        <v>0</v>
      </c>
      <c r="Q540">
        <v>5.9259256888154997E-2</v>
      </c>
      <c r="R540">
        <v>0</v>
      </c>
      <c r="S540">
        <v>106.31154057968</v>
      </c>
      <c r="T540">
        <v>0</v>
      </c>
      <c r="U540">
        <v>0</v>
      </c>
      <c r="V540">
        <v>0</v>
      </c>
      <c r="W540">
        <v>0</v>
      </c>
    </row>
    <row r="541" spans="1:23" x14ac:dyDescent="0.55000000000000004">
      <c r="A541" t="s">
        <v>1090</v>
      </c>
      <c r="B541" t="s">
        <v>1091</v>
      </c>
      <c r="C541" t="s">
        <v>31</v>
      </c>
      <c r="D541">
        <v>5.16</v>
      </c>
      <c r="E541">
        <f>301826976/(1000)</f>
        <v>301826.97600000002</v>
      </c>
      <c r="F541">
        <f>718400000/(1000)</f>
        <v>718400</v>
      </c>
      <c r="G541">
        <f>-4400000/(1000)</f>
        <v>-4400</v>
      </c>
      <c r="H541">
        <f>225826976/(1000)</f>
        <v>225826.976</v>
      </c>
      <c r="I541">
        <f>29300000/(1000)</f>
        <v>29300</v>
      </c>
      <c r="J541">
        <f t="shared" si="9"/>
        <v>7.7074053242320818E-3</v>
      </c>
      <c r="K541">
        <f>30800001/(1000)</f>
        <v>30800.001</v>
      </c>
      <c r="L541">
        <v>0</v>
      </c>
      <c r="M541">
        <v>-1.58761894702911</v>
      </c>
      <c r="N541">
        <v>97.192358973624806</v>
      </c>
      <c r="O541">
        <v>2.6308760643005402</v>
      </c>
      <c r="P541">
        <v>0</v>
      </c>
      <c r="Q541">
        <v>0</v>
      </c>
      <c r="R541">
        <v>5.6290887676396304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55000000000000004">
      <c r="A542" t="s">
        <v>1092</v>
      </c>
      <c r="B542" t="s">
        <v>1093</v>
      </c>
      <c r="C542" t="s">
        <v>38</v>
      </c>
      <c r="D542">
        <v>8.7899999999999991</v>
      </c>
      <c r="E542">
        <f>270511360/(1000)</f>
        <v>270511.35999999999</v>
      </c>
      <c r="F542">
        <f>718272448/(1000)</f>
        <v>718272.44799999997</v>
      </c>
      <c r="G542">
        <f>42052696/(1000)</f>
        <v>42052.696000000004</v>
      </c>
      <c r="H542">
        <f>402282360/(1000)</f>
        <v>402282.36</v>
      </c>
      <c r="I542">
        <f>50413548/(1000)</f>
        <v>50413.548000000003</v>
      </c>
      <c r="J542">
        <f t="shared" si="9"/>
        <v>7.9796478518036461E-3</v>
      </c>
      <c r="K542">
        <f>27686065/(1000)</f>
        <v>27686.064999999999</v>
      </c>
      <c r="L542">
        <v>27.2996711730957</v>
      </c>
      <c r="M542">
        <v>6.4235568046569798</v>
      </c>
      <c r="N542">
        <v>89.614587241293094</v>
      </c>
      <c r="O542">
        <v>10.104434967041</v>
      </c>
      <c r="P542">
        <v>0</v>
      </c>
      <c r="Q542">
        <v>0</v>
      </c>
      <c r="R542">
        <v>10.590361422638599</v>
      </c>
      <c r="S542">
        <v>12.2383082918286</v>
      </c>
      <c r="T542">
        <v>0</v>
      </c>
      <c r="U542">
        <v>0</v>
      </c>
      <c r="V542">
        <v>0</v>
      </c>
      <c r="W542">
        <v>0</v>
      </c>
    </row>
    <row r="543" spans="1:23" x14ac:dyDescent="0.55000000000000004">
      <c r="A543" t="s">
        <v>1094</v>
      </c>
      <c r="B543" t="s">
        <v>1095</v>
      </c>
      <c r="C543" t="s">
        <v>81</v>
      </c>
      <c r="D543">
        <v>3.1</v>
      </c>
      <c r="E543">
        <f>251453696/(1000)</f>
        <v>251453.696</v>
      </c>
      <c r="F543">
        <f>718099968/(1000)</f>
        <v>718099.96799999999</v>
      </c>
      <c r="G543">
        <f>159170000/(1000)</f>
        <v>159170</v>
      </c>
      <c r="H543">
        <f>1653158656/(1000)</f>
        <v>1653158.656</v>
      </c>
      <c r="I543">
        <f>225132000/(1000)</f>
        <v>225132</v>
      </c>
      <c r="J543">
        <f t="shared" si="9"/>
        <v>7.3430638736385768E-3</v>
      </c>
      <c r="K543">
        <f>122988009/(1000)</f>
        <v>122988.00900000001</v>
      </c>
      <c r="L543">
        <v>0</v>
      </c>
      <c r="M543">
        <v>8.7401504516601598</v>
      </c>
      <c r="N543">
        <v>96.199762796493104</v>
      </c>
      <c r="O543">
        <v>525.46276855468795</v>
      </c>
      <c r="P543">
        <v>0.80000001192092896</v>
      </c>
      <c r="Q543">
        <v>1.08391609032863</v>
      </c>
      <c r="R543">
        <v>5.2542372273494697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55000000000000004">
      <c r="A544" t="s">
        <v>1096</v>
      </c>
      <c r="B544" t="s">
        <v>1097</v>
      </c>
      <c r="C544" t="s">
        <v>184</v>
      </c>
      <c r="D544">
        <v>16.79</v>
      </c>
      <c r="E544">
        <f>1536135552/(1000)</f>
        <v>1536135.5519999999</v>
      </c>
      <c r="F544">
        <f>717900032/(1000)</f>
        <v>717900.03200000001</v>
      </c>
      <c r="G544">
        <f>0/(1000)</f>
        <v>0</v>
      </c>
      <c r="H544">
        <f>1316635552/(1000)</f>
        <v>1316635.5519999999</v>
      </c>
      <c r="I544">
        <f>0/(1000)</f>
        <v>0</v>
      </c>
      <c r="J544">
        <f t="shared" si="9"/>
        <v>1</v>
      </c>
      <c r="K544">
        <f>93200001/(1000)</f>
        <v>93200.001000000004</v>
      </c>
      <c r="L544">
        <v>0</v>
      </c>
      <c r="M544">
        <v>20.076192855835</v>
      </c>
      <c r="N544">
        <v>98.064187047262905</v>
      </c>
      <c r="O544">
        <v>28.843725204467798</v>
      </c>
      <c r="P544">
        <v>0.30000001192092901</v>
      </c>
      <c r="Q544">
        <v>0.982158618889859</v>
      </c>
      <c r="R544">
        <v>12.529851117386899</v>
      </c>
      <c r="S544">
        <v>90.227616408379006</v>
      </c>
      <c r="T544">
        <v>0</v>
      </c>
      <c r="U544">
        <v>0</v>
      </c>
      <c r="V544">
        <v>0</v>
      </c>
      <c r="W544">
        <v>0</v>
      </c>
    </row>
    <row r="545" spans="1:23" x14ac:dyDescent="0.55000000000000004">
      <c r="A545" t="s">
        <v>1098</v>
      </c>
      <c r="B545" t="s">
        <v>1099</v>
      </c>
      <c r="C545" t="s">
        <v>121</v>
      </c>
      <c r="D545">
        <v>20.02</v>
      </c>
      <c r="E545">
        <f>308356064/(1000)</f>
        <v>308356.06400000001</v>
      </c>
      <c r="F545">
        <f>714800000/(1000)</f>
        <v>714800</v>
      </c>
      <c r="G545">
        <f>41900000/(1000)</f>
        <v>41900</v>
      </c>
      <c r="H545">
        <f>467456064/(1000)</f>
        <v>467456.06400000001</v>
      </c>
      <c r="I545">
        <f>81100000/(1000)</f>
        <v>81100</v>
      </c>
      <c r="J545">
        <f t="shared" si="9"/>
        <v>5.7639465351417996E-3</v>
      </c>
      <c r="K545">
        <f>23600001/(1000)</f>
        <v>23600.001</v>
      </c>
      <c r="L545">
        <v>19.947381973266602</v>
      </c>
      <c r="M545">
        <v>1.0529580116271999</v>
      </c>
      <c r="N545">
        <v>93.844465695271595</v>
      </c>
      <c r="O545">
        <v>27.433387756347699</v>
      </c>
      <c r="P545">
        <v>0.60000002384185802</v>
      </c>
      <c r="Q545">
        <v>0</v>
      </c>
      <c r="R545">
        <v>20.0200001594424</v>
      </c>
      <c r="S545">
        <v>42.560829676904703</v>
      </c>
      <c r="T545">
        <v>0</v>
      </c>
      <c r="U545">
        <v>0</v>
      </c>
      <c r="V545">
        <v>0</v>
      </c>
      <c r="W545">
        <v>0</v>
      </c>
    </row>
    <row r="546" spans="1:23" x14ac:dyDescent="0.55000000000000004">
      <c r="A546" t="s">
        <v>1100</v>
      </c>
      <c r="B546" t="s">
        <v>1101</v>
      </c>
      <c r="C546" t="s">
        <v>2</v>
      </c>
      <c r="D546">
        <v>33.57</v>
      </c>
      <c r="E546">
        <f>1633663872/(1000)</f>
        <v>1633663.872</v>
      </c>
      <c r="F546">
        <f>713710976/(1000)</f>
        <v>713710.97600000002</v>
      </c>
      <c r="G546">
        <f>299279008/(1000)</f>
        <v>299279.00799999997</v>
      </c>
      <c r="H546">
        <f>2831831936/(1000)</f>
        <v>2831831.9360000002</v>
      </c>
      <c r="I546">
        <f>324532992/(1000)</f>
        <v>324532.99200000003</v>
      </c>
      <c r="J546">
        <f t="shared" si="9"/>
        <v>8.7258676492280949E-3</v>
      </c>
      <c r="K546">
        <f>178751009/(1000)</f>
        <v>178751.00899999999</v>
      </c>
      <c r="L546">
        <v>0</v>
      </c>
      <c r="M546">
        <v>23.325748443603501</v>
      </c>
      <c r="N546">
        <v>99.500048901472795</v>
      </c>
      <c r="O546">
        <v>207.55926513671901</v>
      </c>
      <c r="P546">
        <v>0</v>
      </c>
      <c r="Q546">
        <v>2.21146238603027</v>
      </c>
      <c r="R546">
        <v>12.2967030990048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55000000000000004">
      <c r="A547" t="s">
        <v>1102</v>
      </c>
      <c r="B547" t="s">
        <v>1103</v>
      </c>
      <c r="C547" t="s">
        <v>2</v>
      </c>
      <c r="D547">
        <v>16.12</v>
      </c>
      <c r="E547">
        <f>1354784512/(1000)</f>
        <v>1354784.5120000001</v>
      </c>
      <c r="F547">
        <f>713582976/(1000)</f>
        <v>713582.97600000002</v>
      </c>
      <c r="G547">
        <f>102442000/(1000)</f>
        <v>102442</v>
      </c>
      <c r="H547">
        <f>1287324512/(1000)</f>
        <v>1287324.5120000001</v>
      </c>
      <c r="I547">
        <f>168130000/(1000)</f>
        <v>168130</v>
      </c>
      <c r="J547">
        <f t="shared" si="9"/>
        <v>7.6567210610836859E-3</v>
      </c>
      <c r="K547">
        <f>-16855999/(1000)</f>
        <v>-16855.999</v>
      </c>
      <c r="L547">
        <v>25.4571228027344</v>
      </c>
      <c r="M547">
        <v>13.817839622497599</v>
      </c>
      <c r="N547">
        <v>70.613501276714402</v>
      </c>
      <c r="O547">
        <v>0</v>
      </c>
      <c r="P547">
        <v>0.15999999642372101</v>
      </c>
      <c r="Q547">
        <v>2.6042004346074101</v>
      </c>
      <c r="R547">
        <v>25.587303113084399</v>
      </c>
      <c r="S547">
        <v>149.68786033449101</v>
      </c>
      <c r="T547">
        <v>0</v>
      </c>
      <c r="U547">
        <v>0</v>
      </c>
      <c r="V547">
        <v>0</v>
      </c>
      <c r="W547">
        <v>0</v>
      </c>
    </row>
    <row r="548" spans="1:23" x14ac:dyDescent="0.55000000000000004">
      <c r="A548" t="s">
        <v>1104</v>
      </c>
      <c r="B548" t="s">
        <v>1105</v>
      </c>
      <c r="C548" t="s">
        <v>20</v>
      </c>
      <c r="D548">
        <v>2.82</v>
      </c>
      <c r="E548">
        <f>175001584/(1000)</f>
        <v>175001.584</v>
      </c>
      <c r="F548">
        <f>713345984/(1000)</f>
        <v>713345.98400000005</v>
      </c>
      <c r="G548">
        <f>2796000/(1000)</f>
        <v>2796</v>
      </c>
      <c r="H548">
        <f>360852592/(1000)</f>
        <v>360852.592</v>
      </c>
      <c r="I548">
        <f>44370000/(1000)</f>
        <v>44370</v>
      </c>
      <c r="J548">
        <f t="shared" si="9"/>
        <v>8.1328057696641882E-3</v>
      </c>
      <c r="K548">
        <f>864001.3125/(1000)</f>
        <v>864.00131250000004</v>
      </c>
      <c r="L548">
        <v>0</v>
      </c>
      <c r="M548">
        <v>-5.2900071144104004</v>
      </c>
      <c r="N548">
        <v>78.114258204276396</v>
      </c>
      <c r="O548">
        <v>70.066314697265597</v>
      </c>
      <c r="P548">
        <v>0</v>
      </c>
      <c r="Q548">
        <v>0</v>
      </c>
      <c r="R548">
        <v>0</v>
      </c>
      <c r="S548">
        <v>-15.9895753799641</v>
      </c>
      <c r="T548">
        <v>0</v>
      </c>
      <c r="U548">
        <v>0</v>
      </c>
      <c r="V548">
        <v>0</v>
      </c>
      <c r="W548">
        <v>0</v>
      </c>
    </row>
    <row r="549" spans="1:23" x14ac:dyDescent="0.55000000000000004">
      <c r="A549" t="s">
        <v>1106</v>
      </c>
      <c r="B549" t="s">
        <v>1107</v>
      </c>
      <c r="C549" t="s">
        <v>401</v>
      </c>
      <c r="D549">
        <v>5.07</v>
      </c>
      <c r="E549">
        <f>456555040/(1000)</f>
        <v>456555.04</v>
      </c>
      <c r="F549">
        <f>713331968/(1000)</f>
        <v>713331.96799999999</v>
      </c>
      <c r="G549">
        <f>119247000/(1000)</f>
        <v>119247</v>
      </c>
      <c r="H549">
        <f>1331476000/(1000)</f>
        <v>1331476</v>
      </c>
      <c r="I549">
        <f>194896000/(1000)</f>
        <v>194896</v>
      </c>
      <c r="J549">
        <f t="shared" si="9"/>
        <v>6.8317256382891389E-3</v>
      </c>
      <c r="K549">
        <f>-239039007/(1000)</f>
        <v>-239039.00700000001</v>
      </c>
      <c r="L549">
        <v>0</v>
      </c>
      <c r="M549">
        <v>7.3245368003845197</v>
      </c>
      <c r="N549">
        <v>93.154491925958595</v>
      </c>
      <c r="O549">
        <v>76.3250732421875</v>
      </c>
      <c r="P549">
        <v>0</v>
      </c>
      <c r="Q549">
        <v>0.42667072180434001</v>
      </c>
      <c r="R549">
        <v>8.1774197162228806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55000000000000004">
      <c r="A550" t="s">
        <v>1108</v>
      </c>
      <c r="B550" t="s">
        <v>1109</v>
      </c>
      <c r="C550" t="s">
        <v>8</v>
      </c>
      <c r="D550">
        <v>3.43</v>
      </c>
      <c r="E550">
        <f>341052096/(1000)</f>
        <v>341052.09600000002</v>
      </c>
      <c r="F550">
        <f>713110976/(1000)</f>
        <v>713110.97600000002</v>
      </c>
      <c r="G550">
        <f>63641000/(1000)</f>
        <v>63641</v>
      </c>
      <c r="H550">
        <f>692498112/(1000)</f>
        <v>692498.11199999996</v>
      </c>
      <c r="I550">
        <f>128070000/(1000)</f>
        <v>128070</v>
      </c>
      <c r="J550">
        <f t="shared" si="9"/>
        <v>5.4071844460060895E-3</v>
      </c>
      <c r="K550">
        <f>82385001/(1000)</f>
        <v>82385.001000000004</v>
      </c>
      <c r="L550">
        <v>0</v>
      </c>
      <c r="M550">
        <v>9.5178203582763707</v>
      </c>
      <c r="N550">
        <v>89.555285911722194</v>
      </c>
      <c r="O550">
        <v>4.8339328765869096</v>
      </c>
      <c r="P550">
        <v>0</v>
      </c>
      <c r="Q550">
        <v>0.44372575139635301</v>
      </c>
      <c r="R550">
        <v>4.6351353522850101</v>
      </c>
      <c r="S550">
        <v>501.36020846158402</v>
      </c>
      <c r="T550">
        <v>0</v>
      </c>
      <c r="U550">
        <v>0</v>
      </c>
      <c r="V550">
        <v>0</v>
      </c>
      <c r="W550">
        <v>0</v>
      </c>
    </row>
    <row r="551" spans="1:23" x14ac:dyDescent="0.55000000000000004">
      <c r="A551" t="s">
        <v>1110</v>
      </c>
      <c r="B551" t="s">
        <v>1111</v>
      </c>
      <c r="C551" t="s">
        <v>5</v>
      </c>
      <c r="D551">
        <v>15.16</v>
      </c>
      <c r="E551">
        <f>273906336/(1000)</f>
        <v>273906.33600000001</v>
      </c>
      <c r="F551">
        <f>711673984/(1000)</f>
        <v>711673.98400000005</v>
      </c>
      <c r="G551">
        <f>31875000/(1000)</f>
        <v>31875</v>
      </c>
      <c r="H551">
        <f>316892336/(1000)</f>
        <v>316892.33600000001</v>
      </c>
      <c r="I551">
        <f>48896000/(1000)</f>
        <v>48896</v>
      </c>
      <c r="J551">
        <f t="shared" si="9"/>
        <v>6.4809460078534033E-3</v>
      </c>
      <c r="K551">
        <f>42020001/(1000)</f>
        <v>42020.000999999997</v>
      </c>
      <c r="L551">
        <v>0</v>
      </c>
      <c r="M551">
        <v>5.5668301582336399</v>
      </c>
      <c r="N551">
        <v>97.629474444291205</v>
      </c>
      <c r="O551">
        <v>30.372337341308601</v>
      </c>
      <c r="P551">
        <v>0</v>
      </c>
      <c r="Q551">
        <v>0.98869781498221498</v>
      </c>
      <c r="R551">
        <v>14.7184466496974</v>
      </c>
      <c r="S551">
        <v>26.505202797972899</v>
      </c>
      <c r="T551">
        <v>0</v>
      </c>
      <c r="U551">
        <v>0</v>
      </c>
      <c r="V551">
        <v>0</v>
      </c>
      <c r="W551">
        <v>0</v>
      </c>
    </row>
    <row r="552" spans="1:23" x14ac:dyDescent="0.55000000000000004">
      <c r="A552" t="s">
        <v>1112</v>
      </c>
      <c r="B552" t="s">
        <v>1113</v>
      </c>
      <c r="C552" t="s">
        <v>31</v>
      </c>
      <c r="D552">
        <v>19.12</v>
      </c>
      <c r="E552">
        <f>788803264/(1000)</f>
        <v>788803.26399999997</v>
      </c>
      <c r="F552">
        <f>710120000/(1000)</f>
        <v>710120</v>
      </c>
      <c r="G552">
        <f>52831000/(1000)</f>
        <v>52831</v>
      </c>
      <c r="H552">
        <f>568752256/(1000)</f>
        <v>568752.25600000005</v>
      </c>
      <c r="I552">
        <f>77774000/(1000)</f>
        <v>77774</v>
      </c>
      <c r="J552">
        <f t="shared" si="9"/>
        <v>7.3128842029470007E-3</v>
      </c>
      <c r="K552">
        <f>16777001/(1000)</f>
        <v>16777.001</v>
      </c>
      <c r="L552">
        <v>39.701587677002003</v>
      </c>
      <c r="M552">
        <v>12.1374425888062</v>
      </c>
      <c r="N552">
        <v>84.442033380749606</v>
      </c>
      <c r="O552">
        <v>0</v>
      </c>
      <c r="P552">
        <v>0</v>
      </c>
      <c r="Q552">
        <v>1.94903160258789</v>
      </c>
      <c r="R552">
        <v>12.4155850278163</v>
      </c>
      <c r="S552">
        <v>56.850447952792898</v>
      </c>
      <c r="T552">
        <v>0</v>
      </c>
      <c r="U552">
        <v>0</v>
      </c>
      <c r="V552">
        <v>0</v>
      </c>
      <c r="W552">
        <v>0</v>
      </c>
    </row>
    <row r="553" spans="1:23" x14ac:dyDescent="0.55000000000000004">
      <c r="A553" t="s">
        <v>1114</v>
      </c>
      <c r="B553" t="s">
        <v>1115</v>
      </c>
      <c r="C553" t="s">
        <v>5</v>
      </c>
      <c r="D553">
        <v>1.89</v>
      </c>
      <c r="E553">
        <f>115459344/(1000)</f>
        <v>115459.344</v>
      </c>
      <c r="F553">
        <f>709556992/(1000)</f>
        <v>709556.99199999997</v>
      </c>
      <c r="G553">
        <f>107167000/(1000)</f>
        <v>107167</v>
      </c>
      <c r="H553">
        <f>307737344/(1000)</f>
        <v>307737.34399999998</v>
      </c>
      <c r="I553">
        <f>127529000/(1000)</f>
        <v>127529</v>
      </c>
      <c r="J553">
        <f t="shared" si="9"/>
        <v>2.4130773706372666E-3</v>
      </c>
      <c r="K553">
        <f>167805009/(1000)</f>
        <v>167805.00899999999</v>
      </c>
      <c r="L553">
        <v>0</v>
      </c>
      <c r="M553">
        <v>19.769605636596701</v>
      </c>
      <c r="N553">
        <v>49.0913350091718</v>
      </c>
      <c r="O553">
        <v>59.123180389404297</v>
      </c>
      <c r="P553">
        <v>0.25</v>
      </c>
      <c r="Q553">
        <v>0</v>
      </c>
      <c r="R553">
        <v>2.90769232567951</v>
      </c>
      <c r="S553">
        <v>72.086412094756597</v>
      </c>
      <c r="T553">
        <v>0</v>
      </c>
      <c r="U553">
        <v>0</v>
      </c>
      <c r="V553">
        <v>0</v>
      </c>
      <c r="W553">
        <v>0</v>
      </c>
    </row>
    <row r="554" spans="1:23" x14ac:dyDescent="0.55000000000000004">
      <c r="A554" t="s">
        <v>1116</v>
      </c>
      <c r="B554" t="s">
        <v>1117</v>
      </c>
      <c r="C554" t="s">
        <v>184</v>
      </c>
      <c r="D554">
        <v>21.59</v>
      </c>
      <c r="E554">
        <f>1237638144/(1000)</f>
        <v>1237638.1440000001</v>
      </c>
      <c r="F554">
        <f>705590016/(1000)</f>
        <v>705590.01599999995</v>
      </c>
      <c r="G554">
        <f>0/(1000)</f>
        <v>0</v>
      </c>
      <c r="H554">
        <f>0/(1000)</f>
        <v>0</v>
      </c>
      <c r="I554">
        <f>0/(1000)</f>
        <v>0</v>
      </c>
      <c r="J554">
        <f t="shared" si="9"/>
        <v>1</v>
      </c>
      <c r="K554">
        <f>45756001/(1000)</f>
        <v>45756.000999999997</v>
      </c>
      <c r="L554">
        <v>14.7841196060181</v>
      </c>
      <c r="M554">
        <v>11.993014335632299</v>
      </c>
      <c r="N554">
        <v>92.1503155670014</v>
      </c>
      <c r="O554">
        <v>114.71169281005901</v>
      </c>
      <c r="P554">
        <v>0.92000001668930098</v>
      </c>
      <c r="Q554">
        <v>1.2260079162005699</v>
      </c>
      <c r="R554">
        <v>14.1111111998471</v>
      </c>
      <c r="S554">
        <v>28.799134644490099</v>
      </c>
      <c r="T554">
        <v>0</v>
      </c>
      <c r="U554">
        <v>0</v>
      </c>
      <c r="V554">
        <v>0</v>
      </c>
      <c r="W554">
        <v>0</v>
      </c>
    </row>
    <row r="555" spans="1:23" x14ac:dyDescent="0.55000000000000004">
      <c r="A555" t="s">
        <v>1118</v>
      </c>
      <c r="B555" t="s">
        <v>1119</v>
      </c>
      <c r="C555" t="s">
        <v>184</v>
      </c>
      <c r="D555">
        <v>52.78</v>
      </c>
      <c r="E555">
        <f>1768404480/(1000)</f>
        <v>1768404.48</v>
      </c>
      <c r="F555">
        <f>704438016/(1000)</f>
        <v>704438.01599999995</v>
      </c>
      <c r="G555">
        <f>0/(1000)</f>
        <v>0</v>
      </c>
      <c r="H555">
        <f>1822136480/(1000)</f>
        <v>1822136.48</v>
      </c>
      <c r="I555">
        <f>0/(1000)</f>
        <v>0</v>
      </c>
      <c r="J555">
        <f t="shared" si="9"/>
        <v>1</v>
      </c>
      <c r="K555">
        <f>244106001/(1000)</f>
        <v>244106.00099999999</v>
      </c>
      <c r="L555">
        <v>20.3693523406982</v>
      </c>
      <c r="M555">
        <v>14.1712837219238</v>
      </c>
      <c r="N555">
        <v>92.817534373343094</v>
      </c>
      <c r="O555">
        <v>13.0795888900757</v>
      </c>
      <c r="P555">
        <v>0</v>
      </c>
      <c r="Q555">
        <v>1.2838724883406301</v>
      </c>
      <c r="R555">
        <v>9.9584904253122097</v>
      </c>
      <c r="S555">
        <v>26.750607074573601</v>
      </c>
      <c r="T555">
        <v>0</v>
      </c>
      <c r="U555">
        <v>0</v>
      </c>
      <c r="V555">
        <v>0</v>
      </c>
      <c r="W555">
        <v>0</v>
      </c>
    </row>
    <row r="556" spans="1:23" x14ac:dyDescent="0.55000000000000004">
      <c r="A556" t="s">
        <v>1120</v>
      </c>
      <c r="B556" t="s">
        <v>1121</v>
      </c>
      <c r="C556" t="s">
        <v>184</v>
      </c>
      <c r="D556">
        <v>49.14</v>
      </c>
      <c r="E556">
        <f>2011708160/(1000)</f>
        <v>2011708.16</v>
      </c>
      <c r="F556">
        <f>703798016/(1000)</f>
        <v>703798.01599999995</v>
      </c>
      <c r="G556">
        <f>0/(1000)</f>
        <v>0</v>
      </c>
      <c r="H556">
        <f>0/(1000)</f>
        <v>0</v>
      </c>
      <c r="I556">
        <f>0/(1000)</f>
        <v>0</v>
      </c>
      <c r="J556">
        <f t="shared" si="9"/>
        <v>1</v>
      </c>
      <c r="K556">
        <f>103408001/(1000)</f>
        <v>103408.001</v>
      </c>
      <c r="L556">
        <v>24.1131782531738</v>
      </c>
      <c r="M556">
        <v>8.5329322814941406</v>
      </c>
      <c r="N556">
        <v>87.973118190636498</v>
      </c>
      <c r="O556">
        <v>202.62594604492199</v>
      </c>
      <c r="P556">
        <v>0.69999998807907104</v>
      </c>
      <c r="Q556">
        <v>2.1300390134236999</v>
      </c>
      <c r="R556">
        <v>22.962617330284999</v>
      </c>
      <c r="S556">
        <v>33.626870257428898</v>
      </c>
      <c r="T556">
        <v>0</v>
      </c>
      <c r="U556">
        <v>0</v>
      </c>
      <c r="V556">
        <v>0</v>
      </c>
      <c r="W556">
        <v>0</v>
      </c>
    </row>
    <row r="557" spans="1:23" x14ac:dyDescent="0.55000000000000004">
      <c r="A557" t="s">
        <v>1122</v>
      </c>
      <c r="B557" t="s">
        <v>1123</v>
      </c>
      <c r="C557" t="s">
        <v>2</v>
      </c>
      <c r="D557">
        <v>10.53</v>
      </c>
      <c r="E557">
        <f>224313216/(1000)</f>
        <v>224313.21599999999</v>
      </c>
      <c r="F557">
        <f>698126976/(1000)</f>
        <v>698126.97600000002</v>
      </c>
      <c r="G557">
        <f>61685000/(1000)</f>
        <v>61685</v>
      </c>
      <c r="H557">
        <f>208447215/(1000)</f>
        <v>208447.215</v>
      </c>
      <c r="I557">
        <f>75770000/(1000)</f>
        <v>75770</v>
      </c>
      <c r="J557">
        <f t="shared" si="9"/>
        <v>2.7510520654612644E-3</v>
      </c>
      <c r="K557">
        <f>863001/(1000)</f>
        <v>863.00099999999998</v>
      </c>
      <c r="L557">
        <v>0</v>
      </c>
      <c r="M557">
        <v>13.7716941833496</v>
      </c>
      <c r="N557">
        <v>75.240234043124701</v>
      </c>
      <c r="O557">
        <v>2.7489999774839998E-3</v>
      </c>
      <c r="P557">
        <v>0.119999997317791</v>
      </c>
      <c r="Q557">
        <v>0.69642855903909495</v>
      </c>
      <c r="R557">
        <v>7.7999998366391203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55000000000000004">
      <c r="A558" t="s">
        <v>1124</v>
      </c>
      <c r="B558" t="s">
        <v>1125</v>
      </c>
      <c r="C558" t="s">
        <v>38</v>
      </c>
      <c r="D558">
        <v>41.34</v>
      </c>
      <c r="E558">
        <f>1115911296/(1000)</f>
        <v>1115911.2960000001</v>
      </c>
      <c r="F558">
        <f>697934016/(1000)</f>
        <v>697934.01599999995</v>
      </c>
      <c r="G558">
        <f>96562000/(1000)</f>
        <v>96562</v>
      </c>
      <c r="H558">
        <f>1470756320/(1000)</f>
        <v>1470756.32</v>
      </c>
      <c r="I558">
        <f>110311000/(1000)</f>
        <v>110311</v>
      </c>
      <c r="J558">
        <f t="shared" si="9"/>
        <v>1.3332816491555693E-2</v>
      </c>
      <c r="K558">
        <f>64452001/(1000)</f>
        <v>64452.000999999997</v>
      </c>
      <c r="L558">
        <v>20.287782669067401</v>
      </c>
      <c r="M558">
        <v>16.057895660400401</v>
      </c>
      <c r="N558">
        <v>98.393317799537201</v>
      </c>
      <c r="O558">
        <v>5.3682279586792001</v>
      </c>
      <c r="P558">
        <v>0</v>
      </c>
      <c r="Q558">
        <v>2.05186757816745</v>
      </c>
      <c r="R558">
        <v>13.966216369010301</v>
      </c>
      <c r="S558">
        <v>439.26169732115801</v>
      </c>
      <c r="T558">
        <v>0</v>
      </c>
      <c r="U558">
        <v>0</v>
      </c>
      <c r="V558">
        <v>0</v>
      </c>
      <c r="W558">
        <v>0</v>
      </c>
    </row>
    <row r="559" spans="1:23" x14ac:dyDescent="0.55000000000000004">
      <c r="A559" t="s">
        <v>1126</v>
      </c>
      <c r="B559" t="s">
        <v>1127</v>
      </c>
      <c r="C559" t="s">
        <v>2</v>
      </c>
      <c r="D559">
        <v>19.84</v>
      </c>
      <c r="E559">
        <f>248339264/(1000)</f>
        <v>248339.264</v>
      </c>
      <c r="F559">
        <f>697540992/(1000)</f>
        <v>697540.99199999997</v>
      </c>
      <c r="G559">
        <f>39519000/(1000)</f>
        <v>39519</v>
      </c>
      <c r="H559">
        <f>363634264/(1000)</f>
        <v>363634.26400000002</v>
      </c>
      <c r="I559">
        <f>56632000/(1000)</f>
        <v>56632</v>
      </c>
      <c r="J559">
        <f t="shared" si="9"/>
        <v>6.4210033903093662E-3</v>
      </c>
      <c r="K559">
        <f>34799001/(1000)</f>
        <v>34799.000999999997</v>
      </c>
      <c r="L559">
        <v>17.008802413940401</v>
      </c>
      <c r="M559">
        <v>8.6578474044799805</v>
      </c>
      <c r="N559">
        <v>93.678245655605295</v>
      </c>
      <c r="O559">
        <v>60.345134735107401</v>
      </c>
      <c r="P559">
        <v>0.83999997377395597</v>
      </c>
      <c r="Q559">
        <v>0</v>
      </c>
      <c r="R559">
        <v>10.540934788085501</v>
      </c>
      <c r="S559">
        <v>42.2978092051884</v>
      </c>
      <c r="T559">
        <v>0</v>
      </c>
      <c r="U559">
        <v>0</v>
      </c>
      <c r="V559">
        <v>0</v>
      </c>
      <c r="W559">
        <v>0</v>
      </c>
    </row>
    <row r="560" spans="1:23" x14ac:dyDescent="0.55000000000000004">
      <c r="A560" t="s">
        <v>1128</v>
      </c>
      <c r="B560" t="s">
        <v>1129</v>
      </c>
      <c r="C560" t="s">
        <v>2</v>
      </c>
      <c r="D560">
        <v>0.93</v>
      </c>
      <c r="E560">
        <f>20029224/(1000)</f>
        <v>20029.223999999998</v>
      </c>
      <c r="F560">
        <f>696785984/(1000)</f>
        <v>696785.98400000005</v>
      </c>
      <c r="G560">
        <f>20254000/(1000)</f>
        <v>20254</v>
      </c>
      <c r="H560">
        <f>171737224/(1000)</f>
        <v>171737.22399999999</v>
      </c>
      <c r="I560">
        <f>36679000/(1000)</f>
        <v>36679</v>
      </c>
      <c r="J560">
        <f t="shared" si="9"/>
        <v>4.6821675618201148E-3</v>
      </c>
      <c r="K560">
        <f>30594001/(1000)</f>
        <v>30594.001</v>
      </c>
      <c r="L560">
        <v>0</v>
      </c>
      <c r="M560">
        <v>-1.2262370586395299</v>
      </c>
      <c r="N560">
        <v>85.0938842947686</v>
      </c>
      <c r="O560">
        <v>60.197483062744098</v>
      </c>
      <c r="P560">
        <v>0</v>
      </c>
      <c r="Q560">
        <v>0</v>
      </c>
      <c r="R560">
        <v>18.600001251697599</v>
      </c>
      <c r="S560">
        <v>133.29001355091401</v>
      </c>
      <c r="T560">
        <v>0</v>
      </c>
      <c r="U560">
        <v>0</v>
      </c>
      <c r="V560">
        <v>0</v>
      </c>
      <c r="W560">
        <v>0</v>
      </c>
    </row>
    <row r="561" spans="1:23" x14ac:dyDescent="0.55000000000000004">
      <c r="A561" t="s">
        <v>1130</v>
      </c>
      <c r="B561" t="s">
        <v>1131</v>
      </c>
      <c r="C561" t="s">
        <v>94</v>
      </c>
      <c r="D561">
        <v>26.96</v>
      </c>
      <c r="E561">
        <f>1036617344/(1000)</f>
        <v>1036617.344</v>
      </c>
      <c r="F561">
        <f>695913984/(1000)</f>
        <v>695913.98400000005</v>
      </c>
      <c r="G561">
        <f>182866000/(1000)</f>
        <v>182866</v>
      </c>
      <c r="H561">
        <f>2003619328/(1000)</f>
        <v>2003619.328</v>
      </c>
      <c r="I561">
        <f>282566016/(1000)</f>
        <v>282566.016</v>
      </c>
      <c r="J561">
        <f t="shared" si="9"/>
        <v>7.0908007847624533E-3</v>
      </c>
      <c r="K561">
        <f>-9291999/(1000)</f>
        <v>-9291.9989999999998</v>
      </c>
      <c r="L561">
        <v>17.884191513061499</v>
      </c>
      <c r="M561">
        <v>11.224754333496101</v>
      </c>
      <c r="N561">
        <v>98.595588216823302</v>
      </c>
      <c r="O561">
        <v>76.362892150878906</v>
      </c>
      <c r="P561">
        <v>1.3999999761581401</v>
      </c>
      <c r="Q561">
        <v>0</v>
      </c>
      <c r="R561">
        <v>14.264549663180899</v>
      </c>
      <c r="S561">
        <v>-23.3989133770271</v>
      </c>
      <c r="T561">
        <v>0</v>
      </c>
      <c r="U561">
        <v>0</v>
      </c>
      <c r="V561">
        <v>0</v>
      </c>
      <c r="W561">
        <v>0</v>
      </c>
    </row>
    <row r="562" spans="1:23" x14ac:dyDescent="0.55000000000000004">
      <c r="A562" t="s">
        <v>1132</v>
      </c>
      <c r="B562" t="s">
        <v>1133</v>
      </c>
      <c r="C562" t="s">
        <v>20</v>
      </c>
      <c r="D562">
        <v>8.77</v>
      </c>
      <c r="E562">
        <f>138988720/(1000)</f>
        <v>138988.72</v>
      </c>
      <c r="F562">
        <f>695798016/(1000)</f>
        <v>695798.01599999995</v>
      </c>
      <c r="G562">
        <f>40994000/(1000)</f>
        <v>40994</v>
      </c>
      <c r="H562">
        <f>366540720/(1000)</f>
        <v>366540.72</v>
      </c>
      <c r="I562">
        <f>57017000/(1000)</f>
        <v>57017</v>
      </c>
      <c r="J562">
        <f t="shared" si="9"/>
        <v>6.4286216391602497E-3</v>
      </c>
      <c r="K562">
        <f>23040001/(1000)</f>
        <v>23040.001</v>
      </c>
      <c r="L562">
        <v>16.531221389770501</v>
      </c>
      <c r="M562">
        <v>4.4764490127563503</v>
      </c>
      <c r="N562">
        <v>83.282013917163098</v>
      </c>
      <c r="O562">
        <v>66.817649841308594</v>
      </c>
      <c r="P562">
        <v>0.72000002861022905</v>
      </c>
      <c r="Q562">
        <v>0</v>
      </c>
      <c r="R562">
        <v>0</v>
      </c>
      <c r="S562">
        <v>-8.9986645914850296</v>
      </c>
      <c r="T562">
        <v>0</v>
      </c>
      <c r="U562">
        <v>0</v>
      </c>
      <c r="V562">
        <v>0</v>
      </c>
      <c r="W562">
        <v>0</v>
      </c>
    </row>
    <row r="563" spans="1:23" x14ac:dyDescent="0.55000000000000004">
      <c r="A563" t="s">
        <v>1134</v>
      </c>
      <c r="B563" t="s">
        <v>1135</v>
      </c>
      <c r="C563" t="s">
        <v>38</v>
      </c>
      <c r="D563">
        <v>23.94</v>
      </c>
      <c r="E563">
        <f>694777152/(1000)</f>
        <v>694777.152</v>
      </c>
      <c r="F563">
        <f>694288000/(1000)</f>
        <v>694288</v>
      </c>
      <c r="G563">
        <f>80991000/(1000)</f>
        <v>80991</v>
      </c>
      <c r="H563">
        <f>884385152/(1000)</f>
        <v>884385.152</v>
      </c>
      <c r="I563">
        <f>112525000/(1000)</f>
        <v>112525</v>
      </c>
      <c r="J563">
        <f t="shared" si="9"/>
        <v>7.8594548055987562E-3</v>
      </c>
      <c r="K563">
        <f>44984001/(1000)</f>
        <v>44984.000999999997</v>
      </c>
      <c r="L563">
        <v>18.082069396972699</v>
      </c>
      <c r="M563">
        <v>8.7704534530639595</v>
      </c>
      <c r="N563">
        <v>98.966629283731507</v>
      </c>
      <c r="O563">
        <v>44.125370025634801</v>
      </c>
      <c r="P563">
        <v>0</v>
      </c>
      <c r="Q563">
        <v>1.2583443371394401</v>
      </c>
      <c r="R563">
        <v>14.5090911803495</v>
      </c>
      <c r="S563">
        <v>53.243480027246399</v>
      </c>
      <c r="T563">
        <v>0</v>
      </c>
      <c r="U563">
        <v>0</v>
      </c>
      <c r="V563">
        <v>0</v>
      </c>
      <c r="W563">
        <v>0</v>
      </c>
    </row>
    <row r="564" spans="1:23" x14ac:dyDescent="0.55000000000000004">
      <c r="A564" t="s">
        <v>1136</v>
      </c>
      <c r="B564" t="s">
        <v>1137</v>
      </c>
      <c r="C564" t="s">
        <v>184</v>
      </c>
      <c r="D564">
        <v>20.57</v>
      </c>
      <c r="E564">
        <f>488101408/(1000)</f>
        <v>488101.408</v>
      </c>
      <c r="F564">
        <f>691644992/(1000)</f>
        <v>691644.99199999997</v>
      </c>
      <c r="G564">
        <f>0/(1000)</f>
        <v>0</v>
      </c>
      <c r="H564">
        <f>0/(1000)</f>
        <v>0</v>
      </c>
      <c r="I564">
        <f>0/(1000)</f>
        <v>0</v>
      </c>
      <c r="J564">
        <f t="shared" si="9"/>
        <v>1</v>
      </c>
      <c r="K564">
        <f>72547001/(1000)</f>
        <v>72547.001000000004</v>
      </c>
      <c r="L564">
        <v>20.126256942748999</v>
      </c>
      <c r="M564">
        <v>7.3571238517761204</v>
      </c>
      <c r="N564">
        <v>94.190183109103401</v>
      </c>
      <c r="O564">
        <v>142.65051269531301</v>
      </c>
      <c r="P564">
        <v>0.36000001430511502</v>
      </c>
      <c r="Q564">
        <v>0.63674352269015699</v>
      </c>
      <c r="R564">
        <v>13.4444445618574</v>
      </c>
      <c r="S564">
        <v>184.73889577370201</v>
      </c>
      <c r="T564">
        <v>0</v>
      </c>
      <c r="U564">
        <v>0</v>
      </c>
      <c r="V564">
        <v>0</v>
      </c>
      <c r="W564">
        <v>0</v>
      </c>
    </row>
    <row r="565" spans="1:23" x14ac:dyDescent="0.55000000000000004">
      <c r="A565" t="s">
        <v>1138</v>
      </c>
      <c r="B565" t="s">
        <v>1139</v>
      </c>
      <c r="C565" t="s">
        <v>8</v>
      </c>
      <c r="D565">
        <v>9.76</v>
      </c>
      <c r="E565">
        <f>957592640/(1000)</f>
        <v>957592.64</v>
      </c>
      <c r="F565">
        <f>690225984/(1000)</f>
        <v>690225.98400000005</v>
      </c>
      <c r="G565">
        <f>135744992/(1000)</f>
        <v>135744.992</v>
      </c>
      <c r="H565">
        <f>1139899648/(1000)</f>
        <v>1139899.648</v>
      </c>
      <c r="I565">
        <f>214238000/(1000)</f>
        <v>214238</v>
      </c>
      <c r="J565">
        <f t="shared" si="9"/>
        <v>5.3207164368599411E-3</v>
      </c>
      <c r="K565">
        <f>-106885999/(1000)</f>
        <v>-106885.999</v>
      </c>
      <c r="L565">
        <v>22.019647598266602</v>
      </c>
      <c r="M565">
        <v>23.3826999664307</v>
      </c>
      <c r="N565">
        <v>23.351509846269</v>
      </c>
      <c r="O565">
        <v>38.214195251464801</v>
      </c>
      <c r="P565">
        <v>0.106666669249535</v>
      </c>
      <c r="Q565">
        <v>2.0656085557404502</v>
      </c>
      <c r="R565">
        <v>12.049382963152899</v>
      </c>
      <c r="S565">
        <v>230.20426924364901</v>
      </c>
      <c r="T565">
        <v>0</v>
      </c>
      <c r="U565">
        <v>0</v>
      </c>
      <c r="V565">
        <v>0</v>
      </c>
      <c r="W565">
        <v>0</v>
      </c>
    </row>
    <row r="566" spans="1:23" x14ac:dyDescent="0.55000000000000004">
      <c r="A566" t="s">
        <v>1140</v>
      </c>
      <c r="B566" t="s">
        <v>1141</v>
      </c>
      <c r="C566" t="s">
        <v>5</v>
      </c>
      <c r="D566">
        <v>24.66</v>
      </c>
      <c r="E566">
        <f>2312166144/(1000)</f>
        <v>2312166.1439999999</v>
      </c>
      <c r="F566">
        <f>689609984/(1000)</f>
        <v>689609.98400000005</v>
      </c>
      <c r="G566">
        <f>175620000/(1000)</f>
        <v>175620</v>
      </c>
      <c r="H566">
        <f>2073128144/(1000)</f>
        <v>2073128.1440000001</v>
      </c>
      <c r="I566">
        <f>225102992/(1000)</f>
        <v>225102.992</v>
      </c>
      <c r="J566">
        <f t="shared" si="9"/>
        <v>9.2096871995375352E-3</v>
      </c>
      <c r="K566">
        <f>147752993/(1000)</f>
        <v>147752.99299999999</v>
      </c>
      <c r="L566">
        <v>24.041622161865199</v>
      </c>
      <c r="M566">
        <v>13.4374046325684</v>
      </c>
      <c r="N566">
        <v>38.211509355064102</v>
      </c>
      <c r="O566">
        <v>0</v>
      </c>
      <c r="P566">
        <v>0.80000001192092896</v>
      </c>
      <c r="Q566">
        <v>0</v>
      </c>
      <c r="R566">
        <v>17.7410068866734</v>
      </c>
      <c r="S566">
        <v>83.888636264925196</v>
      </c>
      <c r="T566">
        <v>0</v>
      </c>
      <c r="U566">
        <v>0</v>
      </c>
      <c r="V566">
        <v>0</v>
      </c>
      <c r="W566">
        <v>0</v>
      </c>
    </row>
    <row r="567" spans="1:23" x14ac:dyDescent="0.55000000000000004">
      <c r="A567" t="s">
        <v>1142</v>
      </c>
      <c r="B567" t="s">
        <v>1143</v>
      </c>
      <c r="C567" t="s">
        <v>5</v>
      </c>
      <c r="D567">
        <v>4.74</v>
      </c>
      <c r="E567">
        <f>269810272/(1000)</f>
        <v>269810.272</v>
      </c>
      <c r="F567">
        <f>688772992/(1000)</f>
        <v>688772.99199999997</v>
      </c>
      <c r="G567">
        <f>87276000/(1000)</f>
        <v>87276</v>
      </c>
      <c r="H567">
        <f>571034272/(1000)</f>
        <v>571034.272</v>
      </c>
      <c r="I567">
        <f>126273000/(1000)</f>
        <v>126273</v>
      </c>
      <c r="J567">
        <f t="shared" si="9"/>
        <v>4.5222198886539482E-3</v>
      </c>
      <c r="K567">
        <f>56756997/(1000)</f>
        <v>56756.997000000003</v>
      </c>
      <c r="L567">
        <v>18.3358039855957</v>
      </c>
      <c r="M567">
        <v>16.2893581390381</v>
      </c>
      <c r="N567">
        <v>58.985804219756602</v>
      </c>
      <c r="O567">
        <v>105.47470092773401</v>
      </c>
      <c r="P567">
        <v>0.34999999403953602</v>
      </c>
      <c r="Q567">
        <v>0</v>
      </c>
      <c r="R567">
        <v>9.1153842483663698</v>
      </c>
      <c r="S567">
        <v>127.681508416084</v>
      </c>
      <c r="T567">
        <v>0</v>
      </c>
      <c r="U567">
        <v>0</v>
      </c>
      <c r="V567">
        <v>0</v>
      </c>
      <c r="W567">
        <v>0</v>
      </c>
    </row>
    <row r="568" spans="1:23" x14ac:dyDescent="0.55000000000000004">
      <c r="A568" t="s">
        <v>1144</v>
      </c>
      <c r="B568" t="s">
        <v>1145</v>
      </c>
      <c r="C568" t="s">
        <v>2</v>
      </c>
      <c r="D568">
        <v>6.9</v>
      </c>
      <c r="E568">
        <f>315147136/(1000)</f>
        <v>315147.136</v>
      </c>
      <c r="F568">
        <f>688353984/(1000)</f>
        <v>688353.98400000005</v>
      </c>
      <c r="G568">
        <f>134143000/(1000)</f>
        <v>134143</v>
      </c>
      <c r="H568">
        <f>644496128/(1000)</f>
        <v>644496.12800000003</v>
      </c>
      <c r="I568">
        <f>174103008/(1000)</f>
        <v>174103.008</v>
      </c>
      <c r="J568">
        <f t="shared" si="9"/>
        <v>3.7018092645475717E-3</v>
      </c>
      <c r="K568">
        <f>93083001/(1000)</f>
        <v>93083.001000000004</v>
      </c>
      <c r="L568">
        <v>0</v>
      </c>
      <c r="M568">
        <v>31.721860885620099</v>
      </c>
      <c r="N568">
        <v>79.378333406314297</v>
      </c>
      <c r="O568">
        <v>155.08264160156301</v>
      </c>
      <c r="P568">
        <v>0</v>
      </c>
      <c r="Q568">
        <v>0.88803090248459204</v>
      </c>
      <c r="R568">
        <v>4.5771145128394704</v>
      </c>
      <c r="S568">
        <v>64.314764491888795</v>
      </c>
      <c r="T568">
        <v>0</v>
      </c>
      <c r="U568">
        <v>0</v>
      </c>
      <c r="V568">
        <v>0</v>
      </c>
      <c r="W568">
        <v>0</v>
      </c>
    </row>
    <row r="569" spans="1:23" x14ac:dyDescent="0.55000000000000004">
      <c r="A569" t="s">
        <v>1146</v>
      </c>
      <c r="B569" t="s">
        <v>1147</v>
      </c>
      <c r="C569" t="s">
        <v>20</v>
      </c>
      <c r="D569">
        <v>0.84</v>
      </c>
      <c r="E569">
        <f>44342844/(1000)</f>
        <v>44342.843999999997</v>
      </c>
      <c r="F569">
        <f>688057024/(1000)</f>
        <v>688057.02399999998</v>
      </c>
      <c r="G569">
        <f>623798016/(1000)</f>
        <v>623798.01599999995</v>
      </c>
      <c r="H569">
        <f>5985379900/(1000)</f>
        <v>5985379.9000000004</v>
      </c>
      <c r="I569">
        <f>625209984/(1000)</f>
        <v>625209.98400000005</v>
      </c>
      <c r="J569">
        <f t="shared" si="9"/>
        <v>9.573391425559831E-3</v>
      </c>
      <c r="K569">
        <f>-9473999/(1000)</f>
        <v>-9473.9989999999998</v>
      </c>
      <c r="L569">
        <v>10.6707220077515</v>
      </c>
      <c r="M569">
        <v>-13.074949264526399</v>
      </c>
      <c r="N569">
        <v>96.077787608432402</v>
      </c>
      <c r="O569">
        <v>1651.31396484375</v>
      </c>
      <c r="P569">
        <v>0</v>
      </c>
      <c r="Q569">
        <v>0.14058600752310599</v>
      </c>
      <c r="R569">
        <v>0.53846151568362999</v>
      </c>
      <c r="S569">
        <v>550.25140718619502</v>
      </c>
      <c r="T569">
        <v>0</v>
      </c>
      <c r="U569">
        <v>0</v>
      </c>
      <c r="V569">
        <v>0</v>
      </c>
      <c r="W569">
        <v>0</v>
      </c>
    </row>
    <row r="570" spans="1:23" x14ac:dyDescent="0.55000000000000004">
      <c r="A570" t="s">
        <v>1148</v>
      </c>
      <c r="B570" t="s">
        <v>1149</v>
      </c>
      <c r="C570" t="s">
        <v>20</v>
      </c>
      <c r="D570">
        <v>7.47</v>
      </c>
      <c r="E570">
        <f>664871104/(1000)</f>
        <v>664871.10400000005</v>
      </c>
      <c r="F570">
        <f>687622016/(1000)</f>
        <v>687622.01599999995</v>
      </c>
      <c r="G570">
        <f>79369000/(1000)</f>
        <v>79369</v>
      </c>
      <c r="H570">
        <f>545306104/(1000)</f>
        <v>545306.10400000005</v>
      </c>
      <c r="I570">
        <f>102044000/(1000)</f>
        <v>102044</v>
      </c>
      <c r="J570">
        <f t="shared" si="9"/>
        <v>5.343833091607542E-3</v>
      </c>
      <c r="K570">
        <f>53449001/(1000)</f>
        <v>53449.000999999997</v>
      </c>
      <c r="L570">
        <v>22.906784057617202</v>
      </c>
      <c r="M570">
        <v>12.737322807311999</v>
      </c>
      <c r="N570">
        <v>29.0726974954589</v>
      </c>
      <c r="O570">
        <v>7.8210001811389995E-3</v>
      </c>
      <c r="P570">
        <v>2</v>
      </c>
      <c r="Q570">
        <v>1.32446807926015</v>
      </c>
      <c r="R570">
        <v>11.318181561619101</v>
      </c>
      <c r="S570">
        <v>112.524830858399</v>
      </c>
      <c r="T570">
        <v>0</v>
      </c>
      <c r="U570">
        <v>0</v>
      </c>
      <c r="V570">
        <v>0</v>
      </c>
      <c r="W570">
        <v>0</v>
      </c>
    </row>
    <row r="571" spans="1:23" x14ac:dyDescent="0.55000000000000004">
      <c r="A571" t="s">
        <v>1150</v>
      </c>
      <c r="B571" t="s">
        <v>1151</v>
      </c>
      <c r="C571" t="s">
        <v>8</v>
      </c>
      <c r="D571">
        <v>47.25</v>
      </c>
      <c r="E571">
        <f>2174270208/(1000)</f>
        <v>2174270.2080000001</v>
      </c>
      <c r="F571">
        <f>687073024/(1000)</f>
        <v>687073.02399999998</v>
      </c>
      <c r="G571">
        <f>233235008/(1000)</f>
        <v>233235.008</v>
      </c>
      <c r="H571">
        <f>2049055208/(1000)</f>
        <v>2049055.2080000001</v>
      </c>
      <c r="I571">
        <f>476854016/(1000)</f>
        <v>476854.016</v>
      </c>
      <c r="J571">
        <f t="shared" si="9"/>
        <v>4.29702831316828E-3</v>
      </c>
      <c r="K571">
        <f>-296735999/(1000)</f>
        <v>-296735.99900000001</v>
      </c>
      <c r="L571">
        <v>17.559175491333001</v>
      </c>
      <c r="M571">
        <v>9.4760923385620099</v>
      </c>
      <c r="N571">
        <v>94.737733822978001</v>
      </c>
      <c r="O571">
        <v>73.390342712402301</v>
      </c>
      <c r="P571">
        <v>0</v>
      </c>
      <c r="Q571">
        <v>1.7545488104179101</v>
      </c>
      <c r="R571">
        <v>12.5999998998642</v>
      </c>
      <c r="S571">
        <v>383.56481168679699</v>
      </c>
      <c r="T571">
        <v>0</v>
      </c>
      <c r="U571">
        <v>0</v>
      </c>
      <c r="V571">
        <v>0</v>
      </c>
      <c r="W571">
        <v>0</v>
      </c>
    </row>
    <row r="572" spans="1:23" x14ac:dyDescent="0.55000000000000004">
      <c r="A572" t="s">
        <v>1152</v>
      </c>
      <c r="B572" t="s">
        <v>1153</v>
      </c>
      <c r="C572" t="s">
        <v>31</v>
      </c>
      <c r="D572">
        <v>5.51</v>
      </c>
      <c r="E572">
        <f>185744848/(1000)</f>
        <v>185744.848</v>
      </c>
      <c r="F572">
        <f>685945024/(1000)</f>
        <v>685945.02399999998</v>
      </c>
      <c r="G572">
        <f>34718000/(1000)</f>
        <v>34718</v>
      </c>
      <c r="H572">
        <f>232133848/(1000)</f>
        <v>232133.848</v>
      </c>
      <c r="I572">
        <f>57536000/(1000)</f>
        <v>57536</v>
      </c>
      <c r="J572">
        <f t="shared" si="9"/>
        <v>4.0345843993325912E-3</v>
      </c>
      <c r="K572">
        <f>32545001/(1000)</f>
        <v>32545.001</v>
      </c>
      <c r="L572">
        <v>26.3172416687012</v>
      </c>
      <c r="M572">
        <v>7.9008817672729501</v>
      </c>
      <c r="N572">
        <v>96.544996808307801</v>
      </c>
      <c r="O572">
        <v>22.513700485229499</v>
      </c>
      <c r="P572">
        <v>0.119999997317791</v>
      </c>
      <c r="Q572">
        <v>0</v>
      </c>
      <c r="R572">
        <v>5.6804124395504498</v>
      </c>
      <c r="S572">
        <v>49.833776900158099</v>
      </c>
      <c r="T572">
        <v>0</v>
      </c>
      <c r="U572">
        <v>0</v>
      </c>
      <c r="V572">
        <v>0</v>
      </c>
      <c r="W572">
        <v>0</v>
      </c>
    </row>
    <row r="573" spans="1:23" x14ac:dyDescent="0.55000000000000004">
      <c r="A573" t="s">
        <v>1154</v>
      </c>
      <c r="B573" t="s">
        <v>1155</v>
      </c>
      <c r="C573" t="s">
        <v>2</v>
      </c>
      <c r="D573">
        <v>4.7300000000000004</v>
      </c>
      <c r="E573">
        <f>154601456/(1000)</f>
        <v>154601.45600000001</v>
      </c>
      <c r="F573">
        <f>681922496/(1000)</f>
        <v>681922.49600000004</v>
      </c>
      <c r="G573">
        <f>39250180/(1000)</f>
        <v>39250.18</v>
      </c>
      <c r="H573">
        <f>222573600/(1000)</f>
        <v>222573.6</v>
      </c>
      <c r="I573">
        <f>43312968/(1000)</f>
        <v>43312.968000000001</v>
      </c>
      <c r="J573">
        <f t="shared" si="9"/>
        <v>5.1387288906177015E-3</v>
      </c>
      <c r="K573">
        <f>-37876247/(1000)</f>
        <v>-37876.247000000003</v>
      </c>
      <c r="L573">
        <v>19.266071319580099</v>
      </c>
      <c r="M573">
        <v>21.088157653808601</v>
      </c>
      <c r="N573">
        <v>91.379002142209799</v>
      </c>
      <c r="O573">
        <v>48.923473358154297</v>
      </c>
      <c r="P573">
        <v>0.10000000149011599</v>
      </c>
      <c r="Q573">
        <v>1.1195266570035201</v>
      </c>
      <c r="R573">
        <v>3.2176871556488602</v>
      </c>
      <c r="S573">
        <v>162.75588858944499</v>
      </c>
      <c r="T573">
        <v>0</v>
      </c>
      <c r="U573">
        <v>0</v>
      </c>
      <c r="V573">
        <v>0</v>
      </c>
      <c r="W573">
        <v>0</v>
      </c>
    </row>
    <row r="574" spans="1:23" x14ac:dyDescent="0.55000000000000004">
      <c r="A574" t="s">
        <v>1156</v>
      </c>
      <c r="B574" t="s">
        <v>1157</v>
      </c>
      <c r="C574" t="s">
        <v>2</v>
      </c>
      <c r="D574">
        <v>14.16</v>
      </c>
      <c r="E574">
        <f>227030096/(1000)</f>
        <v>227030.09599999999</v>
      </c>
      <c r="F574">
        <f>680358976/(1000)</f>
        <v>680358.97600000002</v>
      </c>
      <c r="G574">
        <f>28026000/(1000)</f>
        <v>28026</v>
      </c>
      <c r="H574">
        <f>209008096/(1000)</f>
        <v>209008.09599999999</v>
      </c>
      <c r="I574">
        <f>36189000/(1000)</f>
        <v>36189</v>
      </c>
      <c r="J574">
        <f t="shared" si="9"/>
        <v>5.7754592832076042E-3</v>
      </c>
      <c r="K574">
        <f>5437001/(1000)</f>
        <v>5437.0010000000002</v>
      </c>
      <c r="L574">
        <v>0</v>
      </c>
      <c r="M574">
        <v>12.477308273315399</v>
      </c>
      <c r="N574">
        <v>37.469751880022997</v>
      </c>
      <c r="O574">
        <v>0.60088998079299905</v>
      </c>
      <c r="P574">
        <v>0</v>
      </c>
      <c r="Q574">
        <v>0</v>
      </c>
      <c r="R574">
        <v>12.206896301008999</v>
      </c>
      <c r="S574">
        <v>169.11656725155501</v>
      </c>
      <c r="T574">
        <v>0</v>
      </c>
      <c r="U574">
        <v>0</v>
      </c>
      <c r="V574">
        <v>0</v>
      </c>
      <c r="W574">
        <v>0</v>
      </c>
    </row>
    <row r="575" spans="1:23" x14ac:dyDescent="0.55000000000000004">
      <c r="A575" t="s">
        <v>1158</v>
      </c>
      <c r="B575" t="s">
        <v>1159</v>
      </c>
      <c r="C575" t="s">
        <v>184</v>
      </c>
      <c r="D575">
        <v>54.91</v>
      </c>
      <c r="E575">
        <f>921318400/(1000)</f>
        <v>921318.40000000002</v>
      </c>
      <c r="F575">
        <f>676659008/(1000)</f>
        <v>676659.00800000003</v>
      </c>
      <c r="G575">
        <f>0/(1000)</f>
        <v>0</v>
      </c>
      <c r="H575">
        <f>1021782400/(1000)</f>
        <v>1021782.4</v>
      </c>
      <c r="I575">
        <f>0/(1000)</f>
        <v>0</v>
      </c>
      <c r="J575">
        <f t="shared" si="9"/>
        <v>1</v>
      </c>
      <c r="K575">
        <f>275839009/(1000)</f>
        <v>275839.00900000002</v>
      </c>
      <c r="L575">
        <v>14.8051156997681</v>
      </c>
      <c r="M575">
        <v>15.7600364685059</v>
      </c>
      <c r="N575">
        <v>83.4415068175946</v>
      </c>
      <c r="O575">
        <v>18.678731918335</v>
      </c>
      <c r="P575">
        <v>0</v>
      </c>
      <c r="Q575">
        <v>1.3400526531722901</v>
      </c>
      <c r="R575">
        <v>12.256696260793801</v>
      </c>
      <c r="S575">
        <v>172.32149647051199</v>
      </c>
      <c r="T575">
        <v>0</v>
      </c>
      <c r="U575">
        <v>0</v>
      </c>
      <c r="V575">
        <v>0</v>
      </c>
      <c r="W575">
        <v>0</v>
      </c>
    </row>
    <row r="576" spans="1:23" x14ac:dyDescent="0.55000000000000004">
      <c r="A576" t="s">
        <v>1160</v>
      </c>
      <c r="B576" t="s">
        <v>1161</v>
      </c>
      <c r="C576" t="s">
        <v>5</v>
      </c>
      <c r="D576">
        <v>1.54</v>
      </c>
      <c r="E576">
        <f>94851992/(1000)</f>
        <v>94851.991999999998</v>
      </c>
      <c r="F576">
        <f>670150976/(1000)</f>
        <v>670150.97600000002</v>
      </c>
      <c r="G576">
        <f>39718000/(1000)</f>
        <v>39718</v>
      </c>
      <c r="H576">
        <f>38840992/(1000)</f>
        <v>38840.991999999998</v>
      </c>
      <c r="I576">
        <f>53218000/(1000)</f>
        <v>53218</v>
      </c>
      <c r="J576">
        <f t="shared" si="9"/>
        <v>7.2984689390807617E-4</v>
      </c>
      <c r="K576">
        <f>-8762999/(1000)</f>
        <v>-8762.9989999999998</v>
      </c>
      <c r="L576">
        <v>0</v>
      </c>
      <c r="M576">
        <v>3.8323240280151398</v>
      </c>
      <c r="N576">
        <v>91.334128142739303</v>
      </c>
      <c r="O576">
        <v>32.907260894775398</v>
      </c>
      <c r="P576">
        <v>0</v>
      </c>
      <c r="Q576">
        <v>0.40957445897846601</v>
      </c>
      <c r="R576">
        <v>5.8862424440815797</v>
      </c>
      <c r="S576">
        <v>0</v>
      </c>
      <c r="T576">
        <v>0</v>
      </c>
      <c r="U576">
        <v>0</v>
      </c>
      <c r="V576">
        <v>0</v>
      </c>
      <c r="W576">
        <v>0</v>
      </c>
    </row>
    <row r="577" spans="1:23" x14ac:dyDescent="0.55000000000000004">
      <c r="A577" t="s">
        <v>1162</v>
      </c>
      <c r="B577" t="s">
        <v>1163</v>
      </c>
      <c r="C577" t="s">
        <v>184</v>
      </c>
      <c r="D577">
        <v>38.06</v>
      </c>
      <c r="E577">
        <f>620750976/(1000)</f>
        <v>620750.97600000002</v>
      </c>
      <c r="F577">
        <f>670080000/(1000)</f>
        <v>670080</v>
      </c>
      <c r="G577">
        <f>0/(1000)</f>
        <v>0</v>
      </c>
      <c r="H577">
        <f>512968976/(1000)</f>
        <v>512968.97600000002</v>
      </c>
      <c r="I577">
        <f>0/(1000)</f>
        <v>0</v>
      </c>
      <c r="J577">
        <f t="shared" si="9"/>
        <v>1</v>
      </c>
      <c r="K577">
        <f>108794001/(1000)</f>
        <v>108794.001</v>
      </c>
      <c r="L577">
        <v>8.1494226455688494</v>
      </c>
      <c r="M577">
        <v>16.394834518432599</v>
      </c>
      <c r="N577">
        <v>84.1487981333715</v>
      </c>
      <c r="O577">
        <v>3.1442110538482702</v>
      </c>
      <c r="P577">
        <v>1.6000000238418599</v>
      </c>
      <c r="Q577">
        <v>1.0342391891943701</v>
      </c>
      <c r="R577">
        <v>8.2203028925323807</v>
      </c>
      <c r="S577">
        <v>26.600025719030999</v>
      </c>
      <c r="T577">
        <v>0</v>
      </c>
      <c r="U577">
        <v>0</v>
      </c>
      <c r="V577">
        <v>0</v>
      </c>
      <c r="W577">
        <v>0</v>
      </c>
    </row>
    <row r="578" spans="1:23" x14ac:dyDescent="0.55000000000000004">
      <c r="A578" t="s">
        <v>1164</v>
      </c>
      <c r="B578" t="s">
        <v>1165</v>
      </c>
      <c r="C578" t="s">
        <v>31</v>
      </c>
      <c r="D578">
        <v>5.21</v>
      </c>
      <c r="E578">
        <f>223032816/(1000)</f>
        <v>223032.81599999999</v>
      </c>
      <c r="F578">
        <f>669457984/(1000)</f>
        <v>669457.98400000005</v>
      </c>
      <c r="G578">
        <f>63580000/(1000)</f>
        <v>63580</v>
      </c>
      <c r="H578">
        <f>263040816/(1000)</f>
        <v>263040.81599999999</v>
      </c>
      <c r="I578">
        <f>93987000/(1000)</f>
        <v>93987</v>
      </c>
      <c r="J578">
        <f t="shared" ref="J578:J641" si="10">(IF(I578=0,1000,H578/I578))/(1000)</f>
        <v>2.7986936065626097E-3</v>
      </c>
      <c r="K578">
        <f>59944001/(1000)</f>
        <v>59944.000999999997</v>
      </c>
      <c r="L578">
        <v>34.602169036865199</v>
      </c>
      <c r="M578">
        <v>11.262377738952599</v>
      </c>
      <c r="N578">
        <v>99.331439546791003</v>
      </c>
      <c r="O578">
        <v>25.8677883148193</v>
      </c>
      <c r="P578">
        <v>0</v>
      </c>
      <c r="Q578">
        <v>0.59003398450317002</v>
      </c>
      <c r="R578">
        <v>5.21000003814697</v>
      </c>
      <c r="S578">
        <v>652.29296205149001</v>
      </c>
      <c r="T578">
        <v>0</v>
      </c>
      <c r="U578">
        <v>0</v>
      </c>
      <c r="V578">
        <v>0</v>
      </c>
      <c r="W578">
        <v>0</v>
      </c>
    </row>
    <row r="579" spans="1:23" x14ac:dyDescent="0.55000000000000004">
      <c r="A579" t="s">
        <v>1166</v>
      </c>
      <c r="B579" t="s">
        <v>1167</v>
      </c>
      <c r="C579" t="s">
        <v>20</v>
      </c>
      <c r="D579">
        <v>12</v>
      </c>
      <c r="E579">
        <f>258140400/(1000)</f>
        <v>258140.4</v>
      </c>
      <c r="F579">
        <f>668625024/(1000)</f>
        <v>668625.02399999998</v>
      </c>
      <c r="G579">
        <f>65252000/(1000)</f>
        <v>65252</v>
      </c>
      <c r="H579">
        <f>266067399.5/(1000)</f>
        <v>266067.3995</v>
      </c>
      <c r="I579">
        <f>82809000/(1000)</f>
        <v>82809</v>
      </c>
      <c r="J579">
        <f t="shared" si="10"/>
        <v>3.21302514823268E-3</v>
      </c>
      <c r="K579">
        <f>76140001/(1000)</f>
        <v>76140.001000000004</v>
      </c>
      <c r="L579">
        <v>16.059656143188501</v>
      </c>
      <c r="M579">
        <v>17.425462722778299</v>
      </c>
      <c r="N579">
        <v>87.793155743148404</v>
      </c>
      <c r="O579">
        <v>10.838210105896</v>
      </c>
      <c r="P579">
        <v>0</v>
      </c>
      <c r="Q579">
        <v>0.99420052223744204</v>
      </c>
      <c r="R579">
        <v>9.7560977642672793</v>
      </c>
      <c r="S579">
        <v>105.45830224020899</v>
      </c>
      <c r="T579">
        <v>0</v>
      </c>
      <c r="U579">
        <v>0</v>
      </c>
      <c r="V579">
        <v>0</v>
      </c>
      <c r="W579">
        <v>0</v>
      </c>
    </row>
    <row r="580" spans="1:23" x14ac:dyDescent="0.55000000000000004">
      <c r="A580" t="s">
        <v>1168</v>
      </c>
      <c r="B580" t="s">
        <v>1169</v>
      </c>
      <c r="C580" t="s">
        <v>2</v>
      </c>
      <c r="D580">
        <v>10.63</v>
      </c>
      <c r="E580">
        <f>301868608/(1000)</f>
        <v>301868.60800000001</v>
      </c>
      <c r="F580">
        <f>666395008/(1000)</f>
        <v>666395.00800000003</v>
      </c>
      <c r="G580">
        <f>85940000/(1000)</f>
        <v>85940</v>
      </c>
      <c r="H580">
        <f>396159608/(1000)</f>
        <v>396159.60800000001</v>
      </c>
      <c r="I580">
        <f>104646000/(1000)</f>
        <v>104646</v>
      </c>
      <c r="J580">
        <f t="shared" si="10"/>
        <v>3.7857119048984194E-3</v>
      </c>
      <c r="K580">
        <f>63479001/(1000)</f>
        <v>63479.000999999997</v>
      </c>
      <c r="L580">
        <v>0</v>
      </c>
      <c r="M580">
        <v>16.123420715331999</v>
      </c>
      <c r="N580">
        <v>98.809765403469697</v>
      </c>
      <c r="O580">
        <v>76.221603393554702</v>
      </c>
      <c r="P580">
        <v>0</v>
      </c>
      <c r="Q580">
        <v>0.73640455874148003</v>
      </c>
      <c r="R580">
        <v>4.3036438250323199</v>
      </c>
      <c r="S580">
        <v>0</v>
      </c>
      <c r="T580">
        <v>0</v>
      </c>
      <c r="U580">
        <v>0</v>
      </c>
      <c r="V580">
        <v>0</v>
      </c>
      <c r="W580">
        <v>0</v>
      </c>
    </row>
    <row r="581" spans="1:23" x14ac:dyDescent="0.55000000000000004">
      <c r="A581" t="s">
        <v>1170</v>
      </c>
      <c r="B581" t="s">
        <v>1171</v>
      </c>
      <c r="C581" t="s">
        <v>2</v>
      </c>
      <c r="D581">
        <v>27.5</v>
      </c>
      <c r="E581">
        <f>464626240/(1000)</f>
        <v>464626.24</v>
      </c>
      <c r="F581">
        <f>665740032/(1000)</f>
        <v>665740.03200000001</v>
      </c>
      <c r="G581">
        <f>59281000/(1000)</f>
        <v>59281</v>
      </c>
      <c r="H581">
        <f>422597244/(1000)</f>
        <v>422597.24400000001</v>
      </c>
      <c r="I581">
        <f>72730000/(1000)</f>
        <v>72730</v>
      </c>
      <c r="J581">
        <f t="shared" si="10"/>
        <v>5.8104942114670698E-3</v>
      </c>
      <c r="K581">
        <f>44933001/(1000)</f>
        <v>44933.000999999997</v>
      </c>
      <c r="L581">
        <v>21.874687194824201</v>
      </c>
      <c r="M581">
        <v>9.7497062683105504</v>
      </c>
      <c r="N581">
        <v>94.6672180560454</v>
      </c>
      <c r="O581">
        <v>5.2575740814209002</v>
      </c>
      <c r="P581">
        <v>0.15000000596046401</v>
      </c>
      <c r="Q581">
        <v>0.97001762363201605</v>
      </c>
      <c r="R581">
        <v>7.4931879768239602</v>
      </c>
      <c r="S581">
        <v>100.85806280321501</v>
      </c>
      <c r="T581">
        <v>0</v>
      </c>
      <c r="U581">
        <v>0</v>
      </c>
      <c r="V581">
        <v>0</v>
      </c>
      <c r="W581">
        <v>0</v>
      </c>
    </row>
    <row r="582" spans="1:23" x14ac:dyDescent="0.55000000000000004">
      <c r="A582" t="s">
        <v>1172</v>
      </c>
      <c r="B582" t="s">
        <v>1173</v>
      </c>
      <c r="C582" t="s">
        <v>184</v>
      </c>
      <c r="D582">
        <v>26.23</v>
      </c>
      <c r="E582">
        <f>860094848/(1000)</f>
        <v>860094.848</v>
      </c>
      <c r="F582">
        <f>664769984/(1000)</f>
        <v>664769.98400000005</v>
      </c>
      <c r="G582">
        <f>0/(1000)</f>
        <v>0</v>
      </c>
      <c r="H582">
        <f>0/(1000)</f>
        <v>0</v>
      </c>
      <c r="I582">
        <f>0/(1000)</f>
        <v>0</v>
      </c>
      <c r="J582">
        <f t="shared" si="10"/>
        <v>1</v>
      </c>
      <c r="K582">
        <f>162028001/(1000)</f>
        <v>162028.00099999999</v>
      </c>
      <c r="L582">
        <v>20.5548992156982</v>
      </c>
      <c r="M582">
        <v>18.9459133148193</v>
      </c>
      <c r="N582">
        <v>96.510267856530007</v>
      </c>
      <c r="O582">
        <v>105.290176391602</v>
      </c>
      <c r="P582">
        <v>0</v>
      </c>
      <c r="Q582">
        <v>1.13914707732731</v>
      </c>
      <c r="R582">
        <v>8.2225703955612701</v>
      </c>
      <c r="S582">
        <v>137.04367460187399</v>
      </c>
      <c r="T582">
        <v>0</v>
      </c>
      <c r="U582">
        <v>0</v>
      </c>
      <c r="V582">
        <v>0</v>
      </c>
      <c r="W582">
        <v>0</v>
      </c>
    </row>
    <row r="583" spans="1:23" x14ac:dyDescent="0.55000000000000004">
      <c r="A583" t="s">
        <v>1174</v>
      </c>
      <c r="B583" t="s">
        <v>1175</v>
      </c>
      <c r="C583" t="s">
        <v>2</v>
      </c>
      <c r="D583">
        <v>15.4</v>
      </c>
      <c r="E583">
        <f>280986848/(1000)</f>
        <v>280986.848</v>
      </c>
      <c r="F583">
        <f>664218048/(1000)</f>
        <v>664218.04799999995</v>
      </c>
      <c r="G583">
        <f>48873000/(1000)</f>
        <v>48873</v>
      </c>
      <c r="H583">
        <f>360214848/(1000)</f>
        <v>360214.848</v>
      </c>
      <c r="I583">
        <f>66927000/(1000)</f>
        <v>66927</v>
      </c>
      <c r="J583">
        <f t="shared" si="10"/>
        <v>5.3822052086601822E-3</v>
      </c>
      <c r="K583">
        <f>10920001/(1000)</f>
        <v>10920.001</v>
      </c>
      <c r="L583">
        <v>23.311265945434599</v>
      </c>
      <c r="M583">
        <v>16.539064407348601</v>
      </c>
      <c r="N583">
        <v>97.9502287262968</v>
      </c>
      <c r="O583">
        <v>1.8210920095443699</v>
      </c>
      <c r="P583">
        <v>0.519999980926514</v>
      </c>
      <c r="Q583">
        <v>0</v>
      </c>
      <c r="R583">
        <v>7.97927426096226</v>
      </c>
      <c r="S583">
        <v>56.587613240745398</v>
      </c>
      <c r="T583">
        <v>0</v>
      </c>
      <c r="U583">
        <v>0</v>
      </c>
      <c r="V583">
        <v>0</v>
      </c>
      <c r="W583">
        <v>0</v>
      </c>
    </row>
    <row r="584" spans="1:23" x14ac:dyDescent="0.55000000000000004">
      <c r="A584" t="s">
        <v>1176</v>
      </c>
      <c r="B584" t="s">
        <v>1177</v>
      </c>
      <c r="C584" t="s">
        <v>401</v>
      </c>
      <c r="D584">
        <v>11.05</v>
      </c>
      <c r="E584">
        <f>453393664/(1000)</f>
        <v>453393.66399999999</v>
      </c>
      <c r="F584">
        <f>663819008/(1000)</f>
        <v>663819.00800000003</v>
      </c>
      <c r="G584">
        <f>114928000/(1000)</f>
        <v>114928</v>
      </c>
      <c r="H584">
        <f>1786713600/(1000)</f>
        <v>1786713.6</v>
      </c>
      <c r="I584">
        <f>207316992/(1000)</f>
        <v>207316.992</v>
      </c>
      <c r="J584">
        <f t="shared" si="10"/>
        <v>8.6182689743057837E-3</v>
      </c>
      <c r="K584">
        <f>33114001/(1000)</f>
        <v>33114.000999999997</v>
      </c>
      <c r="L584">
        <v>0</v>
      </c>
      <c r="M584">
        <v>8.2337064743041992</v>
      </c>
      <c r="N584">
        <v>97.942289625278093</v>
      </c>
      <c r="O584">
        <v>77.744590759277301</v>
      </c>
      <c r="P584">
        <v>1.0199999809265099</v>
      </c>
      <c r="Q584">
        <v>0.402623440102233</v>
      </c>
      <c r="R584">
        <v>15.5633810206884</v>
      </c>
      <c r="S584">
        <v>288.83949437083402</v>
      </c>
      <c r="T584">
        <v>0</v>
      </c>
      <c r="U584">
        <v>0</v>
      </c>
      <c r="V584">
        <v>0</v>
      </c>
      <c r="W584">
        <v>0</v>
      </c>
    </row>
    <row r="585" spans="1:23" x14ac:dyDescent="0.55000000000000004">
      <c r="A585" t="s">
        <v>1178</v>
      </c>
      <c r="B585" t="s">
        <v>1179</v>
      </c>
      <c r="C585" t="s">
        <v>20</v>
      </c>
      <c r="D585">
        <v>9.5500000000000007</v>
      </c>
      <c r="E585">
        <f>121493192/(1000)</f>
        <v>121493.192</v>
      </c>
      <c r="F585">
        <f>658680000/(1000)</f>
        <v>658680</v>
      </c>
      <c r="G585">
        <f>19132000/(1000)</f>
        <v>19132</v>
      </c>
      <c r="H585">
        <f>112350192/(1000)</f>
        <v>112350.192</v>
      </c>
      <c r="I585">
        <f>34938000/(1000)</f>
        <v>34938</v>
      </c>
      <c r="J585">
        <f t="shared" si="10"/>
        <v>3.2157018718873432E-3</v>
      </c>
      <c r="K585">
        <f>1445000.75/(1000)</f>
        <v>1445.0007499999999</v>
      </c>
      <c r="L585">
        <v>16.405330657958999</v>
      </c>
      <c r="M585">
        <v>6.3001608848571804</v>
      </c>
      <c r="N585">
        <v>68.919493334744601</v>
      </c>
      <c r="O585">
        <v>0</v>
      </c>
      <c r="P585">
        <v>0</v>
      </c>
      <c r="Q585">
        <v>0</v>
      </c>
      <c r="R585">
        <v>12.565789882331</v>
      </c>
      <c r="S585">
        <v>26.7426010860564</v>
      </c>
      <c r="T585">
        <v>0</v>
      </c>
      <c r="U585">
        <v>0</v>
      </c>
      <c r="V585">
        <v>0</v>
      </c>
      <c r="W585">
        <v>0</v>
      </c>
    </row>
    <row r="586" spans="1:23" x14ac:dyDescent="0.55000000000000004">
      <c r="A586" t="s">
        <v>1180</v>
      </c>
      <c r="B586" t="s">
        <v>1181</v>
      </c>
      <c r="C586" t="s">
        <v>20</v>
      </c>
      <c r="D586">
        <v>12.95</v>
      </c>
      <c r="E586">
        <f>514270432/(1000)</f>
        <v>514270.43199999997</v>
      </c>
      <c r="F586">
        <f>655785984/(1000)</f>
        <v>655785.98400000005</v>
      </c>
      <c r="G586">
        <f>137410000/(1000)</f>
        <v>137410</v>
      </c>
      <c r="H586">
        <f>1154271456/(1000)</f>
        <v>1154271.456</v>
      </c>
      <c r="I586">
        <f>196424000/(1000)</f>
        <v>196424</v>
      </c>
      <c r="J586">
        <f t="shared" si="10"/>
        <v>5.8764278092290146E-3</v>
      </c>
      <c r="K586">
        <f>-273615999/(1000)</f>
        <v>-273615.99900000001</v>
      </c>
      <c r="L586">
        <v>0</v>
      </c>
      <c r="M586">
        <v>14.096179008483899</v>
      </c>
      <c r="N586">
        <v>94.082892591666507</v>
      </c>
      <c r="O586">
        <v>98.611145019531307</v>
      </c>
      <c r="P586">
        <v>0</v>
      </c>
      <c r="Q586">
        <v>0.67098447260029304</v>
      </c>
      <c r="R586">
        <v>6.5736039680718203</v>
      </c>
      <c r="S586">
        <v>247.053834185375</v>
      </c>
      <c r="T586">
        <v>0</v>
      </c>
      <c r="U586">
        <v>0</v>
      </c>
      <c r="V586">
        <v>0</v>
      </c>
      <c r="W586">
        <v>0</v>
      </c>
    </row>
    <row r="587" spans="1:23" x14ac:dyDescent="0.55000000000000004">
      <c r="A587" t="s">
        <v>1182</v>
      </c>
      <c r="B587" t="s">
        <v>1183</v>
      </c>
      <c r="C587" t="s">
        <v>8</v>
      </c>
      <c r="D587">
        <v>2.9</v>
      </c>
      <c r="E587">
        <f>328601600/(1000)</f>
        <v>328601.59999999998</v>
      </c>
      <c r="F587">
        <f>654572992/(1000)</f>
        <v>654572.99199999997</v>
      </c>
      <c r="G587">
        <f>174551008/(1000)</f>
        <v>174551.008</v>
      </c>
      <c r="H587">
        <f>666559616/(1000)</f>
        <v>666559.61600000004</v>
      </c>
      <c r="I587">
        <f>260354000/(1000)</f>
        <v>260354</v>
      </c>
      <c r="J587">
        <f t="shared" si="10"/>
        <v>2.5602050131743703E-3</v>
      </c>
      <c r="K587">
        <f>-167821999/(1000)</f>
        <v>-167821.99900000001</v>
      </c>
      <c r="L587">
        <v>0</v>
      </c>
      <c r="M587">
        <v>20.9449768066406</v>
      </c>
      <c r="N587">
        <v>97.450114788115101</v>
      </c>
      <c r="O587">
        <v>69.890449523925795</v>
      </c>
      <c r="P587">
        <v>0</v>
      </c>
      <c r="Q587">
        <v>0.54463472546178204</v>
      </c>
      <c r="R587">
        <v>4.5312501447915601</v>
      </c>
      <c r="S587">
        <v>90.931676751946497</v>
      </c>
      <c r="T587">
        <v>0</v>
      </c>
      <c r="U587">
        <v>0</v>
      </c>
      <c r="V587">
        <v>0</v>
      </c>
      <c r="W587">
        <v>0</v>
      </c>
    </row>
    <row r="588" spans="1:23" x14ac:dyDescent="0.55000000000000004">
      <c r="A588" t="s">
        <v>1184</v>
      </c>
      <c r="B588" t="s">
        <v>1185</v>
      </c>
      <c r="C588" t="s">
        <v>2</v>
      </c>
      <c r="D588">
        <v>39.229999999999997</v>
      </c>
      <c r="E588">
        <f>199366848/(1000)</f>
        <v>199366.848</v>
      </c>
      <c r="F588">
        <f>653164032/(1000)</f>
        <v>653164.03200000001</v>
      </c>
      <c r="G588">
        <f>22308000/(1000)</f>
        <v>22308</v>
      </c>
      <c r="H588">
        <f>204486848/(1000)</f>
        <v>204486.848</v>
      </c>
      <c r="I588">
        <f>25771000/(1000)</f>
        <v>25771</v>
      </c>
      <c r="J588">
        <f t="shared" si="10"/>
        <v>7.9347657444414268E-3</v>
      </c>
      <c r="K588">
        <f>-482998.8125/(1000)</f>
        <v>-482.99881249999999</v>
      </c>
      <c r="L588">
        <v>15.162202835083001</v>
      </c>
      <c r="M588">
        <v>29.810173034668001</v>
      </c>
      <c r="N588">
        <v>71.847700884785397</v>
      </c>
      <c r="O588">
        <v>0.14367799460887901</v>
      </c>
      <c r="P588">
        <v>9.0000003576279006E-2</v>
      </c>
      <c r="Q588">
        <v>0</v>
      </c>
      <c r="R588">
        <v>10.988795595467099</v>
      </c>
      <c r="S588">
        <v>386.06106096571301</v>
      </c>
      <c r="T588">
        <v>0</v>
      </c>
      <c r="U588">
        <v>0</v>
      </c>
      <c r="V588">
        <v>0</v>
      </c>
      <c r="W588">
        <v>0</v>
      </c>
    </row>
    <row r="589" spans="1:23" x14ac:dyDescent="0.55000000000000004">
      <c r="A589" t="s">
        <v>1186</v>
      </c>
      <c r="B589" t="s">
        <v>1187</v>
      </c>
      <c r="C589" t="s">
        <v>20</v>
      </c>
      <c r="D589">
        <v>17.36</v>
      </c>
      <c r="E589">
        <f>524831008/(1000)</f>
        <v>524831.00800000003</v>
      </c>
      <c r="F589">
        <f>652547968/(1000)</f>
        <v>652547.96799999999</v>
      </c>
      <c r="G589">
        <f>73924000/(1000)</f>
        <v>73924</v>
      </c>
      <c r="H589">
        <f>678553008/(1000)</f>
        <v>678553.00800000003</v>
      </c>
      <c r="I589">
        <f>88222000/(1000)</f>
        <v>88222</v>
      </c>
      <c r="J589">
        <f t="shared" si="10"/>
        <v>7.6914262655573438E-3</v>
      </c>
      <c r="K589">
        <f>102197001/(1000)</f>
        <v>102197.001</v>
      </c>
      <c r="L589">
        <v>12.1066236495972</v>
      </c>
      <c r="M589">
        <v>11.2263898849487</v>
      </c>
      <c r="N589">
        <v>93.228740943750196</v>
      </c>
      <c r="O589">
        <v>37.827072143554702</v>
      </c>
      <c r="P589">
        <v>0</v>
      </c>
      <c r="Q589">
        <v>0.88166582729767495</v>
      </c>
      <c r="R589">
        <v>9.7084177798765907</v>
      </c>
      <c r="S589">
        <v>42.221529748124603</v>
      </c>
      <c r="T589">
        <v>0</v>
      </c>
      <c r="U589">
        <v>0</v>
      </c>
      <c r="V589">
        <v>0</v>
      </c>
      <c r="W589">
        <v>0</v>
      </c>
    </row>
    <row r="590" spans="1:23" x14ac:dyDescent="0.55000000000000004">
      <c r="A590" t="s">
        <v>1188</v>
      </c>
      <c r="B590" t="s">
        <v>1189</v>
      </c>
      <c r="C590" t="s">
        <v>184</v>
      </c>
      <c r="D590">
        <v>61.16</v>
      </c>
      <c r="E590">
        <f>1309698688/(1000)</f>
        <v>1309698.6880000001</v>
      </c>
      <c r="F590">
        <f>652345024/(1000)</f>
        <v>652345.02399999998</v>
      </c>
      <c r="G590">
        <f>0/(1000)</f>
        <v>0</v>
      </c>
      <c r="H590">
        <f>1409698688/(1000)</f>
        <v>1409698.6880000001</v>
      </c>
      <c r="I590">
        <f>0/(1000)</f>
        <v>0</v>
      </c>
      <c r="J590">
        <f t="shared" si="10"/>
        <v>1</v>
      </c>
      <c r="K590">
        <f>122567001/(1000)</f>
        <v>122567.001</v>
      </c>
      <c r="L590">
        <v>13.720191001892101</v>
      </c>
      <c r="M590">
        <v>22.975004196166999</v>
      </c>
      <c r="N590">
        <v>88.720150483719905</v>
      </c>
      <c r="O590">
        <v>16.5252285003662</v>
      </c>
      <c r="P590">
        <v>1.03999996185303</v>
      </c>
      <c r="Q590">
        <v>0</v>
      </c>
      <c r="R590">
        <v>12.481632682652499</v>
      </c>
      <c r="S590">
        <v>70.702581860199103</v>
      </c>
      <c r="T590">
        <v>0</v>
      </c>
      <c r="U590">
        <v>0</v>
      </c>
      <c r="V590">
        <v>0</v>
      </c>
      <c r="W590">
        <v>0</v>
      </c>
    </row>
    <row r="591" spans="1:23" x14ac:dyDescent="0.55000000000000004">
      <c r="A591" t="s">
        <v>1190</v>
      </c>
      <c r="B591" t="s">
        <v>1191</v>
      </c>
      <c r="C591" t="s">
        <v>5</v>
      </c>
      <c r="D591">
        <v>26.9</v>
      </c>
      <c r="E591">
        <f>1345766656/(1000)</f>
        <v>1345766.656</v>
      </c>
      <c r="F591">
        <f>650099968/(1000)</f>
        <v>650099.96799999999</v>
      </c>
      <c r="G591">
        <f>104400000/(1000)</f>
        <v>104400</v>
      </c>
      <c r="H591">
        <f>1351266656/(1000)</f>
        <v>1351266.656</v>
      </c>
      <c r="I591">
        <f>200500000/(1000)</f>
        <v>200500</v>
      </c>
      <c r="J591">
        <f t="shared" si="10"/>
        <v>6.7394845685785527E-3</v>
      </c>
      <c r="K591">
        <f>87500001/(1000)</f>
        <v>87500.001000000004</v>
      </c>
      <c r="L591">
        <v>0</v>
      </c>
      <c r="M591">
        <v>14.2947902679443</v>
      </c>
      <c r="N591">
        <v>90.061065907028805</v>
      </c>
      <c r="O591">
        <v>22.5137042999268</v>
      </c>
      <c r="P591">
        <v>0</v>
      </c>
      <c r="Q591">
        <v>2.5243993310676398</v>
      </c>
      <c r="R591">
        <v>21.3492057030764</v>
      </c>
      <c r="S591">
        <v>263.79405036373799</v>
      </c>
      <c r="T591">
        <v>0</v>
      </c>
      <c r="U591">
        <v>0</v>
      </c>
      <c r="V591">
        <v>0</v>
      </c>
      <c r="W591">
        <v>0</v>
      </c>
    </row>
    <row r="592" spans="1:23" x14ac:dyDescent="0.55000000000000004">
      <c r="A592" t="s">
        <v>1192</v>
      </c>
      <c r="B592" t="s">
        <v>1193</v>
      </c>
      <c r="C592" t="s">
        <v>2</v>
      </c>
      <c r="D592">
        <v>21.54</v>
      </c>
      <c r="E592">
        <f>352308256/(1000)</f>
        <v>352308.25599999999</v>
      </c>
      <c r="F592">
        <f>648265984/(1000)</f>
        <v>648265.98400000005</v>
      </c>
      <c r="G592">
        <f>79504000/(1000)</f>
        <v>79504</v>
      </c>
      <c r="H592">
        <f>169285264/(1000)</f>
        <v>169285.264</v>
      </c>
      <c r="I592">
        <f>90783000/(1000)</f>
        <v>90783</v>
      </c>
      <c r="J592">
        <f t="shared" si="10"/>
        <v>1.8647242765716047E-3</v>
      </c>
      <c r="K592">
        <f>97808001/(1000)</f>
        <v>97808.001000000004</v>
      </c>
      <c r="L592">
        <v>0</v>
      </c>
      <c r="M592">
        <v>19.6905002593994</v>
      </c>
      <c r="N592">
        <v>95.670696617185101</v>
      </c>
      <c r="O592">
        <v>0</v>
      </c>
      <c r="P592">
        <v>0.519999980926514</v>
      </c>
      <c r="Q592">
        <v>1.1023541405471899</v>
      </c>
      <c r="R592">
        <v>9.0125525134991396</v>
      </c>
      <c r="S592">
        <v>72.024571843056407</v>
      </c>
      <c r="T592">
        <v>0</v>
      </c>
      <c r="U592">
        <v>0</v>
      </c>
      <c r="V592">
        <v>0</v>
      </c>
      <c r="W592">
        <v>0</v>
      </c>
    </row>
    <row r="593" spans="1:23" x14ac:dyDescent="0.55000000000000004">
      <c r="A593" t="s">
        <v>1194</v>
      </c>
      <c r="B593" t="s">
        <v>1195</v>
      </c>
      <c r="C593" t="s">
        <v>184</v>
      </c>
      <c r="D593">
        <v>15.91</v>
      </c>
      <c r="E593">
        <f>1370089600/(1000)</f>
        <v>1370089.6</v>
      </c>
      <c r="F593">
        <f>646816000/(1000)</f>
        <v>646816</v>
      </c>
      <c r="G593">
        <f>0/(1000)</f>
        <v>0</v>
      </c>
      <c r="H593">
        <f>0/(1000)</f>
        <v>0</v>
      </c>
      <c r="I593">
        <f>0/(1000)</f>
        <v>0</v>
      </c>
      <c r="J593">
        <f t="shared" si="10"/>
        <v>1</v>
      </c>
      <c r="K593">
        <f>-83227999/(1000)</f>
        <v>-83227.998999999996</v>
      </c>
      <c r="L593">
        <v>15.281577110290501</v>
      </c>
      <c r="M593">
        <v>5.18463182449341</v>
      </c>
      <c r="N593">
        <v>98.030542988048893</v>
      </c>
      <c r="O593">
        <v>123.258460998535</v>
      </c>
      <c r="P593">
        <v>1.03999996185303</v>
      </c>
      <c r="Q593">
        <v>0.785097474788926</v>
      </c>
      <c r="R593">
        <v>11.6985291765171</v>
      </c>
      <c r="S593">
        <v>57.428628863078401</v>
      </c>
      <c r="T593">
        <v>0</v>
      </c>
      <c r="U593">
        <v>0</v>
      </c>
      <c r="V593">
        <v>0</v>
      </c>
      <c r="W593">
        <v>0</v>
      </c>
    </row>
    <row r="594" spans="1:23" x14ac:dyDescent="0.55000000000000004">
      <c r="A594" t="s">
        <v>1196</v>
      </c>
      <c r="B594" t="s">
        <v>1197</v>
      </c>
      <c r="C594" t="s">
        <v>20</v>
      </c>
      <c r="D594">
        <v>3.13</v>
      </c>
      <c r="E594">
        <f>101717488/(1000)</f>
        <v>101717.488</v>
      </c>
      <c r="F594">
        <f>646791040/(1000)</f>
        <v>646791.04</v>
      </c>
      <c r="G594">
        <f>40527000/(1000)</f>
        <v>40527</v>
      </c>
      <c r="H594">
        <f>0/(1000)</f>
        <v>0</v>
      </c>
      <c r="I594">
        <f>58196000/(1000)</f>
        <v>58196</v>
      </c>
      <c r="J594">
        <f t="shared" si="10"/>
        <v>0</v>
      </c>
      <c r="K594">
        <f>-36975999/(1000)</f>
        <v>-36975.999000000003</v>
      </c>
      <c r="L594">
        <v>0</v>
      </c>
      <c r="M594">
        <v>8.6504974365234393</v>
      </c>
      <c r="N594">
        <v>43.521366987942699</v>
      </c>
      <c r="O594">
        <v>97.613189697265597</v>
      </c>
      <c r="P594">
        <v>0</v>
      </c>
      <c r="Q594">
        <v>0</v>
      </c>
      <c r="R594">
        <v>0</v>
      </c>
      <c r="S594">
        <v>107.361967344231</v>
      </c>
      <c r="T594">
        <v>0</v>
      </c>
      <c r="U594">
        <v>0</v>
      </c>
      <c r="V594">
        <v>0</v>
      </c>
      <c r="W594">
        <v>0</v>
      </c>
    </row>
    <row r="595" spans="1:23" x14ac:dyDescent="0.55000000000000004">
      <c r="A595" t="s">
        <v>1198</v>
      </c>
      <c r="B595" t="s">
        <v>1199</v>
      </c>
      <c r="C595" t="s">
        <v>81</v>
      </c>
      <c r="D595">
        <v>6.84</v>
      </c>
      <c r="E595">
        <f>593369984/(1000)</f>
        <v>593369.98400000005</v>
      </c>
      <c r="F595">
        <f>645616000/(1000)</f>
        <v>645616</v>
      </c>
      <c r="G595">
        <f>110192000/(1000)</f>
        <v>110192</v>
      </c>
      <c r="H595">
        <f>504500984/(1000)</f>
        <v>504500.984</v>
      </c>
      <c r="I595">
        <f>145898000/(1000)</f>
        <v>145898</v>
      </c>
      <c r="J595">
        <f t="shared" si="10"/>
        <v>3.4579019863192092E-3</v>
      </c>
      <c r="K595">
        <f>133181001/(1000)</f>
        <v>133181.00099999999</v>
      </c>
      <c r="L595">
        <v>44.613243103027301</v>
      </c>
      <c r="M595">
        <v>10.4328908920288</v>
      </c>
      <c r="N595">
        <v>97.337291066282404</v>
      </c>
      <c r="O595">
        <v>0</v>
      </c>
      <c r="P595">
        <v>0</v>
      </c>
      <c r="Q595">
        <v>1.07886435141424</v>
      </c>
      <c r="R595">
        <v>11.793103671970499</v>
      </c>
      <c r="S595">
        <v>932.09387089554605</v>
      </c>
      <c r="T595">
        <v>0</v>
      </c>
      <c r="U595">
        <v>0</v>
      </c>
      <c r="V595">
        <v>0</v>
      </c>
      <c r="W595">
        <v>0</v>
      </c>
    </row>
    <row r="596" spans="1:23" x14ac:dyDescent="0.55000000000000004">
      <c r="A596" t="s">
        <v>1200</v>
      </c>
      <c r="B596" t="s">
        <v>1201</v>
      </c>
      <c r="C596" t="s">
        <v>17</v>
      </c>
      <c r="D596">
        <v>5.49</v>
      </c>
      <c r="E596">
        <f>449406464/(1000)</f>
        <v>449406.46399999998</v>
      </c>
      <c r="F596">
        <f>645312960/(1000)</f>
        <v>645312.96</v>
      </c>
      <c r="G596">
        <f>80647000/(1000)</f>
        <v>80647</v>
      </c>
      <c r="H596">
        <f>446192463.25/(1000)</f>
        <v>446192.46324999997</v>
      </c>
      <c r="I596">
        <f>103861000/(1000)</f>
        <v>103861</v>
      </c>
      <c r="J596">
        <f t="shared" si="10"/>
        <v>4.2960539880224531E-3</v>
      </c>
      <c r="K596">
        <f>50155001/(1000)</f>
        <v>50155.000999999997</v>
      </c>
      <c r="L596">
        <v>33.561721801757798</v>
      </c>
      <c r="M596">
        <v>25.848333358764599</v>
      </c>
      <c r="N596">
        <v>98.530889862244393</v>
      </c>
      <c r="O596">
        <v>21.767902374267599</v>
      </c>
      <c r="P596">
        <v>0</v>
      </c>
      <c r="Q596">
        <v>1.56857136317662</v>
      </c>
      <c r="R596">
        <v>5.3823528174298003</v>
      </c>
      <c r="S596">
        <v>146.08099574429099</v>
      </c>
      <c r="T596">
        <v>0</v>
      </c>
      <c r="U596">
        <v>0</v>
      </c>
      <c r="V596">
        <v>0</v>
      </c>
      <c r="W596">
        <v>0</v>
      </c>
    </row>
    <row r="597" spans="1:23" x14ac:dyDescent="0.55000000000000004">
      <c r="A597" t="s">
        <v>1202</v>
      </c>
      <c r="B597" t="s">
        <v>1203</v>
      </c>
      <c r="C597" t="s">
        <v>31</v>
      </c>
      <c r="D597">
        <v>5.19</v>
      </c>
      <c r="E597">
        <f>932247040/(1000)</f>
        <v>932247.04000000004</v>
      </c>
      <c r="F597">
        <f>644470976/(1000)</f>
        <v>644470.97600000002</v>
      </c>
      <c r="G597">
        <f>61862000/(1000)</f>
        <v>61862</v>
      </c>
      <c r="H597">
        <f>697360032/(1000)</f>
        <v>697360.03200000001</v>
      </c>
      <c r="I597">
        <f>101519000/(1000)</f>
        <v>101519</v>
      </c>
      <c r="J597">
        <f t="shared" si="10"/>
        <v>6.8692563165515816E-3</v>
      </c>
      <c r="K597">
        <f>89681001/(1000)</f>
        <v>89681.001000000004</v>
      </c>
      <c r="L597">
        <v>28.596290588378899</v>
      </c>
      <c r="M597">
        <v>5.76084280014038</v>
      </c>
      <c r="N597">
        <v>95.440076745998198</v>
      </c>
      <c r="O597">
        <v>5.4314279556274396</v>
      </c>
      <c r="P597">
        <v>0</v>
      </c>
      <c r="Q597">
        <v>1.0646153963529199</v>
      </c>
      <c r="R597">
        <v>13.307692434072999</v>
      </c>
      <c r="S597">
        <v>143.923778444345</v>
      </c>
      <c r="T597">
        <v>0</v>
      </c>
      <c r="U597">
        <v>0</v>
      </c>
      <c r="V597">
        <v>0</v>
      </c>
      <c r="W597">
        <v>0</v>
      </c>
    </row>
    <row r="598" spans="1:23" x14ac:dyDescent="0.55000000000000004">
      <c r="A598" t="s">
        <v>1204</v>
      </c>
      <c r="B598" t="s">
        <v>1205</v>
      </c>
      <c r="C598" t="s">
        <v>2</v>
      </c>
      <c r="D598">
        <v>8.65</v>
      </c>
      <c r="E598">
        <f>534514624/(1000)</f>
        <v>534514.62399999995</v>
      </c>
      <c r="F598">
        <f>643899008/(1000)</f>
        <v>643899.00800000003</v>
      </c>
      <c r="G598">
        <f>49750000/(1000)</f>
        <v>49750</v>
      </c>
      <c r="H598">
        <f>688869632/(1000)</f>
        <v>688869.63199999998</v>
      </c>
      <c r="I598">
        <f>65721000/(1000)</f>
        <v>65721</v>
      </c>
      <c r="J598">
        <f t="shared" si="10"/>
        <v>1.0481727788682461E-2</v>
      </c>
      <c r="K598">
        <f>24019001/(1000)</f>
        <v>24019.001</v>
      </c>
      <c r="L598">
        <v>20.953681945800799</v>
      </c>
      <c r="M598">
        <v>15.728267669677701</v>
      </c>
      <c r="N598">
        <v>71.781545839663295</v>
      </c>
      <c r="O598">
        <v>62.090740203857401</v>
      </c>
      <c r="P598">
        <v>0</v>
      </c>
      <c r="Q598">
        <v>0</v>
      </c>
      <c r="R598">
        <v>14.6610162137261</v>
      </c>
      <c r="S598">
        <v>28.983847856083599</v>
      </c>
      <c r="T598">
        <v>0</v>
      </c>
      <c r="U598">
        <v>0</v>
      </c>
      <c r="V598">
        <v>0</v>
      </c>
      <c r="W598">
        <v>0</v>
      </c>
    </row>
    <row r="599" spans="1:23" x14ac:dyDescent="0.55000000000000004">
      <c r="A599" t="s">
        <v>1206</v>
      </c>
      <c r="B599" t="s">
        <v>1207</v>
      </c>
      <c r="C599" t="s">
        <v>8</v>
      </c>
      <c r="D599">
        <v>0.79</v>
      </c>
      <c r="E599">
        <f>114778384/(1000)</f>
        <v>114778.38400000001</v>
      </c>
      <c r="F599">
        <f>643232000/(1000)</f>
        <v>643232</v>
      </c>
      <c r="G599">
        <f>157848000/(1000)</f>
        <v>157848</v>
      </c>
      <c r="H599">
        <f>917433360/(1000)</f>
        <v>917433.36</v>
      </c>
      <c r="I599">
        <f>465236992/(1000)</f>
        <v>465236.99200000003</v>
      </c>
      <c r="J599">
        <f t="shared" si="10"/>
        <v>1.971969933121741E-3</v>
      </c>
      <c r="K599">
        <f>57474001/(1000)</f>
        <v>57474.000999999997</v>
      </c>
      <c r="L599">
        <v>0</v>
      </c>
      <c r="M599">
        <v>6.9634881019592303</v>
      </c>
      <c r="N599">
        <v>90.135189972006998</v>
      </c>
      <c r="O599">
        <v>254.20718383789099</v>
      </c>
      <c r="P599">
        <v>0.10000000149011599</v>
      </c>
      <c r="Q599">
        <v>0</v>
      </c>
      <c r="R599">
        <v>2.9841387991431501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55000000000000004">
      <c r="A600" t="s">
        <v>1208</v>
      </c>
      <c r="B600" t="s">
        <v>1209</v>
      </c>
      <c r="C600" t="s">
        <v>184</v>
      </c>
      <c r="D600">
        <v>23.75</v>
      </c>
      <c r="E600">
        <f>1175784064/(1000)</f>
        <v>1175784.064</v>
      </c>
      <c r="F600">
        <f>640041984/(1000)</f>
        <v>640041.98400000005</v>
      </c>
      <c r="G600">
        <f>0/(1000)</f>
        <v>0</v>
      </c>
      <c r="H600">
        <f>0/(1000)</f>
        <v>0</v>
      </c>
      <c r="I600">
        <f>0/(1000)</f>
        <v>0</v>
      </c>
      <c r="J600">
        <f t="shared" si="10"/>
        <v>1</v>
      </c>
      <c r="K600">
        <f>139244001/(1000)</f>
        <v>139244.00099999999</v>
      </c>
      <c r="L600">
        <v>0</v>
      </c>
      <c r="M600">
        <v>13.1038599014282</v>
      </c>
      <c r="N600">
        <v>91.088077507858799</v>
      </c>
      <c r="O600">
        <v>306.632568359375</v>
      </c>
      <c r="P600">
        <v>0.41999998688697798</v>
      </c>
      <c r="Q600">
        <v>1.15272795576178</v>
      </c>
      <c r="R600">
        <v>10.844748722674501</v>
      </c>
      <c r="S600">
        <v>299.44704178940498</v>
      </c>
      <c r="T600">
        <v>0</v>
      </c>
      <c r="U600">
        <v>0</v>
      </c>
      <c r="V600">
        <v>0</v>
      </c>
      <c r="W600">
        <v>0</v>
      </c>
    </row>
    <row r="601" spans="1:23" x14ac:dyDescent="0.55000000000000004">
      <c r="A601" t="s">
        <v>1210</v>
      </c>
      <c r="B601" t="s">
        <v>1211</v>
      </c>
      <c r="C601" t="s">
        <v>5</v>
      </c>
      <c r="D601">
        <v>5.1100000000000003</v>
      </c>
      <c r="E601">
        <f>123310944/(1000)</f>
        <v>123310.944</v>
      </c>
      <c r="F601">
        <f>640017024/(1000)</f>
        <v>640017.02399999998</v>
      </c>
      <c r="G601">
        <f>24099000/(1000)</f>
        <v>24099</v>
      </c>
      <c r="H601">
        <f>190909944/(1000)</f>
        <v>190909.94399999999</v>
      </c>
      <c r="I601">
        <f>33617000/(1000)</f>
        <v>33617</v>
      </c>
      <c r="J601">
        <f t="shared" si="10"/>
        <v>5.6789702828925837E-3</v>
      </c>
      <c r="K601">
        <f>1616001.125/(1000)</f>
        <v>1616.001125</v>
      </c>
      <c r="L601">
        <v>28.0594387054443</v>
      </c>
      <c r="M601">
        <v>9.2369222640991193</v>
      </c>
      <c r="N601">
        <v>95.779755033117596</v>
      </c>
      <c r="O601">
        <v>24.769554138183601</v>
      </c>
      <c r="P601">
        <v>0</v>
      </c>
      <c r="Q601">
        <v>0.79102168782342397</v>
      </c>
      <c r="R601">
        <v>9.3693049479239701</v>
      </c>
      <c r="S601">
        <v>24.9132937435343</v>
      </c>
      <c r="T601">
        <v>0</v>
      </c>
      <c r="U601">
        <v>0</v>
      </c>
      <c r="V601">
        <v>0</v>
      </c>
      <c r="W601">
        <v>0</v>
      </c>
    </row>
    <row r="602" spans="1:23" x14ac:dyDescent="0.55000000000000004">
      <c r="A602" t="s">
        <v>1212</v>
      </c>
      <c r="B602" t="s">
        <v>1213</v>
      </c>
      <c r="C602" t="s">
        <v>2</v>
      </c>
      <c r="D602">
        <v>29.02</v>
      </c>
      <c r="E602">
        <f>330935360/(1000)</f>
        <v>330935.36</v>
      </c>
      <c r="F602">
        <f>638704000/(1000)</f>
        <v>638704</v>
      </c>
      <c r="G602">
        <f>42405000/(1000)</f>
        <v>42405</v>
      </c>
      <c r="H602">
        <f>362807360/(1000)</f>
        <v>362807.36</v>
      </c>
      <c r="I602">
        <f>54703000/(1000)</f>
        <v>54703</v>
      </c>
      <c r="J602">
        <f t="shared" si="10"/>
        <v>6.6323119390161419E-3</v>
      </c>
      <c r="K602">
        <f>-8615999/(1000)</f>
        <v>-8615.9989999999998</v>
      </c>
      <c r="L602">
        <v>49.499462127685497</v>
      </c>
      <c r="M602">
        <v>13.5885581970215</v>
      </c>
      <c r="N602">
        <v>63.659163952503697</v>
      </c>
      <c r="O602">
        <v>20.161064147949201</v>
      </c>
      <c r="P602">
        <v>0</v>
      </c>
      <c r="Q602">
        <v>1.3828925238843499</v>
      </c>
      <c r="R602">
        <v>12.8407082213373</v>
      </c>
      <c r="S602">
        <v>0</v>
      </c>
      <c r="T602">
        <v>0</v>
      </c>
      <c r="U602">
        <v>0</v>
      </c>
      <c r="V602">
        <v>0</v>
      </c>
      <c r="W602">
        <v>0</v>
      </c>
    </row>
    <row r="603" spans="1:23" x14ac:dyDescent="0.55000000000000004">
      <c r="A603" t="s">
        <v>1214</v>
      </c>
      <c r="B603" t="s">
        <v>1215</v>
      </c>
      <c r="C603" t="s">
        <v>184</v>
      </c>
      <c r="D603">
        <v>31.07</v>
      </c>
      <c r="E603">
        <f>831302720/(1000)</f>
        <v>831302.72</v>
      </c>
      <c r="F603">
        <f>638526016/(1000)</f>
        <v>638526.01599999995</v>
      </c>
      <c r="G603">
        <f>0/(1000)</f>
        <v>0</v>
      </c>
      <c r="H603">
        <f>712511720/(1000)</f>
        <v>712511.72</v>
      </c>
      <c r="I603">
        <f>0/(1000)</f>
        <v>0</v>
      </c>
      <c r="J603">
        <f t="shared" si="10"/>
        <v>1</v>
      </c>
      <c r="K603">
        <f>104132001/(1000)</f>
        <v>104132.001</v>
      </c>
      <c r="L603">
        <v>97.407852172851605</v>
      </c>
      <c r="M603">
        <v>15.5542287826538</v>
      </c>
      <c r="N603">
        <v>79.405212341684305</v>
      </c>
      <c r="O603">
        <v>0</v>
      </c>
      <c r="P603">
        <v>0.60000002384185802</v>
      </c>
      <c r="Q603">
        <v>0</v>
      </c>
      <c r="R603">
        <v>31.0700001578033</v>
      </c>
      <c r="S603">
        <v>24.986254225361598</v>
      </c>
      <c r="T603">
        <v>0</v>
      </c>
      <c r="U603">
        <v>0</v>
      </c>
      <c r="V603">
        <v>0</v>
      </c>
      <c r="W603">
        <v>0</v>
      </c>
    </row>
    <row r="604" spans="1:23" x14ac:dyDescent="0.55000000000000004">
      <c r="A604" t="s">
        <v>1216</v>
      </c>
      <c r="B604" t="s">
        <v>1217</v>
      </c>
      <c r="C604" t="s">
        <v>38</v>
      </c>
      <c r="D604">
        <v>14.51</v>
      </c>
      <c r="E604">
        <f>446887680/(1000)</f>
        <v>446887.67999999999</v>
      </c>
      <c r="F604">
        <f>637349952/(1000)</f>
        <v>637349.95200000005</v>
      </c>
      <c r="G604">
        <f>67980000/(1000)</f>
        <v>67980</v>
      </c>
      <c r="H604">
        <f>816119680/(1000)</f>
        <v>816119.68</v>
      </c>
      <c r="I604">
        <f>83857000/(1000)</f>
        <v>83857</v>
      </c>
      <c r="J604">
        <f t="shared" si="10"/>
        <v>9.732278521769203E-3</v>
      </c>
      <c r="K604">
        <f>31558001/(1000)</f>
        <v>31558.001</v>
      </c>
      <c r="L604">
        <v>18.009534835815401</v>
      </c>
      <c r="M604">
        <v>9.8276176452636701</v>
      </c>
      <c r="N604">
        <v>94.361759022045504</v>
      </c>
      <c r="O604">
        <v>172.50453186035199</v>
      </c>
      <c r="P604">
        <v>0</v>
      </c>
      <c r="Q604">
        <v>0</v>
      </c>
      <c r="R604">
        <v>21.028985684551699</v>
      </c>
      <c r="S604">
        <v>21.276638886211401</v>
      </c>
      <c r="T604">
        <v>0</v>
      </c>
      <c r="U604">
        <v>0</v>
      </c>
      <c r="V604">
        <v>0</v>
      </c>
      <c r="W604">
        <v>0</v>
      </c>
    </row>
    <row r="605" spans="1:23" x14ac:dyDescent="0.55000000000000004">
      <c r="A605" t="s">
        <v>1218</v>
      </c>
      <c r="B605" t="s">
        <v>1219</v>
      </c>
      <c r="C605" t="s">
        <v>121</v>
      </c>
      <c r="D605">
        <v>24.62</v>
      </c>
      <c r="E605">
        <f>295060864/(1000)</f>
        <v>295060.864</v>
      </c>
      <c r="F605">
        <f>637006016/(1000)</f>
        <v>637006.01599999995</v>
      </c>
      <c r="G605">
        <f>98939000/(1000)</f>
        <v>98939</v>
      </c>
      <c r="H605">
        <f>302911864/(1000)</f>
        <v>302911.864</v>
      </c>
      <c r="I605">
        <f>108992000/(1000)</f>
        <v>108992</v>
      </c>
      <c r="J605">
        <f t="shared" si="10"/>
        <v>2.7792119054609512E-3</v>
      </c>
      <c r="K605">
        <f>22598001/(1000)</f>
        <v>22598.001</v>
      </c>
      <c r="L605">
        <v>0</v>
      </c>
      <c r="M605">
        <v>18.0417289733887</v>
      </c>
      <c r="N605">
        <v>99.896533325524402</v>
      </c>
      <c r="O605">
        <v>3.9281449317932098</v>
      </c>
      <c r="P605">
        <v>0</v>
      </c>
      <c r="Q605">
        <v>6.2171719290993001E-2</v>
      </c>
      <c r="R605">
        <v>4.8849207228671396</v>
      </c>
      <c r="S605">
        <v>0</v>
      </c>
      <c r="T605">
        <v>0</v>
      </c>
      <c r="U605">
        <v>0</v>
      </c>
      <c r="V605">
        <v>0</v>
      </c>
      <c r="W605">
        <v>0</v>
      </c>
    </row>
    <row r="606" spans="1:23" x14ac:dyDescent="0.55000000000000004">
      <c r="A606" t="s">
        <v>1220</v>
      </c>
      <c r="B606" t="s">
        <v>1221</v>
      </c>
      <c r="C606" t="s">
        <v>5</v>
      </c>
      <c r="D606">
        <v>5.9</v>
      </c>
      <c r="E606">
        <f>220947328/(1000)</f>
        <v>220947.32800000001</v>
      </c>
      <c r="F606">
        <f>636096960/(1000)</f>
        <v>636096.96</v>
      </c>
      <c r="G606">
        <f>-72338000/(1000)</f>
        <v>-72338</v>
      </c>
      <c r="H606">
        <f>901754304/(1000)</f>
        <v>901754.304</v>
      </c>
      <c r="I606">
        <f>122901000/(1000)</f>
        <v>122901</v>
      </c>
      <c r="J606">
        <f t="shared" si="10"/>
        <v>7.3372413894109891E-3</v>
      </c>
      <c r="K606">
        <f>-6345999.5/(1000)</f>
        <v>-6345.9994999999999</v>
      </c>
      <c r="L606">
        <v>0</v>
      </c>
      <c r="M606">
        <v>-44.2733154296875</v>
      </c>
      <c r="N606">
        <v>96.757430958203699</v>
      </c>
      <c r="O606">
        <v>637.38610839843795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55000000000000004">
      <c r="A607" t="s">
        <v>1222</v>
      </c>
      <c r="B607" t="s">
        <v>1223</v>
      </c>
      <c r="C607" t="s">
        <v>38</v>
      </c>
      <c r="D607">
        <v>8.44</v>
      </c>
      <c r="E607">
        <f>313105440/(1000)</f>
        <v>313105.44</v>
      </c>
      <c r="F607">
        <f>634606976/(1000)</f>
        <v>634606.97600000002</v>
      </c>
      <c r="G607">
        <f>82685000/(1000)</f>
        <v>82685</v>
      </c>
      <c r="H607">
        <f>787083456/(1000)</f>
        <v>787083.45600000001</v>
      </c>
      <c r="I607">
        <f>100372000/(1000)</f>
        <v>100372</v>
      </c>
      <c r="J607">
        <f t="shared" si="10"/>
        <v>7.8416635715139685E-3</v>
      </c>
      <c r="K607">
        <f>1132001/(1000)</f>
        <v>1132.001</v>
      </c>
      <c r="L607">
        <v>0</v>
      </c>
      <c r="M607">
        <v>3.2843499183654798</v>
      </c>
      <c r="N607">
        <v>96.250402619895596</v>
      </c>
      <c r="O607">
        <v>122.42295074462901</v>
      </c>
      <c r="P607">
        <v>0</v>
      </c>
      <c r="Q607">
        <v>0.749722390333592</v>
      </c>
      <c r="R607">
        <v>9.0752684416171601</v>
      </c>
      <c r="S607">
        <v>0</v>
      </c>
      <c r="T607">
        <v>0</v>
      </c>
      <c r="U607">
        <v>0</v>
      </c>
      <c r="V607">
        <v>0</v>
      </c>
      <c r="W607">
        <v>0</v>
      </c>
    </row>
    <row r="608" spans="1:23" x14ac:dyDescent="0.55000000000000004">
      <c r="A608" t="s">
        <v>1224</v>
      </c>
      <c r="B608" t="s">
        <v>1225</v>
      </c>
      <c r="C608" t="s">
        <v>5</v>
      </c>
      <c r="D608">
        <v>10.72</v>
      </c>
      <c r="E608">
        <f>258448464/(1000)</f>
        <v>258448.46400000001</v>
      </c>
      <c r="F608">
        <f>632883968/(1000)</f>
        <v>632883.96799999999</v>
      </c>
      <c r="G608">
        <f>21517000/(1000)</f>
        <v>21517</v>
      </c>
      <c r="H608">
        <f>305822464/(1000)</f>
        <v>305822.46399999998</v>
      </c>
      <c r="I608">
        <f>58663000/(1000)</f>
        <v>58663</v>
      </c>
      <c r="J608">
        <f t="shared" si="10"/>
        <v>5.2132087346368232E-3</v>
      </c>
      <c r="K608">
        <f>-6283995.5/(1000)</f>
        <v>-6283.9955</v>
      </c>
      <c r="L608">
        <v>25.2521362304688</v>
      </c>
      <c r="M608">
        <v>6.9330329895019496</v>
      </c>
      <c r="N608">
        <v>91.774029143376595</v>
      </c>
      <c r="O608">
        <v>9.6269779205322301</v>
      </c>
      <c r="P608">
        <v>0</v>
      </c>
      <c r="Q608">
        <v>1.4415054745093001</v>
      </c>
      <c r="R608">
        <v>15.536232156979899</v>
      </c>
      <c r="S608">
        <v>106.607426517582</v>
      </c>
      <c r="T608">
        <v>0</v>
      </c>
      <c r="U608">
        <v>0</v>
      </c>
      <c r="V608">
        <v>0</v>
      </c>
      <c r="W608">
        <v>0</v>
      </c>
    </row>
    <row r="609" spans="1:23" x14ac:dyDescent="0.55000000000000004">
      <c r="A609" t="s">
        <v>1226</v>
      </c>
      <c r="B609" t="s">
        <v>1227</v>
      </c>
      <c r="C609" t="s">
        <v>31</v>
      </c>
      <c r="D609">
        <v>3.48</v>
      </c>
      <c r="E609">
        <f>80027120/(1000)</f>
        <v>80027.12</v>
      </c>
      <c r="F609">
        <f>631619008/(1000)</f>
        <v>631619.00800000003</v>
      </c>
      <c r="G609">
        <f>-27534000/(1000)</f>
        <v>-27534</v>
      </c>
      <c r="H609">
        <f>287716112/(1000)</f>
        <v>287716.11200000002</v>
      </c>
      <c r="I609">
        <f>84322000/(1000)</f>
        <v>84322</v>
      </c>
      <c r="J609">
        <f t="shared" si="10"/>
        <v>3.4121120466782096E-3</v>
      </c>
      <c r="K609">
        <f>24733001/(1000)</f>
        <v>24733.001</v>
      </c>
      <c r="L609">
        <v>0</v>
      </c>
      <c r="M609">
        <v>-22.736335754394499</v>
      </c>
      <c r="N609">
        <v>96.112854008614605</v>
      </c>
      <c r="O609">
        <v>86.694183349609403</v>
      </c>
      <c r="P609">
        <v>0</v>
      </c>
      <c r="Q609">
        <v>0.22894737254879799</v>
      </c>
      <c r="R609">
        <v>0</v>
      </c>
      <c r="S609">
        <v>26.590650640649699</v>
      </c>
      <c r="T609">
        <v>0</v>
      </c>
      <c r="U609">
        <v>0</v>
      </c>
      <c r="V609">
        <v>0</v>
      </c>
      <c r="W609">
        <v>0</v>
      </c>
    </row>
    <row r="610" spans="1:23" x14ac:dyDescent="0.55000000000000004">
      <c r="A610" t="s">
        <v>1228</v>
      </c>
      <c r="B610" t="s">
        <v>1229</v>
      </c>
      <c r="C610" t="s">
        <v>5</v>
      </c>
      <c r="D610">
        <v>62.92</v>
      </c>
      <c r="E610">
        <f>577681088/(1000)</f>
        <v>577681.08799999999</v>
      </c>
      <c r="F610">
        <f>631009984/(1000)</f>
        <v>631009.98400000005</v>
      </c>
      <c r="G610">
        <f>48159000/(1000)</f>
        <v>48159</v>
      </c>
      <c r="H610">
        <f>491086088/(1000)</f>
        <v>491086.08799999999</v>
      </c>
      <c r="I610">
        <f>65193000/(1000)</f>
        <v>65193</v>
      </c>
      <c r="J610">
        <f t="shared" si="10"/>
        <v>7.5328039513444696E-3</v>
      </c>
      <c r="K610">
        <f>15506002/(1000)</f>
        <v>15506.002</v>
      </c>
      <c r="L610">
        <v>13.771827697753899</v>
      </c>
      <c r="M610">
        <v>16.631008148193398</v>
      </c>
      <c r="N610">
        <v>92.013026344354401</v>
      </c>
      <c r="O610">
        <v>16.7607822418213</v>
      </c>
      <c r="P610">
        <v>1.20000004768372</v>
      </c>
      <c r="Q610">
        <v>0</v>
      </c>
      <c r="R610">
        <v>9.8620686858889197</v>
      </c>
      <c r="S610">
        <v>16.967847497041902</v>
      </c>
      <c r="T610">
        <v>0</v>
      </c>
      <c r="U610">
        <v>0</v>
      </c>
      <c r="V610">
        <v>0</v>
      </c>
      <c r="W610">
        <v>0</v>
      </c>
    </row>
    <row r="611" spans="1:23" x14ac:dyDescent="0.55000000000000004">
      <c r="A611" t="s">
        <v>1230</v>
      </c>
      <c r="B611" t="s">
        <v>1231</v>
      </c>
      <c r="C611" t="s">
        <v>5</v>
      </c>
      <c r="D611">
        <v>12.59</v>
      </c>
      <c r="E611">
        <f>1333590656/(1000)</f>
        <v>1333590.656</v>
      </c>
      <c r="F611">
        <f>630980992/(1000)</f>
        <v>630980.99199999997</v>
      </c>
      <c r="G611">
        <f>68506000/(1000)</f>
        <v>68506</v>
      </c>
      <c r="H611">
        <f>1052413664/(1000)</f>
        <v>1052413.6640000001</v>
      </c>
      <c r="I611">
        <f>105868000/(1000)</f>
        <v>105868</v>
      </c>
      <c r="J611">
        <f t="shared" si="10"/>
        <v>9.9408099142328198E-3</v>
      </c>
      <c r="K611">
        <f>124386001/(1000)</f>
        <v>124386.001</v>
      </c>
      <c r="L611">
        <v>29.283271789550799</v>
      </c>
      <c r="M611">
        <v>7.3555021286010698</v>
      </c>
      <c r="N611">
        <v>69.030329972113407</v>
      </c>
      <c r="O611">
        <v>0</v>
      </c>
      <c r="P611">
        <v>0</v>
      </c>
      <c r="Q611">
        <v>1.5114045939854599</v>
      </c>
      <c r="R611">
        <v>14.0513394896638</v>
      </c>
      <c r="S611">
        <v>146.88005884608501</v>
      </c>
      <c r="T611">
        <v>0</v>
      </c>
      <c r="U611">
        <v>0</v>
      </c>
      <c r="V611">
        <v>0</v>
      </c>
      <c r="W611">
        <v>0</v>
      </c>
    </row>
    <row r="612" spans="1:23" x14ac:dyDescent="0.55000000000000004">
      <c r="A612" t="s">
        <v>1232</v>
      </c>
      <c r="B612" t="s">
        <v>1233</v>
      </c>
      <c r="C612" t="s">
        <v>17</v>
      </c>
      <c r="D612">
        <v>35.880000000000003</v>
      </c>
      <c r="E612">
        <f>658039232/(1000)</f>
        <v>658039.23199999996</v>
      </c>
      <c r="F612">
        <f>629358976/(1000)</f>
        <v>629358.97600000002</v>
      </c>
      <c r="G612">
        <f>43336000/(1000)</f>
        <v>43336</v>
      </c>
      <c r="H612">
        <f>611778232/(1000)</f>
        <v>611778.23199999996</v>
      </c>
      <c r="I612">
        <f>70806000/(1000)</f>
        <v>70806</v>
      </c>
      <c r="J612">
        <f t="shared" si="10"/>
        <v>8.640203259610766E-3</v>
      </c>
      <c r="K612">
        <f>32116001/(1000)</f>
        <v>32116.001</v>
      </c>
      <c r="L612">
        <v>19.965114593505898</v>
      </c>
      <c r="M612">
        <v>9.1148996353149396</v>
      </c>
      <c r="N612">
        <v>76.950926295431898</v>
      </c>
      <c r="O612">
        <v>0.14963200688362099</v>
      </c>
      <c r="P612">
        <v>0.38999998569488498</v>
      </c>
      <c r="Q612">
        <v>0</v>
      </c>
      <c r="R612">
        <v>24.4081646302633</v>
      </c>
      <c r="S612">
        <v>72.631921548483902</v>
      </c>
      <c r="T612">
        <v>0</v>
      </c>
      <c r="U612">
        <v>0</v>
      </c>
      <c r="V612">
        <v>0</v>
      </c>
      <c r="W612">
        <v>0</v>
      </c>
    </row>
    <row r="613" spans="1:23" x14ac:dyDescent="0.55000000000000004">
      <c r="A613" t="s">
        <v>1234</v>
      </c>
      <c r="B613" t="s">
        <v>1235</v>
      </c>
      <c r="C613" t="s">
        <v>121</v>
      </c>
      <c r="D613">
        <v>14.31</v>
      </c>
      <c r="E613">
        <f>329095648/(1000)</f>
        <v>329095.64799999999</v>
      </c>
      <c r="F613">
        <f>626798976/(1000)</f>
        <v>626798.97600000002</v>
      </c>
      <c r="G613">
        <f>141160992/(1000)</f>
        <v>141160.992</v>
      </c>
      <c r="H613">
        <f>281764640/(1000)</f>
        <v>281764.64</v>
      </c>
      <c r="I613">
        <f>156872992/(1000)</f>
        <v>156872.992</v>
      </c>
      <c r="J613">
        <f t="shared" si="10"/>
        <v>1.7961322494569364E-3</v>
      </c>
      <c r="K613">
        <f>-19295999/(1000)</f>
        <v>-19295.999</v>
      </c>
      <c r="L613">
        <v>0</v>
      </c>
      <c r="M613">
        <v>17.848579406738299</v>
      </c>
      <c r="N613">
        <v>97.338850399000904</v>
      </c>
      <c r="O613">
        <v>3.0560069084167498</v>
      </c>
      <c r="P613">
        <v>0</v>
      </c>
      <c r="Q613">
        <v>0</v>
      </c>
      <c r="R613">
        <v>4.2844312205414301</v>
      </c>
      <c r="S613">
        <v>131.38504152179601</v>
      </c>
      <c r="T613">
        <v>0</v>
      </c>
      <c r="U613">
        <v>0</v>
      </c>
      <c r="V613">
        <v>0</v>
      </c>
      <c r="W613">
        <v>0</v>
      </c>
    </row>
    <row r="614" spans="1:23" x14ac:dyDescent="0.55000000000000004">
      <c r="A614" t="s">
        <v>1236</v>
      </c>
      <c r="B614" t="s">
        <v>1237</v>
      </c>
      <c r="C614" t="s">
        <v>31</v>
      </c>
      <c r="D614">
        <v>2.19</v>
      </c>
      <c r="E614">
        <f>246465008/(1000)</f>
        <v>246465.008</v>
      </c>
      <c r="F614">
        <f>626238016/(1000)</f>
        <v>626238.01599999995</v>
      </c>
      <c r="G614">
        <f>43718000/(1000)</f>
        <v>43718</v>
      </c>
      <c r="H614">
        <f>307536008/(1000)</f>
        <v>307536.00799999997</v>
      </c>
      <c r="I614">
        <f>87494000/(1000)</f>
        <v>87494</v>
      </c>
      <c r="J614">
        <f t="shared" si="10"/>
        <v>3.5149382586234482E-3</v>
      </c>
      <c r="K614">
        <f>105098001/(1000)</f>
        <v>105098.001</v>
      </c>
      <c r="L614">
        <v>60.300487518310497</v>
      </c>
      <c r="M614">
        <v>4.7486228942871103</v>
      </c>
      <c r="N614">
        <v>94.097445666517103</v>
      </c>
      <c r="O614">
        <v>5.5713357925415004</v>
      </c>
      <c r="P614">
        <v>0</v>
      </c>
      <c r="Q614">
        <v>0</v>
      </c>
      <c r="R614">
        <v>4.2115385450268503</v>
      </c>
      <c r="S614">
        <v>184.872487861038</v>
      </c>
      <c r="T614">
        <v>0</v>
      </c>
      <c r="U614">
        <v>0</v>
      </c>
      <c r="V614">
        <v>0</v>
      </c>
      <c r="W614">
        <v>0</v>
      </c>
    </row>
    <row r="615" spans="1:23" x14ac:dyDescent="0.55000000000000004">
      <c r="A615" t="s">
        <v>1238</v>
      </c>
      <c r="B615" t="s">
        <v>1239</v>
      </c>
      <c r="C615" t="s">
        <v>2</v>
      </c>
      <c r="D615">
        <v>19.34</v>
      </c>
      <c r="E615">
        <f>326348960/(1000)</f>
        <v>326348.96000000002</v>
      </c>
      <c r="F615">
        <f>624238976/(1000)</f>
        <v>624238.97600000002</v>
      </c>
      <c r="G615">
        <f>35532000/(1000)</f>
        <v>35532</v>
      </c>
      <c r="H615">
        <f>426407960/(1000)</f>
        <v>426407.96</v>
      </c>
      <c r="I615">
        <f>40719000/(1000)</f>
        <v>40719</v>
      </c>
      <c r="J615">
        <f t="shared" si="10"/>
        <v>1.0471965421547682E-2</v>
      </c>
      <c r="K615">
        <f>31756001/(1000)</f>
        <v>31756.001</v>
      </c>
      <c r="L615">
        <v>0</v>
      </c>
      <c r="M615">
        <v>43.113460540771499</v>
      </c>
      <c r="N615">
        <v>51.043895144937899</v>
      </c>
      <c r="O615">
        <v>200.66091918945301</v>
      </c>
      <c r="P615">
        <v>0</v>
      </c>
      <c r="Q615">
        <v>18.960784817878601</v>
      </c>
      <c r="R615">
        <v>17.907407578341498</v>
      </c>
      <c r="S615">
        <v>14.2142276587939</v>
      </c>
      <c r="T615">
        <v>0</v>
      </c>
      <c r="U615">
        <v>0</v>
      </c>
      <c r="V615">
        <v>0</v>
      </c>
      <c r="W615">
        <v>0</v>
      </c>
    </row>
    <row r="616" spans="1:23" x14ac:dyDescent="0.55000000000000004">
      <c r="A616" t="s">
        <v>1240</v>
      </c>
      <c r="B616" t="s">
        <v>1241</v>
      </c>
      <c r="C616" t="s">
        <v>2</v>
      </c>
      <c r="D616">
        <v>40.950000000000003</v>
      </c>
      <c r="E616">
        <f>1069360128/(1000)</f>
        <v>1069360.128</v>
      </c>
      <c r="F616">
        <f>623817024/(1000)</f>
        <v>623817.02399999998</v>
      </c>
      <c r="G616">
        <f>80976000/(1000)</f>
        <v>80976</v>
      </c>
      <c r="H616">
        <f>1274343120/(1000)</f>
        <v>1274343.1200000001</v>
      </c>
      <c r="I616">
        <f>108610000/(1000)</f>
        <v>108610</v>
      </c>
      <c r="J616">
        <f t="shared" si="10"/>
        <v>1.1733202467544427E-2</v>
      </c>
      <c r="K616">
        <f>60457001/(1000)</f>
        <v>60457.000999999997</v>
      </c>
      <c r="L616">
        <v>27.306299209594702</v>
      </c>
      <c r="M616">
        <v>10.571448326110801</v>
      </c>
      <c r="N616">
        <v>97.142506845296893</v>
      </c>
      <c r="O616">
        <v>49.899944305419901</v>
      </c>
      <c r="P616">
        <v>0</v>
      </c>
      <c r="Q616">
        <v>2.1075656263387299</v>
      </c>
      <c r="R616">
        <v>18.698630251259299</v>
      </c>
      <c r="S616">
        <v>57.2567317354643</v>
      </c>
      <c r="T616">
        <v>0</v>
      </c>
      <c r="U616">
        <v>0</v>
      </c>
      <c r="V616">
        <v>0</v>
      </c>
      <c r="W616">
        <v>0</v>
      </c>
    </row>
    <row r="617" spans="1:23" x14ac:dyDescent="0.55000000000000004">
      <c r="A617" t="s">
        <v>1242</v>
      </c>
      <c r="B617" t="s">
        <v>1243</v>
      </c>
      <c r="C617" t="s">
        <v>8</v>
      </c>
      <c r="D617">
        <v>6.51</v>
      </c>
      <c r="E617">
        <f>689544384/(1000)</f>
        <v>689544.38399999996</v>
      </c>
      <c r="F617">
        <f>623614976/(1000)</f>
        <v>623614.97600000002</v>
      </c>
      <c r="G617">
        <f>179004992/(1000)</f>
        <v>179004.992</v>
      </c>
      <c r="H617">
        <f>1001623392/(1000)</f>
        <v>1001623.392</v>
      </c>
      <c r="I617">
        <f>219703008/(1000)</f>
        <v>219703.008</v>
      </c>
      <c r="J617">
        <f t="shared" si="10"/>
        <v>4.5589880681105649E-3</v>
      </c>
      <c r="K617">
        <f>79644001/(1000)</f>
        <v>79644.001000000004</v>
      </c>
      <c r="L617">
        <v>0</v>
      </c>
      <c r="M617">
        <v>28.3235969543457</v>
      </c>
      <c r="N617">
        <v>40.423127753002497</v>
      </c>
      <c r="O617">
        <v>63.785598754882798</v>
      </c>
      <c r="P617">
        <v>0</v>
      </c>
      <c r="Q617">
        <v>0.98042174093106305</v>
      </c>
      <c r="R617">
        <v>7.3146070397702703</v>
      </c>
      <c r="S617">
        <v>0</v>
      </c>
      <c r="T617">
        <v>0</v>
      </c>
      <c r="U617">
        <v>0</v>
      </c>
      <c r="V617">
        <v>0</v>
      </c>
      <c r="W617">
        <v>0</v>
      </c>
    </row>
    <row r="618" spans="1:23" x14ac:dyDescent="0.55000000000000004">
      <c r="A618" t="s">
        <v>1244</v>
      </c>
      <c r="B618" t="s">
        <v>1245</v>
      </c>
      <c r="C618" t="s">
        <v>2</v>
      </c>
      <c r="D618">
        <v>13.65</v>
      </c>
      <c r="E618">
        <f>259857792/(1000)</f>
        <v>259857.79199999999</v>
      </c>
      <c r="F618">
        <f>623334016/(1000)</f>
        <v>623334.01599999995</v>
      </c>
      <c r="G618">
        <f>74836000/(1000)</f>
        <v>74836</v>
      </c>
      <c r="H618">
        <f>281809792/(1000)</f>
        <v>281809.79200000002</v>
      </c>
      <c r="I618">
        <f>84634000/(1000)</f>
        <v>84634</v>
      </c>
      <c r="J618">
        <f t="shared" si="10"/>
        <v>3.3297468157005459E-3</v>
      </c>
      <c r="K618">
        <f>46524001/(1000)</f>
        <v>46524.000999999997</v>
      </c>
      <c r="L618">
        <v>17.9798908233643</v>
      </c>
      <c r="M618">
        <v>13.9152688980103</v>
      </c>
      <c r="N618">
        <v>94.193994527188494</v>
      </c>
      <c r="O618">
        <v>50.054656982421903</v>
      </c>
      <c r="P618">
        <v>0</v>
      </c>
      <c r="Q618">
        <v>0</v>
      </c>
      <c r="R618">
        <v>6.0258302728667701</v>
      </c>
      <c r="S618">
        <v>0</v>
      </c>
      <c r="T618">
        <v>0</v>
      </c>
      <c r="U618">
        <v>0</v>
      </c>
      <c r="V618">
        <v>0</v>
      </c>
      <c r="W618">
        <v>0</v>
      </c>
    </row>
    <row r="619" spans="1:23" x14ac:dyDescent="0.55000000000000004">
      <c r="A619" t="s">
        <v>1246</v>
      </c>
      <c r="B619" t="s">
        <v>1247</v>
      </c>
      <c r="C619" t="s">
        <v>31</v>
      </c>
      <c r="D619">
        <v>13.85</v>
      </c>
      <c r="E619">
        <f>247077088/(1000)</f>
        <v>247077.08799999999</v>
      </c>
      <c r="F619">
        <f>623088000/(1000)</f>
        <v>623088</v>
      </c>
      <c r="G619">
        <f>23628000/(1000)</f>
        <v>23628</v>
      </c>
      <c r="H619">
        <f>289862088/(1000)</f>
        <v>289862.08799999999</v>
      </c>
      <c r="I619">
        <f>42970000/(1000)</f>
        <v>42970</v>
      </c>
      <c r="J619">
        <f t="shared" si="10"/>
        <v>6.7456850826157783E-3</v>
      </c>
      <c r="K619">
        <f>-12788999/(1000)</f>
        <v>-12788.999</v>
      </c>
      <c r="L619">
        <v>0</v>
      </c>
      <c r="M619">
        <v>5.2776579856872603</v>
      </c>
      <c r="N619">
        <v>93.697130523179894</v>
      </c>
      <c r="O619">
        <v>26.621761322021499</v>
      </c>
      <c r="P619">
        <v>0</v>
      </c>
      <c r="Q619">
        <v>0.83761720648805404</v>
      </c>
      <c r="R619">
        <v>15.980670814691599</v>
      </c>
      <c r="S619">
        <v>241.148901688531</v>
      </c>
      <c r="T619">
        <v>0</v>
      </c>
      <c r="U619">
        <v>0</v>
      </c>
      <c r="V619">
        <v>0</v>
      </c>
      <c r="W619">
        <v>0</v>
      </c>
    </row>
    <row r="620" spans="1:23" x14ac:dyDescent="0.55000000000000004">
      <c r="A620" t="s">
        <v>1248</v>
      </c>
      <c r="B620" t="s">
        <v>1249</v>
      </c>
      <c r="C620" t="s">
        <v>31</v>
      </c>
      <c r="D620">
        <v>9.56</v>
      </c>
      <c r="E620">
        <f>492891616/(1000)</f>
        <v>492891.61599999998</v>
      </c>
      <c r="F620">
        <f>620585984/(1000)</f>
        <v>620585.98400000005</v>
      </c>
      <c r="G620">
        <f>-2231000/(1000)</f>
        <v>-2231</v>
      </c>
      <c r="H620">
        <f>291279616/(1000)</f>
        <v>291279.61599999998</v>
      </c>
      <c r="I620">
        <f>42253000/(1000)</f>
        <v>42253</v>
      </c>
      <c r="J620">
        <f t="shared" si="10"/>
        <v>6.8937026009987454E-3</v>
      </c>
      <c r="K620">
        <f>56517001/(1000)</f>
        <v>56517.000999999997</v>
      </c>
      <c r="L620">
        <v>27.809808731079102</v>
      </c>
      <c r="M620">
        <v>3.5896589756011998</v>
      </c>
      <c r="N620">
        <v>99.127771213318695</v>
      </c>
      <c r="O620">
        <v>32.2582397460938</v>
      </c>
      <c r="P620">
        <v>0</v>
      </c>
      <c r="Q620">
        <v>0</v>
      </c>
      <c r="R620">
        <v>21.7272734307676</v>
      </c>
      <c r="S620">
        <v>77.216613554929296</v>
      </c>
      <c r="T620">
        <v>0</v>
      </c>
      <c r="U620">
        <v>0</v>
      </c>
      <c r="V620">
        <v>0</v>
      </c>
      <c r="W620">
        <v>0</v>
      </c>
    </row>
    <row r="621" spans="1:23" x14ac:dyDescent="0.55000000000000004">
      <c r="A621" t="s">
        <v>1250</v>
      </c>
      <c r="B621" t="s">
        <v>1251</v>
      </c>
      <c r="C621" t="s">
        <v>20</v>
      </c>
      <c r="D621">
        <v>21.82</v>
      </c>
      <c r="E621">
        <f>1006043776/(1000)</f>
        <v>1006043.776</v>
      </c>
      <c r="F621">
        <f>619888000/(1000)</f>
        <v>619888</v>
      </c>
      <c r="G621">
        <f>109627000/(1000)</f>
        <v>109627</v>
      </c>
      <c r="H621">
        <f>887661776/(1000)</f>
        <v>887661.77599999995</v>
      </c>
      <c r="I621">
        <f>133897000/(1000)</f>
        <v>133897</v>
      </c>
      <c r="J621">
        <f t="shared" si="10"/>
        <v>6.6294373735035139E-3</v>
      </c>
      <c r="K621">
        <f>95105001/(1000)</f>
        <v>95105.001000000004</v>
      </c>
      <c r="L621">
        <v>16.017116546630898</v>
      </c>
      <c r="M621">
        <v>24.0826225280762</v>
      </c>
      <c r="N621">
        <v>55.309773478634298</v>
      </c>
      <c r="O621">
        <v>0</v>
      </c>
      <c r="P621">
        <v>0.80000001192092896</v>
      </c>
      <c r="Q621">
        <v>2.96870747999214</v>
      </c>
      <c r="R621">
        <v>10.324920936883499</v>
      </c>
      <c r="S621">
        <v>54.562409614521499</v>
      </c>
      <c r="T621">
        <v>0</v>
      </c>
      <c r="U621">
        <v>0</v>
      </c>
      <c r="V621">
        <v>0</v>
      </c>
      <c r="W621">
        <v>0</v>
      </c>
    </row>
    <row r="622" spans="1:23" x14ac:dyDescent="0.55000000000000004">
      <c r="A622" t="s">
        <v>1252</v>
      </c>
      <c r="B622" t="s">
        <v>1253</v>
      </c>
      <c r="C622" t="s">
        <v>121</v>
      </c>
      <c r="D622">
        <v>4.9400000000000004</v>
      </c>
      <c r="E622">
        <f>461128256/(1000)</f>
        <v>461128.25599999999</v>
      </c>
      <c r="F622">
        <f>619214976/(1000)</f>
        <v>619214.97600000002</v>
      </c>
      <c r="G622">
        <f>-15109000/(1000)</f>
        <v>-15109</v>
      </c>
      <c r="H622">
        <f>543229256/(1000)</f>
        <v>543229.25600000005</v>
      </c>
      <c r="I622">
        <f>67429000/(1000)</f>
        <v>67429</v>
      </c>
      <c r="J622">
        <f t="shared" si="10"/>
        <v>8.0563148793545807E-3</v>
      </c>
      <c r="K622">
        <f>-31453999/(1000)</f>
        <v>-31453.999</v>
      </c>
      <c r="L622">
        <v>0</v>
      </c>
      <c r="M622">
        <v>-2.7684569358825701</v>
      </c>
      <c r="N622">
        <v>97.958127457239399</v>
      </c>
      <c r="O622">
        <v>24.748552322387699</v>
      </c>
      <c r="P622">
        <v>0</v>
      </c>
      <c r="Q622">
        <v>0.89169676737111803</v>
      </c>
      <c r="R622">
        <v>19.2968747983764</v>
      </c>
      <c r="S622">
        <v>124.679682446462</v>
      </c>
      <c r="T622">
        <v>0</v>
      </c>
      <c r="U622">
        <v>0</v>
      </c>
      <c r="V622">
        <v>0</v>
      </c>
      <c r="W622">
        <v>0</v>
      </c>
    </row>
    <row r="623" spans="1:23" x14ac:dyDescent="0.55000000000000004">
      <c r="A623" t="s">
        <v>1254</v>
      </c>
      <c r="B623" t="s">
        <v>1255</v>
      </c>
      <c r="C623" t="s">
        <v>184</v>
      </c>
      <c r="D623">
        <v>18.16</v>
      </c>
      <c r="E623">
        <f>1203735680/(1000)</f>
        <v>1203735.68</v>
      </c>
      <c r="F623">
        <f>616505984/(1000)</f>
        <v>616505.98400000005</v>
      </c>
      <c r="G623">
        <f>0/(1000)</f>
        <v>0</v>
      </c>
      <c r="H623">
        <f>0/(1000)</f>
        <v>0</v>
      </c>
      <c r="I623">
        <f>0/(1000)</f>
        <v>0</v>
      </c>
      <c r="J623">
        <f t="shared" si="10"/>
        <v>1</v>
      </c>
      <c r="K623">
        <f>65122001/(1000)</f>
        <v>65122.000999999997</v>
      </c>
      <c r="L623">
        <v>18.2762641906738</v>
      </c>
      <c r="M623">
        <v>11.5637912750244</v>
      </c>
      <c r="N623">
        <v>96.537220283173298</v>
      </c>
      <c r="O623">
        <v>198.34686279296901</v>
      </c>
      <c r="P623">
        <v>0.92000001668930098</v>
      </c>
      <c r="Q623">
        <v>1.7500746041705399</v>
      </c>
      <c r="R623">
        <v>16.971962351311301</v>
      </c>
      <c r="S623">
        <v>-10.574449423615899</v>
      </c>
      <c r="T623">
        <v>0</v>
      </c>
      <c r="U623">
        <v>0</v>
      </c>
      <c r="V623">
        <v>0</v>
      </c>
      <c r="W623">
        <v>0</v>
      </c>
    </row>
    <row r="624" spans="1:23" x14ac:dyDescent="0.55000000000000004">
      <c r="A624" t="s">
        <v>1256</v>
      </c>
      <c r="B624" t="s">
        <v>1257</v>
      </c>
      <c r="C624" t="s">
        <v>2</v>
      </c>
      <c r="D624">
        <v>0.66</v>
      </c>
      <c r="E624">
        <f>30474774/(1000)</f>
        <v>30474.774000000001</v>
      </c>
      <c r="F624">
        <f>615425984/(1000)</f>
        <v>615425.98400000005</v>
      </c>
      <c r="G624">
        <f>93949000/(1000)</f>
        <v>93949</v>
      </c>
      <c r="H624">
        <f>641662742/(1000)</f>
        <v>641662.74199999997</v>
      </c>
      <c r="I624">
        <f>139488992/(1000)</f>
        <v>139488.992</v>
      </c>
      <c r="J624">
        <f t="shared" si="10"/>
        <v>4.6000959129448718E-3</v>
      </c>
      <c r="K624">
        <f>41161001/(1000)</f>
        <v>41161.000999999997</v>
      </c>
      <c r="L624">
        <v>0</v>
      </c>
      <c r="M624">
        <v>0</v>
      </c>
      <c r="N624">
        <v>37.0865354148238</v>
      </c>
      <c r="O624">
        <v>0</v>
      </c>
      <c r="P624">
        <v>0</v>
      </c>
      <c r="Q624">
        <v>0</v>
      </c>
      <c r="R624">
        <v>1.7789757257585599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55000000000000004">
      <c r="A625" t="s">
        <v>1258</v>
      </c>
      <c r="B625" t="s">
        <v>1259</v>
      </c>
      <c r="C625" t="s">
        <v>184</v>
      </c>
      <c r="D625">
        <v>12.81</v>
      </c>
      <c r="E625">
        <f>406158336/(1000)</f>
        <v>406158.33600000001</v>
      </c>
      <c r="F625">
        <f>614632000/(1000)</f>
        <v>614632</v>
      </c>
      <c r="G625">
        <f>0/(1000)</f>
        <v>0</v>
      </c>
      <c r="H625">
        <f>232739328/(1000)</f>
        <v>232739.32800000001</v>
      </c>
      <c r="I625">
        <f>0/(1000)</f>
        <v>0</v>
      </c>
      <c r="J625">
        <f t="shared" si="10"/>
        <v>1</v>
      </c>
      <c r="K625">
        <f>148018993/(1000)</f>
        <v>148018.99299999999</v>
      </c>
      <c r="L625">
        <v>0</v>
      </c>
      <c r="M625">
        <v>12.3681335449219</v>
      </c>
      <c r="N625">
        <v>20.058572846207401</v>
      </c>
      <c r="O625">
        <v>16.454137802123999</v>
      </c>
      <c r="P625">
        <v>0</v>
      </c>
      <c r="Q625">
        <v>0.53167868290624998</v>
      </c>
      <c r="R625">
        <v>23.7222214020452</v>
      </c>
      <c r="S625">
        <v>264.23500408898599</v>
      </c>
      <c r="T625">
        <v>0</v>
      </c>
      <c r="U625">
        <v>0</v>
      </c>
      <c r="V625">
        <v>0</v>
      </c>
      <c r="W625">
        <v>0</v>
      </c>
    </row>
    <row r="626" spans="1:23" x14ac:dyDescent="0.55000000000000004">
      <c r="A626" t="s">
        <v>1260</v>
      </c>
      <c r="B626" t="s">
        <v>1261</v>
      </c>
      <c r="C626" t="s">
        <v>5</v>
      </c>
      <c r="D626">
        <v>10.44</v>
      </c>
      <c r="E626">
        <f>204610416/(1000)</f>
        <v>204610.416</v>
      </c>
      <c r="F626">
        <f>613955008/(1000)</f>
        <v>613955.00800000003</v>
      </c>
      <c r="G626">
        <f>44997000/(1000)</f>
        <v>44997</v>
      </c>
      <c r="H626">
        <f>284738416/(1000)</f>
        <v>284738.41600000003</v>
      </c>
      <c r="I626">
        <f>75818000/(1000)</f>
        <v>75818</v>
      </c>
      <c r="J626">
        <f t="shared" si="10"/>
        <v>3.755551663193437E-3</v>
      </c>
      <c r="K626">
        <f>-14650999/(1000)</f>
        <v>-14650.999</v>
      </c>
      <c r="L626">
        <v>51.073230743408203</v>
      </c>
      <c r="M626">
        <v>5.5586447715759304</v>
      </c>
      <c r="N626">
        <v>95.349183416683204</v>
      </c>
      <c r="O626">
        <v>37.953090667724602</v>
      </c>
      <c r="P626">
        <v>0</v>
      </c>
      <c r="Q626">
        <v>0</v>
      </c>
      <c r="R626">
        <v>13.3846147622641</v>
      </c>
      <c r="S626">
        <v>13.070125882866099</v>
      </c>
      <c r="T626">
        <v>0</v>
      </c>
      <c r="U626">
        <v>0</v>
      </c>
      <c r="V626">
        <v>0</v>
      </c>
      <c r="W626">
        <v>0</v>
      </c>
    </row>
    <row r="627" spans="1:23" x14ac:dyDescent="0.55000000000000004">
      <c r="A627" t="s">
        <v>1262</v>
      </c>
      <c r="B627" t="s">
        <v>1263</v>
      </c>
      <c r="C627" t="s">
        <v>184</v>
      </c>
      <c r="D627">
        <v>13.58</v>
      </c>
      <c r="E627">
        <f>651326656/(1000)</f>
        <v>651326.65599999996</v>
      </c>
      <c r="F627">
        <f>613929024/(1000)</f>
        <v>613929.02399999998</v>
      </c>
      <c r="G627">
        <f>0/(1000)</f>
        <v>0</v>
      </c>
      <c r="H627">
        <f>0/(1000)</f>
        <v>0</v>
      </c>
      <c r="I627">
        <f>0/(1000)</f>
        <v>0</v>
      </c>
      <c r="J627">
        <f t="shared" si="10"/>
        <v>1</v>
      </c>
      <c r="K627">
        <f>71351001/(1000)</f>
        <v>71351.001000000004</v>
      </c>
      <c r="L627">
        <v>17.8694038391113</v>
      </c>
      <c r="M627">
        <v>8.0071048736572301</v>
      </c>
      <c r="N627">
        <v>85.216691185073302</v>
      </c>
      <c r="O627">
        <v>152.21023559570301</v>
      </c>
      <c r="P627">
        <v>0</v>
      </c>
      <c r="Q627">
        <v>0.79093739748535896</v>
      </c>
      <c r="R627">
        <v>0</v>
      </c>
      <c r="S627">
        <v>173.724737546992</v>
      </c>
      <c r="T627">
        <v>0</v>
      </c>
      <c r="U627">
        <v>0</v>
      </c>
      <c r="V627">
        <v>0</v>
      </c>
      <c r="W627">
        <v>0</v>
      </c>
    </row>
    <row r="628" spans="1:23" x14ac:dyDescent="0.55000000000000004">
      <c r="A628" t="s">
        <v>1264</v>
      </c>
      <c r="B628" t="s">
        <v>1265</v>
      </c>
      <c r="C628" t="s">
        <v>8</v>
      </c>
      <c r="D628">
        <v>3.7</v>
      </c>
      <c r="E628">
        <f>327252064/(1000)</f>
        <v>327252.06400000001</v>
      </c>
      <c r="F628">
        <f>612764032/(1000)</f>
        <v>612764.03200000001</v>
      </c>
      <c r="G628">
        <f>55912000/(1000)</f>
        <v>55912</v>
      </c>
      <c r="H628">
        <f>489630064/(1000)</f>
        <v>489630.06400000001</v>
      </c>
      <c r="I628">
        <f>75197000/(1000)</f>
        <v>75197</v>
      </c>
      <c r="J628">
        <f t="shared" si="10"/>
        <v>6.5112978443288968E-3</v>
      </c>
      <c r="K628">
        <f>51152001/(1000)</f>
        <v>51152.000999999997</v>
      </c>
      <c r="L628">
        <v>122.602096557617</v>
      </c>
      <c r="M628">
        <v>7.7981071472168004</v>
      </c>
      <c r="N628">
        <v>96.969012223040707</v>
      </c>
      <c r="O628">
        <v>49.208683013916001</v>
      </c>
      <c r="P628">
        <v>0</v>
      </c>
      <c r="Q628">
        <v>0</v>
      </c>
      <c r="R628">
        <v>8.8095238855501403</v>
      </c>
      <c r="S628">
        <v>90.776324892322094</v>
      </c>
      <c r="T628">
        <v>0</v>
      </c>
      <c r="U628">
        <v>0</v>
      </c>
      <c r="V628">
        <v>0</v>
      </c>
      <c r="W628">
        <v>0</v>
      </c>
    </row>
    <row r="629" spans="1:23" x14ac:dyDescent="0.55000000000000004">
      <c r="A629" t="s">
        <v>1266</v>
      </c>
      <c r="B629" t="s">
        <v>1267</v>
      </c>
      <c r="C629" t="s">
        <v>20</v>
      </c>
      <c r="D629">
        <v>2.97</v>
      </c>
      <c r="E629">
        <f>286273824/(1000)</f>
        <v>286273.82400000002</v>
      </c>
      <c r="F629">
        <f>611163008/(1000)</f>
        <v>611163.00800000003</v>
      </c>
      <c r="G629">
        <f>24803000/(1000)</f>
        <v>24803</v>
      </c>
      <c r="H629">
        <f>162860824/(1000)</f>
        <v>162860.82399999999</v>
      </c>
      <c r="I629">
        <f>38476000/(1000)</f>
        <v>38476</v>
      </c>
      <c r="J629">
        <f t="shared" si="10"/>
        <v>4.2327898949994806E-3</v>
      </c>
      <c r="K629">
        <f>12947001/(1000)</f>
        <v>12947.001</v>
      </c>
      <c r="L629">
        <v>0</v>
      </c>
      <c r="M629">
        <v>18.993116378784201</v>
      </c>
      <c r="N629">
        <v>89.885622493189501</v>
      </c>
      <c r="O629">
        <v>2.7560269832611102</v>
      </c>
      <c r="P629">
        <v>0</v>
      </c>
      <c r="Q629">
        <v>1.7003784432707101</v>
      </c>
      <c r="R629">
        <v>6.9829283024016098</v>
      </c>
      <c r="S629">
        <v>0.43615066250326501</v>
      </c>
      <c r="T629">
        <v>0</v>
      </c>
      <c r="U629">
        <v>0</v>
      </c>
      <c r="V629">
        <v>0</v>
      </c>
      <c r="W629">
        <v>0</v>
      </c>
    </row>
    <row r="630" spans="1:23" x14ac:dyDescent="0.55000000000000004">
      <c r="A630" t="s">
        <v>1268</v>
      </c>
      <c r="B630" t="s">
        <v>1269</v>
      </c>
      <c r="C630" t="s">
        <v>2</v>
      </c>
      <c r="D630">
        <v>12.11</v>
      </c>
      <c r="E630">
        <f>313083456/(1000)</f>
        <v>313083.45600000001</v>
      </c>
      <c r="F630">
        <f>610609984/(1000)</f>
        <v>610609.98400000005</v>
      </c>
      <c r="G630">
        <f>75023000/(1000)</f>
        <v>75023</v>
      </c>
      <c r="H630">
        <f>381197456/(1000)</f>
        <v>381197.45600000001</v>
      </c>
      <c r="I630">
        <f>89302000/(1000)</f>
        <v>89302</v>
      </c>
      <c r="J630">
        <f t="shared" si="10"/>
        <v>4.2686329085574789E-3</v>
      </c>
      <c r="K630">
        <f>26150001/(1000)</f>
        <v>26150.001</v>
      </c>
      <c r="L630">
        <v>13.2011318206787</v>
      </c>
      <c r="M630">
        <v>13.412905693054199</v>
      </c>
      <c r="N630">
        <v>91.772036502804397</v>
      </c>
      <c r="O630">
        <v>26.103437423706101</v>
      </c>
      <c r="P630">
        <v>0.62000000476837203</v>
      </c>
      <c r="Q630">
        <v>0</v>
      </c>
      <c r="R630">
        <v>7.65732586998252</v>
      </c>
      <c r="S630">
        <v>153.62085576341801</v>
      </c>
      <c r="T630">
        <v>0</v>
      </c>
      <c r="U630">
        <v>0</v>
      </c>
      <c r="V630">
        <v>0</v>
      </c>
      <c r="W630">
        <v>0</v>
      </c>
    </row>
    <row r="631" spans="1:23" x14ac:dyDescent="0.55000000000000004">
      <c r="A631" t="s">
        <v>1270</v>
      </c>
      <c r="B631" t="s">
        <v>1271</v>
      </c>
      <c r="C631" t="s">
        <v>20</v>
      </c>
      <c r="D631">
        <v>5.95</v>
      </c>
      <c r="E631">
        <f>170548432/(1000)</f>
        <v>170548.432</v>
      </c>
      <c r="F631">
        <f>610060992/(1000)</f>
        <v>610060.99199999997</v>
      </c>
      <c r="G631">
        <f>-7686000/(1000)</f>
        <v>-7686</v>
      </c>
      <c r="H631">
        <f>333615424/(1000)</f>
        <v>333615.424</v>
      </c>
      <c r="I631">
        <f>25973000/(1000)</f>
        <v>25973</v>
      </c>
      <c r="J631">
        <f t="shared" si="10"/>
        <v>1.2844701189696993E-2</v>
      </c>
      <c r="K631">
        <f>-7012999.5/(1000)</f>
        <v>-7012.9994999999999</v>
      </c>
      <c r="L631">
        <v>0</v>
      </c>
      <c r="M631">
        <v>-7.8233971595764196</v>
      </c>
      <c r="N631">
        <v>83.068767476564702</v>
      </c>
      <c r="O631">
        <v>59.9205131530762</v>
      </c>
      <c r="P631">
        <v>0</v>
      </c>
      <c r="Q631">
        <v>0</v>
      </c>
      <c r="R631">
        <v>0</v>
      </c>
      <c r="S631">
        <v>22.231236776303099</v>
      </c>
      <c r="T631">
        <v>0</v>
      </c>
      <c r="U631">
        <v>0</v>
      </c>
      <c r="V631">
        <v>0</v>
      </c>
      <c r="W631">
        <v>0</v>
      </c>
    </row>
    <row r="632" spans="1:23" x14ac:dyDescent="0.55000000000000004">
      <c r="A632" t="s">
        <v>1272</v>
      </c>
      <c r="B632" t="s">
        <v>1273</v>
      </c>
      <c r="C632" t="s">
        <v>5</v>
      </c>
      <c r="D632">
        <v>1.75</v>
      </c>
      <c r="E632">
        <f>23948050/(1000)</f>
        <v>23948.05</v>
      </c>
      <c r="F632">
        <f>608896000/(1000)</f>
        <v>608896</v>
      </c>
      <c r="G632">
        <f>0/(1000)</f>
        <v>0</v>
      </c>
      <c r="H632">
        <f>0/(1000)</f>
        <v>0</v>
      </c>
      <c r="I632">
        <f>0/(1000)</f>
        <v>0</v>
      </c>
      <c r="J632">
        <f t="shared" si="10"/>
        <v>1</v>
      </c>
      <c r="K632">
        <f>103001001/(1000)</f>
        <v>103001.001</v>
      </c>
      <c r="L632">
        <v>9.9988498687744105</v>
      </c>
      <c r="M632">
        <v>13.6658391952515</v>
      </c>
      <c r="N632">
        <v>85.469068190787496</v>
      </c>
      <c r="O632">
        <v>359.66442871093801</v>
      </c>
      <c r="P632">
        <v>0</v>
      </c>
      <c r="Q632">
        <v>5.3680984107689997E-2</v>
      </c>
      <c r="R632">
        <v>0</v>
      </c>
      <c r="S632">
        <v>115.957326069686</v>
      </c>
      <c r="T632">
        <v>0</v>
      </c>
      <c r="U632">
        <v>0</v>
      </c>
      <c r="V632">
        <v>0</v>
      </c>
      <c r="W632">
        <v>0</v>
      </c>
    </row>
    <row r="633" spans="1:23" x14ac:dyDescent="0.55000000000000004">
      <c r="A633" t="s">
        <v>1274</v>
      </c>
      <c r="B633" t="s">
        <v>1275</v>
      </c>
      <c r="C633" t="s">
        <v>5</v>
      </c>
      <c r="D633">
        <v>15.05</v>
      </c>
      <c r="E633">
        <f>155331056/(1000)</f>
        <v>155331.05600000001</v>
      </c>
      <c r="F633">
        <f>608219008/(1000)</f>
        <v>608219.00800000003</v>
      </c>
      <c r="G633">
        <f>57063000/(1000)</f>
        <v>57063</v>
      </c>
      <c r="H633">
        <f>385023056/(1000)</f>
        <v>385023.05599999998</v>
      </c>
      <c r="I633">
        <f>92768000/(1000)</f>
        <v>92768</v>
      </c>
      <c r="J633">
        <f t="shared" si="10"/>
        <v>4.150386512590548E-3</v>
      </c>
      <c r="K633">
        <f>16361999/(1000)</f>
        <v>16361.999</v>
      </c>
      <c r="L633">
        <v>103.916450500488</v>
      </c>
      <c r="M633">
        <v>24.390384674072301</v>
      </c>
      <c r="N633">
        <v>87.9352767443457</v>
      </c>
      <c r="O633">
        <v>164.91563415527301</v>
      </c>
      <c r="P633">
        <v>0</v>
      </c>
      <c r="Q633">
        <v>0</v>
      </c>
      <c r="R633">
        <v>0</v>
      </c>
      <c r="S633">
        <v>-46.105340977040797</v>
      </c>
      <c r="T633">
        <v>0</v>
      </c>
      <c r="U633">
        <v>0</v>
      </c>
      <c r="V633">
        <v>0</v>
      </c>
      <c r="W633">
        <v>0</v>
      </c>
    </row>
    <row r="634" spans="1:23" x14ac:dyDescent="0.55000000000000004">
      <c r="A634" t="s">
        <v>1276</v>
      </c>
      <c r="B634" t="s">
        <v>1277</v>
      </c>
      <c r="C634" t="s">
        <v>8</v>
      </c>
      <c r="D634">
        <v>5.85</v>
      </c>
      <c r="E634">
        <f>210002128/(1000)</f>
        <v>210002.128</v>
      </c>
      <c r="F634">
        <f>607934976/(1000)</f>
        <v>607934.97600000002</v>
      </c>
      <c r="G634">
        <f>210972992/(1000)</f>
        <v>210972.992</v>
      </c>
      <c r="H634">
        <f>1640536144/(1000)</f>
        <v>1640536.1440000001</v>
      </c>
      <c r="I634">
        <f>458351008/(1000)</f>
        <v>458351.00799999997</v>
      </c>
      <c r="J634">
        <f t="shared" si="10"/>
        <v>3.5792135620218821E-3</v>
      </c>
      <c r="K634">
        <f>-520451007/(1000)</f>
        <v>-520451.00699999998</v>
      </c>
      <c r="L634">
        <v>0</v>
      </c>
      <c r="M634">
        <v>28.1216011047363</v>
      </c>
      <c r="N634">
        <v>77.444577815187898</v>
      </c>
      <c r="O634">
        <v>453.10263061523398</v>
      </c>
      <c r="P634">
        <v>0</v>
      </c>
      <c r="Q634">
        <v>0</v>
      </c>
      <c r="R634">
        <v>1.5194804853000901</v>
      </c>
      <c r="S634">
        <v>659.75727157978895</v>
      </c>
      <c r="T634">
        <v>0</v>
      </c>
      <c r="U634">
        <v>0</v>
      </c>
      <c r="V634">
        <v>0</v>
      </c>
      <c r="W634">
        <v>0</v>
      </c>
    </row>
    <row r="635" spans="1:23" x14ac:dyDescent="0.55000000000000004">
      <c r="A635" t="s">
        <v>1278</v>
      </c>
      <c r="B635" t="s">
        <v>1279</v>
      </c>
      <c r="C635" t="s">
        <v>20</v>
      </c>
      <c r="D635">
        <v>23.84</v>
      </c>
      <c r="E635">
        <f>1175102208/(1000)</f>
        <v>1175102.2080000001</v>
      </c>
      <c r="F635">
        <f>606561024/(1000)</f>
        <v>606561.02399999998</v>
      </c>
      <c r="G635">
        <f>86265000/(1000)</f>
        <v>86265</v>
      </c>
      <c r="H635">
        <f>1172514208/(1000)</f>
        <v>1172514.2080000001</v>
      </c>
      <c r="I635">
        <f>100887000/(1000)</f>
        <v>100887</v>
      </c>
      <c r="J635">
        <f t="shared" si="10"/>
        <v>1.1622054456966707E-2</v>
      </c>
      <c r="K635">
        <f>-48586999/(1000)</f>
        <v>-48586.999000000003</v>
      </c>
      <c r="L635">
        <v>0</v>
      </c>
      <c r="M635">
        <v>21.241004943847699</v>
      </c>
      <c r="N635">
        <v>38.967607728766502</v>
      </c>
      <c r="O635">
        <v>5.1097211837768501</v>
      </c>
      <c r="P635">
        <v>0</v>
      </c>
      <c r="Q635">
        <v>3.47860086728278</v>
      </c>
      <c r="R635">
        <v>25.361702505079201</v>
      </c>
      <c r="S635">
        <v>0</v>
      </c>
      <c r="T635">
        <v>0</v>
      </c>
      <c r="U635">
        <v>0</v>
      </c>
      <c r="V635">
        <v>0</v>
      </c>
      <c r="W635">
        <v>0</v>
      </c>
    </row>
    <row r="636" spans="1:23" x14ac:dyDescent="0.55000000000000004">
      <c r="A636" t="s">
        <v>1280</v>
      </c>
      <c r="B636" t="s">
        <v>1281</v>
      </c>
      <c r="C636" t="s">
        <v>5</v>
      </c>
      <c r="D636">
        <v>1.51</v>
      </c>
      <c r="E636">
        <f>37282352/(1000)</f>
        <v>37282.351999999999</v>
      </c>
      <c r="F636">
        <f>604992000/(1000)</f>
        <v>604992</v>
      </c>
      <c r="G636">
        <f>26251000/(1000)</f>
        <v>26251</v>
      </c>
      <c r="H636">
        <f>57316352/(1000)</f>
        <v>57316.351999999999</v>
      </c>
      <c r="I636">
        <f>42521000/(1000)</f>
        <v>42521</v>
      </c>
      <c r="J636">
        <f t="shared" si="10"/>
        <v>1.347953999200395E-3</v>
      </c>
      <c r="K636">
        <f>5515001.5/(1000)</f>
        <v>5515.0015000000003</v>
      </c>
      <c r="L636">
        <v>39.724700927734403</v>
      </c>
      <c r="M636">
        <v>7.7317228317260698</v>
      </c>
      <c r="N636">
        <v>91.158876202912893</v>
      </c>
      <c r="O636">
        <v>15.028297424316399</v>
      </c>
      <c r="P636">
        <v>0.20000000298023199</v>
      </c>
      <c r="Q636">
        <v>0</v>
      </c>
      <c r="R636">
        <v>4.0810809616214501</v>
      </c>
      <c r="S636">
        <v>61.4801992870307</v>
      </c>
      <c r="T636">
        <v>0</v>
      </c>
      <c r="U636">
        <v>0</v>
      </c>
      <c r="V636">
        <v>0</v>
      </c>
      <c r="W636">
        <v>0</v>
      </c>
    </row>
    <row r="637" spans="1:23" x14ac:dyDescent="0.55000000000000004">
      <c r="A637" t="s">
        <v>1282</v>
      </c>
      <c r="B637" t="s">
        <v>1283</v>
      </c>
      <c r="C637" t="s">
        <v>20</v>
      </c>
      <c r="D637">
        <v>6.03</v>
      </c>
      <c r="E637">
        <f>175304160/(1000)</f>
        <v>175304.16</v>
      </c>
      <c r="F637">
        <f>604352000/(1000)</f>
        <v>604352</v>
      </c>
      <c r="G637">
        <f>-5069000/(1000)</f>
        <v>-5069</v>
      </c>
      <c r="H637">
        <f>141139160/(1000)</f>
        <v>141139.16</v>
      </c>
      <c r="I637">
        <f>4838000/(1000)</f>
        <v>4838</v>
      </c>
      <c r="J637">
        <f t="shared" si="10"/>
        <v>2.9173038445638694E-2</v>
      </c>
      <c r="K637">
        <f>-18097999/(1000)</f>
        <v>-18097.999</v>
      </c>
      <c r="L637">
        <v>24.9893493652344</v>
      </c>
      <c r="M637">
        <v>1.45653200149536</v>
      </c>
      <c r="N637">
        <v>96.5575107106297</v>
      </c>
      <c r="O637">
        <v>0</v>
      </c>
      <c r="P637">
        <v>0</v>
      </c>
      <c r="Q637">
        <v>1.1355932720880499</v>
      </c>
      <c r="R637">
        <v>0</v>
      </c>
      <c r="S637">
        <v>-28.496827335398599</v>
      </c>
      <c r="T637">
        <v>0</v>
      </c>
      <c r="U637">
        <v>0</v>
      </c>
      <c r="V637">
        <v>0</v>
      </c>
      <c r="W637">
        <v>0</v>
      </c>
    </row>
    <row r="638" spans="1:23" x14ac:dyDescent="0.55000000000000004">
      <c r="A638" t="s">
        <v>1284</v>
      </c>
      <c r="B638" t="s">
        <v>1285</v>
      </c>
      <c r="C638" t="s">
        <v>5</v>
      </c>
      <c r="D638">
        <v>36.22</v>
      </c>
      <c r="E638">
        <f>851227968/(1000)</f>
        <v>851227.96799999999</v>
      </c>
      <c r="F638">
        <f>604341952/(1000)</f>
        <v>604341.95200000005</v>
      </c>
      <c r="G638">
        <f>47895000/(1000)</f>
        <v>47895</v>
      </c>
      <c r="H638">
        <f>1026153968/(1000)</f>
        <v>1026153.968</v>
      </c>
      <c r="I638">
        <f>54857000/(1000)</f>
        <v>54857</v>
      </c>
      <c r="J638">
        <f t="shared" si="10"/>
        <v>1.8705980421824017E-2</v>
      </c>
      <c r="K638">
        <f>17221001/(1000)</f>
        <v>17221.001</v>
      </c>
      <c r="L638">
        <v>0</v>
      </c>
      <c r="M638">
        <v>17.393039703369102</v>
      </c>
      <c r="N638">
        <v>69.983744996898494</v>
      </c>
      <c r="O638">
        <v>21.895095825195298</v>
      </c>
      <c r="P638">
        <v>0</v>
      </c>
      <c r="Q638">
        <v>3.5130940588312498</v>
      </c>
      <c r="R638">
        <v>27.029851585102101</v>
      </c>
      <c r="S638">
        <v>0</v>
      </c>
      <c r="T638">
        <v>0</v>
      </c>
      <c r="U638">
        <v>0</v>
      </c>
      <c r="V638">
        <v>0</v>
      </c>
      <c r="W638">
        <v>0</v>
      </c>
    </row>
    <row r="639" spans="1:23" x14ac:dyDescent="0.55000000000000004">
      <c r="A639" t="s">
        <v>1286</v>
      </c>
      <c r="B639" t="s">
        <v>1287</v>
      </c>
      <c r="C639" t="s">
        <v>5</v>
      </c>
      <c r="D639">
        <v>26.15</v>
      </c>
      <c r="E639">
        <f>477253216/(1000)</f>
        <v>477253.21600000001</v>
      </c>
      <c r="F639">
        <f>604009984/(1000)</f>
        <v>604009.98400000005</v>
      </c>
      <c r="G639">
        <f>82751000/(1000)</f>
        <v>82751</v>
      </c>
      <c r="H639">
        <f>432801216/(1000)</f>
        <v>432801.21600000001</v>
      </c>
      <c r="I639">
        <f>101251000/(1000)</f>
        <v>101251</v>
      </c>
      <c r="J639">
        <f t="shared" si="10"/>
        <v>4.2745376934548796E-3</v>
      </c>
      <c r="K639">
        <f>36016001/(1000)</f>
        <v>36016.000999999997</v>
      </c>
      <c r="L639">
        <v>15.3311262130737</v>
      </c>
      <c r="M639">
        <v>21.3754177093506</v>
      </c>
      <c r="N639">
        <v>91.526849825329194</v>
      </c>
      <c r="O639">
        <v>0</v>
      </c>
      <c r="P639">
        <v>0</v>
      </c>
      <c r="Q639">
        <v>0</v>
      </c>
      <c r="R639">
        <v>8.8344593056789904</v>
      </c>
      <c r="S639">
        <v>148.11859544192299</v>
      </c>
      <c r="T639">
        <v>0</v>
      </c>
      <c r="U639">
        <v>0</v>
      </c>
      <c r="V639">
        <v>0</v>
      </c>
      <c r="W639">
        <v>0</v>
      </c>
    </row>
    <row r="640" spans="1:23" x14ac:dyDescent="0.55000000000000004">
      <c r="A640" t="s">
        <v>1288</v>
      </c>
      <c r="B640" t="s">
        <v>1289</v>
      </c>
      <c r="C640" t="s">
        <v>2</v>
      </c>
      <c r="D640">
        <v>18.23</v>
      </c>
      <c r="E640">
        <f>256113264/(1000)</f>
        <v>256113.264</v>
      </c>
      <c r="F640">
        <f>602425984/(1000)</f>
        <v>602425.98400000005</v>
      </c>
      <c r="G640">
        <f>4382000/(1000)</f>
        <v>4382</v>
      </c>
      <c r="H640">
        <f>221650264/(1000)</f>
        <v>221650.264</v>
      </c>
      <c r="I640">
        <f>39586000/(1000)</f>
        <v>39586</v>
      </c>
      <c r="J640">
        <f t="shared" si="10"/>
        <v>5.5992084070125804E-3</v>
      </c>
      <c r="K640">
        <f>39387001/(1000)</f>
        <v>39387.000999999997</v>
      </c>
      <c r="L640">
        <v>26.270082473754901</v>
      </c>
      <c r="M640">
        <v>1.93814396858215</v>
      </c>
      <c r="N640">
        <v>61.807958801594701</v>
      </c>
      <c r="O640">
        <v>12.5362243652344</v>
      </c>
      <c r="P640">
        <v>0.36000001430511502</v>
      </c>
      <c r="Q640">
        <v>1.2320314751785699</v>
      </c>
      <c r="R640">
        <v>0</v>
      </c>
      <c r="S640">
        <v>6.9143481782921503</v>
      </c>
      <c r="T640">
        <v>0</v>
      </c>
      <c r="U640">
        <v>0</v>
      </c>
      <c r="V640">
        <v>0</v>
      </c>
      <c r="W640">
        <v>0</v>
      </c>
    </row>
    <row r="641" spans="1:23" x14ac:dyDescent="0.55000000000000004">
      <c r="A641" t="s">
        <v>1290</v>
      </c>
      <c r="B641" t="s">
        <v>1291</v>
      </c>
      <c r="C641" t="s">
        <v>121</v>
      </c>
      <c r="D641">
        <v>5.89</v>
      </c>
      <c r="E641">
        <f>138992816/(1000)</f>
        <v>138992.81599999999</v>
      </c>
      <c r="F641">
        <f>602400000/(1000)</f>
        <v>602400</v>
      </c>
      <c r="G641">
        <f>63000000/(1000)</f>
        <v>63000</v>
      </c>
      <c r="H641">
        <f>229192816/(1000)</f>
        <v>229192.81599999999</v>
      </c>
      <c r="I641">
        <f>94300000/(1000)</f>
        <v>94300</v>
      </c>
      <c r="J641">
        <f t="shared" si="10"/>
        <v>2.4304646447507951E-3</v>
      </c>
      <c r="K641">
        <f>35700001/(1000)</f>
        <v>35700.000999999997</v>
      </c>
      <c r="L641">
        <v>10.0631408691406</v>
      </c>
      <c r="M641">
        <v>11.883181571960399</v>
      </c>
      <c r="N641">
        <v>95.053412649859098</v>
      </c>
      <c r="O641">
        <v>29.834255218505898</v>
      </c>
      <c r="P641">
        <v>0.10000000149011599</v>
      </c>
      <c r="Q641">
        <v>0.51351348991828205</v>
      </c>
      <c r="R641">
        <v>4.9915253433584299</v>
      </c>
      <c r="S641">
        <v>34.614525139664799</v>
      </c>
      <c r="T641">
        <v>0</v>
      </c>
      <c r="U641">
        <v>0</v>
      </c>
      <c r="V641">
        <v>0</v>
      </c>
      <c r="W641">
        <v>0</v>
      </c>
    </row>
    <row r="642" spans="1:23" x14ac:dyDescent="0.55000000000000004">
      <c r="A642" t="s">
        <v>1292</v>
      </c>
      <c r="B642" t="s">
        <v>1293</v>
      </c>
      <c r="C642" t="s">
        <v>2</v>
      </c>
      <c r="D642">
        <v>28.11</v>
      </c>
      <c r="E642">
        <f>645012032/(1000)</f>
        <v>645012.03200000001</v>
      </c>
      <c r="F642">
        <f>602025024/(1000)</f>
        <v>602025.02399999998</v>
      </c>
      <c r="G642">
        <f>53072000/(1000)</f>
        <v>53072</v>
      </c>
      <c r="H642">
        <f>785960032/(1000)</f>
        <v>785960.03200000001</v>
      </c>
      <c r="I642">
        <f>73431000/(1000)</f>
        <v>73431</v>
      </c>
      <c r="J642">
        <f t="shared" ref="J642:J705" si="11">(IF(I642=0,1000,H642/I642))/(1000)</f>
        <v>1.0703381841456605E-2</v>
      </c>
      <c r="K642">
        <f>-24041999/(1000)</f>
        <v>-24041.999</v>
      </c>
      <c r="L642">
        <v>22.399961471557599</v>
      </c>
      <c r="M642">
        <v>7.9193792343139604</v>
      </c>
      <c r="N642">
        <v>81.063369182777606</v>
      </c>
      <c r="O642">
        <v>42.7123413085938</v>
      </c>
      <c r="P642">
        <v>0.5</v>
      </c>
      <c r="Q642">
        <v>1.5343887051642899</v>
      </c>
      <c r="R642">
        <v>13.5144230915267</v>
      </c>
      <c r="S642">
        <v>69.645681823305296</v>
      </c>
      <c r="T642">
        <v>0</v>
      </c>
      <c r="U642">
        <v>0</v>
      </c>
      <c r="V642">
        <v>0</v>
      </c>
      <c r="W642">
        <v>0</v>
      </c>
    </row>
    <row r="643" spans="1:23" x14ac:dyDescent="0.55000000000000004">
      <c r="A643" t="s">
        <v>1294</v>
      </c>
      <c r="B643" t="s">
        <v>1295</v>
      </c>
      <c r="C643" t="s">
        <v>5</v>
      </c>
      <c r="D643">
        <v>2.88</v>
      </c>
      <c r="E643">
        <f>143361968/(1000)</f>
        <v>143361.96799999999</v>
      </c>
      <c r="F643">
        <f>601896000/(1000)</f>
        <v>601896</v>
      </c>
      <c r="G643">
        <f>147870000/(1000)</f>
        <v>147870</v>
      </c>
      <c r="H643">
        <f>186957968/(1000)</f>
        <v>186957.96799999999</v>
      </c>
      <c r="I643">
        <f>178990000/(1000)</f>
        <v>178990</v>
      </c>
      <c r="J643">
        <f t="shared" si="11"/>
        <v>1.0445162746522151E-3</v>
      </c>
      <c r="K643">
        <f>98702001/(1000)</f>
        <v>98702.001000000004</v>
      </c>
      <c r="L643">
        <v>27.856416702270501</v>
      </c>
      <c r="M643">
        <v>21.425321578979499</v>
      </c>
      <c r="N643">
        <v>89.793004187959795</v>
      </c>
      <c r="O643">
        <v>58.668098449707003</v>
      </c>
      <c r="P643">
        <v>0</v>
      </c>
      <c r="Q643">
        <v>0.32107023731392598</v>
      </c>
      <c r="R643">
        <v>4.3136892615006204</v>
      </c>
      <c r="S643">
        <v>145.67584776894299</v>
      </c>
      <c r="T643">
        <v>0</v>
      </c>
      <c r="U643">
        <v>0</v>
      </c>
      <c r="V643">
        <v>0</v>
      </c>
      <c r="W643">
        <v>0</v>
      </c>
    </row>
    <row r="644" spans="1:23" x14ac:dyDescent="0.55000000000000004">
      <c r="A644" t="s">
        <v>1296</v>
      </c>
      <c r="B644" t="s">
        <v>1297</v>
      </c>
      <c r="C644" t="s">
        <v>31</v>
      </c>
      <c r="D644">
        <v>2.2200000000000002</v>
      </c>
      <c r="E644">
        <f>184197840/(1000)</f>
        <v>184197.84</v>
      </c>
      <c r="F644">
        <f>600888960/(1000)</f>
        <v>600888.96</v>
      </c>
      <c r="G644">
        <f>72672000/(1000)</f>
        <v>72672</v>
      </c>
      <c r="H644">
        <f>420804848/(1000)</f>
        <v>420804.848</v>
      </c>
      <c r="I644">
        <f>85434000/(1000)</f>
        <v>85434</v>
      </c>
      <c r="J644">
        <f t="shared" si="11"/>
        <v>4.9254962661235578E-3</v>
      </c>
      <c r="K644">
        <f>82372001/(1000)</f>
        <v>82372.001000000004</v>
      </c>
      <c r="L644">
        <v>0</v>
      </c>
      <c r="M644">
        <v>17.529108047485401</v>
      </c>
      <c r="N644">
        <v>98.606035626031996</v>
      </c>
      <c r="O644">
        <v>190.33309936523401</v>
      </c>
      <c r="P644">
        <v>0</v>
      </c>
      <c r="Q644">
        <v>1.07246381652411</v>
      </c>
      <c r="R644">
        <v>3.76271184257515</v>
      </c>
      <c r="S644">
        <v>0</v>
      </c>
      <c r="T644">
        <v>0</v>
      </c>
      <c r="U644">
        <v>0</v>
      </c>
      <c r="V644">
        <v>0</v>
      </c>
      <c r="W644">
        <v>0</v>
      </c>
    </row>
    <row r="645" spans="1:23" x14ac:dyDescent="0.55000000000000004">
      <c r="A645" t="s">
        <v>1298</v>
      </c>
      <c r="B645" t="s">
        <v>1299</v>
      </c>
      <c r="C645" t="s">
        <v>5</v>
      </c>
      <c r="D645">
        <v>17.91</v>
      </c>
      <c r="E645">
        <f>802291008/(1000)</f>
        <v>802291.00800000003</v>
      </c>
      <c r="F645">
        <f>600875008/(1000)</f>
        <v>600875.00800000003</v>
      </c>
      <c r="G645">
        <f>50187000/(1000)</f>
        <v>50187</v>
      </c>
      <c r="H645">
        <f>867390008/(1000)</f>
        <v>867390.00800000003</v>
      </c>
      <c r="I645">
        <f>103350000/(1000)</f>
        <v>103350</v>
      </c>
      <c r="J645">
        <f t="shared" si="11"/>
        <v>8.3927431833575247E-3</v>
      </c>
      <c r="K645">
        <f>130766001/(1000)</f>
        <v>130766.001</v>
      </c>
      <c r="L645">
        <v>23.786575317382798</v>
      </c>
      <c r="M645">
        <v>5.5352649688720703</v>
      </c>
      <c r="N645">
        <v>96.726024884432505</v>
      </c>
      <c r="O645">
        <v>11.5059194564819</v>
      </c>
      <c r="P645">
        <v>0</v>
      </c>
      <c r="Q645">
        <v>1.0334679703554199</v>
      </c>
      <c r="R645">
        <v>11.264150927658701</v>
      </c>
      <c r="S645">
        <v>130.573679201842</v>
      </c>
      <c r="T645">
        <v>0</v>
      </c>
      <c r="U645">
        <v>0</v>
      </c>
      <c r="V645">
        <v>0</v>
      </c>
      <c r="W645">
        <v>0</v>
      </c>
    </row>
    <row r="646" spans="1:23" x14ac:dyDescent="0.55000000000000004">
      <c r="A646" t="s">
        <v>1300</v>
      </c>
      <c r="B646" t="s">
        <v>1301</v>
      </c>
      <c r="C646" t="s">
        <v>31</v>
      </c>
      <c r="D646">
        <v>21.46</v>
      </c>
      <c r="E646">
        <f>522284896/(1000)</f>
        <v>522284.89600000001</v>
      </c>
      <c r="F646">
        <f>599262016/(1000)</f>
        <v>599262.01599999995</v>
      </c>
      <c r="G646">
        <f>22592000/(1000)</f>
        <v>22592</v>
      </c>
      <c r="H646">
        <f>304214896/(1000)</f>
        <v>304214.89600000001</v>
      </c>
      <c r="I646">
        <f>54562000/(1000)</f>
        <v>54562</v>
      </c>
      <c r="J646">
        <f t="shared" si="11"/>
        <v>5.5755818335105024E-3</v>
      </c>
      <c r="K646">
        <f>45750001/(1000)</f>
        <v>45750.000999999997</v>
      </c>
      <c r="L646">
        <v>32.079292297363303</v>
      </c>
      <c r="M646">
        <v>3.4179410934448202</v>
      </c>
      <c r="N646">
        <v>88.7363559748688</v>
      </c>
      <c r="O646">
        <v>4.0099998004729997E-3</v>
      </c>
      <c r="P646">
        <v>0</v>
      </c>
      <c r="Q646">
        <v>0</v>
      </c>
      <c r="R646">
        <v>17.167999472236598</v>
      </c>
      <c r="S646">
        <v>47.516093935459097</v>
      </c>
      <c r="T646">
        <v>0</v>
      </c>
      <c r="U646">
        <v>0</v>
      </c>
      <c r="V646">
        <v>0</v>
      </c>
      <c r="W646">
        <v>0</v>
      </c>
    </row>
    <row r="647" spans="1:23" x14ac:dyDescent="0.55000000000000004">
      <c r="A647" t="s">
        <v>1302</v>
      </c>
      <c r="B647" t="s">
        <v>1303</v>
      </c>
      <c r="C647" t="s">
        <v>38</v>
      </c>
      <c r="D647">
        <v>50.64</v>
      </c>
      <c r="E647">
        <f>658112384/(1000)</f>
        <v>658112.38399999996</v>
      </c>
      <c r="F647">
        <f>598033984/(1000)</f>
        <v>598033.98400000005</v>
      </c>
      <c r="G647">
        <f>62298000/(1000)</f>
        <v>62298</v>
      </c>
      <c r="H647">
        <f>728185376/(1000)</f>
        <v>728185.37600000005</v>
      </c>
      <c r="I647">
        <f>79306000/(1000)</f>
        <v>79306</v>
      </c>
      <c r="J647">
        <f t="shared" si="11"/>
        <v>9.1819707966610351E-3</v>
      </c>
      <c r="K647">
        <f>28172001/(1000)</f>
        <v>28172.001</v>
      </c>
      <c r="L647">
        <v>20.283374786376999</v>
      </c>
      <c r="M647">
        <v>16.3273105621338</v>
      </c>
      <c r="N647">
        <v>58.315314138521202</v>
      </c>
      <c r="O647">
        <v>3.8259150981903098</v>
      </c>
      <c r="P647">
        <v>0.95999997854232799</v>
      </c>
      <c r="Q647">
        <v>1.33544308636387</v>
      </c>
      <c r="R647">
        <v>25.319999600499902</v>
      </c>
      <c r="S647">
        <v>30.503300367483401</v>
      </c>
      <c r="T647">
        <v>0</v>
      </c>
      <c r="U647">
        <v>0</v>
      </c>
      <c r="V647">
        <v>0</v>
      </c>
      <c r="W647">
        <v>0</v>
      </c>
    </row>
    <row r="648" spans="1:23" x14ac:dyDescent="0.55000000000000004">
      <c r="A648" t="s">
        <v>1304</v>
      </c>
      <c r="B648" t="s">
        <v>1305</v>
      </c>
      <c r="C648" t="s">
        <v>5</v>
      </c>
      <c r="D648">
        <v>34.5</v>
      </c>
      <c r="E648">
        <f>512507840/(1000)</f>
        <v>512507.84</v>
      </c>
      <c r="F648">
        <f>597187008/(1000)</f>
        <v>597187.00800000003</v>
      </c>
      <c r="G648">
        <f>107334000/(1000)</f>
        <v>107334</v>
      </c>
      <c r="H648">
        <f>402317840/(1000)</f>
        <v>402317.84</v>
      </c>
      <c r="I648">
        <f>121858000/(1000)</f>
        <v>121858</v>
      </c>
      <c r="J648">
        <f t="shared" si="11"/>
        <v>3.3015299775148127E-3</v>
      </c>
      <c r="K648">
        <f>71057001/(1000)</f>
        <v>71057.001000000004</v>
      </c>
      <c r="L648">
        <v>15.5863914489746</v>
      </c>
      <c r="M648">
        <v>20.822595596313501</v>
      </c>
      <c r="N648">
        <v>96.148176397746596</v>
      </c>
      <c r="O648">
        <v>0</v>
      </c>
      <c r="P648">
        <v>0.5</v>
      </c>
      <c r="Q648">
        <v>0</v>
      </c>
      <c r="R648">
        <v>6.3653137035368301</v>
      </c>
      <c r="S648">
        <v>161.09503506409499</v>
      </c>
      <c r="T648">
        <v>0</v>
      </c>
      <c r="U648">
        <v>0</v>
      </c>
      <c r="V648">
        <v>0</v>
      </c>
      <c r="W648">
        <v>0</v>
      </c>
    </row>
    <row r="649" spans="1:23" x14ac:dyDescent="0.55000000000000004">
      <c r="A649" t="s">
        <v>1306</v>
      </c>
      <c r="B649" t="s">
        <v>1307</v>
      </c>
      <c r="C649" t="s">
        <v>31</v>
      </c>
      <c r="D649">
        <v>18.86</v>
      </c>
      <c r="E649">
        <f>700351040/(1000)</f>
        <v>700351.04</v>
      </c>
      <c r="F649">
        <f>592510016/(1000)</f>
        <v>592510.01599999995</v>
      </c>
      <c r="G649">
        <f>54441000/(1000)</f>
        <v>54441</v>
      </c>
      <c r="H649">
        <f>641940040/(1000)</f>
        <v>641940.04</v>
      </c>
      <c r="I649">
        <f>71387000/(1000)</f>
        <v>71387</v>
      </c>
      <c r="J649">
        <f t="shared" si="11"/>
        <v>8.9923941333856297E-3</v>
      </c>
      <c r="K649">
        <f>33063001/(1000)</f>
        <v>33063.000999999997</v>
      </c>
      <c r="L649">
        <v>0</v>
      </c>
      <c r="M649">
        <v>13.934757232666</v>
      </c>
      <c r="N649">
        <v>98.710889055718098</v>
      </c>
      <c r="O649">
        <v>63.784534454345703</v>
      </c>
      <c r="P649">
        <v>0</v>
      </c>
      <c r="Q649">
        <v>1.34330489042696</v>
      </c>
      <c r="R649">
        <v>26.563381386640401</v>
      </c>
      <c r="S649">
        <v>73.562668790869907</v>
      </c>
      <c r="T649">
        <v>0</v>
      </c>
      <c r="U649">
        <v>0</v>
      </c>
      <c r="V649">
        <v>0</v>
      </c>
      <c r="W649">
        <v>0</v>
      </c>
    </row>
    <row r="650" spans="1:23" x14ac:dyDescent="0.55000000000000004">
      <c r="A650" t="s">
        <v>1308</v>
      </c>
      <c r="B650" t="s">
        <v>1309</v>
      </c>
      <c r="C650" t="s">
        <v>5</v>
      </c>
      <c r="D650">
        <v>14.34</v>
      </c>
      <c r="E650">
        <f>171576672/(1000)</f>
        <v>171576.67199999999</v>
      </c>
      <c r="F650">
        <f>592422976/(1000)</f>
        <v>592422.97600000002</v>
      </c>
      <c r="G650">
        <f>-38926000/(1000)</f>
        <v>-38926</v>
      </c>
      <c r="H650">
        <f>89428672/(1000)</f>
        <v>89428.672000000006</v>
      </c>
      <c r="I650">
        <f>-24995998/(1000)</f>
        <v>-24995.998</v>
      </c>
      <c r="J650">
        <f t="shared" si="11"/>
        <v>-3.5777196013537849E-3</v>
      </c>
      <c r="K650">
        <f>11957000/(1000)</f>
        <v>11957</v>
      </c>
      <c r="L650">
        <v>0</v>
      </c>
      <c r="M650">
        <v>-12.1576824188232</v>
      </c>
      <c r="N650">
        <v>96.671096154368797</v>
      </c>
      <c r="O650">
        <v>0</v>
      </c>
      <c r="P650">
        <v>0.28000000119209301</v>
      </c>
      <c r="Q650">
        <v>0</v>
      </c>
      <c r="R650">
        <v>0</v>
      </c>
      <c r="S650">
        <v>-46.667527443156203</v>
      </c>
      <c r="T650">
        <v>0</v>
      </c>
      <c r="U650">
        <v>0</v>
      </c>
      <c r="V650">
        <v>0</v>
      </c>
      <c r="W650">
        <v>0</v>
      </c>
    </row>
    <row r="651" spans="1:23" x14ac:dyDescent="0.55000000000000004">
      <c r="A651" t="s">
        <v>1310</v>
      </c>
      <c r="B651" t="s">
        <v>1311</v>
      </c>
      <c r="C651" t="s">
        <v>2</v>
      </c>
      <c r="D651">
        <v>15.76</v>
      </c>
      <c r="E651">
        <f>1515443840/(1000)</f>
        <v>1515443.84</v>
      </c>
      <c r="F651">
        <f>591892992/(1000)</f>
        <v>591892.99199999997</v>
      </c>
      <c r="G651">
        <f>100291000/(1000)</f>
        <v>100291</v>
      </c>
      <c r="H651">
        <f>1447078840/(1000)</f>
        <v>1447078.84</v>
      </c>
      <c r="I651">
        <f>148840000/(1000)</f>
        <v>148840</v>
      </c>
      <c r="J651">
        <f t="shared" si="11"/>
        <v>9.7223786616500944E-3</v>
      </c>
      <c r="K651">
        <f>76018001/(1000)</f>
        <v>76018.001000000004</v>
      </c>
      <c r="L651">
        <v>21.7374877929688</v>
      </c>
      <c r="M651">
        <v>18.183710098266602</v>
      </c>
      <c r="N651">
        <v>58.759681775852499</v>
      </c>
      <c r="O651">
        <v>0</v>
      </c>
      <c r="P651">
        <v>7.9999998211861004E-2</v>
      </c>
      <c r="Q651">
        <v>4.2252011121427699</v>
      </c>
      <c r="R651">
        <v>24.4189658030581</v>
      </c>
      <c r="S651">
        <v>73.705558671864495</v>
      </c>
      <c r="T651">
        <v>0</v>
      </c>
      <c r="U651">
        <v>0</v>
      </c>
      <c r="V651">
        <v>0</v>
      </c>
      <c r="W651">
        <v>0</v>
      </c>
    </row>
    <row r="652" spans="1:23" x14ac:dyDescent="0.55000000000000004">
      <c r="A652" t="s">
        <v>1312</v>
      </c>
      <c r="B652" t="s">
        <v>1313</v>
      </c>
      <c r="C652" t="s">
        <v>20</v>
      </c>
      <c r="D652">
        <v>5.01</v>
      </c>
      <c r="E652">
        <f>114552152/(1000)</f>
        <v>114552.152</v>
      </c>
      <c r="F652">
        <f>591355008/(1000)</f>
        <v>591355.00800000003</v>
      </c>
      <c r="G652">
        <f>4422000/(1000)</f>
        <v>4422</v>
      </c>
      <c r="H652">
        <f>70077152/(1000)</f>
        <v>70077.152000000002</v>
      </c>
      <c r="I652">
        <f>10172000/(1000)</f>
        <v>10172</v>
      </c>
      <c r="J652">
        <f t="shared" si="11"/>
        <v>6.889220605583956E-3</v>
      </c>
      <c r="K652">
        <f>-72016999/(1000)</f>
        <v>-72016.998999999996</v>
      </c>
      <c r="L652">
        <v>0</v>
      </c>
      <c r="M652">
        <v>2.0449950695037802</v>
      </c>
      <c r="N652">
        <v>89.636324680925995</v>
      </c>
      <c r="O652">
        <v>2.45092797279358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55000000000000004">
      <c r="A653" t="s">
        <v>1314</v>
      </c>
      <c r="B653" t="s">
        <v>1315</v>
      </c>
      <c r="C653" t="s">
        <v>121</v>
      </c>
      <c r="D653">
        <v>8.32</v>
      </c>
      <c r="E653">
        <f>177213504/(1000)</f>
        <v>177213.50399999999</v>
      </c>
      <c r="F653">
        <f>586406976/(1000)</f>
        <v>586406.97600000002</v>
      </c>
      <c r="G653">
        <f>59011000/(1000)</f>
        <v>59011</v>
      </c>
      <c r="H653">
        <f>256262504/(1000)</f>
        <v>256262.50399999999</v>
      </c>
      <c r="I653">
        <f>73364000/(1000)</f>
        <v>73364</v>
      </c>
      <c r="J653">
        <f t="shared" si="11"/>
        <v>3.4930279701215856E-3</v>
      </c>
      <c r="K653">
        <f>31829001/(1000)</f>
        <v>31829.001</v>
      </c>
      <c r="L653">
        <v>0</v>
      </c>
      <c r="M653">
        <v>77.840957641601605</v>
      </c>
      <c r="N653">
        <v>78.462608252739301</v>
      </c>
      <c r="O653">
        <v>130.48588562011699</v>
      </c>
      <c r="P653">
        <v>0</v>
      </c>
      <c r="Q653">
        <v>0</v>
      </c>
      <c r="R653">
        <v>6.2089548414761104</v>
      </c>
      <c r="S653">
        <v>106.61882713161</v>
      </c>
      <c r="T653">
        <v>0</v>
      </c>
      <c r="U653">
        <v>0</v>
      </c>
      <c r="V653">
        <v>0</v>
      </c>
      <c r="W653">
        <v>0</v>
      </c>
    </row>
    <row r="654" spans="1:23" x14ac:dyDescent="0.55000000000000004">
      <c r="A654" t="s">
        <v>1316</v>
      </c>
      <c r="B654" t="s">
        <v>1317</v>
      </c>
      <c r="C654" t="s">
        <v>184</v>
      </c>
      <c r="D654">
        <v>6.84</v>
      </c>
      <c r="E654">
        <f>436034272/(1000)</f>
        <v>436034.272</v>
      </c>
      <c r="F654">
        <f>585422016/(1000)</f>
        <v>585422.01599999995</v>
      </c>
      <c r="G654">
        <f>0/(1000)</f>
        <v>0</v>
      </c>
      <c r="H654">
        <f>0/(1000)</f>
        <v>0</v>
      </c>
      <c r="I654">
        <f>0/(1000)</f>
        <v>0</v>
      </c>
      <c r="J654">
        <f t="shared" si="11"/>
        <v>1</v>
      </c>
      <c r="K654">
        <f>79075001/(1000)</f>
        <v>79075.001000000004</v>
      </c>
      <c r="L654">
        <v>21.386196136474599</v>
      </c>
      <c r="M654">
        <v>0.64269602298736594</v>
      </c>
      <c r="N654">
        <v>87.959879698956598</v>
      </c>
      <c r="O654">
        <v>246.49662780761699</v>
      </c>
      <c r="P654">
        <v>3.9999999105930002E-2</v>
      </c>
      <c r="Q654">
        <v>0.71610515221575199</v>
      </c>
      <c r="R654">
        <v>0</v>
      </c>
      <c r="S654">
        <v>311.68630947384702</v>
      </c>
      <c r="T654">
        <v>0</v>
      </c>
      <c r="U654">
        <v>0</v>
      </c>
      <c r="V654">
        <v>0</v>
      </c>
      <c r="W654">
        <v>0</v>
      </c>
    </row>
    <row r="655" spans="1:23" x14ac:dyDescent="0.55000000000000004">
      <c r="A655" t="s">
        <v>1318</v>
      </c>
      <c r="B655" t="s">
        <v>1319</v>
      </c>
      <c r="C655" t="s">
        <v>2</v>
      </c>
      <c r="D655">
        <v>7.91</v>
      </c>
      <c r="E655">
        <f>208786032/(1000)</f>
        <v>208786.03200000001</v>
      </c>
      <c r="F655">
        <f>584376000/(1000)</f>
        <v>584376</v>
      </c>
      <c r="G655">
        <f>65979000/(1000)</f>
        <v>65979</v>
      </c>
      <c r="H655">
        <f>421730032/(1000)</f>
        <v>421730.03200000001</v>
      </c>
      <c r="I655">
        <f>87918000/(1000)</f>
        <v>87918</v>
      </c>
      <c r="J655">
        <f t="shared" si="11"/>
        <v>4.7968565253986668E-3</v>
      </c>
      <c r="K655">
        <f>30175001/(1000)</f>
        <v>30175.001</v>
      </c>
      <c r="L655">
        <v>0</v>
      </c>
      <c r="M655">
        <v>10.1484184265137</v>
      </c>
      <c r="N655">
        <v>93.724235150343404</v>
      </c>
      <c r="O655">
        <v>200.82086181640599</v>
      </c>
      <c r="P655">
        <v>0</v>
      </c>
      <c r="Q655">
        <v>1.1666666080583701</v>
      </c>
      <c r="R655">
        <v>6.1796874469764598</v>
      </c>
      <c r="S655">
        <v>0</v>
      </c>
      <c r="T655">
        <v>0</v>
      </c>
      <c r="U655">
        <v>0</v>
      </c>
      <c r="V655">
        <v>0</v>
      </c>
      <c r="W655">
        <v>0</v>
      </c>
    </row>
    <row r="656" spans="1:23" x14ac:dyDescent="0.55000000000000004">
      <c r="A656" t="s">
        <v>1320</v>
      </c>
      <c r="B656" t="s">
        <v>1321</v>
      </c>
      <c r="C656" t="s">
        <v>5</v>
      </c>
      <c r="D656">
        <v>4.32</v>
      </c>
      <c r="E656">
        <f>115640784/(1000)</f>
        <v>115640.784</v>
      </c>
      <c r="F656">
        <f>583353984/(1000)</f>
        <v>583353.98400000005</v>
      </c>
      <c r="G656">
        <f>17243000/(1000)</f>
        <v>17243</v>
      </c>
      <c r="H656">
        <f>965590800/(1000)</f>
        <v>965590.8</v>
      </c>
      <c r="I656">
        <f>17243000/(1000)</f>
        <v>17243</v>
      </c>
      <c r="J656">
        <f t="shared" si="11"/>
        <v>5.599900249376559E-2</v>
      </c>
      <c r="K656">
        <f>-44275999/(1000)</f>
        <v>-44275.999000000003</v>
      </c>
      <c r="L656">
        <v>7.2213168144226101</v>
      </c>
      <c r="M656">
        <v>4.1613411903381303</v>
      </c>
      <c r="N656">
        <v>36.212816192772799</v>
      </c>
      <c r="O656">
        <v>161.04232788085901</v>
      </c>
      <c r="P656">
        <v>0</v>
      </c>
      <c r="Q656">
        <v>0</v>
      </c>
      <c r="R656">
        <v>8.0000004691106401</v>
      </c>
      <c r="S656">
        <v>-30.690643870408199</v>
      </c>
      <c r="T656">
        <v>0</v>
      </c>
      <c r="U656">
        <v>0</v>
      </c>
      <c r="V656">
        <v>0</v>
      </c>
      <c r="W656">
        <v>0</v>
      </c>
    </row>
    <row r="657" spans="1:23" x14ac:dyDescent="0.55000000000000004">
      <c r="A657" t="s">
        <v>1322</v>
      </c>
      <c r="B657" t="s">
        <v>1323</v>
      </c>
      <c r="C657" t="s">
        <v>184</v>
      </c>
      <c r="D657">
        <v>0.17</v>
      </c>
      <c r="E657">
        <f>27252274/(1000)</f>
        <v>27252.274000000001</v>
      </c>
      <c r="F657">
        <f>582944000/(1000)</f>
        <v>582944</v>
      </c>
      <c r="G657">
        <f>-53422000/(1000)</f>
        <v>-53422</v>
      </c>
      <c r="H657">
        <f>2939862322/(1000)</f>
        <v>2939862.3220000002</v>
      </c>
      <c r="I657">
        <f>283375008/(1000)</f>
        <v>283375.00799999997</v>
      </c>
      <c r="J657">
        <f t="shared" si="11"/>
        <v>1.0374458717262745E-2</v>
      </c>
      <c r="K657">
        <f>785462977/(1000)</f>
        <v>785462.97699999996</v>
      </c>
      <c r="L657">
        <v>0</v>
      </c>
      <c r="M657">
        <v>-84.391616821289105</v>
      </c>
      <c r="N657">
        <v>92.789149070414297</v>
      </c>
      <c r="O657">
        <v>335.95465087890602</v>
      </c>
      <c r="P657">
        <v>0</v>
      </c>
      <c r="Q657">
        <v>0</v>
      </c>
      <c r="R657">
        <v>0</v>
      </c>
      <c r="S657">
        <v>117.35177556248701</v>
      </c>
      <c r="T657">
        <v>0</v>
      </c>
      <c r="U657">
        <v>0</v>
      </c>
      <c r="V657">
        <v>0</v>
      </c>
      <c r="W657">
        <v>0</v>
      </c>
    </row>
    <row r="658" spans="1:23" x14ac:dyDescent="0.55000000000000004">
      <c r="A658" t="s">
        <v>1324</v>
      </c>
      <c r="B658" t="s">
        <v>1325</v>
      </c>
      <c r="C658" t="s">
        <v>81</v>
      </c>
      <c r="D658">
        <v>2.4500000000000002</v>
      </c>
      <c r="E658">
        <f>132653536/(1000)</f>
        <v>132653.53599999999</v>
      </c>
      <c r="F658">
        <f>582654016/(1000)</f>
        <v>582654.01599999995</v>
      </c>
      <c r="G658">
        <f>78788000/(1000)</f>
        <v>78788</v>
      </c>
      <c r="H658">
        <f>361665536/(1000)</f>
        <v>361665.53600000002</v>
      </c>
      <c r="I658">
        <f>108156000/(1000)</f>
        <v>108156</v>
      </c>
      <c r="J658">
        <f t="shared" si="11"/>
        <v>3.3439248492917639E-3</v>
      </c>
      <c r="K658">
        <f>-18539999/(1000)</f>
        <v>-18539.999</v>
      </c>
      <c r="L658">
        <v>19.125078201293899</v>
      </c>
      <c r="M658">
        <v>22.7327270507813</v>
      </c>
      <c r="N658">
        <v>99.655650078767295</v>
      </c>
      <c r="O658">
        <v>37.614292144775398</v>
      </c>
      <c r="P658">
        <v>0.31999999284744302</v>
      </c>
      <c r="Q658">
        <v>0</v>
      </c>
      <c r="R658">
        <v>4.0163935737739997</v>
      </c>
      <c r="S658">
        <v>-27.293303517949099</v>
      </c>
      <c r="T658">
        <v>0</v>
      </c>
      <c r="U658">
        <v>0</v>
      </c>
      <c r="V658">
        <v>0</v>
      </c>
      <c r="W658">
        <v>0</v>
      </c>
    </row>
    <row r="659" spans="1:23" x14ac:dyDescent="0.55000000000000004">
      <c r="A659" t="s">
        <v>1326</v>
      </c>
      <c r="B659" t="s">
        <v>1327</v>
      </c>
      <c r="C659" t="s">
        <v>2</v>
      </c>
      <c r="D659">
        <v>38.83</v>
      </c>
      <c r="E659">
        <f>869350208/(1000)</f>
        <v>869350.20799999998</v>
      </c>
      <c r="F659">
        <f>582347008/(1000)</f>
        <v>582347.00800000003</v>
      </c>
      <c r="G659">
        <f>105788000/(1000)</f>
        <v>105788</v>
      </c>
      <c r="H659">
        <f>978367208/(1000)</f>
        <v>978367.20799999998</v>
      </c>
      <c r="I659">
        <f>120840000/(1000)</f>
        <v>120840</v>
      </c>
      <c r="J659">
        <f t="shared" si="11"/>
        <v>8.0963853690830864E-3</v>
      </c>
      <c r="K659">
        <f>59707001/(1000)</f>
        <v>59707.000999999997</v>
      </c>
      <c r="L659">
        <v>27.509677886962901</v>
      </c>
      <c r="M659">
        <v>12.2912082672119</v>
      </c>
      <c r="N659">
        <v>70.402736727500695</v>
      </c>
      <c r="O659">
        <v>7.4941501617431596</v>
      </c>
      <c r="P659">
        <v>2.5165824219584E-2</v>
      </c>
      <c r="Q659">
        <v>0</v>
      </c>
      <c r="R659">
        <v>21.3351655757243</v>
      </c>
      <c r="S659">
        <v>230.029515847075</v>
      </c>
      <c r="T659">
        <v>0</v>
      </c>
      <c r="U659">
        <v>0</v>
      </c>
      <c r="V659">
        <v>0</v>
      </c>
      <c r="W659">
        <v>0</v>
      </c>
    </row>
    <row r="660" spans="1:23" x14ac:dyDescent="0.55000000000000004">
      <c r="A660" t="s">
        <v>1328</v>
      </c>
      <c r="B660" t="s">
        <v>1329</v>
      </c>
      <c r="C660" t="s">
        <v>5</v>
      </c>
      <c r="D660">
        <v>29.9</v>
      </c>
      <c r="E660">
        <f>1397092352/(1000)</f>
        <v>1397092.352</v>
      </c>
      <c r="F660">
        <f>581867968/(1000)</f>
        <v>581867.96799999999</v>
      </c>
      <c r="G660">
        <f>0/(1000)</f>
        <v>0</v>
      </c>
      <c r="H660">
        <f>1341642360/(1000)</f>
        <v>1341642.3600000001</v>
      </c>
      <c r="I660">
        <f>0/(1000)</f>
        <v>0</v>
      </c>
      <c r="J660">
        <f t="shared" si="11"/>
        <v>1</v>
      </c>
      <c r="K660">
        <f>0/(1000)</f>
        <v>0</v>
      </c>
      <c r="L660">
        <v>0</v>
      </c>
      <c r="M660">
        <v>20.212062835693398</v>
      </c>
      <c r="N660">
        <v>98.928854225745496</v>
      </c>
      <c r="O660">
        <v>0</v>
      </c>
      <c r="P660">
        <v>0.87999999523162797</v>
      </c>
      <c r="Q660">
        <v>0.89891015205460401</v>
      </c>
      <c r="R660">
        <v>5.47619051751761</v>
      </c>
      <c r="S660">
        <v>149.15023403512899</v>
      </c>
      <c r="T660">
        <v>0</v>
      </c>
      <c r="U660">
        <v>0</v>
      </c>
      <c r="V660">
        <v>0</v>
      </c>
      <c r="W660">
        <v>0</v>
      </c>
    </row>
    <row r="661" spans="1:23" x14ac:dyDescent="0.55000000000000004">
      <c r="A661" t="s">
        <v>1330</v>
      </c>
      <c r="B661" t="s">
        <v>1331</v>
      </c>
      <c r="C661" t="s">
        <v>2</v>
      </c>
      <c r="D661">
        <v>4.08</v>
      </c>
      <c r="E661">
        <f>104516952/(1000)</f>
        <v>104516.952</v>
      </c>
      <c r="F661">
        <f>579517056/(1000)</f>
        <v>579517.05599999998</v>
      </c>
      <c r="G661">
        <f>42621000/(1000)</f>
        <v>42621</v>
      </c>
      <c r="H661">
        <f>677362968/(1000)</f>
        <v>677362.96799999999</v>
      </c>
      <c r="I661">
        <f>126400000/(1000)</f>
        <v>126400</v>
      </c>
      <c r="J661">
        <f t="shared" si="11"/>
        <v>5.3588842405063297E-3</v>
      </c>
      <c r="K661">
        <f>-956999.75/(1000)</f>
        <v>-956.99974999999995</v>
      </c>
      <c r="L661">
        <v>0</v>
      </c>
      <c r="M661">
        <v>-6.1649708747863796</v>
      </c>
      <c r="N661">
        <v>94.499911719870298</v>
      </c>
      <c r="O661">
        <v>450.73464965820301</v>
      </c>
      <c r="P661">
        <v>0</v>
      </c>
      <c r="Q661">
        <v>0</v>
      </c>
      <c r="R661">
        <v>0</v>
      </c>
      <c r="S661">
        <v>37.697313611368799</v>
      </c>
      <c r="T661">
        <v>0</v>
      </c>
      <c r="U661">
        <v>0</v>
      </c>
      <c r="V661">
        <v>0</v>
      </c>
      <c r="W661">
        <v>0</v>
      </c>
    </row>
    <row r="662" spans="1:23" x14ac:dyDescent="0.55000000000000004">
      <c r="A662" t="s">
        <v>1332</v>
      </c>
      <c r="B662" t="s">
        <v>1333</v>
      </c>
      <c r="C662" t="s">
        <v>121</v>
      </c>
      <c r="D662">
        <v>19.809999999999999</v>
      </c>
      <c r="E662">
        <f>416420064/(1000)</f>
        <v>416420.06400000001</v>
      </c>
      <c r="F662">
        <f>578982016/(1000)</f>
        <v>578982.01599999995</v>
      </c>
      <c r="G662">
        <f>47709000/(1000)</f>
        <v>47709</v>
      </c>
      <c r="H662">
        <f>676304064/(1000)</f>
        <v>676304.06400000001</v>
      </c>
      <c r="I662">
        <f>95195000/(1000)</f>
        <v>95195</v>
      </c>
      <c r="J662">
        <f t="shared" si="11"/>
        <v>7.1044074163559012E-3</v>
      </c>
      <c r="K662">
        <f>15085001/(1000)</f>
        <v>15085.001</v>
      </c>
      <c r="L662">
        <v>0</v>
      </c>
      <c r="M662">
        <v>-10.410183906555201</v>
      </c>
      <c r="N662">
        <v>98.702705196244906</v>
      </c>
      <c r="O662">
        <v>860.10198974609398</v>
      </c>
      <c r="P662">
        <v>0.68000000715255704</v>
      </c>
      <c r="Q662">
        <v>1.7624555043893599</v>
      </c>
      <c r="R662">
        <v>2.92182879395232</v>
      </c>
      <c r="S662">
        <v>0</v>
      </c>
      <c r="T662">
        <v>0</v>
      </c>
      <c r="U662">
        <v>0</v>
      </c>
      <c r="V662">
        <v>0</v>
      </c>
      <c r="W662">
        <v>0</v>
      </c>
    </row>
    <row r="663" spans="1:23" x14ac:dyDescent="0.55000000000000004">
      <c r="A663" t="s">
        <v>1334</v>
      </c>
      <c r="B663" t="s">
        <v>1335</v>
      </c>
      <c r="C663" t="s">
        <v>2</v>
      </c>
      <c r="D663">
        <v>15.93</v>
      </c>
      <c r="E663">
        <f>685069696/(1000)</f>
        <v>685069.696</v>
      </c>
      <c r="F663">
        <f>577721024/(1000)</f>
        <v>577721.02399999998</v>
      </c>
      <c r="G663">
        <f>44073000/(1000)</f>
        <v>44073</v>
      </c>
      <c r="H663">
        <f>591497696/(1000)</f>
        <v>591497.696</v>
      </c>
      <c r="I663">
        <f>47077000/(1000)</f>
        <v>47077</v>
      </c>
      <c r="J663">
        <f t="shared" si="11"/>
        <v>1.2564473012298998E-2</v>
      </c>
      <c r="K663">
        <f>24266001/(1000)</f>
        <v>24266.001</v>
      </c>
      <c r="L663">
        <v>28.402776718139599</v>
      </c>
      <c r="M663">
        <v>16.423326492309599</v>
      </c>
      <c r="N663">
        <v>92.641783537911905</v>
      </c>
      <c r="O663">
        <v>0</v>
      </c>
      <c r="P663">
        <v>0.42666667699813798</v>
      </c>
      <c r="Q663">
        <v>3.4258064469818099</v>
      </c>
      <c r="R663">
        <v>26.1147552621009</v>
      </c>
      <c r="S663">
        <v>75.8663695585997</v>
      </c>
      <c r="T663">
        <v>0</v>
      </c>
      <c r="U663">
        <v>0</v>
      </c>
      <c r="V663">
        <v>0</v>
      </c>
      <c r="W663">
        <v>0</v>
      </c>
    </row>
    <row r="664" spans="1:23" x14ac:dyDescent="0.55000000000000004">
      <c r="A664" t="s">
        <v>1336</v>
      </c>
      <c r="B664" t="s">
        <v>1337</v>
      </c>
      <c r="C664" t="s">
        <v>20</v>
      </c>
      <c r="D664">
        <v>5.6</v>
      </c>
      <c r="E664">
        <f>198798896/(1000)</f>
        <v>198798.89600000001</v>
      </c>
      <c r="F664">
        <f>575780800/(1000)</f>
        <v>575780.80000000005</v>
      </c>
      <c r="G664">
        <f>32347600/(1000)</f>
        <v>32347.599999999999</v>
      </c>
      <c r="H664">
        <f>114762144/(1000)</f>
        <v>114762.144</v>
      </c>
      <c r="I664">
        <f>54950944/(1000)</f>
        <v>54950.944000000003</v>
      </c>
      <c r="J664">
        <f t="shared" si="11"/>
        <v>2.0884471793605583E-3</v>
      </c>
      <c r="K664">
        <f>26128033/(1000)</f>
        <v>26128.032999999999</v>
      </c>
      <c r="L664">
        <v>20.573881149291999</v>
      </c>
      <c r="M664">
        <v>7.6556210517883301</v>
      </c>
      <c r="N664">
        <v>79.721853914546003</v>
      </c>
      <c r="O664">
        <v>0</v>
      </c>
      <c r="P664">
        <v>0.239999994635582</v>
      </c>
      <c r="Q664">
        <v>0</v>
      </c>
      <c r="R664">
        <v>9.0322581668550104</v>
      </c>
      <c r="S664">
        <v>69.969181357673406</v>
      </c>
      <c r="T664">
        <v>0</v>
      </c>
      <c r="U664">
        <v>0</v>
      </c>
      <c r="V664">
        <v>0</v>
      </c>
      <c r="W664">
        <v>0</v>
      </c>
    </row>
    <row r="665" spans="1:23" x14ac:dyDescent="0.55000000000000004">
      <c r="A665" t="s">
        <v>1338</v>
      </c>
      <c r="B665" t="s">
        <v>1339</v>
      </c>
      <c r="C665" t="s">
        <v>31</v>
      </c>
      <c r="D665">
        <v>20.58</v>
      </c>
      <c r="E665">
        <f>594692032/(1000)</f>
        <v>594692.03200000001</v>
      </c>
      <c r="F665">
        <f>575278016/(1000)</f>
        <v>575278.01599999995</v>
      </c>
      <c r="G665">
        <f>96329000/(1000)</f>
        <v>96329</v>
      </c>
      <c r="H665">
        <f>547182032/(1000)</f>
        <v>547182.03200000001</v>
      </c>
      <c r="I665">
        <f>112691000/(1000)</f>
        <v>112691</v>
      </c>
      <c r="J665">
        <f t="shared" si="11"/>
        <v>4.8555965605061625E-3</v>
      </c>
      <c r="K665">
        <f>18077001/(1000)</f>
        <v>18077.001</v>
      </c>
      <c r="L665">
        <v>16.468103408813501</v>
      </c>
      <c r="M665">
        <v>14.9813022613525</v>
      </c>
      <c r="N665">
        <v>99.168411794979306</v>
      </c>
      <c r="O665">
        <v>16.4812335968018</v>
      </c>
      <c r="P665">
        <v>0</v>
      </c>
      <c r="Q665">
        <v>1.39714871441073</v>
      </c>
      <c r="R665">
        <v>8.8326180562730805</v>
      </c>
      <c r="S665">
        <v>123.19571050569201</v>
      </c>
      <c r="T665">
        <v>0</v>
      </c>
      <c r="U665">
        <v>0</v>
      </c>
      <c r="V665">
        <v>0</v>
      </c>
      <c r="W665">
        <v>0</v>
      </c>
    </row>
    <row r="666" spans="1:23" x14ac:dyDescent="0.55000000000000004">
      <c r="A666" t="s">
        <v>1340</v>
      </c>
      <c r="B666" t="s">
        <v>1341</v>
      </c>
      <c r="C666" t="s">
        <v>121</v>
      </c>
      <c r="D666">
        <v>19.309999999999999</v>
      </c>
      <c r="E666">
        <f>418308672/(1000)</f>
        <v>418308.67200000002</v>
      </c>
      <c r="F666">
        <f>574723968/(1000)</f>
        <v>574723.96799999999</v>
      </c>
      <c r="G666">
        <f>37590000/(1000)</f>
        <v>37590</v>
      </c>
      <c r="H666">
        <f>462930672/(1000)</f>
        <v>462930.67200000002</v>
      </c>
      <c r="I666">
        <f>44472000/(1000)</f>
        <v>44472</v>
      </c>
      <c r="J666">
        <f t="shared" si="11"/>
        <v>1.0409486238532112E-2</v>
      </c>
      <c r="K666">
        <f>17259001/(1000)</f>
        <v>17259.001</v>
      </c>
      <c r="L666">
        <v>0</v>
      </c>
      <c r="M666">
        <v>18.701696395873999</v>
      </c>
      <c r="N666">
        <v>97.691896527647799</v>
      </c>
      <c r="O666">
        <v>59.31787109375</v>
      </c>
      <c r="P666">
        <v>0.15999999642372101</v>
      </c>
      <c r="Q666">
        <v>3.5301645715905599</v>
      </c>
      <c r="R666">
        <v>18.216980331184502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55000000000000004">
      <c r="A667" t="s">
        <v>1342</v>
      </c>
      <c r="B667" t="s">
        <v>1343</v>
      </c>
      <c r="C667" t="s">
        <v>31</v>
      </c>
      <c r="D667">
        <v>24.08</v>
      </c>
      <c r="E667">
        <f>742554944/(1000)</f>
        <v>742554.94400000002</v>
      </c>
      <c r="F667">
        <f>574649984/(1000)</f>
        <v>574649.98400000005</v>
      </c>
      <c r="G667">
        <f>42930000/(1000)</f>
        <v>42930</v>
      </c>
      <c r="H667">
        <f>655668944/(1000)</f>
        <v>655668.94400000002</v>
      </c>
      <c r="I667">
        <f>70971000/(1000)</f>
        <v>70971</v>
      </c>
      <c r="J667">
        <f t="shared" si="11"/>
        <v>9.2385473503261897E-3</v>
      </c>
      <c r="K667">
        <f>25538001/(1000)</f>
        <v>25538.001</v>
      </c>
      <c r="L667">
        <v>27.300802230835</v>
      </c>
      <c r="M667">
        <v>8.9019641876220703</v>
      </c>
      <c r="N667">
        <v>82.976619284069798</v>
      </c>
      <c r="O667">
        <v>0</v>
      </c>
      <c r="P667">
        <v>0</v>
      </c>
      <c r="Q667">
        <v>0</v>
      </c>
      <c r="R667">
        <v>19.264000168609599</v>
      </c>
      <c r="S667">
        <v>210.584678578764</v>
      </c>
      <c r="T667">
        <v>0</v>
      </c>
      <c r="U667">
        <v>0</v>
      </c>
      <c r="V667">
        <v>0</v>
      </c>
      <c r="W667">
        <v>0</v>
      </c>
    </row>
    <row r="668" spans="1:23" x14ac:dyDescent="0.55000000000000004">
      <c r="A668" t="s">
        <v>1344</v>
      </c>
      <c r="B668" t="s">
        <v>1345</v>
      </c>
      <c r="C668" t="s">
        <v>184</v>
      </c>
      <c r="D668">
        <v>11.6</v>
      </c>
      <c r="E668">
        <f>696360768/(1000)</f>
        <v>696360.76800000004</v>
      </c>
      <c r="F668">
        <f>573158976/(1000)</f>
        <v>573158.97600000002</v>
      </c>
      <c r="G668">
        <f>0/(1000)</f>
        <v>0</v>
      </c>
      <c r="H668">
        <f>1176710784/(1000)</f>
        <v>1176710.784</v>
      </c>
      <c r="I668">
        <f>0/(1000)</f>
        <v>0</v>
      </c>
      <c r="J668">
        <f t="shared" si="11"/>
        <v>1</v>
      </c>
      <c r="K668">
        <f>246467009/(1000)</f>
        <v>246467.00899999999</v>
      </c>
      <c r="L668">
        <v>0</v>
      </c>
      <c r="M668">
        <v>24.666662216186499</v>
      </c>
      <c r="N668">
        <v>40.9287844098858</v>
      </c>
      <c r="O668">
        <v>98.250053405761705</v>
      </c>
      <c r="P668">
        <v>8.2644626498222004E-2</v>
      </c>
      <c r="Q668">
        <v>1.7211449554006499</v>
      </c>
      <c r="R668">
        <v>6.3043480211541398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55000000000000004">
      <c r="A669" t="s">
        <v>1346</v>
      </c>
      <c r="B669" t="s">
        <v>1347</v>
      </c>
      <c r="C669" t="s">
        <v>5</v>
      </c>
      <c r="D669">
        <v>10.3</v>
      </c>
      <c r="E669">
        <f>246740624/(1000)</f>
        <v>246740.62400000001</v>
      </c>
      <c r="F669">
        <f>572184000/(1000)</f>
        <v>572184</v>
      </c>
      <c r="G669">
        <f>123316000/(1000)</f>
        <v>123316</v>
      </c>
      <c r="H669">
        <f>626876624/(1000)</f>
        <v>626876.62399999995</v>
      </c>
      <c r="I669">
        <f>144272992/(1000)</f>
        <v>144272.992</v>
      </c>
      <c r="J669">
        <f t="shared" si="11"/>
        <v>4.3450725968170118E-3</v>
      </c>
      <c r="K669">
        <f>57228001/(1000)</f>
        <v>57228.000999999997</v>
      </c>
      <c r="L669">
        <v>0</v>
      </c>
      <c r="M669">
        <v>30.1631565093994</v>
      </c>
      <c r="N669">
        <v>95.242406953318095</v>
      </c>
      <c r="O669">
        <v>303.90173339843801</v>
      </c>
      <c r="P669">
        <v>0</v>
      </c>
      <c r="Q669">
        <v>1.1737892465527</v>
      </c>
      <c r="R669">
        <v>4.6197084749066804</v>
      </c>
      <c r="S669">
        <v>160.80916002698399</v>
      </c>
      <c r="T669">
        <v>0</v>
      </c>
      <c r="U669">
        <v>0</v>
      </c>
      <c r="V669">
        <v>0</v>
      </c>
      <c r="W669">
        <v>0</v>
      </c>
    </row>
    <row r="670" spans="1:23" x14ac:dyDescent="0.55000000000000004">
      <c r="A670" t="s">
        <v>1348</v>
      </c>
      <c r="B670" t="s">
        <v>1349</v>
      </c>
      <c r="C670" t="s">
        <v>5</v>
      </c>
      <c r="D670">
        <v>5.5</v>
      </c>
      <c r="E670">
        <f>195325344/(1000)</f>
        <v>195325.34400000001</v>
      </c>
      <c r="F670">
        <f>570966976/(1000)</f>
        <v>570966.97600000002</v>
      </c>
      <c r="G670">
        <f>115914000/(1000)</f>
        <v>115914</v>
      </c>
      <c r="H670">
        <f>758294368/(1000)</f>
        <v>758294.36800000002</v>
      </c>
      <c r="I670">
        <f>170895008/(1000)</f>
        <v>170895.008</v>
      </c>
      <c r="J670">
        <f t="shared" si="11"/>
        <v>4.4371943737525673E-3</v>
      </c>
      <c r="K670">
        <f>-9682998/(1000)</f>
        <v>-9682.9979999999996</v>
      </c>
      <c r="L670">
        <v>0</v>
      </c>
      <c r="M670">
        <v>15.095874786376999</v>
      </c>
      <c r="N670">
        <v>65.812351109374802</v>
      </c>
      <c r="O670">
        <v>124.23314666748</v>
      </c>
      <c r="P670">
        <v>0</v>
      </c>
      <c r="Q670">
        <v>0.41957510000903597</v>
      </c>
      <c r="R670">
        <v>5.2884615051212904</v>
      </c>
      <c r="S670">
        <v>3073.8019788771498</v>
      </c>
      <c r="T670">
        <v>0</v>
      </c>
      <c r="U670">
        <v>0</v>
      </c>
      <c r="V670">
        <v>0</v>
      </c>
      <c r="W670">
        <v>0</v>
      </c>
    </row>
    <row r="671" spans="1:23" x14ac:dyDescent="0.55000000000000004">
      <c r="A671" t="s">
        <v>1350</v>
      </c>
      <c r="B671" t="s">
        <v>1351</v>
      </c>
      <c r="C671" t="s">
        <v>5</v>
      </c>
      <c r="D671">
        <v>15.18</v>
      </c>
      <c r="E671">
        <f>307256864/(1000)</f>
        <v>307256.864</v>
      </c>
      <c r="F671">
        <f>570115008/(1000)</f>
        <v>570115.00800000003</v>
      </c>
      <c r="G671">
        <f>71810000/(1000)</f>
        <v>71810</v>
      </c>
      <c r="H671">
        <f>304304863.5/(1000)</f>
        <v>304304.86349999998</v>
      </c>
      <c r="I671">
        <f>77950000/(1000)</f>
        <v>77950</v>
      </c>
      <c r="J671">
        <f t="shared" si="11"/>
        <v>3.9038468697883254E-3</v>
      </c>
      <c r="K671">
        <f>34286001/(1000)</f>
        <v>34286.000999999997</v>
      </c>
      <c r="L671">
        <v>48.492088317871101</v>
      </c>
      <c r="M671">
        <v>21.332210540771499</v>
      </c>
      <c r="N671">
        <v>92.325933942520706</v>
      </c>
      <c r="O671">
        <v>1.3139940500259399</v>
      </c>
      <c r="P671">
        <v>0</v>
      </c>
      <c r="Q671">
        <v>0</v>
      </c>
      <c r="R671">
        <v>7.3689320718425204</v>
      </c>
      <c r="S671">
        <v>96.904386713931103</v>
      </c>
      <c r="T671">
        <v>0</v>
      </c>
      <c r="U671">
        <v>0</v>
      </c>
      <c r="V671">
        <v>0</v>
      </c>
      <c r="W671">
        <v>0</v>
      </c>
    </row>
    <row r="672" spans="1:23" x14ac:dyDescent="0.55000000000000004">
      <c r="A672" t="s">
        <v>1352</v>
      </c>
      <c r="B672" t="s">
        <v>1353</v>
      </c>
      <c r="C672" t="s">
        <v>5</v>
      </c>
      <c r="D672">
        <v>25.72</v>
      </c>
      <c r="E672">
        <f>381646208/(1000)</f>
        <v>381646.20799999998</v>
      </c>
      <c r="F672">
        <f>568817984/(1000)</f>
        <v>568817.98400000005</v>
      </c>
      <c r="G672">
        <f>52814000/(1000)</f>
        <v>52814</v>
      </c>
      <c r="H672">
        <f>566469216/(1000)</f>
        <v>566469.21600000001</v>
      </c>
      <c r="I672">
        <f>67679000/(1000)</f>
        <v>67679</v>
      </c>
      <c r="J672">
        <f t="shared" si="11"/>
        <v>8.3699406906130418E-3</v>
      </c>
      <c r="K672">
        <f>46259001/(1000)</f>
        <v>46259.000999999997</v>
      </c>
      <c r="L672">
        <v>0</v>
      </c>
      <c r="M672">
        <v>13.2703666687012</v>
      </c>
      <c r="N672">
        <v>94.956363367363394</v>
      </c>
      <c r="O672">
        <v>141.64128112793</v>
      </c>
      <c r="P672">
        <v>0</v>
      </c>
      <c r="Q672">
        <v>2.12123705677151</v>
      </c>
      <c r="R672">
        <v>12.1320751205209</v>
      </c>
      <c r="S672">
        <v>165.785408431224</v>
      </c>
      <c r="T672">
        <v>0</v>
      </c>
      <c r="U672">
        <v>0</v>
      </c>
      <c r="V672">
        <v>0</v>
      </c>
      <c r="W672">
        <v>0</v>
      </c>
    </row>
    <row r="673" spans="1:23" x14ac:dyDescent="0.55000000000000004">
      <c r="A673" t="s">
        <v>1354</v>
      </c>
      <c r="B673" t="s">
        <v>1355</v>
      </c>
      <c r="C673" t="s">
        <v>31</v>
      </c>
      <c r="D673">
        <v>3.53</v>
      </c>
      <c r="E673">
        <f>476768832/(1000)</f>
        <v>476768.83199999999</v>
      </c>
      <c r="F673">
        <f>567619968/(1000)</f>
        <v>567619.96799999999</v>
      </c>
      <c r="G673">
        <f>-49700000/(1000)</f>
        <v>-49700</v>
      </c>
      <c r="H673">
        <f>76749824/(1000)</f>
        <v>76749.823999999993</v>
      </c>
      <c r="I673">
        <f>-4475000/(1000)</f>
        <v>-4475</v>
      </c>
      <c r="J673">
        <f t="shared" si="11"/>
        <v>-1.7150798659217877E-2</v>
      </c>
      <c r="K673">
        <f>41751001/(1000)</f>
        <v>41751.000999999997</v>
      </c>
      <c r="L673">
        <v>0</v>
      </c>
      <c r="M673">
        <v>5.2377672195434597</v>
      </c>
      <c r="N673">
        <v>63.008842035907698</v>
      </c>
      <c r="O673">
        <v>11.1767177581787</v>
      </c>
      <c r="P673">
        <v>0</v>
      </c>
      <c r="Q673">
        <v>0.61984194293008799</v>
      </c>
      <c r="R673">
        <v>410.46501011134501</v>
      </c>
      <c r="S673">
        <v>210.719865524998</v>
      </c>
      <c r="T673">
        <v>0</v>
      </c>
      <c r="U673">
        <v>0</v>
      </c>
      <c r="V673">
        <v>0</v>
      </c>
      <c r="W673">
        <v>0</v>
      </c>
    </row>
    <row r="674" spans="1:23" x14ac:dyDescent="0.55000000000000004">
      <c r="A674" t="s">
        <v>1356</v>
      </c>
      <c r="B674" t="s">
        <v>1357</v>
      </c>
      <c r="C674" t="s">
        <v>2</v>
      </c>
      <c r="D674">
        <v>5.67</v>
      </c>
      <c r="E674">
        <f>202404256/(1000)</f>
        <v>202404.25599999999</v>
      </c>
      <c r="F674">
        <f>567179968/(1000)</f>
        <v>567179.96799999999</v>
      </c>
      <c r="G674">
        <f>27595000/(1000)</f>
        <v>27595</v>
      </c>
      <c r="H674">
        <f>289579248/(1000)</f>
        <v>289579.24800000002</v>
      </c>
      <c r="I674">
        <f>49131000/(1000)</f>
        <v>49131</v>
      </c>
      <c r="J674">
        <f t="shared" si="11"/>
        <v>5.8940230811503945E-3</v>
      </c>
      <c r="K674">
        <f>27759001/(1000)</f>
        <v>27759.001</v>
      </c>
      <c r="L674">
        <v>0</v>
      </c>
      <c r="M674">
        <v>5.1936330795288104</v>
      </c>
      <c r="N674">
        <v>96.309817602509298</v>
      </c>
      <c r="O674">
        <v>70.408836364746094</v>
      </c>
      <c r="P674">
        <v>0</v>
      </c>
      <c r="Q674">
        <v>0.92045458064028696</v>
      </c>
      <c r="R674">
        <v>12.3260868987762</v>
      </c>
      <c r="S674">
        <v>126.588291408331</v>
      </c>
      <c r="T674">
        <v>0</v>
      </c>
      <c r="U674">
        <v>0</v>
      </c>
      <c r="V674">
        <v>0</v>
      </c>
      <c r="W674">
        <v>0</v>
      </c>
    </row>
    <row r="675" spans="1:23" x14ac:dyDescent="0.55000000000000004">
      <c r="A675" t="s">
        <v>1358</v>
      </c>
      <c r="B675" t="s">
        <v>1359</v>
      </c>
      <c r="C675" t="s">
        <v>17</v>
      </c>
      <c r="D675">
        <v>9</v>
      </c>
      <c r="E675">
        <f>414026080/(1000)</f>
        <v>414026.08</v>
      </c>
      <c r="F675">
        <f>566000960/(1000)</f>
        <v>566000.96</v>
      </c>
      <c r="G675">
        <f>34134000/(1000)</f>
        <v>34134</v>
      </c>
      <c r="H675">
        <f>349996080/(1000)</f>
        <v>349996.08</v>
      </c>
      <c r="I675">
        <f>45718000/(1000)</f>
        <v>45718</v>
      </c>
      <c r="J675">
        <f t="shared" si="11"/>
        <v>7.6555422371932282E-3</v>
      </c>
      <c r="K675">
        <f>24262999/(1000)</f>
        <v>24262.999</v>
      </c>
      <c r="L675">
        <v>21.348993301391602</v>
      </c>
      <c r="M675">
        <v>14.902912139892599</v>
      </c>
      <c r="N675">
        <v>23.9250138547707</v>
      </c>
      <c r="O675">
        <v>0</v>
      </c>
      <c r="P675">
        <v>0</v>
      </c>
      <c r="Q675">
        <v>0</v>
      </c>
      <c r="R675">
        <v>18</v>
      </c>
      <c r="S675">
        <v>13.102927101985999</v>
      </c>
      <c r="T675">
        <v>0</v>
      </c>
      <c r="U675">
        <v>0</v>
      </c>
      <c r="V675">
        <v>0</v>
      </c>
      <c r="W675">
        <v>0</v>
      </c>
    </row>
    <row r="676" spans="1:23" x14ac:dyDescent="0.55000000000000004">
      <c r="A676" t="s">
        <v>1360</v>
      </c>
      <c r="B676" t="s">
        <v>1361</v>
      </c>
      <c r="C676" t="s">
        <v>2</v>
      </c>
      <c r="D676">
        <v>8.5299999999999994</v>
      </c>
      <c r="E676">
        <f>188453296/(1000)</f>
        <v>188453.296</v>
      </c>
      <c r="F676">
        <f>565894976/(1000)</f>
        <v>565894.97600000002</v>
      </c>
      <c r="G676">
        <f>18798000/(1000)</f>
        <v>18798</v>
      </c>
      <c r="H676">
        <f>269510296/(1000)</f>
        <v>269510.29599999997</v>
      </c>
      <c r="I676">
        <f>51230000/(1000)</f>
        <v>51230</v>
      </c>
      <c r="J676">
        <f t="shared" si="11"/>
        <v>5.2607904743314461E-3</v>
      </c>
      <c r="K676">
        <f>-31525999/(1000)</f>
        <v>-31525.999</v>
      </c>
      <c r="L676">
        <v>22.270656585693398</v>
      </c>
      <c r="M676">
        <v>4.4894428253173801</v>
      </c>
      <c r="N676">
        <v>92.014663562717899</v>
      </c>
      <c r="O676">
        <v>71.245574951171903</v>
      </c>
      <c r="P676">
        <v>0</v>
      </c>
      <c r="Q676">
        <v>0</v>
      </c>
      <c r="R676">
        <v>26.656249606188801</v>
      </c>
      <c r="S676">
        <v>54.150703205848799</v>
      </c>
      <c r="T676">
        <v>0</v>
      </c>
      <c r="U676">
        <v>0</v>
      </c>
      <c r="V676">
        <v>0</v>
      </c>
      <c r="W676">
        <v>0</v>
      </c>
    </row>
    <row r="677" spans="1:23" x14ac:dyDescent="0.55000000000000004">
      <c r="A677" t="s">
        <v>1362</v>
      </c>
      <c r="B677" t="s">
        <v>1363</v>
      </c>
      <c r="C677" t="s">
        <v>5</v>
      </c>
      <c r="D677">
        <v>9.77</v>
      </c>
      <c r="E677">
        <f>827381248/(1000)</f>
        <v>827381.24800000002</v>
      </c>
      <c r="F677">
        <f>564108992/(1000)</f>
        <v>564108.99199999997</v>
      </c>
      <c r="G677">
        <f>0/(1000)</f>
        <v>0</v>
      </c>
      <c r="H677">
        <f>636607248/(1000)</f>
        <v>636607.24800000002</v>
      </c>
      <c r="I677">
        <f>0/(1000)</f>
        <v>0</v>
      </c>
      <c r="J677">
        <f t="shared" si="11"/>
        <v>1</v>
      </c>
      <c r="K677">
        <f>317278017/(1000)</f>
        <v>317278.01699999999</v>
      </c>
      <c r="L677">
        <v>0</v>
      </c>
      <c r="M677">
        <v>16.185222625732401</v>
      </c>
      <c r="N677">
        <v>87.978048189406294</v>
      </c>
      <c r="O677">
        <v>18.984880447387699</v>
      </c>
      <c r="P677">
        <v>0.15999999642372101</v>
      </c>
      <c r="Q677">
        <v>0.75473160974039999</v>
      </c>
      <c r="R677">
        <v>7.9430898723445402</v>
      </c>
      <c r="S677">
        <v>0</v>
      </c>
      <c r="T677">
        <v>0</v>
      </c>
      <c r="U677">
        <v>0</v>
      </c>
      <c r="V677">
        <v>0</v>
      </c>
      <c r="W677">
        <v>0</v>
      </c>
    </row>
    <row r="678" spans="1:23" x14ac:dyDescent="0.55000000000000004">
      <c r="A678" t="s">
        <v>1364</v>
      </c>
      <c r="B678" t="s">
        <v>1365</v>
      </c>
      <c r="C678" t="s">
        <v>5</v>
      </c>
      <c r="D678">
        <v>4.28</v>
      </c>
      <c r="E678">
        <f>169612128/(1000)</f>
        <v>169612.128</v>
      </c>
      <c r="F678">
        <f>562302016/(1000)</f>
        <v>562302.01599999995</v>
      </c>
      <c r="G678">
        <f>15562000/(1000)</f>
        <v>15562</v>
      </c>
      <c r="H678">
        <f>177832128/(1000)</f>
        <v>177832.128</v>
      </c>
      <c r="I678">
        <f>29134000/(1000)</f>
        <v>29134</v>
      </c>
      <c r="J678">
        <f t="shared" si="11"/>
        <v>6.1039379419235264E-3</v>
      </c>
      <c r="K678">
        <f>4568002/(1000)</f>
        <v>4568.0020000000004</v>
      </c>
      <c r="L678">
        <v>0</v>
      </c>
      <c r="M678">
        <v>2.8663249015808101</v>
      </c>
      <c r="N678">
        <v>93.303637464678502</v>
      </c>
      <c r="O678">
        <v>13.921272277831999</v>
      </c>
      <c r="P678">
        <v>0</v>
      </c>
      <c r="Q678">
        <v>0</v>
      </c>
      <c r="R678">
        <v>4.3232324935139301</v>
      </c>
      <c r="S678">
        <v>237.56484487561201</v>
      </c>
      <c r="T678">
        <v>0</v>
      </c>
      <c r="U678">
        <v>0</v>
      </c>
      <c r="V678">
        <v>0</v>
      </c>
      <c r="W678">
        <v>0</v>
      </c>
    </row>
    <row r="679" spans="1:23" x14ac:dyDescent="0.55000000000000004">
      <c r="A679" t="s">
        <v>1366</v>
      </c>
      <c r="B679" t="s">
        <v>1367</v>
      </c>
      <c r="C679" t="s">
        <v>5</v>
      </c>
      <c r="D679">
        <v>2.09</v>
      </c>
      <c r="E679">
        <f>81989552/(1000)</f>
        <v>81989.551999999996</v>
      </c>
      <c r="F679">
        <f>562144000/(1000)</f>
        <v>562144</v>
      </c>
      <c r="G679">
        <f>215011008/(1000)</f>
        <v>215011.008</v>
      </c>
      <c r="H679">
        <f>216719536/(1000)</f>
        <v>216719.53599999999</v>
      </c>
      <c r="I679">
        <f>279280992/(1000)</f>
        <v>279280.99200000003</v>
      </c>
      <c r="J679">
        <f t="shared" si="11"/>
        <v>7.7599099905803818E-4</v>
      </c>
      <c r="K679">
        <f>443320993/(1000)</f>
        <v>443320.99300000002</v>
      </c>
      <c r="L679">
        <v>12.316957473754901</v>
      </c>
      <c r="M679">
        <v>12.4958953857422</v>
      </c>
      <c r="N679">
        <v>93.254564835469907</v>
      </c>
      <c r="O679">
        <v>59.568504333496101</v>
      </c>
      <c r="P679">
        <v>0.85000002384185802</v>
      </c>
      <c r="Q679">
        <v>0.16027606750639301</v>
      </c>
      <c r="R679">
        <v>0</v>
      </c>
      <c r="S679">
        <v>63.554214539892399</v>
      </c>
      <c r="T679">
        <v>0</v>
      </c>
      <c r="U679">
        <v>0</v>
      </c>
      <c r="V679">
        <v>0</v>
      </c>
      <c r="W679">
        <v>0</v>
      </c>
    </row>
    <row r="680" spans="1:23" x14ac:dyDescent="0.55000000000000004">
      <c r="A680" t="s">
        <v>1368</v>
      </c>
      <c r="B680" t="s">
        <v>1369</v>
      </c>
      <c r="C680" t="s">
        <v>20</v>
      </c>
      <c r="D680">
        <v>16.11</v>
      </c>
      <c r="E680">
        <f>695842432/(1000)</f>
        <v>695842.43200000003</v>
      </c>
      <c r="F680">
        <f>561646016/(1000)</f>
        <v>561646.01599999995</v>
      </c>
      <c r="G680">
        <f>180503008/(1000)</f>
        <v>180503.008</v>
      </c>
      <c r="H680">
        <f>1256837440/(1000)</f>
        <v>1256837.44</v>
      </c>
      <c r="I680">
        <f>224978000/(1000)</f>
        <v>224978</v>
      </c>
      <c r="J680">
        <f t="shared" si="11"/>
        <v>5.5864904123958791E-3</v>
      </c>
      <c r="K680">
        <f>69896993/(1000)</f>
        <v>69896.993000000002</v>
      </c>
      <c r="L680">
        <v>16.753175735473601</v>
      </c>
      <c r="M680">
        <v>4.6601448059081996</v>
      </c>
      <c r="N680">
        <v>31.7934310673702</v>
      </c>
      <c r="O680">
        <v>51.766944885253899</v>
      </c>
      <c r="P680">
        <v>0.34000000357627902</v>
      </c>
      <c r="Q680">
        <v>0</v>
      </c>
      <c r="R680">
        <v>6.9529565781326301</v>
      </c>
      <c r="S680">
        <v>49.147046514345199</v>
      </c>
      <c r="T680">
        <v>0</v>
      </c>
      <c r="U680">
        <v>0</v>
      </c>
      <c r="V680">
        <v>0</v>
      </c>
      <c r="W680">
        <v>0</v>
      </c>
    </row>
    <row r="681" spans="1:23" x14ac:dyDescent="0.55000000000000004">
      <c r="A681" t="s">
        <v>1370</v>
      </c>
      <c r="B681" t="s">
        <v>1371</v>
      </c>
      <c r="C681" t="s">
        <v>2</v>
      </c>
      <c r="D681">
        <v>18.96</v>
      </c>
      <c r="E681">
        <f>413898688/(1000)</f>
        <v>413898.68800000002</v>
      </c>
      <c r="F681">
        <f>560017024/(1000)</f>
        <v>560017.02399999998</v>
      </c>
      <c r="G681">
        <f>24415000/(1000)</f>
        <v>24415</v>
      </c>
      <c r="H681">
        <f>421759688/(1000)</f>
        <v>421759.68800000002</v>
      </c>
      <c r="I681">
        <f>71424000/(1000)</f>
        <v>71424</v>
      </c>
      <c r="J681">
        <f t="shared" si="11"/>
        <v>5.9050135528673844E-3</v>
      </c>
      <c r="K681">
        <f>-15900999/(1000)</f>
        <v>-15900.999</v>
      </c>
      <c r="L681">
        <v>17.395408630371101</v>
      </c>
      <c r="M681">
        <v>6.5373439788818404</v>
      </c>
      <c r="N681">
        <v>70.267202753559403</v>
      </c>
      <c r="O681">
        <v>18.740791320800799</v>
      </c>
      <c r="P681">
        <v>0</v>
      </c>
      <c r="Q681">
        <v>0</v>
      </c>
      <c r="R681">
        <v>27.0857131507932</v>
      </c>
      <c r="S681">
        <v>91.069487130496498</v>
      </c>
      <c r="T681">
        <v>0</v>
      </c>
      <c r="U681">
        <v>0</v>
      </c>
      <c r="V681">
        <v>0</v>
      </c>
      <c r="W681">
        <v>0</v>
      </c>
    </row>
    <row r="682" spans="1:23" x14ac:dyDescent="0.55000000000000004">
      <c r="A682" t="s">
        <v>1372</v>
      </c>
      <c r="B682" t="s">
        <v>1373</v>
      </c>
      <c r="C682" t="s">
        <v>81</v>
      </c>
      <c r="D682">
        <v>8.61</v>
      </c>
      <c r="E682">
        <f>530320032/(1000)</f>
        <v>530320.03200000001</v>
      </c>
      <c r="F682">
        <f>559705984/(1000)</f>
        <v>559705.98400000005</v>
      </c>
      <c r="G682">
        <f>65342004/(1000)</f>
        <v>65342.004000000001</v>
      </c>
      <c r="H682">
        <f>786505040/(1000)</f>
        <v>786505.04</v>
      </c>
      <c r="I682">
        <f>111009000/(1000)</f>
        <v>111009</v>
      </c>
      <c r="J682">
        <f t="shared" si="11"/>
        <v>7.0850565269482664E-3</v>
      </c>
      <c r="K682">
        <f>44595997/(1000)</f>
        <v>44595.997000000003</v>
      </c>
      <c r="L682">
        <v>16.8778266906738</v>
      </c>
      <c r="M682">
        <v>11.944536209106399</v>
      </c>
      <c r="N682">
        <v>91.225050719152506</v>
      </c>
      <c r="O682">
        <v>111.260612487793</v>
      </c>
      <c r="P682">
        <v>0</v>
      </c>
      <c r="Q682">
        <v>1.8923075375270799</v>
      </c>
      <c r="R682">
        <v>10.1294114318273</v>
      </c>
      <c r="S682">
        <v>64.014967522980697</v>
      </c>
      <c r="T682">
        <v>0</v>
      </c>
      <c r="U682">
        <v>0</v>
      </c>
      <c r="V682">
        <v>0</v>
      </c>
      <c r="W682">
        <v>0</v>
      </c>
    </row>
    <row r="683" spans="1:23" x14ac:dyDescent="0.55000000000000004">
      <c r="A683" t="s">
        <v>1374</v>
      </c>
      <c r="B683" t="s">
        <v>1375</v>
      </c>
      <c r="C683" t="s">
        <v>20</v>
      </c>
      <c r="D683">
        <v>9.39</v>
      </c>
      <c r="E683">
        <f>229117872/(1000)</f>
        <v>229117.872</v>
      </c>
      <c r="F683">
        <f>559550016/(1000)</f>
        <v>559550.01599999995</v>
      </c>
      <c r="G683">
        <f>50777000/(1000)</f>
        <v>50777</v>
      </c>
      <c r="H683">
        <f>215091872/(1000)</f>
        <v>215091.872</v>
      </c>
      <c r="I683">
        <f>67461000/(1000)</f>
        <v>67461</v>
      </c>
      <c r="J683">
        <f t="shared" si="11"/>
        <v>3.1883884318346894E-3</v>
      </c>
      <c r="K683">
        <f>56242001/(1000)</f>
        <v>56242.000999999997</v>
      </c>
      <c r="L683">
        <v>16.3284206390381</v>
      </c>
      <c r="M683">
        <v>14.450268745422401</v>
      </c>
      <c r="N683">
        <v>95.346705350655199</v>
      </c>
      <c r="O683">
        <v>13.0940093994141</v>
      </c>
      <c r="P683">
        <v>0.31999999284744302</v>
      </c>
      <c r="Q683">
        <v>0.53352273521590798</v>
      </c>
      <c r="R683">
        <v>6.0308094591378802</v>
      </c>
      <c r="S683">
        <v>86.468816642896797</v>
      </c>
      <c r="T683">
        <v>0</v>
      </c>
      <c r="U683">
        <v>0</v>
      </c>
      <c r="V683">
        <v>0</v>
      </c>
      <c r="W683">
        <v>0</v>
      </c>
    </row>
    <row r="684" spans="1:23" x14ac:dyDescent="0.55000000000000004">
      <c r="A684" t="s">
        <v>1376</v>
      </c>
      <c r="B684" t="s">
        <v>1377</v>
      </c>
      <c r="C684" t="s">
        <v>5</v>
      </c>
      <c r="D684">
        <v>29.86</v>
      </c>
      <c r="E684">
        <f>324055648/(1000)</f>
        <v>324055.64799999999</v>
      </c>
      <c r="F684">
        <f>558073024/(1000)</f>
        <v>558073.02399999998</v>
      </c>
      <c r="G684">
        <f>78515000/(1000)</f>
        <v>78515</v>
      </c>
      <c r="H684">
        <f>405806648/(1000)</f>
        <v>405806.64799999999</v>
      </c>
      <c r="I684">
        <f>95627000/(1000)</f>
        <v>95627</v>
      </c>
      <c r="J684">
        <f t="shared" si="11"/>
        <v>4.2436408963995517E-3</v>
      </c>
      <c r="K684">
        <f>30518001/(1000)</f>
        <v>30518.001</v>
      </c>
      <c r="L684">
        <v>15.0832214355469</v>
      </c>
      <c r="M684">
        <v>22.2906608581543</v>
      </c>
      <c r="N684">
        <v>76.819166360784905</v>
      </c>
      <c r="O684">
        <v>41.3080863952637</v>
      </c>
      <c r="P684">
        <v>0.80000001192092896</v>
      </c>
      <c r="Q684">
        <v>1.10428992601124</v>
      </c>
      <c r="R684">
        <v>7.9951247339873497</v>
      </c>
      <c r="S684">
        <v>115.614558936918</v>
      </c>
      <c r="T684">
        <v>0</v>
      </c>
      <c r="U684">
        <v>0</v>
      </c>
      <c r="V684">
        <v>0</v>
      </c>
      <c r="W684">
        <v>0</v>
      </c>
    </row>
    <row r="685" spans="1:23" x14ac:dyDescent="0.55000000000000004">
      <c r="A685" t="s">
        <v>1378</v>
      </c>
      <c r="B685" t="s">
        <v>1379</v>
      </c>
      <c r="C685" t="s">
        <v>5</v>
      </c>
      <c r="D685">
        <v>4.9800000000000004</v>
      </c>
      <c r="E685">
        <f>113918496/(1000)</f>
        <v>113918.496</v>
      </c>
      <c r="F685">
        <f>555096000/(1000)</f>
        <v>555096</v>
      </c>
      <c r="G685">
        <f>-16837000/(1000)</f>
        <v>-16837</v>
      </c>
      <c r="H685">
        <f>276120496/(1000)</f>
        <v>276120.49599999998</v>
      </c>
      <c r="I685">
        <f>-8707000/(1000)</f>
        <v>-8707</v>
      </c>
      <c r="J685">
        <f t="shared" si="11"/>
        <v>-3.1712472263695876E-2</v>
      </c>
      <c r="K685">
        <f>-34161999/(1000)</f>
        <v>-34161.999000000003</v>
      </c>
      <c r="L685">
        <v>0</v>
      </c>
      <c r="M685">
        <v>-65.973114013671903</v>
      </c>
      <c r="N685">
        <v>35.514443167887002</v>
      </c>
      <c r="O685">
        <v>223.27079772949199</v>
      </c>
      <c r="P685">
        <v>0</v>
      </c>
      <c r="Q685">
        <v>0</v>
      </c>
      <c r="R685">
        <v>0</v>
      </c>
      <c r="S685">
        <v>-3.1465783510639</v>
      </c>
      <c r="T685">
        <v>0</v>
      </c>
      <c r="U685">
        <v>0</v>
      </c>
      <c r="V685">
        <v>0</v>
      </c>
      <c r="W685">
        <v>0</v>
      </c>
    </row>
    <row r="686" spans="1:23" x14ac:dyDescent="0.55000000000000004">
      <c r="A686" t="s">
        <v>1380</v>
      </c>
      <c r="B686" t="s">
        <v>1381</v>
      </c>
      <c r="C686" t="s">
        <v>184</v>
      </c>
      <c r="D686">
        <v>14.47</v>
      </c>
      <c r="E686">
        <f>870010176/(1000)</f>
        <v>870010.17599999998</v>
      </c>
      <c r="F686">
        <f>553217024/(1000)</f>
        <v>553217.02399999998</v>
      </c>
      <c r="G686">
        <f>0/(1000)</f>
        <v>0</v>
      </c>
      <c r="H686">
        <f>0/(1000)</f>
        <v>0</v>
      </c>
      <c r="I686">
        <f>0/(1000)</f>
        <v>0</v>
      </c>
      <c r="J686">
        <f t="shared" si="11"/>
        <v>1</v>
      </c>
      <c r="K686">
        <f>70078001/(1000)</f>
        <v>70078.001000000004</v>
      </c>
      <c r="L686">
        <v>17.295232772827099</v>
      </c>
      <c r="M686">
        <v>5.2808070182800302</v>
      </c>
      <c r="N686">
        <v>96.683749034510399</v>
      </c>
      <c r="O686">
        <v>33.557079315185497</v>
      </c>
      <c r="P686">
        <v>0.20000000298023199</v>
      </c>
      <c r="Q686">
        <v>0.69791112783365905</v>
      </c>
      <c r="R686">
        <v>16.632184408688801</v>
      </c>
      <c r="S686">
        <v>329.95696210402002</v>
      </c>
      <c r="T686">
        <v>0</v>
      </c>
      <c r="U686">
        <v>0</v>
      </c>
      <c r="V686">
        <v>0</v>
      </c>
      <c r="W686">
        <v>0</v>
      </c>
    </row>
    <row r="687" spans="1:23" x14ac:dyDescent="0.55000000000000004">
      <c r="A687" t="s">
        <v>1382</v>
      </c>
      <c r="B687" t="s">
        <v>1383</v>
      </c>
      <c r="C687" t="s">
        <v>2</v>
      </c>
      <c r="D687">
        <v>12.3</v>
      </c>
      <c r="E687">
        <f>410613376/(1000)</f>
        <v>410613.37599999999</v>
      </c>
      <c r="F687">
        <f>552028992/(1000)</f>
        <v>552028.99199999997</v>
      </c>
      <c r="G687">
        <f>49980000/(1000)</f>
        <v>49980</v>
      </c>
      <c r="H687">
        <f>567429376/(1000)</f>
        <v>567429.37600000005</v>
      </c>
      <c r="I687">
        <f>86022000/(1000)</f>
        <v>86022</v>
      </c>
      <c r="J687">
        <f t="shared" si="11"/>
        <v>6.5963285671107397E-3</v>
      </c>
      <c r="K687">
        <f>47186001/(1000)</f>
        <v>47186.000999999997</v>
      </c>
      <c r="L687">
        <v>0</v>
      </c>
      <c r="M687">
        <v>9.7114477157592791</v>
      </c>
      <c r="N687">
        <v>53.9160390190792</v>
      </c>
      <c r="O687">
        <v>63.588474273681598</v>
      </c>
      <c r="P687">
        <v>0</v>
      </c>
      <c r="Q687">
        <v>1.6576819493616901</v>
      </c>
      <c r="R687">
        <v>11.774301285183901</v>
      </c>
      <c r="S687">
        <v>85.547222084488297</v>
      </c>
      <c r="T687">
        <v>0</v>
      </c>
      <c r="U687">
        <v>0</v>
      </c>
      <c r="V687">
        <v>0</v>
      </c>
      <c r="W687">
        <v>0</v>
      </c>
    </row>
    <row r="688" spans="1:23" x14ac:dyDescent="0.55000000000000004">
      <c r="A688" t="s">
        <v>1384</v>
      </c>
      <c r="B688" t="s">
        <v>1385</v>
      </c>
      <c r="C688" t="s">
        <v>31</v>
      </c>
      <c r="D688">
        <v>6.74</v>
      </c>
      <c r="E688">
        <f>255034864/(1000)</f>
        <v>255034.864</v>
      </c>
      <c r="F688">
        <f>551073024/(1000)</f>
        <v>551073.02399999998</v>
      </c>
      <c r="G688">
        <f>57034000/(1000)</f>
        <v>57034</v>
      </c>
      <c r="H688">
        <f>202228864/(1000)</f>
        <v>202228.864</v>
      </c>
      <c r="I688">
        <f>85193000/(1000)</f>
        <v>85193</v>
      </c>
      <c r="J688">
        <f t="shared" si="11"/>
        <v>2.3737732442806335E-3</v>
      </c>
      <c r="K688">
        <f>58985001/(1000)</f>
        <v>58985.000999999997</v>
      </c>
      <c r="L688">
        <v>17.089429855346701</v>
      </c>
      <c r="M688">
        <v>11.4072723388672</v>
      </c>
      <c r="N688">
        <v>95.9428085482526</v>
      </c>
      <c r="O688">
        <v>0</v>
      </c>
      <c r="P688">
        <v>0.28000000119209301</v>
      </c>
      <c r="Q688">
        <v>0</v>
      </c>
      <c r="R688">
        <v>5.7467342312010103</v>
      </c>
      <c r="S688">
        <v>51.7869194487239</v>
      </c>
      <c r="T688">
        <v>0</v>
      </c>
      <c r="U688">
        <v>0</v>
      </c>
      <c r="V688">
        <v>0</v>
      </c>
      <c r="W688">
        <v>0</v>
      </c>
    </row>
    <row r="689" spans="1:23" x14ac:dyDescent="0.55000000000000004">
      <c r="A689" t="s">
        <v>1386</v>
      </c>
      <c r="B689" t="s">
        <v>1387</v>
      </c>
      <c r="C689" t="s">
        <v>38</v>
      </c>
      <c r="D689">
        <v>35.57</v>
      </c>
      <c r="E689">
        <f>983343296/(1000)</f>
        <v>983343.29599999997</v>
      </c>
      <c r="F689">
        <f>550459008/(1000)</f>
        <v>550459.00800000003</v>
      </c>
      <c r="G689">
        <f>67288000/(1000)</f>
        <v>67288</v>
      </c>
      <c r="H689">
        <f>1404004288/(1000)</f>
        <v>1404004.2879999999</v>
      </c>
      <c r="I689">
        <f>92915000/(1000)</f>
        <v>92915</v>
      </c>
      <c r="J689">
        <f t="shared" si="11"/>
        <v>1.5110631092934401E-2</v>
      </c>
      <c r="K689">
        <f>24454001/(1000)</f>
        <v>24454.001</v>
      </c>
      <c r="L689">
        <v>31.3081665039063</v>
      </c>
      <c r="M689">
        <v>12.0271444320679</v>
      </c>
      <c r="N689">
        <v>71.320260815108298</v>
      </c>
      <c r="O689">
        <v>172.77722167968801</v>
      </c>
      <c r="P689">
        <v>0</v>
      </c>
      <c r="Q689">
        <v>3.10383940457436</v>
      </c>
      <c r="R689">
        <v>19.437158163904002</v>
      </c>
      <c r="S689">
        <v>367.19543718490598</v>
      </c>
      <c r="T689">
        <v>0</v>
      </c>
      <c r="U689">
        <v>0</v>
      </c>
      <c r="V689">
        <v>0</v>
      </c>
      <c r="W689">
        <v>0</v>
      </c>
    </row>
    <row r="690" spans="1:23" x14ac:dyDescent="0.55000000000000004">
      <c r="A690" t="s">
        <v>1388</v>
      </c>
      <c r="B690" t="s">
        <v>1389</v>
      </c>
      <c r="C690" t="s">
        <v>5</v>
      </c>
      <c r="D690">
        <v>1.46</v>
      </c>
      <c r="E690">
        <f>69917496/(1000)</f>
        <v>69917.495999999999</v>
      </c>
      <c r="F690">
        <f>548035008/(1000)</f>
        <v>548035.00800000003</v>
      </c>
      <c r="G690">
        <f>96718000/(1000)</f>
        <v>96718</v>
      </c>
      <c r="H690">
        <f>5057231672/(1000)</f>
        <v>5057231.6720000003</v>
      </c>
      <c r="I690">
        <f>304750016/(1000)</f>
        <v>304750.016</v>
      </c>
      <c r="J690">
        <f t="shared" si="11"/>
        <v>1.6594688782559409E-2</v>
      </c>
      <c r="K690">
        <f>-3132185087/(1000)</f>
        <v>-3132185.0869999998</v>
      </c>
      <c r="L690">
        <v>0</v>
      </c>
      <c r="M690">
        <v>17.960512161254901</v>
      </c>
      <c r="N690">
        <v>83.165759736046695</v>
      </c>
      <c r="O690">
        <v>1399.10522460938</v>
      </c>
      <c r="P690">
        <v>0</v>
      </c>
      <c r="Q690">
        <v>0</v>
      </c>
      <c r="R690">
        <v>0</v>
      </c>
      <c r="S690">
        <v>445.31931779736902</v>
      </c>
      <c r="T690">
        <v>0</v>
      </c>
      <c r="U690">
        <v>0</v>
      </c>
      <c r="V690">
        <v>0</v>
      </c>
      <c r="W690">
        <v>0</v>
      </c>
    </row>
    <row r="691" spans="1:23" x14ac:dyDescent="0.55000000000000004">
      <c r="A691" t="s">
        <v>1390</v>
      </c>
      <c r="B691" t="s">
        <v>1391</v>
      </c>
      <c r="C691" t="s">
        <v>2</v>
      </c>
      <c r="D691">
        <v>57.27</v>
      </c>
      <c r="E691">
        <f>1193363584/(1000)</f>
        <v>1193363.584</v>
      </c>
      <c r="F691">
        <f>547953024/(1000)</f>
        <v>547953.02399999998</v>
      </c>
      <c r="G691">
        <f>83741000/(1000)</f>
        <v>83741</v>
      </c>
      <c r="H691">
        <f>1514524608/(1000)</f>
        <v>1514524.608</v>
      </c>
      <c r="I691">
        <f>108941000/(1000)</f>
        <v>108941</v>
      </c>
      <c r="J691">
        <f t="shared" si="11"/>
        <v>1.3902246243379445E-2</v>
      </c>
      <c r="K691">
        <f>37020001/(1000)</f>
        <v>37020.000999999997</v>
      </c>
      <c r="L691">
        <v>0</v>
      </c>
      <c r="M691">
        <v>27.900148391723601</v>
      </c>
      <c r="N691">
        <v>87.486984205093506</v>
      </c>
      <c r="O691">
        <v>68.038024902343807</v>
      </c>
      <c r="P691">
        <v>0</v>
      </c>
      <c r="Q691">
        <v>3.97570298642075</v>
      </c>
      <c r="R691">
        <v>21.858778760890399</v>
      </c>
      <c r="S691">
        <v>0</v>
      </c>
      <c r="T691">
        <v>0</v>
      </c>
      <c r="U691">
        <v>0</v>
      </c>
      <c r="V691">
        <v>0</v>
      </c>
      <c r="W691">
        <v>0</v>
      </c>
    </row>
    <row r="692" spans="1:23" x14ac:dyDescent="0.55000000000000004">
      <c r="A692" t="s">
        <v>1392</v>
      </c>
      <c r="B692" t="s">
        <v>1393</v>
      </c>
      <c r="C692" t="s">
        <v>38</v>
      </c>
      <c r="D692">
        <v>4.04</v>
      </c>
      <c r="E692">
        <f>662827840/(1000)</f>
        <v>662827.84</v>
      </c>
      <c r="F692">
        <f>547576000/(1000)</f>
        <v>547576</v>
      </c>
      <c r="G692">
        <f>49967000/(1000)</f>
        <v>49967</v>
      </c>
      <c r="H692">
        <f>790249848/(1000)</f>
        <v>790249.848</v>
      </c>
      <c r="I692">
        <f>62595000/(1000)</f>
        <v>62595</v>
      </c>
      <c r="J692">
        <f t="shared" si="11"/>
        <v>1.262480786005272E-2</v>
      </c>
      <c r="K692">
        <f>12130001/(1000)</f>
        <v>12130.001</v>
      </c>
      <c r="L692">
        <v>0</v>
      </c>
      <c r="M692">
        <v>14.0089979171753</v>
      </c>
      <c r="N692">
        <v>30.290620419969802</v>
      </c>
      <c r="O692">
        <v>17.915330886840799</v>
      </c>
      <c r="P692">
        <v>0</v>
      </c>
      <c r="Q692">
        <v>1.9901477925081801</v>
      </c>
      <c r="R692">
        <v>8.9777777821929394</v>
      </c>
      <c r="S692">
        <v>148.15596987192899</v>
      </c>
      <c r="T692">
        <v>0</v>
      </c>
      <c r="U692">
        <v>0</v>
      </c>
      <c r="V692">
        <v>0</v>
      </c>
      <c r="W692">
        <v>0</v>
      </c>
    </row>
    <row r="693" spans="1:23" x14ac:dyDescent="0.55000000000000004">
      <c r="A693" t="s">
        <v>1394</v>
      </c>
      <c r="B693" t="s">
        <v>1395</v>
      </c>
      <c r="C693" t="s">
        <v>31</v>
      </c>
      <c r="D693">
        <v>4.4400000000000004</v>
      </c>
      <c r="E693">
        <f>563387584/(1000)</f>
        <v>563387.58400000003</v>
      </c>
      <c r="F693">
        <f>546438016/(1000)</f>
        <v>546438.01599999995</v>
      </c>
      <c r="G693">
        <f>18307000/(1000)</f>
        <v>18307</v>
      </c>
      <c r="H693">
        <f>395304576/(1000)</f>
        <v>395304.576</v>
      </c>
      <c r="I693">
        <f>35645000/(1000)</f>
        <v>35645</v>
      </c>
      <c r="J693">
        <f t="shared" si="11"/>
        <v>1.1090042811053443E-2</v>
      </c>
      <c r="K693">
        <f>37840001/(1000)</f>
        <v>37840.000999999997</v>
      </c>
      <c r="L693">
        <v>0</v>
      </c>
      <c r="M693">
        <v>6.4059820175170898</v>
      </c>
      <c r="N693">
        <v>76.295600386925898</v>
      </c>
      <c r="O693">
        <v>0</v>
      </c>
      <c r="P693">
        <v>0</v>
      </c>
      <c r="Q693">
        <v>1.8423236095819699</v>
      </c>
      <c r="R693">
        <v>11.9999998791798</v>
      </c>
      <c r="S693">
        <v>199.626585092022</v>
      </c>
      <c r="T693">
        <v>0</v>
      </c>
      <c r="U693">
        <v>0</v>
      </c>
      <c r="V693">
        <v>0</v>
      </c>
      <c r="W693">
        <v>0</v>
      </c>
    </row>
    <row r="694" spans="1:23" x14ac:dyDescent="0.55000000000000004">
      <c r="A694" t="s">
        <v>1396</v>
      </c>
      <c r="B694" t="s">
        <v>1397</v>
      </c>
      <c r="C694" t="s">
        <v>20</v>
      </c>
      <c r="D694">
        <v>19.510000000000002</v>
      </c>
      <c r="E694">
        <f>551126272/(1000)</f>
        <v>551126.272</v>
      </c>
      <c r="F694">
        <f>546297024/(1000)</f>
        <v>546297.02399999998</v>
      </c>
      <c r="G694">
        <f>51838000/(1000)</f>
        <v>51838</v>
      </c>
      <c r="H694">
        <f>770404272/(1000)</f>
        <v>770404.272</v>
      </c>
      <c r="I694">
        <f>118010000/(1000)</f>
        <v>118010</v>
      </c>
      <c r="J694">
        <f t="shared" si="11"/>
        <v>6.5282965172443015E-3</v>
      </c>
      <c r="K694">
        <f>-26251999/(1000)</f>
        <v>-26251.999</v>
      </c>
      <c r="L694">
        <v>27.499586105346701</v>
      </c>
      <c r="M694">
        <v>-7.1039671897888201</v>
      </c>
      <c r="N694">
        <v>99.008086344250898</v>
      </c>
      <c r="O694">
        <v>89.355682373046903</v>
      </c>
      <c r="P694">
        <v>0</v>
      </c>
      <c r="Q694">
        <v>0</v>
      </c>
      <c r="R694">
        <v>25.012821245877301</v>
      </c>
      <c r="S694">
        <v>250.92146839652</v>
      </c>
      <c r="T694">
        <v>0</v>
      </c>
      <c r="U694">
        <v>0</v>
      </c>
      <c r="V694">
        <v>0</v>
      </c>
      <c r="W694">
        <v>0</v>
      </c>
    </row>
    <row r="695" spans="1:23" x14ac:dyDescent="0.55000000000000004">
      <c r="A695" t="s">
        <v>1398</v>
      </c>
      <c r="B695" t="s">
        <v>1399</v>
      </c>
      <c r="C695" t="s">
        <v>184</v>
      </c>
      <c r="D695">
        <v>27.95</v>
      </c>
      <c r="E695">
        <f>974580096/(1000)</f>
        <v>974580.09600000002</v>
      </c>
      <c r="F695">
        <f>545716992/(1000)</f>
        <v>545716.99199999997</v>
      </c>
      <c r="G695">
        <f>0/(1000)</f>
        <v>0</v>
      </c>
      <c r="H695">
        <f>0/(1000)</f>
        <v>0</v>
      </c>
      <c r="I695">
        <f>0/(1000)</f>
        <v>0</v>
      </c>
      <c r="J695">
        <f t="shared" si="11"/>
        <v>1</v>
      </c>
      <c r="K695">
        <f>64325001/(1000)</f>
        <v>64325.000999999997</v>
      </c>
      <c r="L695">
        <v>17.871507644653299</v>
      </c>
      <c r="M695">
        <v>10.9824895858765</v>
      </c>
      <c r="N695">
        <v>86.488173134863899</v>
      </c>
      <c r="O695">
        <v>156.03552246093801</v>
      </c>
      <c r="P695">
        <v>0.72000002861022905</v>
      </c>
      <c r="Q695">
        <v>1.0941904196054899</v>
      </c>
      <c r="R695">
        <v>18.267974340628999</v>
      </c>
      <c r="S695">
        <v>120.063146518699</v>
      </c>
      <c r="T695">
        <v>0</v>
      </c>
      <c r="U695">
        <v>0</v>
      </c>
      <c r="V695">
        <v>0</v>
      </c>
      <c r="W695">
        <v>0</v>
      </c>
    </row>
    <row r="696" spans="1:23" x14ac:dyDescent="0.55000000000000004">
      <c r="A696" t="s">
        <v>1400</v>
      </c>
      <c r="B696" t="s">
        <v>1401</v>
      </c>
      <c r="C696" t="s">
        <v>38</v>
      </c>
      <c r="D696">
        <v>10.029999999999999</v>
      </c>
      <c r="E696">
        <f>392434784/(1000)</f>
        <v>392434.78399999999</v>
      </c>
      <c r="F696">
        <f>545638976/(1000)</f>
        <v>545638.97600000002</v>
      </c>
      <c r="G696">
        <f>17844000/(1000)</f>
        <v>17844</v>
      </c>
      <c r="H696">
        <f>1836001760/(1000)</f>
        <v>1836001.76</v>
      </c>
      <c r="I696">
        <f>98483000/(1000)</f>
        <v>98483</v>
      </c>
      <c r="J696">
        <f t="shared" si="11"/>
        <v>1.8642829320796483E-2</v>
      </c>
      <c r="K696">
        <f>-755505983/(1000)</f>
        <v>-755505.98300000001</v>
      </c>
      <c r="L696">
        <v>0</v>
      </c>
      <c r="M696">
        <v>0</v>
      </c>
      <c r="N696">
        <v>81.907731973880004</v>
      </c>
      <c r="O696">
        <v>273.73410034179699</v>
      </c>
      <c r="P696">
        <v>0</v>
      </c>
      <c r="Q696">
        <v>1.0765648330570801</v>
      </c>
      <c r="R696">
        <v>0</v>
      </c>
      <c r="S696">
        <v>256.32636829477701</v>
      </c>
      <c r="T696">
        <v>0</v>
      </c>
      <c r="U696">
        <v>0</v>
      </c>
      <c r="V696">
        <v>0</v>
      </c>
      <c r="W696">
        <v>0</v>
      </c>
    </row>
    <row r="697" spans="1:23" x14ac:dyDescent="0.55000000000000004">
      <c r="A697" t="s">
        <v>1402</v>
      </c>
      <c r="B697" t="s">
        <v>1403</v>
      </c>
      <c r="C697" t="s">
        <v>121</v>
      </c>
      <c r="D697">
        <v>16.45</v>
      </c>
      <c r="E697">
        <f>178199552/(1000)</f>
        <v>178199.552</v>
      </c>
      <c r="F697">
        <f>545596992/(1000)</f>
        <v>545596.99199999997</v>
      </c>
      <c r="G697">
        <f>25207000/(1000)</f>
        <v>25207</v>
      </c>
      <c r="H697">
        <f>246471552/(1000)</f>
        <v>246471.552</v>
      </c>
      <c r="I697">
        <f>38090000/(1000)</f>
        <v>38090</v>
      </c>
      <c r="J697">
        <f t="shared" si="11"/>
        <v>6.4707679705959566E-3</v>
      </c>
      <c r="K697">
        <f>18336001/(1000)</f>
        <v>18336.001</v>
      </c>
      <c r="L697">
        <v>21.128562927246101</v>
      </c>
      <c r="M697">
        <v>12.8270816802979</v>
      </c>
      <c r="N697">
        <v>90.603538145124205</v>
      </c>
      <c r="O697">
        <v>61.357540130615199</v>
      </c>
      <c r="P697">
        <v>0.92000001668930098</v>
      </c>
      <c r="Q697">
        <v>1.2683115207605</v>
      </c>
      <c r="R697">
        <v>8.2250005040317795</v>
      </c>
      <c r="S697">
        <v>98.745089774409706</v>
      </c>
      <c r="T697">
        <v>0</v>
      </c>
      <c r="U697">
        <v>0</v>
      </c>
      <c r="V697">
        <v>0</v>
      </c>
      <c r="W697">
        <v>0</v>
      </c>
    </row>
    <row r="698" spans="1:23" x14ac:dyDescent="0.55000000000000004">
      <c r="A698" t="s">
        <v>1404</v>
      </c>
      <c r="B698" t="s">
        <v>1405</v>
      </c>
      <c r="C698" t="s">
        <v>121</v>
      </c>
      <c r="D698">
        <v>4.7</v>
      </c>
      <c r="E698">
        <f>165692864/(1000)</f>
        <v>165692.864</v>
      </c>
      <c r="F698">
        <f>545579008/(1000)</f>
        <v>545579.00800000003</v>
      </c>
      <c r="G698">
        <f>146382000/(1000)</f>
        <v>146382</v>
      </c>
      <c r="H698">
        <f>85348864/(1000)</f>
        <v>85348.864000000001</v>
      </c>
      <c r="I698">
        <f>159038000/(1000)</f>
        <v>159038</v>
      </c>
      <c r="J698">
        <f t="shared" si="11"/>
        <v>5.3665705051622885E-4</v>
      </c>
      <c r="K698">
        <f>57287001/(1000)</f>
        <v>57287.000999999997</v>
      </c>
      <c r="L698">
        <v>0</v>
      </c>
      <c r="M698">
        <v>62.101436614990199</v>
      </c>
      <c r="N698">
        <v>94.810206367488107</v>
      </c>
      <c r="O698">
        <v>7.4776999652386003E-2</v>
      </c>
      <c r="P698">
        <v>0</v>
      </c>
      <c r="Q698">
        <v>0</v>
      </c>
      <c r="R698">
        <v>3.3098590511742199</v>
      </c>
      <c r="S698">
        <v>0</v>
      </c>
      <c r="T698">
        <v>0</v>
      </c>
      <c r="U698">
        <v>0</v>
      </c>
      <c r="V698">
        <v>0</v>
      </c>
      <c r="W698">
        <v>0</v>
      </c>
    </row>
    <row r="699" spans="1:23" x14ac:dyDescent="0.55000000000000004">
      <c r="A699" t="s">
        <v>1406</v>
      </c>
      <c r="B699" t="s">
        <v>1407</v>
      </c>
      <c r="C699" t="s">
        <v>2</v>
      </c>
      <c r="D699">
        <v>11.46</v>
      </c>
      <c r="E699">
        <f>297336576/(1000)</f>
        <v>297336.576</v>
      </c>
      <c r="F699">
        <f>544409024/(1000)</f>
        <v>544409.02399999998</v>
      </c>
      <c r="G699">
        <f>60173000/(1000)</f>
        <v>60173</v>
      </c>
      <c r="H699">
        <f>393003576/(1000)</f>
        <v>393003.576</v>
      </c>
      <c r="I699">
        <f>82723000/(1000)</f>
        <v>82723</v>
      </c>
      <c r="J699">
        <f t="shared" si="11"/>
        <v>4.7508380498773014E-3</v>
      </c>
      <c r="K699">
        <f>52308001/(1000)</f>
        <v>52308.000999999997</v>
      </c>
      <c r="L699">
        <v>17.8161525726318</v>
      </c>
      <c r="M699">
        <v>10.7651872634888</v>
      </c>
      <c r="N699">
        <v>47.8192824844756</v>
      </c>
      <c r="O699">
        <v>36.272247314453097</v>
      </c>
      <c r="P699">
        <v>0.129999995231628</v>
      </c>
      <c r="Q699">
        <v>1.05622116453738</v>
      </c>
      <c r="R699">
        <v>19.758620752887701</v>
      </c>
      <c r="S699">
        <v>192.39592424454401</v>
      </c>
      <c r="T699">
        <v>0</v>
      </c>
      <c r="U699">
        <v>0</v>
      </c>
      <c r="V699">
        <v>0</v>
      </c>
      <c r="W699">
        <v>0</v>
      </c>
    </row>
    <row r="700" spans="1:23" x14ac:dyDescent="0.55000000000000004">
      <c r="A700" t="s">
        <v>1408</v>
      </c>
      <c r="B700" t="s">
        <v>1409</v>
      </c>
      <c r="C700" t="s">
        <v>31</v>
      </c>
      <c r="D700">
        <v>6.33</v>
      </c>
      <c r="E700">
        <f>219338928/(1000)</f>
        <v>219338.92800000001</v>
      </c>
      <c r="F700">
        <f>540502976/(1000)</f>
        <v>540502.97600000002</v>
      </c>
      <c r="G700">
        <f>40271000/(1000)</f>
        <v>40271</v>
      </c>
      <c r="H700">
        <f>164876928/(1000)</f>
        <v>164876.92800000001</v>
      </c>
      <c r="I700">
        <f>42935000/(1000)</f>
        <v>42935</v>
      </c>
      <c r="J700">
        <f t="shared" si="11"/>
        <v>3.8401520437871205E-3</v>
      </c>
      <c r="K700">
        <f>2417001/(1000)</f>
        <v>2417.0010000000002</v>
      </c>
      <c r="L700">
        <v>0</v>
      </c>
      <c r="M700">
        <v>18.987611770629901</v>
      </c>
      <c r="N700">
        <v>35.843143537719499</v>
      </c>
      <c r="O700">
        <v>6.89137506484985</v>
      </c>
      <c r="P700">
        <v>0</v>
      </c>
      <c r="Q700">
        <v>0</v>
      </c>
      <c r="R700">
        <v>9.1739127664875593</v>
      </c>
      <c r="S700">
        <v>0</v>
      </c>
      <c r="T700">
        <v>0</v>
      </c>
      <c r="U700">
        <v>0</v>
      </c>
      <c r="V700">
        <v>0</v>
      </c>
      <c r="W700">
        <v>0</v>
      </c>
    </row>
    <row r="701" spans="1:23" x14ac:dyDescent="0.55000000000000004">
      <c r="A701" t="s">
        <v>1410</v>
      </c>
      <c r="B701" t="s">
        <v>1411</v>
      </c>
      <c r="C701" t="s">
        <v>31</v>
      </c>
      <c r="D701">
        <v>24.1</v>
      </c>
      <c r="E701">
        <f>1673711232/(1000)</f>
        <v>1673711.2320000001</v>
      </c>
      <c r="F701">
        <f>539852992/(1000)</f>
        <v>539852.99199999997</v>
      </c>
      <c r="G701">
        <f>91674000/(1000)</f>
        <v>91674</v>
      </c>
      <c r="H701">
        <f>2124159232/(1000)</f>
        <v>2124159.2319999998</v>
      </c>
      <c r="I701">
        <f>186940000/(1000)</f>
        <v>186940</v>
      </c>
      <c r="J701">
        <f t="shared" si="11"/>
        <v>1.1362786091794157E-2</v>
      </c>
      <c r="K701">
        <f>98581001/(1000)</f>
        <v>98581.001000000004</v>
      </c>
      <c r="L701">
        <v>0</v>
      </c>
      <c r="M701">
        <v>0.13785399496555301</v>
      </c>
      <c r="N701">
        <v>96.598058502431201</v>
      </c>
      <c r="O701">
        <v>130.96482849121099</v>
      </c>
      <c r="P701">
        <v>0</v>
      </c>
      <c r="Q701">
        <v>0</v>
      </c>
      <c r="R701">
        <v>38.224663533917301</v>
      </c>
      <c r="S701">
        <v>0</v>
      </c>
      <c r="T701">
        <v>0</v>
      </c>
      <c r="U701">
        <v>0</v>
      </c>
      <c r="V701">
        <v>0</v>
      </c>
      <c r="W701">
        <v>0</v>
      </c>
    </row>
    <row r="702" spans="1:23" x14ac:dyDescent="0.55000000000000004">
      <c r="A702" t="s">
        <v>1412</v>
      </c>
      <c r="B702" t="s">
        <v>1413</v>
      </c>
      <c r="C702" t="s">
        <v>5</v>
      </c>
      <c r="D702">
        <v>6.86</v>
      </c>
      <c r="E702">
        <f>117765616/(1000)</f>
        <v>117765.61599999999</v>
      </c>
      <c r="F702">
        <f>538086016/(1000)</f>
        <v>538086.01599999995</v>
      </c>
      <c r="G702">
        <f>-7115000/(1000)</f>
        <v>-7115</v>
      </c>
      <c r="H702">
        <f>523344592/(1000)</f>
        <v>523344.592</v>
      </c>
      <c r="I702">
        <f>70558000/(1000)</f>
        <v>70558</v>
      </c>
      <c r="J702">
        <f t="shared" si="11"/>
        <v>7.4172254315598507E-3</v>
      </c>
      <c r="K702">
        <f>-3364001.25/(1000)</f>
        <v>-3364.0012499999998</v>
      </c>
      <c r="L702">
        <v>0</v>
      </c>
      <c r="M702">
        <v>0</v>
      </c>
      <c r="N702">
        <v>98.868178371486195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 x14ac:dyDescent="0.55000000000000004">
      <c r="A703" t="s">
        <v>1414</v>
      </c>
      <c r="B703" t="s">
        <v>1415</v>
      </c>
      <c r="C703" t="s">
        <v>94</v>
      </c>
      <c r="D703">
        <v>33</v>
      </c>
      <c r="E703">
        <f>736956032/(1000)</f>
        <v>736956.03200000001</v>
      </c>
      <c r="F703">
        <f>537593984/(1000)</f>
        <v>537593.98400000005</v>
      </c>
      <c r="G703">
        <f>83667000/(1000)</f>
        <v>83667</v>
      </c>
      <c r="H703">
        <f>1131034048/(1000)</f>
        <v>1131034.048</v>
      </c>
      <c r="I703">
        <f>115866000/(1000)</f>
        <v>115866</v>
      </c>
      <c r="J703">
        <f t="shared" si="11"/>
        <v>9.7615698134051396E-3</v>
      </c>
      <c r="K703">
        <f>-60214995/(1000)</f>
        <v>-60214.995000000003</v>
      </c>
      <c r="L703">
        <v>0</v>
      </c>
      <c r="M703">
        <v>0</v>
      </c>
      <c r="N703">
        <v>99.745205397833999</v>
      </c>
      <c r="O703">
        <v>85.532798767089801</v>
      </c>
      <c r="P703">
        <v>1.44679999351502</v>
      </c>
      <c r="Q703">
        <v>0</v>
      </c>
      <c r="R703">
        <v>14.285714455276</v>
      </c>
      <c r="S703">
        <v>54.883370594878699</v>
      </c>
      <c r="T703">
        <v>0</v>
      </c>
      <c r="U703">
        <v>0</v>
      </c>
      <c r="V703">
        <v>0</v>
      </c>
      <c r="W703">
        <v>0</v>
      </c>
    </row>
    <row r="704" spans="1:23" x14ac:dyDescent="0.55000000000000004">
      <c r="A704" t="s">
        <v>1416</v>
      </c>
      <c r="B704" t="s">
        <v>1417</v>
      </c>
      <c r="C704" t="s">
        <v>184</v>
      </c>
      <c r="D704">
        <v>19.97</v>
      </c>
      <c r="E704">
        <f>970338368/(1000)</f>
        <v>970338.36800000002</v>
      </c>
      <c r="F704">
        <f>537214016/(1000)</f>
        <v>537214.01599999995</v>
      </c>
      <c r="G704">
        <f>0/(1000)</f>
        <v>0</v>
      </c>
      <c r="H704">
        <f>0/(1000)</f>
        <v>0</v>
      </c>
      <c r="I704">
        <f>0/(1000)</f>
        <v>0</v>
      </c>
      <c r="J704">
        <f t="shared" si="11"/>
        <v>1</v>
      </c>
      <c r="K704">
        <f>109875001/(1000)</f>
        <v>109875.001</v>
      </c>
      <c r="L704">
        <v>15.6780920028687</v>
      </c>
      <c r="M704">
        <v>10.869097709655801</v>
      </c>
      <c r="N704">
        <v>96.239124834691196</v>
      </c>
      <c r="O704">
        <v>206.40353393554699</v>
      </c>
      <c r="P704">
        <v>0.89999997615814198</v>
      </c>
      <c r="Q704">
        <v>1.2918626098928301</v>
      </c>
      <c r="R704">
        <v>9.41981097567799</v>
      </c>
      <c r="S704">
        <v>35.436085556746598</v>
      </c>
      <c r="T704">
        <v>0</v>
      </c>
      <c r="U704">
        <v>0</v>
      </c>
      <c r="V704">
        <v>0</v>
      </c>
      <c r="W704">
        <v>0</v>
      </c>
    </row>
    <row r="705" spans="1:23" x14ac:dyDescent="0.55000000000000004">
      <c r="A705" t="s">
        <v>1418</v>
      </c>
      <c r="B705" t="s">
        <v>1419</v>
      </c>
      <c r="C705" t="s">
        <v>2</v>
      </c>
      <c r="D705">
        <v>7.56</v>
      </c>
      <c r="E705">
        <f>335468928/(1000)</f>
        <v>335468.92800000001</v>
      </c>
      <c r="F705">
        <f>537064000/(1000)</f>
        <v>537064</v>
      </c>
      <c r="G705">
        <f>103519000/(1000)</f>
        <v>103519</v>
      </c>
      <c r="H705">
        <f>1073586944/(1000)</f>
        <v>1073586.9439999999</v>
      </c>
      <c r="I705">
        <f>152372000/(1000)</f>
        <v>152372</v>
      </c>
      <c r="J705">
        <f t="shared" si="11"/>
        <v>7.045828262410416E-3</v>
      </c>
      <c r="K705">
        <f>39506001/(1000)</f>
        <v>39506.000999999997</v>
      </c>
      <c r="L705">
        <v>0</v>
      </c>
      <c r="M705">
        <v>0.269634008407593</v>
      </c>
      <c r="N705">
        <v>52.015586906605101</v>
      </c>
      <c r="O705">
        <v>245.38113403320301</v>
      </c>
      <c r="P705">
        <v>0</v>
      </c>
      <c r="Q705">
        <v>0.71726754934925296</v>
      </c>
      <c r="R705">
        <v>7.4851481975755201</v>
      </c>
      <c r="S705">
        <v>55.476041594293498</v>
      </c>
      <c r="T705">
        <v>0</v>
      </c>
      <c r="U705">
        <v>0</v>
      </c>
      <c r="V705">
        <v>0</v>
      </c>
      <c r="W705">
        <v>0</v>
      </c>
    </row>
    <row r="706" spans="1:23" x14ac:dyDescent="0.55000000000000004">
      <c r="A706" t="s">
        <v>1420</v>
      </c>
      <c r="B706" t="s">
        <v>1421</v>
      </c>
      <c r="C706" t="s">
        <v>31</v>
      </c>
      <c r="D706">
        <v>16.600000000000001</v>
      </c>
      <c r="E706">
        <f>360419200/(1000)</f>
        <v>360419.2</v>
      </c>
      <c r="F706">
        <f>536144000/(1000)</f>
        <v>536144</v>
      </c>
      <c r="G706">
        <f>43272000/(1000)</f>
        <v>43272</v>
      </c>
      <c r="H706">
        <f>330715200/(1000)</f>
        <v>330715.2</v>
      </c>
      <c r="I706">
        <f>72008000/(1000)</f>
        <v>72008</v>
      </c>
      <c r="J706">
        <f t="shared" ref="J706:J769" si="12">(IF(I706=0,1000,H706/I706))/(1000)</f>
        <v>4.592756360404399E-3</v>
      </c>
      <c r="K706">
        <f>19439001/(1000)</f>
        <v>19439.001</v>
      </c>
      <c r="L706">
        <v>25.347984313964801</v>
      </c>
      <c r="M706">
        <v>11.211742401123001</v>
      </c>
      <c r="N706">
        <v>98.485630550819806</v>
      </c>
      <c r="O706">
        <v>3.76431488990784</v>
      </c>
      <c r="P706">
        <v>0</v>
      </c>
      <c r="Q706">
        <v>0.991044798893715</v>
      </c>
      <c r="R706">
        <v>10.779221085336699</v>
      </c>
      <c r="S706">
        <v>89.271600595294203</v>
      </c>
      <c r="T706">
        <v>0</v>
      </c>
      <c r="U706">
        <v>0</v>
      </c>
      <c r="V706">
        <v>0</v>
      </c>
      <c r="W706">
        <v>0</v>
      </c>
    </row>
    <row r="707" spans="1:23" x14ac:dyDescent="0.55000000000000004">
      <c r="A707" t="s">
        <v>1422</v>
      </c>
      <c r="B707" t="s">
        <v>1423</v>
      </c>
      <c r="C707" t="s">
        <v>184</v>
      </c>
      <c r="D707">
        <v>16.170000000000002</v>
      </c>
      <c r="E707">
        <f>1916835456/(1000)</f>
        <v>1916835.456</v>
      </c>
      <c r="F707">
        <f>533019008/(1000)</f>
        <v>533019.00800000003</v>
      </c>
      <c r="G707">
        <f>0/(1000)</f>
        <v>0</v>
      </c>
      <c r="H707">
        <f>0/(1000)</f>
        <v>0</v>
      </c>
      <c r="I707">
        <f>0/(1000)</f>
        <v>0</v>
      </c>
      <c r="J707">
        <f t="shared" si="12"/>
        <v>1</v>
      </c>
      <c r="K707">
        <f>106978001/(1000)</f>
        <v>106978.001</v>
      </c>
      <c r="L707">
        <v>19.7452278137207</v>
      </c>
      <c r="M707">
        <v>6.1367487907409703</v>
      </c>
      <c r="N707">
        <v>97.167348413326096</v>
      </c>
      <c r="O707">
        <v>80.919151306152301</v>
      </c>
      <c r="P707">
        <v>0.56000000238418601</v>
      </c>
      <c r="Q707">
        <v>1.1942392999889599</v>
      </c>
      <c r="R707">
        <v>19.962962998393301</v>
      </c>
      <c r="S707">
        <v>154.516678126671</v>
      </c>
      <c r="T707">
        <v>0</v>
      </c>
      <c r="U707">
        <v>0</v>
      </c>
      <c r="V707">
        <v>0</v>
      </c>
      <c r="W707">
        <v>0</v>
      </c>
    </row>
    <row r="708" spans="1:23" x14ac:dyDescent="0.55000000000000004">
      <c r="A708" t="s">
        <v>1424</v>
      </c>
      <c r="B708" t="s">
        <v>1425</v>
      </c>
      <c r="C708" t="s">
        <v>31</v>
      </c>
      <c r="D708">
        <v>45.82</v>
      </c>
      <c r="E708">
        <f>1133797632/(1000)</f>
        <v>1133797.632</v>
      </c>
      <c r="F708">
        <f>531627008/(1000)</f>
        <v>531627.00800000003</v>
      </c>
      <c r="G708">
        <f>106791000/(1000)</f>
        <v>106791</v>
      </c>
      <c r="H708">
        <f>1027398632/(1000)</f>
        <v>1027398.632</v>
      </c>
      <c r="I708">
        <f>128337000/(1000)</f>
        <v>128337</v>
      </c>
      <c r="J708">
        <f t="shared" si="12"/>
        <v>8.0054748981197923E-3</v>
      </c>
      <c r="K708">
        <f>63712001/(1000)</f>
        <v>63712.000999999997</v>
      </c>
      <c r="L708">
        <v>18.085514068603501</v>
      </c>
      <c r="M708">
        <v>19.385215759277301</v>
      </c>
      <c r="N708">
        <v>97.8932765541404</v>
      </c>
      <c r="O708">
        <v>23.7370204925537</v>
      </c>
      <c r="P708">
        <v>0</v>
      </c>
      <c r="Q708">
        <v>0</v>
      </c>
      <c r="R708">
        <v>15.2225910075286</v>
      </c>
      <c r="S708">
        <v>205.47130379653299</v>
      </c>
      <c r="T708">
        <v>0</v>
      </c>
      <c r="U708">
        <v>0</v>
      </c>
      <c r="V708">
        <v>0</v>
      </c>
      <c r="W708">
        <v>0</v>
      </c>
    </row>
    <row r="709" spans="1:23" x14ac:dyDescent="0.55000000000000004">
      <c r="A709" t="s">
        <v>1426</v>
      </c>
      <c r="B709" t="s">
        <v>1427</v>
      </c>
      <c r="C709" t="s">
        <v>17</v>
      </c>
      <c r="D709">
        <v>20.149999999999999</v>
      </c>
      <c r="E709">
        <f>329776928/(1000)</f>
        <v>329776.92800000001</v>
      </c>
      <c r="F709">
        <f>531492000/(1000)</f>
        <v>531492</v>
      </c>
      <c r="G709">
        <f>23881000/(1000)</f>
        <v>23881</v>
      </c>
      <c r="H709">
        <f>530816928/(1000)</f>
        <v>530816.92799999996</v>
      </c>
      <c r="I709">
        <f>30301000/(1000)</f>
        <v>30301</v>
      </c>
      <c r="J709">
        <f t="shared" si="12"/>
        <v>1.7518132338866704E-2</v>
      </c>
      <c r="K709">
        <f>40493001/(1000)</f>
        <v>40493.000999999997</v>
      </c>
      <c r="L709">
        <v>0</v>
      </c>
      <c r="M709">
        <v>10.8674201965332</v>
      </c>
      <c r="N709">
        <v>94.426281802448599</v>
      </c>
      <c r="O709">
        <v>13.8172521591187</v>
      </c>
      <c r="P709">
        <v>0.18000000715255701</v>
      </c>
      <c r="Q709">
        <v>1.8831775680110201</v>
      </c>
      <c r="R709">
        <v>17.473542530846299</v>
      </c>
      <c r="S709">
        <v>73.665787522255698</v>
      </c>
      <c r="T709">
        <v>0</v>
      </c>
      <c r="U709">
        <v>0</v>
      </c>
      <c r="V709">
        <v>0</v>
      </c>
      <c r="W709">
        <v>0</v>
      </c>
    </row>
    <row r="710" spans="1:23" x14ac:dyDescent="0.55000000000000004">
      <c r="A710" t="s">
        <v>1428</v>
      </c>
      <c r="B710" t="s">
        <v>1429</v>
      </c>
      <c r="C710" t="s">
        <v>5</v>
      </c>
      <c r="D710">
        <v>14.63</v>
      </c>
      <c r="E710">
        <f>296765152/(1000)</f>
        <v>296765.152</v>
      </c>
      <c r="F710">
        <f>530705984/(1000)</f>
        <v>530705.98400000005</v>
      </c>
      <c r="G710">
        <f>66470000/(1000)</f>
        <v>66470</v>
      </c>
      <c r="H710">
        <f>291237152/(1000)</f>
        <v>291237.152</v>
      </c>
      <c r="I710">
        <f>81873000/(1000)</f>
        <v>81873</v>
      </c>
      <c r="J710">
        <f t="shared" si="12"/>
        <v>3.5571818792520123E-3</v>
      </c>
      <c r="K710">
        <f>51840997/(1000)</f>
        <v>51840.997000000003</v>
      </c>
      <c r="L710">
        <v>0</v>
      </c>
      <c r="M710">
        <v>15.446051597595201</v>
      </c>
      <c r="N710">
        <v>97.708615928970502</v>
      </c>
      <c r="O710">
        <v>0</v>
      </c>
      <c r="P710">
        <v>0</v>
      </c>
      <c r="Q710">
        <v>1.5367646440090199</v>
      </c>
      <c r="R710">
        <v>7.6596860576494903</v>
      </c>
      <c r="S710">
        <v>27.603609403999599</v>
      </c>
      <c r="T710">
        <v>0</v>
      </c>
      <c r="U710">
        <v>0</v>
      </c>
      <c r="V710">
        <v>0</v>
      </c>
      <c r="W710">
        <v>0</v>
      </c>
    </row>
    <row r="711" spans="1:23" x14ac:dyDescent="0.55000000000000004">
      <c r="A711" t="s">
        <v>1430</v>
      </c>
      <c r="B711" t="s">
        <v>1431</v>
      </c>
      <c r="C711" t="s">
        <v>20</v>
      </c>
      <c r="D711">
        <v>29.52</v>
      </c>
      <c r="E711">
        <f>458560736/(1000)</f>
        <v>458560.73599999998</v>
      </c>
      <c r="F711">
        <f>529219968/(1000)</f>
        <v>529219.96799999999</v>
      </c>
      <c r="G711">
        <f>47683000/(1000)</f>
        <v>47683</v>
      </c>
      <c r="H711">
        <f>430940736/(1000)</f>
        <v>430940.73599999998</v>
      </c>
      <c r="I711">
        <f>60128000/(1000)</f>
        <v>60128</v>
      </c>
      <c r="J711">
        <f t="shared" si="12"/>
        <v>7.1670558807876532E-3</v>
      </c>
      <c r="K711">
        <f>37448001/(1000)</f>
        <v>37448.000999999997</v>
      </c>
      <c r="L711">
        <v>14.974588394165</v>
      </c>
      <c r="M711">
        <v>24.384548187255898</v>
      </c>
      <c r="N711">
        <v>90.254216677743003</v>
      </c>
      <c r="O711">
        <v>4.2082247734069798</v>
      </c>
      <c r="P711">
        <v>0</v>
      </c>
      <c r="Q711">
        <v>2.5514262088502302</v>
      </c>
      <c r="R711">
        <v>10.357894810811301</v>
      </c>
      <c r="S711">
        <v>111.836279374323</v>
      </c>
      <c r="T711">
        <v>0</v>
      </c>
      <c r="U711">
        <v>0</v>
      </c>
      <c r="V711">
        <v>0</v>
      </c>
      <c r="W711">
        <v>0</v>
      </c>
    </row>
    <row r="712" spans="1:23" x14ac:dyDescent="0.55000000000000004">
      <c r="A712" t="s">
        <v>1432</v>
      </c>
      <c r="B712" t="s">
        <v>1433</v>
      </c>
      <c r="C712" t="s">
        <v>5</v>
      </c>
      <c r="D712">
        <v>3.01</v>
      </c>
      <c r="E712">
        <f>277937664/(1000)</f>
        <v>277937.66399999999</v>
      </c>
      <c r="F712">
        <f>527883008/(1000)</f>
        <v>527883.00800000003</v>
      </c>
      <c r="G712">
        <f>69025000/(1000)</f>
        <v>69025</v>
      </c>
      <c r="H712">
        <f>826794688/(1000)</f>
        <v>826794.68799999997</v>
      </c>
      <c r="I712">
        <f>97300000/(1000)</f>
        <v>97300</v>
      </c>
      <c r="J712">
        <f t="shared" si="12"/>
        <v>8.4973760328879745E-3</v>
      </c>
      <c r="K712">
        <f>57528001/(1000)</f>
        <v>57528.000999999997</v>
      </c>
      <c r="L712">
        <v>23.539100646972699</v>
      </c>
      <c r="M712">
        <v>-0.93617498874664296</v>
      </c>
      <c r="N712">
        <v>90.009250992826495</v>
      </c>
      <c r="O712">
        <v>123.10433959960901</v>
      </c>
      <c r="P712">
        <v>0.10000000149011599</v>
      </c>
      <c r="Q712">
        <v>0</v>
      </c>
      <c r="R712">
        <v>20.066664808988701</v>
      </c>
      <c r="S712">
        <v>1.11578103937207</v>
      </c>
      <c r="T712">
        <v>0</v>
      </c>
      <c r="U712">
        <v>0</v>
      </c>
      <c r="V712">
        <v>0</v>
      </c>
      <c r="W712">
        <v>0</v>
      </c>
    </row>
    <row r="713" spans="1:23" x14ac:dyDescent="0.55000000000000004">
      <c r="A713" t="s">
        <v>1434</v>
      </c>
      <c r="B713" t="s">
        <v>1435</v>
      </c>
      <c r="C713" t="s">
        <v>31</v>
      </c>
      <c r="D713">
        <v>5.81</v>
      </c>
      <c r="E713">
        <f>369366688/(1000)</f>
        <v>369366.68800000002</v>
      </c>
      <c r="F713">
        <f>526366016/(1000)</f>
        <v>526366.01599999995</v>
      </c>
      <c r="G713">
        <f>-26612000/(1000)</f>
        <v>-26612</v>
      </c>
      <c r="H713">
        <f>226429696/(1000)</f>
        <v>226429.696</v>
      </c>
      <c r="I713">
        <f>7925998.5/(1000)</f>
        <v>7925.9984999999997</v>
      </c>
      <c r="J713">
        <f t="shared" si="12"/>
        <v>2.8567971089068465E-2</v>
      </c>
      <c r="K713">
        <f>-9782998/(1000)</f>
        <v>-9782.9979999999996</v>
      </c>
      <c r="L713">
        <v>0</v>
      </c>
      <c r="M713">
        <v>-33.663913726806598</v>
      </c>
      <c r="N713">
        <v>97.660062501121303</v>
      </c>
      <c r="O713">
        <v>0</v>
      </c>
      <c r="P713">
        <v>0</v>
      </c>
      <c r="Q713">
        <v>0.91712705726818</v>
      </c>
      <c r="R713">
        <v>0</v>
      </c>
      <c r="S713">
        <v>53.187055239931603</v>
      </c>
      <c r="T713">
        <v>0</v>
      </c>
      <c r="U713">
        <v>0</v>
      </c>
      <c r="V713">
        <v>0</v>
      </c>
      <c r="W713">
        <v>0</v>
      </c>
    </row>
    <row r="714" spans="1:23" x14ac:dyDescent="0.55000000000000004">
      <c r="A714" t="s">
        <v>1436</v>
      </c>
      <c r="B714" t="s">
        <v>1437</v>
      </c>
      <c r="C714" t="s">
        <v>5</v>
      </c>
      <c r="D714">
        <v>7.56</v>
      </c>
      <c r="E714">
        <f>336691392/(1000)</f>
        <v>336691.39199999999</v>
      </c>
      <c r="F714">
        <f>523019008/(1000)</f>
        <v>523019.00799999997</v>
      </c>
      <c r="G714">
        <f>167480000/(1000)</f>
        <v>167480</v>
      </c>
      <c r="H714">
        <f>1465167424/(1000)</f>
        <v>1465167.4240000001</v>
      </c>
      <c r="I714">
        <f>264739008/(1000)</f>
        <v>264739.00799999997</v>
      </c>
      <c r="J714">
        <f t="shared" si="12"/>
        <v>5.5343843548737648E-3</v>
      </c>
      <c r="K714">
        <f>-93234999/(1000)</f>
        <v>-93234.998999999996</v>
      </c>
      <c r="L714">
        <v>14.5528106689453</v>
      </c>
      <c r="M714">
        <v>29.273809432983398</v>
      </c>
      <c r="N714">
        <v>81.607515341585</v>
      </c>
      <c r="O714">
        <v>99.853469848632798</v>
      </c>
      <c r="P714">
        <v>0.30000001192092901</v>
      </c>
      <c r="Q714">
        <v>0</v>
      </c>
      <c r="R714">
        <v>1.9534883549004101</v>
      </c>
      <c r="S714">
        <v>303.20004933817501</v>
      </c>
      <c r="T714">
        <v>0</v>
      </c>
      <c r="U714">
        <v>0</v>
      </c>
      <c r="V714">
        <v>0</v>
      </c>
      <c r="W714">
        <v>0</v>
      </c>
    </row>
    <row r="715" spans="1:23" x14ac:dyDescent="0.55000000000000004">
      <c r="A715" t="s">
        <v>1438</v>
      </c>
      <c r="B715" t="s">
        <v>1439</v>
      </c>
      <c r="C715" t="s">
        <v>184</v>
      </c>
      <c r="D715">
        <v>39.76</v>
      </c>
      <c r="E715">
        <f>750756288/(1000)</f>
        <v>750756.28799999994</v>
      </c>
      <c r="F715">
        <f>522611008/(1000)</f>
        <v>522611.00799999997</v>
      </c>
      <c r="G715">
        <f>86603000/(1000)</f>
        <v>86603</v>
      </c>
      <c r="H715">
        <f>1185206272/(1000)</f>
        <v>1185206.2720000001</v>
      </c>
      <c r="I715">
        <f>95688000/(1000)</f>
        <v>95688</v>
      </c>
      <c r="J715">
        <f t="shared" si="12"/>
        <v>1.2386153666081432E-2</v>
      </c>
      <c r="K715">
        <f>123432001/(1000)</f>
        <v>123432.001</v>
      </c>
      <c r="L715">
        <v>21.830177307128899</v>
      </c>
      <c r="M715">
        <v>4.5961189270019496</v>
      </c>
      <c r="N715">
        <v>94.977278977133807</v>
      </c>
      <c r="O715">
        <v>49.804676055908203</v>
      </c>
      <c r="P715">
        <v>0</v>
      </c>
      <c r="Q715">
        <v>0.78067932619848401</v>
      </c>
      <c r="R715">
        <v>0</v>
      </c>
      <c r="S715">
        <v>-31.538693127851499</v>
      </c>
      <c r="T715">
        <v>0</v>
      </c>
      <c r="U715">
        <v>0</v>
      </c>
      <c r="V715">
        <v>0</v>
      </c>
      <c r="W715">
        <v>0</v>
      </c>
    </row>
    <row r="716" spans="1:23" x14ac:dyDescent="0.55000000000000004">
      <c r="A716" t="s">
        <v>1440</v>
      </c>
      <c r="B716" t="s">
        <v>1441</v>
      </c>
      <c r="C716" t="s">
        <v>184</v>
      </c>
      <c r="D716">
        <v>169.17</v>
      </c>
      <c r="E716">
        <f>613410432/(1000)</f>
        <v>613410.43200000003</v>
      </c>
      <c r="F716">
        <f>521859008/(1000)</f>
        <v>521859.00799999997</v>
      </c>
      <c r="G716">
        <f>0/(1000)</f>
        <v>0</v>
      </c>
      <c r="H716">
        <f>0/(1000)</f>
        <v>0</v>
      </c>
      <c r="I716">
        <f>0/(1000)</f>
        <v>0</v>
      </c>
      <c r="J716">
        <f t="shared" si="12"/>
        <v>1</v>
      </c>
      <c r="K716">
        <f>224020001/(1000)</f>
        <v>224020.00099999999</v>
      </c>
      <c r="L716">
        <v>9.3176069259643608</v>
      </c>
      <c r="M716">
        <v>8.4497327804565394</v>
      </c>
      <c r="N716">
        <v>65.983652129907398</v>
      </c>
      <c r="O716">
        <v>0</v>
      </c>
      <c r="P716">
        <v>0.36000001430511502</v>
      </c>
      <c r="Q716">
        <v>0</v>
      </c>
      <c r="R716">
        <v>0</v>
      </c>
      <c r="S716">
        <v>72.170473546309097</v>
      </c>
      <c r="T716">
        <v>0</v>
      </c>
      <c r="U716">
        <v>0</v>
      </c>
      <c r="V716">
        <v>0</v>
      </c>
      <c r="W716">
        <v>0</v>
      </c>
    </row>
    <row r="717" spans="1:23" x14ac:dyDescent="0.55000000000000004">
      <c r="A717" t="s">
        <v>1442</v>
      </c>
      <c r="B717" t="s">
        <v>1443</v>
      </c>
      <c r="C717" t="s">
        <v>5</v>
      </c>
      <c r="D717">
        <v>21.91</v>
      </c>
      <c r="E717">
        <f>648682816/(1000)</f>
        <v>648682.81599999999</v>
      </c>
      <c r="F717">
        <f>521696000/(1000)</f>
        <v>521696</v>
      </c>
      <c r="G717">
        <f>114462000/(1000)</f>
        <v>114462</v>
      </c>
      <c r="H717">
        <f>534836816/(1000)</f>
        <v>534836.81599999999</v>
      </c>
      <c r="I717">
        <f>139984992/(1000)</f>
        <v>139984.992</v>
      </c>
      <c r="J717">
        <f t="shared" si="12"/>
        <v>3.8206725475256661E-3</v>
      </c>
      <c r="K717">
        <f>115441001/(1000)</f>
        <v>115441.001</v>
      </c>
      <c r="L717">
        <v>0</v>
      </c>
      <c r="M717">
        <v>14.8330936431885</v>
      </c>
      <c r="N717">
        <v>98.877953682275901</v>
      </c>
      <c r="O717">
        <v>27.63405418396</v>
      </c>
      <c r="P717">
        <v>0</v>
      </c>
      <c r="Q717">
        <v>1.3014553631678101</v>
      </c>
      <c r="R717">
        <v>11.779569814211399</v>
      </c>
      <c r="S717">
        <v>79.795974634684299</v>
      </c>
      <c r="T717">
        <v>0</v>
      </c>
      <c r="U717">
        <v>0</v>
      </c>
      <c r="V717">
        <v>0</v>
      </c>
      <c r="W717">
        <v>0</v>
      </c>
    </row>
    <row r="718" spans="1:23" x14ac:dyDescent="0.55000000000000004">
      <c r="A718" t="s">
        <v>1444</v>
      </c>
      <c r="B718" t="s">
        <v>1445</v>
      </c>
      <c r="C718" t="s">
        <v>20</v>
      </c>
      <c r="D718">
        <v>15.71</v>
      </c>
      <c r="E718">
        <f>448185888/(1000)</f>
        <v>448185.88799999998</v>
      </c>
      <c r="F718">
        <f>520719968/(1000)</f>
        <v>520719.96799999999</v>
      </c>
      <c r="G718">
        <f>48227000/(1000)</f>
        <v>48227</v>
      </c>
      <c r="H718">
        <f>456324888/(1000)</f>
        <v>456324.88799999998</v>
      </c>
      <c r="I718">
        <f>60381000/(1000)</f>
        <v>60381</v>
      </c>
      <c r="J718">
        <f t="shared" si="12"/>
        <v>7.5574251502956227E-3</v>
      </c>
      <c r="K718">
        <f>31646001/(1000)</f>
        <v>31646.001</v>
      </c>
      <c r="L718">
        <v>25.022375106811499</v>
      </c>
      <c r="M718">
        <v>23.722702026367202</v>
      </c>
      <c r="N718">
        <v>98.736010135549606</v>
      </c>
      <c r="O718">
        <v>0</v>
      </c>
      <c r="P718">
        <v>0</v>
      </c>
      <c r="Q718">
        <v>3.60596519558317</v>
      </c>
      <c r="R718">
        <v>15.7100002722442</v>
      </c>
      <c r="S718">
        <v>86.512965531691194</v>
      </c>
      <c r="T718">
        <v>0</v>
      </c>
      <c r="U718">
        <v>0</v>
      </c>
      <c r="V718">
        <v>0</v>
      </c>
      <c r="W718">
        <v>0</v>
      </c>
    </row>
    <row r="719" spans="1:23" x14ac:dyDescent="0.55000000000000004">
      <c r="A719" t="s">
        <v>1446</v>
      </c>
      <c r="B719" t="s">
        <v>1447</v>
      </c>
      <c r="C719" t="s">
        <v>8</v>
      </c>
      <c r="D719">
        <v>15.33</v>
      </c>
      <c r="E719">
        <f>420068032/(1000)</f>
        <v>420068.03200000001</v>
      </c>
      <c r="F719">
        <f>520560000/(1000)</f>
        <v>520560</v>
      </c>
      <c r="G719">
        <f>-56834000/(1000)</f>
        <v>-56834</v>
      </c>
      <c r="H719">
        <f>554773024/(1000)</f>
        <v>554773.02399999998</v>
      </c>
      <c r="I719">
        <f>15022000/(1000)</f>
        <v>15022</v>
      </c>
      <c r="J719">
        <f t="shared" si="12"/>
        <v>3.6930703235254957E-2</v>
      </c>
      <c r="K719">
        <f>-45320999/(1000)</f>
        <v>-45320.999000000003</v>
      </c>
      <c r="L719">
        <v>0</v>
      </c>
      <c r="M719">
        <v>-69.174171447753906</v>
      </c>
      <c r="N719">
        <v>95.957918290074701</v>
      </c>
      <c r="O719">
        <v>270.587890625</v>
      </c>
      <c r="P719">
        <v>0</v>
      </c>
      <c r="Q719">
        <v>4.8258080204624498</v>
      </c>
      <c r="R719">
        <v>0</v>
      </c>
      <c r="S719">
        <v>30.925879976038601</v>
      </c>
      <c r="T719">
        <v>0</v>
      </c>
      <c r="U719">
        <v>0</v>
      </c>
      <c r="V719">
        <v>0</v>
      </c>
      <c r="W719">
        <v>0</v>
      </c>
    </row>
    <row r="720" spans="1:23" x14ac:dyDescent="0.55000000000000004">
      <c r="A720" t="s">
        <v>1448</v>
      </c>
      <c r="B720" t="s">
        <v>1449</v>
      </c>
      <c r="C720" t="s">
        <v>20</v>
      </c>
      <c r="D720">
        <v>6.39</v>
      </c>
      <c r="E720">
        <f>105679736/(1000)</f>
        <v>105679.736</v>
      </c>
      <c r="F720">
        <f>518868000/(1000)</f>
        <v>518868</v>
      </c>
      <c r="G720">
        <f>32355000/(1000)</f>
        <v>32355</v>
      </c>
      <c r="H720">
        <f>266610744/(1000)</f>
        <v>266610.74400000001</v>
      </c>
      <c r="I720">
        <f>37782000/(1000)</f>
        <v>37782</v>
      </c>
      <c r="J720">
        <f t="shared" si="12"/>
        <v>7.0565545497856116E-3</v>
      </c>
      <c r="K720">
        <f>9178001/(1000)</f>
        <v>9178.0010000000002</v>
      </c>
      <c r="L720">
        <v>19.6905517578125</v>
      </c>
      <c r="M720">
        <v>12.0822343826294</v>
      </c>
      <c r="N720">
        <v>72.515314867131593</v>
      </c>
      <c r="O720">
        <v>7.5111861228942898</v>
      </c>
      <c r="P720">
        <v>0</v>
      </c>
      <c r="Q720">
        <v>0.50956936889347104</v>
      </c>
      <c r="R720">
        <v>5.4047196994177398</v>
      </c>
      <c r="S720">
        <v>156.04017720948099</v>
      </c>
      <c r="T720">
        <v>0</v>
      </c>
      <c r="U720">
        <v>0</v>
      </c>
      <c r="V720">
        <v>0</v>
      </c>
      <c r="W720">
        <v>0</v>
      </c>
    </row>
    <row r="721" spans="1:23" x14ac:dyDescent="0.55000000000000004">
      <c r="A721" t="s">
        <v>1450</v>
      </c>
      <c r="B721" t="s">
        <v>1451</v>
      </c>
      <c r="C721" t="s">
        <v>184</v>
      </c>
      <c r="D721">
        <v>7.5</v>
      </c>
      <c r="E721">
        <f>403575744/(1000)</f>
        <v>403575.74400000001</v>
      </c>
      <c r="F721">
        <f>518369024/(1000)</f>
        <v>518369.02399999998</v>
      </c>
      <c r="G721">
        <f>136662992/(1000)</f>
        <v>136662.992</v>
      </c>
      <c r="H721">
        <f>5165167552/(1000)</f>
        <v>5165167.5520000001</v>
      </c>
      <c r="I721">
        <f>232462992/(1000)</f>
        <v>232462.992</v>
      </c>
      <c r="J721">
        <f t="shared" si="12"/>
        <v>2.2219311158139101E-2</v>
      </c>
      <c r="K721">
        <f>-174583007/(1000)</f>
        <v>-174583.00700000001</v>
      </c>
      <c r="L721">
        <v>0</v>
      </c>
      <c r="M721">
        <v>-37.0070610046387</v>
      </c>
      <c r="N721">
        <v>8.4852099380440702</v>
      </c>
      <c r="O721">
        <v>249.75900268554699</v>
      </c>
      <c r="P721">
        <v>0</v>
      </c>
      <c r="Q721">
        <v>0.61000406290853104</v>
      </c>
      <c r="R721">
        <v>0</v>
      </c>
      <c r="S721">
        <v>-22.745981716410299</v>
      </c>
      <c r="T721">
        <v>0</v>
      </c>
      <c r="U721">
        <v>0</v>
      </c>
      <c r="V721">
        <v>0</v>
      </c>
      <c r="W721">
        <v>0</v>
      </c>
    </row>
    <row r="722" spans="1:23" x14ac:dyDescent="0.55000000000000004">
      <c r="A722" t="s">
        <v>1452</v>
      </c>
      <c r="B722" t="s">
        <v>1453</v>
      </c>
      <c r="C722" t="s">
        <v>38</v>
      </c>
      <c r="D722">
        <v>56.5</v>
      </c>
      <c r="E722">
        <f>1428998016/(1000)</f>
        <v>1428998.0160000001</v>
      </c>
      <c r="F722">
        <f>516440000/(1000)</f>
        <v>516440</v>
      </c>
      <c r="G722">
        <f>70287000/(1000)</f>
        <v>70287</v>
      </c>
      <c r="H722">
        <f>1331419016/(1000)</f>
        <v>1331419.0160000001</v>
      </c>
      <c r="I722">
        <f>101484000/(1000)</f>
        <v>101484</v>
      </c>
      <c r="J722">
        <f t="shared" si="12"/>
        <v>1.3119496827086043E-2</v>
      </c>
      <c r="K722">
        <f>19879001/(1000)</f>
        <v>19879.001</v>
      </c>
      <c r="L722">
        <v>26.147872924804702</v>
      </c>
      <c r="M722">
        <v>10.6753091812134</v>
      </c>
      <c r="N722">
        <v>98.949866286504104</v>
      </c>
      <c r="O722">
        <v>2.5016798973083501</v>
      </c>
      <c r="P722">
        <v>0</v>
      </c>
      <c r="Q722">
        <v>2.8593117077710302</v>
      </c>
      <c r="R722">
        <v>24.6364055230551</v>
      </c>
      <c r="S722">
        <v>53.266301831693198</v>
      </c>
      <c r="T722">
        <v>0</v>
      </c>
      <c r="U722">
        <v>0</v>
      </c>
      <c r="V722">
        <v>0</v>
      </c>
      <c r="W722">
        <v>0</v>
      </c>
    </row>
    <row r="723" spans="1:23" x14ac:dyDescent="0.55000000000000004">
      <c r="A723" t="s">
        <v>1454</v>
      </c>
      <c r="B723" t="s">
        <v>1455</v>
      </c>
      <c r="C723" t="s">
        <v>2</v>
      </c>
      <c r="D723">
        <v>30.5</v>
      </c>
      <c r="E723">
        <f>1098646144/(1000)</f>
        <v>1098646.1440000001</v>
      </c>
      <c r="F723">
        <f>516167008/(1000)</f>
        <v>516167.00799999997</v>
      </c>
      <c r="G723">
        <f>90086000/(1000)</f>
        <v>90086</v>
      </c>
      <c r="H723">
        <f>1377392128/(1000)</f>
        <v>1377392.128</v>
      </c>
      <c r="I723">
        <f>121859000/(1000)</f>
        <v>121859</v>
      </c>
      <c r="J723">
        <f t="shared" si="12"/>
        <v>1.1303162901386027E-2</v>
      </c>
      <c r="K723">
        <f>-75559999/(1000)</f>
        <v>-75559.998999999996</v>
      </c>
      <c r="L723">
        <v>21.801088333129901</v>
      </c>
      <c r="M723">
        <v>11.601526260376</v>
      </c>
      <c r="N723">
        <v>91.880417781111902</v>
      </c>
      <c r="O723">
        <v>63.127273559570298</v>
      </c>
      <c r="P723">
        <v>0</v>
      </c>
      <c r="Q723">
        <v>0</v>
      </c>
      <c r="R723">
        <v>18.597561137829398</v>
      </c>
      <c r="S723">
        <v>146.33340078266701</v>
      </c>
      <c r="T723">
        <v>0</v>
      </c>
      <c r="U723">
        <v>0</v>
      </c>
      <c r="V723">
        <v>0</v>
      </c>
      <c r="W723">
        <v>0</v>
      </c>
    </row>
    <row r="724" spans="1:23" x14ac:dyDescent="0.55000000000000004">
      <c r="A724" t="s">
        <v>1456</v>
      </c>
      <c r="B724" t="s">
        <v>1457</v>
      </c>
      <c r="C724" t="s">
        <v>2</v>
      </c>
      <c r="D724">
        <v>4.1500000000000004</v>
      </c>
      <c r="E724">
        <f>242687024/(1000)</f>
        <v>242687.024</v>
      </c>
      <c r="F724">
        <f>515760992/(1000)</f>
        <v>515760.99200000003</v>
      </c>
      <c r="G724">
        <f>28980000/(1000)</f>
        <v>28980</v>
      </c>
      <c r="H724">
        <f>457893024/(1000)</f>
        <v>457893.02399999998</v>
      </c>
      <c r="I724">
        <f>55517000/(1000)</f>
        <v>55517</v>
      </c>
      <c r="J724">
        <f t="shared" si="12"/>
        <v>8.247798404092439E-3</v>
      </c>
      <c r="K724">
        <f>-117271999/(1000)</f>
        <v>-117271.999</v>
      </c>
      <c r="L724">
        <v>0</v>
      </c>
      <c r="M724">
        <v>3.9545249938964799</v>
      </c>
      <c r="N724">
        <v>68.296714057597498</v>
      </c>
      <c r="O724">
        <v>85.287940979003906</v>
      </c>
      <c r="P724">
        <v>6.8000003695488004E-2</v>
      </c>
      <c r="Q724">
        <v>0</v>
      </c>
      <c r="R724">
        <v>34.583333827451703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 x14ac:dyDescent="0.55000000000000004">
      <c r="A725" t="s">
        <v>1458</v>
      </c>
      <c r="B725" t="s">
        <v>1459</v>
      </c>
      <c r="C725" t="s">
        <v>31</v>
      </c>
      <c r="D725">
        <v>19.260000000000002</v>
      </c>
      <c r="E725">
        <f>792606784/(1000)</f>
        <v>792606.78399999999</v>
      </c>
      <c r="F725">
        <f>515560000/(1000)</f>
        <v>515560</v>
      </c>
      <c r="G725">
        <f>71426000/(1000)</f>
        <v>71426</v>
      </c>
      <c r="H725">
        <f>674077784/(1000)</f>
        <v>674077.78399999999</v>
      </c>
      <c r="I725">
        <f>120858000/(1000)</f>
        <v>120858</v>
      </c>
      <c r="J725">
        <f t="shared" si="12"/>
        <v>5.5774361978520245E-3</v>
      </c>
      <c r="K725">
        <f>78968001/(1000)</f>
        <v>78968.001000000004</v>
      </c>
      <c r="L725">
        <v>22.2060222625732</v>
      </c>
      <c r="M725">
        <v>9.2654447555541992</v>
      </c>
      <c r="N725">
        <v>97.252205474002096</v>
      </c>
      <c r="O725">
        <v>0</v>
      </c>
      <c r="P725">
        <v>0</v>
      </c>
      <c r="Q725">
        <v>0</v>
      </c>
      <c r="R725">
        <v>12.4258065037127</v>
      </c>
      <c r="S725">
        <v>66.815505079919802</v>
      </c>
      <c r="T725">
        <v>0</v>
      </c>
      <c r="U725">
        <v>0</v>
      </c>
      <c r="V725">
        <v>0</v>
      </c>
      <c r="W725">
        <v>0</v>
      </c>
    </row>
    <row r="726" spans="1:23" x14ac:dyDescent="0.55000000000000004">
      <c r="A726" t="s">
        <v>1460</v>
      </c>
      <c r="B726" t="s">
        <v>1461</v>
      </c>
      <c r="C726" t="s">
        <v>2</v>
      </c>
      <c r="D726">
        <v>9.48</v>
      </c>
      <c r="E726">
        <f>451329536/(1000)</f>
        <v>451329.53600000002</v>
      </c>
      <c r="F726">
        <f>515534976/(1000)</f>
        <v>515534.97600000002</v>
      </c>
      <c r="G726">
        <f>80700000/(1000)</f>
        <v>80700</v>
      </c>
      <c r="H726">
        <f>729831520/(1000)</f>
        <v>729831.52</v>
      </c>
      <c r="I726">
        <f>98341000/(1000)</f>
        <v>98341</v>
      </c>
      <c r="J726">
        <f t="shared" si="12"/>
        <v>7.4214368371279529E-3</v>
      </c>
      <c r="K726">
        <f>12824000/(1000)</f>
        <v>12824</v>
      </c>
      <c r="L726">
        <v>16.186750411987301</v>
      </c>
      <c r="M726">
        <v>0</v>
      </c>
      <c r="N726">
        <v>99.589148569959306</v>
      </c>
      <c r="O726">
        <v>0</v>
      </c>
      <c r="P726">
        <v>0</v>
      </c>
      <c r="Q726">
        <v>0</v>
      </c>
      <c r="R726">
        <v>10.4175819554863</v>
      </c>
      <c r="S726">
        <v>7.5151149113660098</v>
      </c>
      <c r="T726">
        <v>0</v>
      </c>
      <c r="U726">
        <v>0</v>
      </c>
      <c r="V726">
        <v>0</v>
      </c>
      <c r="W726">
        <v>0</v>
      </c>
    </row>
    <row r="727" spans="1:23" x14ac:dyDescent="0.55000000000000004">
      <c r="A727" t="s">
        <v>1462</v>
      </c>
      <c r="B727" t="s">
        <v>1463</v>
      </c>
      <c r="C727" t="s">
        <v>31</v>
      </c>
      <c r="D727">
        <v>12.64</v>
      </c>
      <c r="E727">
        <f>1024654016/(1000)</f>
        <v>1024654.0159999999</v>
      </c>
      <c r="F727">
        <f>514067008/(1000)</f>
        <v>514067.00799999997</v>
      </c>
      <c r="G727">
        <f>66839000/(1000)</f>
        <v>66839</v>
      </c>
      <c r="H727">
        <f>855863008/(1000)</f>
        <v>855863.00800000003</v>
      </c>
      <c r="I727">
        <f>95679000/(1000)</f>
        <v>95679</v>
      </c>
      <c r="J727">
        <f t="shared" si="12"/>
        <v>8.9451500120193567E-3</v>
      </c>
      <c r="K727">
        <f>66591001/(1000)</f>
        <v>66591.001000000004</v>
      </c>
      <c r="L727">
        <v>29.7207145690918</v>
      </c>
      <c r="M727">
        <v>7.9921131134033203</v>
      </c>
      <c r="N727">
        <v>98.861646144997906</v>
      </c>
      <c r="O727">
        <v>6.0311999171971997E-2</v>
      </c>
      <c r="P727">
        <v>0</v>
      </c>
      <c r="Q727">
        <v>1.3418259279139699</v>
      </c>
      <c r="R727">
        <v>12.7987040999241</v>
      </c>
      <c r="S727">
        <v>160.457203522009</v>
      </c>
      <c r="T727">
        <v>0</v>
      </c>
      <c r="U727">
        <v>0</v>
      </c>
      <c r="V727">
        <v>0</v>
      </c>
      <c r="W727">
        <v>0</v>
      </c>
    </row>
    <row r="728" spans="1:23" x14ac:dyDescent="0.55000000000000004">
      <c r="A728" t="s">
        <v>1464</v>
      </c>
      <c r="B728" t="s">
        <v>1465</v>
      </c>
      <c r="C728" t="s">
        <v>81</v>
      </c>
      <c r="D728">
        <v>6.07</v>
      </c>
      <c r="E728">
        <f>497576704/(1000)</f>
        <v>497576.70400000003</v>
      </c>
      <c r="F728">
        <f>513502976/(1000)</f>
        <v>513502.97600000002</v>
      </c>
      <c r="G728">
        <f>95720000/(1000)</f>
        <v>95720</v>
      </c>
      <c r="H728">
        <f>850979712/(1000)</f>
        <v>850979.71200000006</v>
      </c>
      <c r="I728">
        <f>128670000/(1000)</f>
        <v>128670</v>
      </c>
      <c r="J728">
        <f t="shared" si="12"/>
        <v>6.6136606201911878E-3</v>
      </c>
      <c r="K728">
        <f>101716001/(1000)</f>
        <v>101716.001</v>
      </c>
      <c r="L728">
        <v>14.9429988861084</v>
      </c>
      <c r="M728">
        <v>15.8816585540771</v>
      </c>
      <c r="N728">
        <v>97.628613795977799</v>
      </c>
      <c r="O728">
        <v>3.4149999264629998E-3</v>
      </c>
      <c r="P728">
        <v>0.40000000596046398</v>
      </c>
      <c r="Q728">
        <v>0</v>
      </c>
      <c r="R728">
        <v>6.3894738448623798</v>
      </c>
      <c r="S728">
        <v>206.54150405833499</v>
      </c>
      <c r="T728">
        <v>0</v>
      </c>
      <c r="U728">
        <v>0</v>
      </c>
      <c r="V728">
        <v>0</v>
      </c>
      <c r="W728">
        <v>0</v>
      </c>
    </row>
    <row r="729" spans="1:23" x14ac:dyDescent="0.55000000000000004">
      <c r="A729" t="s">
        <v>1466</v>
      </c>
      <c r="B729" t="s">
        <v>1467</v>
      </c>
      <c r="C729" t="s">
        <v>5</v>
      </c>
      <c r="D729">
        <v>1.24</v>
      </c>
      <c r="E729">
        <f>80139712/(1000)</f>
        <v>80139.712</v>
      </c>
      <c r="F729">
        <f>513286016/(1000)</f>
        <v>513286.016</v>
      </c>
      <c r="G729">
        <f>4812000/(1000)</f>
        <v>4812</v>
      </c>
      <c r="H729">
        <f>332033712/(1000)</f>
        <v>332033.712</v>
      </c>
      <c r="I729">
        <f>13656000/(1000)</f>
        <v>13656</v>
      </c>
      <c r="J729">
        <f t="shared" si="12"/>
        <v>2.4314126537785589E-2</v>
      </c>
      <c r="K729">
        <f>-833999.125/(1000)</f>
        <v>-833.99912500000005</v>
      </c>
      <c r="L729">
        <v>0</v>
      </c>
      <c r="M729">
        <v>0</v>
      </c>
      <c r="N729">
        <v>54.277505237264101</v>
      </c>
      <c r="O729">
        <v>0</v>
      </c>
      <c r="P729">
        <v>0</v>
      </c>
      <c r="Q729">
        <v>0</v>
      </c>
      <c r="R729">
        <v>0</v>
      </c>
      <c r="S729">
        <v>18.968769432326798</v>
      </c>
      <c r="T729">
        <v>0</v>
      </c>
      <c r="U729">
        <v>0</v>
      </c>
      <c r="V729">
        <v>0</v>
      </c>
      <c r="W729">
        <v>0</v>
      </c>
    </row>
    <row r="730" spans="1:23" x14ac:dyDescent="0.55000000000000004">
      <c r="A730" t="s">
        <v>1468</v>
      </c>
      <c r="B730" t="s">
        <v>1469</v>
      </c>
      <c r="C730" t="s">
        <v>5</v>
      </c>
      <c r="D730">
        <v>1.19</v>
      </c>
      <c r="E730">
        <f>104479864/(1000)</f>
        <v>104479.864</v>
      </c>
      <c r="F730">
        <f>511612992/(1000)</f>
        <v>511612.99200000003</v>
      </c>
      <c r="G730">
        <f>-24163000/(1000)</f>
        <v>-24163</v>
      </c>
      <c r="H730">
        <f>175448864/(1000)</f>
        <v>175448.864</v>
      </c>
      <c r="I730">
        <f>-3591000/(1000)</f>
        <v>-3591</v>
      </c>
      <c r="J730">
        <f t="shared" si="12"/>
        <v>-4.8857940406571987E-2</v>
      </c>
      <c r="K730">
        <f>-5854999/(1000)</f>
        <v>-5854.9989999999998</v>
      </c>
      <c r="L730">
        <v>0</v>
      </c>
      <c r="M730">
        <v>-17.2102947235107</v>
      </c>
      <c r="N730">
        <v>69.247203540250595</v>
      </c>
      <c r="O730">
        <v>37.473049163818402</v>
      </c>
      <c r="P730">
        <v>0</v>
      </c>
      <c r="Q730">
        <v>0</v>
      </c>
      <c r="R730">
        <v>0</v>
      </c>
      <c r="S730">
        <v>121.807796892342</v>
      </c>
      <c r="T730">
        <v>0</v>
      </c>
      <c r="U730">
        <v>0</v>
      </c>
      <c r="V730">
        <v>0</v>
      </c>
      <c r="W730">
        <v>0</v>
      </c>
    </row>
    <row r="731" spans="1:23" x14ac:dyDescent="0.55000000000000004">
      <c r="A731" t="s">
        <v>1470</v>
      </c>
      <c r="B731" t="s">
        <v>1471</v>
      </c>
      <c r="C731" t="s">
        <v>5</v>
      </c>
      <c r="D731">
        <v>7.08</v>
      </c>
      <c r="E731">
        <f>126601896/(1000)</f>
        <v>126601.89599999999</v>
      </c>
      <c r="F731">
        <f>510720000/(1000)</f>
        <v>510720</v>
      </c>
      <c r="G731">
        <f>15449000/(1000)</f>
        <v>15449</v>
      </c>
      <c r="H731">
        <f>75609896/(1000)</f>
        <v>75609.895999999993</v>
      </c>
      <c r="I731">
        <f>27481000/(1000)</f>
        <v>27481</v>
      </c>
      <c r="J731">
        <f t="shared" si="12"/>
        <v>2.7513516975364795E-3</v>
      </c>
      <c r="K731">
        <f>23834003/(1000)</f>
        <v>23834.003000000001</v>
      </c>
      <c r="L731">
        <v>18.975297927856399</v>
      </c>
      <c r="M731">
        <v>2.83509397506714</v>
      </c>
      <c r="N731">
        <v>87.723755473475507</v>
      </c>
      <c r="O731">
        <v>0</v>
      </c>
      <c r="P731">
        <v>0.36000001430511502</v>
      </c>
      <c r="Q731">
        <v>0.59847844204280098</v>
      </c>
      <c r="R731">
        <v>37.263156499558903</v>
      </c>
      <c r="S731">
        <v>17.9358390610297</v>
      </c>
      <c r="T731">
        <v>0</v>
      </c>
      <c r="U731">
        <v>0</v>
      </c>
      <c r="V731">
        <v>0</v>
      </c>
      <c r="W731">
        <v>0</v>
      </c>
    </row>
    <row r="732" spans="1:23" x14ac:dyDescent="0.55000000000000004">
      <c r="A732" t="s">
        <v>1472</v>
      </c>
      <c r="B732" t="s">
        <v>1473</v>
      </c>
      <c r="C732" t="s">
        <v>2</v>
      </c>
      <c r="D732">
        <v>22.85</v>
      </c>
      <c r="E732">
        <f>194727712/(1000)</f>
        <v>194727.712</v>
      </c>
      <c r="F732">
        <f>509695008/(1000)</f>
        <v>509695.00799999997</v>
      </c>
      <c r="G732">
        <f>32769000/(1000)</f>
        <v>32769</v>
      </c>
      <c r="H732">
        <f>198576712/(1000)</f>
        <v>198576.712</v>
      </c>
      <c r="I732">
        <f>40204000/(1000)</f>
        <v>40204</v>
      </c>
      <c r="J732">
        <f t="shared" si="12"/>
        <v>4.9392277385334792E-3</v>
      </c>
      <c r="K732">
        <f>-6145999/(1000)</f>
        <v>-6145.9989999999998</v>
      </c>
      <c r="L732">
        <v>19.449989318847699</v>
      </c>
      <c r="M732">
        <v>6.1674947738647496</v>
      </c>
      <c r="N732">
        <v>48.837125642278103</v>
      </c>
      <c r="O732">
        <v>6.3087501525878897</v>
      </c>
      <c r="P732">
        <v>0.80000001192092896</v>
      </c>
      <c r="Q732">
        <v>0</v>
      </c>
      <c r="R732">
        <v>10.3863640067375</v>
      </c>
      <c r="S732">
        <v>31.549165398703</v>
      </c>
      <c r="T732">
        <v>0</v>
      </c>
      <c r="U732">
        <v>0</v>
      </c>
      <c r="V732">
        <v>0</v>
      </c>
      <c r="W732">
        <v>0</v>
      </c>
    </row>
    <row r="733" spans="1:23" x14ac:dyDescent="0.55000000000000004">
      <c r="A733" t="s">
        <v>1474</v>
      </c>
      <c r="B733" t="s">
        <v>1475</v>
      </c>
      <c r="C733" t="s">
        <v>2</v>
      </c>
      <c r="D733">
        <v>31.28</v>
      </c>
      <c r="E733">
        <f>320660672/(1000)</f>
        <v>320660.67200000002</v>
      </c>
      <c r="F733">
        <f>508980992/(1000)</f>
        <v>508980.99200000003</v>
      </c>
      <c r="G733">
        <f>38980000/(1000)</f>
        <v>38980</v>
      </c>
      <c r="H733">
        <f>238193672/(1000)</f>
        <v>238193.67199999999</v>
      </c>
      <c r="I733">
        <f>47602000/(1000)</f>
        <v>47602</v>
      </c>
      <c r="J733">
        <f t="shared" si="12"/>
        <v>5.0038584933406157E-3</v>
      </c>
      <c r="K733">
        <f>-10386999/(1000)</f>
        <v>-10386.999</v>
      </c>
      <c r="L733">
        <v>35.748111724853501</v>
      </c>
      <c r="M733">
        <v>70.9891357421875</v>
      </c>
      <c r="N733">
        <v>97.101832331451106</v>
      </c>
      <c r="O733">
        <v>16.016294479370099</v>
      </c>
      <c r="P733">
        <v>0</v>
      </c>
      <c r="Q733">
        <v>1.4599767468153699</v>
      </c>
      <c r="R733">
        <v>13.1428574576956</v>
      </c>
      <c r="S733">
        <v>97.317681887641399</v>
      </c>
      <c r="T733">
        <v>0</v>
      </c>
      <c r="U733">
        <v>0</v>
      </c>
      <c r="V733">
        <v>0</v>
      </c>
      <c r="W733">
        <v>0</v>
      </c>
    </row>
    <row r="734" spans="1:23" x14ac:dyDescent="0.55000000000000004">
      <c r="A734" t="s">
        <v>1476</v>
      </c>
      <c r="B734" t="s">
        <v>1477</v>
      </c>
      <c r="C734" t="s">
        <v>5</v>
      </c>
      <c r="D734">
        <v>6.83</v>
      </c>
      <c r="E734">
        <f>349471968/(1000)</f>
        <v>349471.96799999999</v>
      </c>
      <c r="F734">
        <f>507360992/(1000)</f>
        <v>507360.99200000003</v>
      </c>
      <c r="G734">
        <f>2293000/(1000)</f>
        <v>2293</v>
      </c>
      <c r="H734">
        <f>45337952/(1000)</f>
        <v>45337.951999999997</v>
      </c>
      <c r="I734">
        <f>53415000/(1000)</f>
        <v>53415</v>
      </c>
      <c r="J734">
        <f t="shared" si="12"/>
        <v>8.487868950669287E-4</v>
      </c>
      <c r="K734">
        <f>84998001/(1000)</f>
        <v>84998.001000000004</v>
      </c>
      <c r="L734">
        <v>27.541404724121101</v>
      </c>
      <c r="M734">
        <v>10.4084939956665</v>
      </c>
      <c r="N734">
        <v>99.237405613317193</v>
      </c>
      <c r="O734">
        <v>0</v>
      </c>
      <c r="P734">
        <v>0</v>
      </c>
      <c r="Q734">
        <v>0.63791828634171399</v>
      </c>
      <c r="R734">
        <v>20.088235188578501</v>
      </c>
      <c r="S734">
        <v>240.24354351315799</v>
      </c>
      <c r="T734">
        <v>0</v>
      </c>
      <c r="U734">
        <v>0</v>
      </c>
      <c r="V734">
        <v>0</v>
      </c>
      <c r="W734">
        <v>0</v>
      </c>
    </row>
    <row r="735" spans="1:23" x14ac:dyDescent="0.55000000000000004">
      <c r="A735" t="s">
        <v>1478</v>
      </c>
      <c r="B735" t="s">
        <v>1479</v>
      </c>
      <c r="C735" t="s">
        <v>2</v>
      </c>
      <c r="D735">
        <v>10.39</v>
      </c>
      <c r="E735">
        <f>457222336/(1000)</f>
        <v>457222.33600000001</v>
      </c>
      <c r="F735">
        <f>506304992/(1000)</f>
        <v>506304.99200000003</v>
      </c>
      <c r="G735">
        <f>72929000/(1000)</f>
        <v>72929</v>
      </c>
      <c r="H735">
        <f>509017332/(1000)</f>
        <v>509017.33199999999</v>
      </c>
      <c r="I735">
        <f>88168000/(1000)</f>
        <v>88168</v>
      </c>
      <c r="J735">
        <f t="shared" si="12"/>
        <v>5.7732661736684511E-3</v>
      </c>
      <c r="K735">
        <f>60812001/(1000)</f>
        <v>60812.000999999997</v>
      </c>
      <c r="L735">
        <v>0</v>
      </c>
      <c r="M735">
        <v>132.54393005371099</v>
      </c>
      <c r="N735">
        <v>55.677406969836497</v>
      </c>
      <c r="O735">
        <v>389.23489379882801</v>
      </c>
      <c r="P735">
        <v>0</v>
      </c>
      <c r="Q735">
        <v>1.8132635791863001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</row>
    <row r="736" spans="1:23" x14ac:dyDescent="0.55000000000000004">
      <c r="A736" t="s">
        <v>1480</v>
      </c>
      <c r="B736" t="s">
        <v>1481</v>
      </c>
      <c r="C736" t="s">
        <v>401</v>
      </c>
      <c r="D736">
        <v>40.6</v>
      </c>
      <c r="E736">
        <f>1310657280/(1000)</f>
        <v>1310657.28</v>
      </c>
      <c r="F736">
        <f>505188000/(1000)</f>
        <v>505188</v>
      </c>
      <c r="G736">
        <f>160320000/(1000)</f>
        <v>160320</v>
      </c>
      <c r="H736">
        <f>3807800320/(1000)</f>
        <v>3807800.32</v>
      </c>
      <c r="I736">
        <f>273768000/(1000)</f>
        <v>273768</v>
      </c>
      <c r="J736">
        <f t="shared" si="12"/>
        <v>1.3908858303380964E-2</v>
      </c>
      <c r="K736">
        <f>-93325999/(1000)</f>
        <v>-93325.998999999996</v>
      </c>
      <c r="L736">
        <v>65.012901306152301</v>
      </c>
      <c r="M736">
        <v>8.5580320358276403</v>
      </c>
      <c r="N736">
        <v>97.664038191640003</v>
      </c>
      <c r="O736">
        <v>231.15174865722699</v>
      </c>
      <c r="P736">
        <v>2.6800000667571999</v>
      </c>
      <c r="Q736">
        <v>0.90624998137354795</v>
      </c>
      <c r="R736">
        <v>46.666663857712201</v>
      </c>
      <c r="S736">
        <v>30.723290620406999</v>
      </c>
      <c r="T736">
        <v>0</v>
      </c>
      <c r="U736">
        <v>0</v>
      </c>
      <c r="V736">
        <v>0</v>
      </c>
      <c r="W736">
        <v>0</v>
      </c>
    </row>
    <row r="737" spans="1:23" x14ac:dyDescent="0.55000000000000004">
      <c r="A737" t="s">
        <v>1482</v>
      </c>
      <c r="B737" t="s">
        <v>1483</v>
      </c>
      <c r="C737" t="s">
        <v>184</v>
      </c>
      <c r="D737">
        <v>33.22</v>
      </c>
      <c r="E737">
        <f>1439671808/(1000)</f>
        <v>1439671.808</v>
      </c>
      <c r="F737">
        <f>504591008/(1000)</f>
        <v>504591.00799999997</v>
      </c>
      <c r="G737">
        <f>0/(1000)</f>
        <v>0</v>
      </c>
      <c r="H737">
        <f>0/(1000)</f>
        <v>0</v>
      </c>
      <c r="I737">
        <f>0/(1000)</f>
        <v>0</v>
      </c>
      <c r="J737">
        <f t="shared" si="12"/>
        <v>1</v>
      </c>
      <c r="K737">
        <f>78407001/(1000)</f>
        <v>78407.001000000004</v>
      </c>
      <c r="L737">
        <v>15.525917053222701</v>
      </c>
      <c r="M737">
        <v>12.997144699096699</v>
      </c>
      <c r="N737">
        <v>92.969826550661693</v>
      </c>
      <c r="O737">
        <v>237.81231689453099</v>
      </c>
      <c r="P737">
        <v>1.1599999666214</v>
      </c>
      <c r="Q737">
        <v>1.8318169727837601</v>
      </c>
      <c r="R737">
        <v>14.5701761568242</v>
      </c>
      <c r="S737">
        <v>22.1897238151134</v>
      </c>
      <c r="T737">
        <v>0</v>
      </c>
      <c r="U737">
        <v>0</v>
      </c>
      <c r="V737">
        <v>0</v>
      </c>
      <c r="W737">
        <v>0</v>
      </c>
    </row>
    <row r="738" spans="1:23" x14ac:dyDescent="0.55000000000000004">
      <c r="A738" t="s">
        <v>1484</v>
      </c>
      <c r="B738" t="s">
        <v>1485</v>
      </c>
      <c r="C738" t="s">
        <v>2</v>
      </c>
      <c r="D738">
        <v>14.95</v>
      </c>
      <c r="E738">
        <f>148332400/(1000)</f>
        <v>148332.4</v>
      </c>
      <c r="F738">
        <f>504385984/(1000)</f>
        <v>504385.984</v>
      </c>
      <c r="G738">
        <f>23837000/(1000)</f>
        <v>23837</v>
      </c>
      <c r="H738">
        <f>237762400/(1000)</f>
        <v>237762.4</v>
      </c>
      <c r="I738">
        <f>32855000/(1000)</f>
        <v>32855</v>
      </c>
      <c r="J738">
        <f t="shared" si="12"/>
        <v>7.2367189164510726E-3</v>
      </c>
      <c r="K738">
        <f>8427001/(1000)</f>
        <v>8427.0010000000002</v>
      </c>
      <c r="L738">
        <v>18.193763732910199</v>
      </c>
      <c r="M738">
        <v>6.5005049705505398</v>
      </c>
      <c r="N738">
        <v>66.567896633808999</v>
      </c>
      <c r="O738">
        <v>41.215816497802699</v>
      </c>
      <c r="P738">
        <v>0.239999994635582</v>
      </c>
      <c r="Q738">
        <v>0</v>
      </c>
      <c r="R738">
        <v>9.1717790509199908</v>
      </c>
      <c r="S738">
        <v>94.417098523085897</v>
      </c>
      <c r="T738">
        <v>0</v>
      </c>
      <c r="U738">
        <v>0</v>
      </c>
      <c r="V738">
        <v>0</v>
      </c>
      <c r="W738">
        <v>0</v>
      </c>
    </row>
    <row r="739" spans="1:23" x14ac:dyDescent="0.55000000000000004">
      <c r="A739" t="s">
        <v>1486</v>
      </c>
      <c r="B739" t="s">
        <v>1487</v>
      </c>
      <c r="C739" t="s">
        <v>8</v>
      </c>
      <c r="D739">
        <v>11.1</v>
      </c>
      <c r="E739">
        <f>107273728/(1000)</f>
        <v>107273.728</v>
      </c>
      <c r="F739">
        <f>503823008/(1000)</f>
        <v>503823.00799999997</v>
      </c>
      <c r="G739">
        <f>-7048000/(1000)</f>
        <v>-7048</v>
      </c>
      <c r="H739">
        <f>340622736/(1000)</f>
        <v>340622.73599999998</v>
      </c>
      <c r="I739">
        <f>29032000/(1000)</f>
        <v>29032</v>
      </c>
      <c r="J739">
        <f t="shared" si="12"/>
        <v>1.1732665197023973E-2</v>
      </c>
      <c r="K739">
        <f>52104001/(1000)</f>
        <v>52104.000999999997</v>
      </c>
      <c r="L739">
        <v>0</v>
      </c>
      <c r="M739">
        <v>0</v>
      </c>
      <c r="N739">
        <v>91.278209824139196</v>
      </c>
      <c r="O739">
        <v>0</v>
      </c>
      <c r="P739">
        <v>0</v>
      </c>
      <c r="Q739">
        <v>0</v>
      </c>
      <c r="R739">
        <v>0</v>
      </c>
      <c r="S739">
        <v>59.568450332860202</v>
      </c>
      <c r="T739">
        <v>0</v>
      </c>
      <c r="U739">
        <v>0</v>
      </c>
      <c r="V739">
        <v>0</v>
      </c>
      <c r="W739">
        <v>0</v>
      </c>
    </row>
    <row r="740" spans="1:23" x14ac:dyDescent="0.55000000000000004">
      <c r="A740" t="s">
        <v>1488</v>
      </c>
      <c r="B740" t="s">
        <v>1489</v>
      </c>
      <c r="C740" t="s">
        <v>20</v>
      </c>
      <c r="D740">
        <v>2.21</v>
      </c>
      <c r="E740">
        <f>67657600/(1000)</f>
        <v>67657.600000000006</v>
      </c>
      <c r="F740">
        <f>501471008/(1000)</f>
        <v>501471.00799999997</v>
      </c>
      <c r="G740">
        <f>-86912000/(1000)</f>
        <v>-86912</v>
      </c>
      <c r="H740">
        <f>70857600.25/(1000)</f>
        <v>70857.600250000003</v>
      </c>
      <c r="I740">
        <f>-71226000/(1000)</f>
        <v>-71226</v>
      </c>
      <c r="J740">
        <f t="shared" si="12"/>
        <v>-9.9482773495633624E-4</v>
      </c>
      <c r="K740">
        <f>-2184999/(1000)</f>
        <v>-2184.9989999999998</v>
      </c>
      <c r="L740">
        <v>0</v>
      </c>
      <c r="M740">
        <v>-24.5484313964844</v>
      </c>
      <c r="N740">
        <v>95.136260554206004</v>
      </c>
      <c r="O740">
        <v>40.212974548339801</v>
      </c>
      <c r="P740">
        <v>0</v>
      </c>
      <c r="Q740">
        <v>0.51756441405590903</v>
      </c>
      <c r="R740">
        <v>0</v>
      </c>
      <c r="S740">
        <v>-14.2271501190401</v>
      </c>
      <c r="T740">
        <v>0</v>
      </c>
      <c r="U740">
        <v>0</v>
      </c>
      <c r="V740">
        <v>0</v>
      </c>
      <c r="W740">
        <v>0</v>
      </c>
    </row>
    <row r="741" spans="1:23" x14ac:dyDescent="0.55000000000000004">
      <c r="A741" t="s">
        <v>1490</v>
      </c>
      <c r="B741" t="s">
        <v>1491</v>
      </c>
      <c r="C741" t="s">
        <v>2</v>
      </c>
      <c r="D741">
        <v>27.27</v>
      </c>
      <c r="E741">
        <f>463420896/(1000)</f>
        <v>463420.89600000001</v>
      </c>
      <c r="F741">
        <f>500472000/(1000)</f>
        <v>500472</v>
      </c>
      <c r="G741">
        <f>92933000/(1000)</f>
        <v>92933</v>
      </c>
      <c r="H741">
        <f>714046896/(1000)</f>
        <v>714046.89599999995</v>
      </c>
      <c r="I741">
        <f>99293000/(1000)</f>
        <v>99293</v>
      </c>
      <c r="J741">
        <f t="shared" si="12"/>
        <v>7.1913115325350219E-3</v>
      </c>
      <c r="K741">
        <f>56182001/(1000)</f>
        <v>56182.000999999997</v>
      </c>
      <c r="L741">
        <v>20.5888557434082</v>
      </c>
      <c r="M741">
        <v>37.119422912597699</v>
      </c>
      <c r="N741">
        <v>92.400173771233298</v>
      </c>
      <c r="O741">
        <v>52.591957092285199</v>
      </c>
      <c r="P741">
        <v>0</v>
      </c>
      <c r="Q741">
        <v>0</v>
      </c>
      <c r="R741">
        <v>7.3504044785677198</v>
      </c>
      <c r="S741">
        <v>118.443703406254</v>
      </c>
      <c r="T741">
        <v>0</v>
      </c>
      <c r="U741">
        <v>0</v>
      </c>
      <c r="V741">
        <v>0</v>
      </c>
      <c r="W741">
        <v>0</v>
      </c>
    </row>
    <row r="742" spans="1:23" x14ac:dyDescent="0.55000000000000004">
      <c r="A742" t="s">
        <v>1492</v>
      </c>
      <c r="B742" t="s">
        <v>1493</v>
      </c>
      <c r="C742" t="s">
        <v>81</v>
      </c>
      <c r="D742">
        <v>24.66</v>
      </c>
      <c r="E742">
        <f>1040146496/(1000)</f>
        <v>1040146.496</v>
      </c>
      <c r="F742">
        <f>500393984/(1000)</f>
        <v>500393.984</v>
      </c>
      <c r="G742">
        <f>100233000/(1000)</f>
        <v>100233</v>
      </c>
      <c r="H742">
        <f>1582637504/(1000)</f>
        <v>1582637.504</v>
      </c>
      <c r="I742">
        <f>197294000/(1000)</f>
        <v>197294</v>
      </c>
      <c r="J742">
        <f t="shared" si="12"/>
        <v>8.0217214106865897E-3</v>
      </c>
      <c r="K742">
        <f>34335001/(1000)</f>
        <v>34335.000999999997</v>
      </c>
      <c r="L742">
        <v>0</v>
      </c>
      <c r="M742">
        <v>20.088207244873001</v>
      </c>
      <c r="N742">
        <v>98.082479477671498</v>
      </c>
      <c r="O742">
        <v>357.57882690429699</v>
      </c>
      <c r="P742">
        <v>2.07999992370606</v>
      </c>
      <c r="Q742">
        <v>5.42773666060247</v>
      </c>
      <c r="R742">
        <v>25.422680481579398</v>
      </c>
      <c r="S742">
        <v>0</v>
      </c>
      <c r="T742">
        <v>0</v>
      </c>
      <c r="U742">
        <v>0</v>
      </c>
      <c r="V742">
        <v>0</v>
      </c>
      <c r="W742">
        <v>0</v>
      </c>
    </row>
    <row r="743" spans="1:23" x14ac:dyDescent="0.55000000000000004">
      <c r="A743" t="s">
        <v>1494</v>
      </c>
      <c r="B743" t="s">
        <v>1495</v>
      </c>
      <c r="C743" t="s">
        <v>17</v>
      </c>
      <c r="D743">
        <v>38.700000000000003</v>
      </c>
      <c r="E743">
        <f>950626752/(1000)</f>
        <v>950626.75199999998</v>
      </c>
      <c r="F743">
        <f>500276992/(1000)</f>
        <v>500276.99200000003</v>
      </c>
      <c r="G743">
        <f>42412000/(1000)</f>
        <v>42412</v>
      </c>
      <c r="H743">
        <f>1073372752/(1000)</f>
        <v>1073372.7520000001</v>
      </c>
      <c r="I743">
        <f>60724000/(1000)</f>
        <v>60724</v>
      </c>
      <c r="J743">
        <f t="shared" si="12"/>
        <v>1.7676252420789147E-2</v>
      </c>
      <c r="K743">
        <f>-46771999/(1000)</f>
        <v>-46771.999000000003</v>
      </c>
      <c r="L743">
        <v>33.911399841308601</v>
      </c>
      <c r="M743">
        <v>18.690046310424801</v>
      </c>
      <c r="N743">
        <v>80.228792790526299</v>
      </c>
      <c r="O743">
        <v>88.553611755371094</v>
      </c>
      <c r="P743">
        <v>0</v>
      </c>
      <c r="Q743">
        <v>5.3750002483526904</v>
      </c>
      <c r="R743">
        <v>41.170213682018002</v>
      </c>
      <c r="S743">
        <v>328.58720947167302</v>
      </c>
      <c r="T743">
        <v>0</v>
      </c>
      <c r="U743">
        <v>0</v>
      </c>
      <c r="V743">
        <v>0</v>
      </c>
      <c r="W743">
        <v>0</v>
      </c>
    </row>
    <row r="744" spans="1:23" x14ac:dyDescent="0.55000000000000004">
      <c r="A744" t="s">
        <v>1496</v>
      </c>
      <c r="B744" t="s">
        <v>1497</v>
      </c>
      <c r="C744" t="s">
        <v>31</v>
      </c>
      <c r="D744">
        <v>9.36</v>
      </c>
      <c r="E744">
        <f>380462496/(1000)</f>
        <v>380462.49599999998</v>
      </c>
      <c r="F744">
        <f>499676992/(1000)</f>
        <v>499676.99200000003</v>
      </c>
      <c r="G744">
        <f>38243000/(1000)</f>
        <v>38243</v>
      </c>
      <c r="H744">
        <f>373856496/(1000)</f>
        <v>373856.49599999998</v>
      </c>
      <c r="I744">
        <f>59364000/(1000)</f>
        <v>59364</v>
      </c>
      <c r="J744">
        <f t="shared" si="12"/>
        <v>6.2976971902162929E-3</v>
      </c>
      <c r="K744">
        <f>25917001/(1000)</f>
        <v>25917.001</v>
      </c>
      <c r="L744">
        <v>37.879627227783203</v>
      </c>
      <c r="M744">
        <v>15.5584774017334</v>
      </c>
      <c r="N744">
        <v>82.161595765437198</v>
      </c>
      <c r="O744">
        <v>0.87911200523376498</v>
      </c>
      <c r="P744">
        <v>9.0000003576279006E-2</v>
      </c>
      <c r="Q744">
        <v>0</v>
      </c>
      <c r="R744">
        <v>11.5274055287118</v>
      </c>
      <c r="S744">
        <v>181.09009248216699</v>
      </c>
      <c r="T744">
        <v>0</v>
      </c>
      <c r="U744">
        <v>0</v>
      </c>
      <c r="V744">
        <v>0</v>
      </c>
      <c r="W744">
        <v>0</v>
      </c>
    </row>
    <row r="745" spans="1:23" x14ac:dyDescent="0.55000000000000004">
      <c r="A745" t="s">
        <v>1498</v>
      </c>
      <c r="B745" t="s">
        <v>1499</v>
      </c>
      <c r="C745" t="s">
        <v>20</v>
      </c>
      <c r="D745">
        <v>17.739999999999998</v>
      </c>
      <c r="E745">
        <f>173410272/(1000)</f>
        <v>173410.272</v>
      </c>
      <c r="F745">
        <f>498252992/(1000)</f>
        <v>498252.99200000003</v>
      </c>
      <c r="G745">
        <f>40842000/(1000)</f>
        <v>40842</v>
      </c>
      <c r="H745">
        <f>291072272/(1000)</f>
        <v>291072.272</v>
      </c>
      <c r="I745">
        <f>54060000/(1000)</f>
        <v>54060</v>
      </c>
      <c r="J745">
        <f t="shared" si="12"/>
        <v>5.3842447650758419E-3</v>
      </c>
      <c r="K745">
        <f>33364001/(1000)</f>
        <v>33364.000999999997</v>
      </c>
      <c r="L745">
        <v>15.0043725967407</v>
      </c>
      <c r="M745">
        <v>9.6885547637939506</v>
      </c>
      <c r="N745">
        <v>70.848381848275096</v>
      </c>
      <c r="O745">
        <v>7.7902679443359402</v>
      </c>
      <c r="P745">
        <v>0.60000002384185802</v>
      </c>
      <c r="Q745">
        <v>0</v>
      </c>
      <c r="R745">
        <v>8.2066939602900693</v>
      </c>
      <c r="S745">
        <v>-6.4866821469112903</v>
      </c>
      <c r="T745">
        <v>0</v>
      </c>
      <c r="U745">
        <v>0</v>
      </c>
      <c r="V745">
        <v>0</v>
      </c>
      <c r="W745">
        <v>0</v>
      </c>
    </row>
    <row r="746" spans="1:23" x14ac:dyDescent="0.55000000000000004">
      <c r="A746" t="s">
        <v>1500</v>
      </c>
      <c r="B746" t="s">
        <v>1501</v>
      </c>
      <c r="C746" t="s">
        <v>17</v>
      </c>
      <c r="D746">
        <v>25.61</v>
      </c>
      <c r="E746">
        <f>1108203136/(1000)</f>
        <v>1108203.1359999999</v>
      </c>
      <c r="F746">
        <f>497716992/(1000)</f>
        <v>497716.99200000003</v>
      </c>
      <c r="G746">
        <f>70852000/(1000)</f>
        <v>70852</v>
      </c>
      <c r="H746">
        <f>1072239136/(1000)</f>
        <v>1072239.1359999999</v>
      </c>
      <c r="I746">
        <f>86711000/(1000)</f>
        <v>86711</v>
      </c>
      <c r="J746">
        <f t="shared" si="12"/>
        <v>1.236566451776591E-2</v>
      </c>
      <c r="K746">
        <f>75297001/(1000)</f>
        <v>75297.001000000004</v>
      </c>
      <c r="L746">
        <v>26.578929901123001</v>
      </c>
      <c r="M746">
        <v>8.1368980407714808</v>
      </c>
      <c r="N746">
        <v>52.0852482119274</v>
      </c>
      <c r="O746">
        <v>1.1751250028610201</v>
      </c>
      <c r="P746">
        <v>0.238110050559044</v>
      </c>
      <c r="Q746">
        <v>0</v>
      </c>
      <c r="R746">
        <v>34.333333809447701</v>
      </c>
      <c r="S746">
        <v>26.585958804856901</v>
      </c>
      <c r="T746">
        <v>0</v>
      </c>
      <c r="U746">
        <v>0</v>
      </c>
      <c r="V746">
        <v>0</v>
      </c>
      <c r="W746">
        <v>0</v>
      </c>
    </row>
    <row r="747" spans="1:23" x14ac:dyDescent="0.55000000000000004">
      <c r="A747" t="s">
        <v>1502</v>
      </c>
      <c r="B747" t="s">
        <v>1503</v>
      </c>
      <c r="C747" t="s">
        <v>2</v>
      </c>
      <c r="D747">
        <v>19.690000000000001</v>
      </c>
      <c r="E747">
        <f>549992896/(1000)</f>
        <v>549992.89599999995</v>
      </c>
      <c r="F747">
        <f>495570016/(1000)</f>
        <v>495570.016</v>
      </c>
      <c r="G747">
        <f>9030000/(1000)</f>
        <v>9030</v>
      </c>
      <c r="H747">
        <f>529675896/(1000)</f>
        <v>529675.89599999995</v>
      </c>
      <c r="I747">
        <f>25282000/(1000)</f>
        <v>25282</v>
      </c>
      <c r="J747">
        <f t="shared" si="12"/>
        <v>2.0950711810774462E-2</v>
      </c>
      <c r="K747">
        <f>-6934998.5/(1000)</f>
        <v>-6934.9984999999997</v>
      </c>
      <c r="L747">
        <v>255.54200744628901</v>
      </c>
      <c r="M747">
        <v>0.73587298393249501</v>
      </c>
      <c r="N747">
        <v>97.822615793384202</v>
      </c>
      <c r="O747">
        <v>18.605350494384801</v>
      </c>
      <c r="P747">
        <v>0</v>
      </c>
      <c r="Q747">
        <v>1.4927976618999601</v>
      </c>
      <c r="R747">
        <v>29.8333339673853</v>
      </c>
      <c r="S747">
        <v>3.1668046526364102</v>
      </c>
      <c r="T747">
        <v>0</v>
      </c>
      <c r="U747">
        <v>0</v>
      </c>
      <c r="V747">
        <v>0</v>
      </c>
      <c r="W747">
        <v>0</v>
      </c>
    </row>
    <row r="748" spans="1:23" x14ac:dyDescent="0.55000000000000004">
      <c r="A748" t="s">
        <v>1504</v>
      </c>
      <c r="B748" t="s">
        <v>1505</v>
      </c>
      <c r="C748" t="s">
        <v>8</v>
      </c>
      <c r="D748">
        <v>20.51</v>
      </c>
      <c r="E748">
        <f>800349440/(1000)</f>
        <v>800349.44</v>
      </c>
      <c r="F748">
        <f>495556992/(1000)</f>
        <v>495556.99200000003</v>
      </c>
      <c r="G748">
        <f>138384992/(1000)</f>
        <v>138384.992</v>
      </c>
      <c r="H748">
        <f>693063440/(1000)</f>
        <v>693063.44</v>
      </c>
      <c r="I748">
        <f>154038000/(1000)</f>
        <v>154038</v>
      </c>
      <c r="J748">
        <f t="shared" si="12"/>
        <v>4.4993017307417647E-3</v>
      </c>
      <c r="K748">
        <f>57455001/(1000)</f>
        <v>57455.000999999997</v>
      </c>
      <c r="L748">
        <v>0</v>
      </c>
      <c r="M748">
        <v>20.366380691528299</v>
      </c>
      <c r="N748">
        <v>76.268502384479106</v>
      </c>
      <c r="O748">
        <v>0.49131199717521701</v>
      </c>
      <c r="P748">
        <v>0</v>
      </c>
      <c r="Q748">
        <v>1.3862791566824699</v>
      </c>
      <c r="R748">
        <v>7.4043322635769897</v>
      </c>
      <c r="S748">
        <v>129.62759216261</v>
      </c>
      <c r="T748">
        <v>0</v>
      </c>
      <c r="U748">
        <v>0</v>
      </c>
      <c r="V748">
        <v>0</v>
      </c>
      <c r="W748">
        <v>0</v>
      </c>
    </row>
    <row r="749" spans="1:23" x14ac:dyDescent="0.55000000000000004">
      <c r="A749" t="s">
        <v>1506</v>
      </c>
      <c r="B749" t="s">
        <v>1507</v>
      </c>
      <c r="C749" t="s">
        <v>5</v>
      </c>
      <c r="D749">
        <v>6.87</v>
      </c>
      <c r="E749">
        <f>92811640/(1000)</f>
        <v>92811.64</v>
      </c>
      <c r="F749">
        <f>493975008/(1000)</f>
        <v>493975.00799999997</v>
      </c>
      <c r="G749">
        <f>44312000/(1000)</f>
        <v>44312</v>
      </c>
      <c r="H749">
        <f>278359640/(1000)</f>
        <v>278359.64</v>
      </c>
      <c r="I749">
        <f>57429000/(1000)</f>
        <v>57429</v>
      </c>
      <c r="J749">
        <f t="shared" si="12"/>
        <v>4.8470222361524668E-3</v>
      </c>
      <c r="K749">
        <f>12467002/(1000)</f>
        <v>12467.002</v>
      </c>
      <c r="L749">
        <v>0</v>
      </c>
      <c r="M749">
        <v>7.6821460723876998</v>
      </c>
      <c r="N749">
        <v>96.430714021448793</v>
      </c>
      <c r="O749">
        <v>191.694091796875</v>
      </c>
      <c r="P749">
        <v>0</v>
      </c>
      <c r="Q749">
        <v>0</v>
      </c>
      <c r="R749">
        <v>4.5496688271179497</v>
      </c>
      <c r="S749">
        <v>19.2441849731362</v>
      </c>
      <c r="T749">
        <v>0</v>
      </c>
      <c r="U749">
        <v>0</v>
      </c>
      <c r="V749">
        <v>0</v>
      </c>
      <c r="W749">
        <v>0</v>
      </c>
    </row>
    <row r="750" spans="1:23" x14ac:dyDescent="0.55000000000000004">
      <c r="A750" t="s">
        <v>1508</v>
      </c>
      <c r="B750" t="s">
        <v>1509</v>
      </c>
      <c r="C750" t="s">
        <v>38</v>
      </c>
      <c r="D750">
        <v>15.33</v>
      </c>
      <c r="E750">
        <f>262169056/(1000)</f>
        <v>262169.05599999998</v>
      </c>
      <c r="F750">
        <f>490323008/(1000)</f>
        <v>490323.00799999997</v>
      </c>
      <c r="G750">
        <f>59029000/(1000)</f>
        <v>59029</v>
      </c>
      <c r="H750">
        <f>549787040/(1000)</f>
        <v>549787.04</v>
      </c>
      <c r="I750">
        <f>91363000/(1000)</f>
        <v>91363</v>
      </c>
      <c r="J750">
        <f t="shared" si="12"/>
        <v>6.0176115057517816E-3</v>
      </c>
      <c r="K750">
        <f>2959000.75/(1000)</f>
        <v>2959.0007500000002</v>
      </c>
      <c r="L750">
        <v>22.265743255615199</v>
      </c>
      <c r="M750">
        <v>2.6538429260253902</v>
      </c>
      <c r="N750">
        <v>89.209845526808607</v>
      </c>
      <c r="O750">
        <v>70.663002014160199</v>
      </c>
      <c r="P750">
        <v>0</v>
      </c>
      <c r="Q750">
        <v>0</v>
      </c>
      <c r="R750">
        <v>11.108695635272801</v>
      </c>
      <c r="S750">
        <v>176.09053515738501</v>
      </c>
      <c r="T750">
        <v>0</v>
      </c>
      <c r="U750">
        <v>0</v>
      </c>
      <c r="V750">
        <v>0</v>
      </c>
      <c r="W750">
        <v>0</v>
      </c>
    </row>
    <row r="751" spans="1:23" x14ac:dyDescent="0.55000000000000004">
      <c r="A751" t="s">
        <v>1510</v>
      </c>
      <c r="B751" t="s">
        <v>1511</v>
      </c>
      <c r="C751" t="s">
        <v>94</v>
      </c>
      <c r="D751">
        <v>17.600000000000001</v>
      </c>
      <c r="E751">
        <f>597435584/(1000)</f>
        <v>597435.58400000003</v>
      </c>
      <c r="F751">
        <f>490160000/(1000)</f>
        <v>490160</v>
      </c>
      <c r="G751">
        <f>78741000/(1000)</f>
        <v>78741</v>
      </c>
      <c r="H751">
        <f>1274993600/(1000)</f>
        <v>1274993.6000000001</v>
      </c>
      <c r="I751">
        <f>136058000/(1000)</f>
        <v>136058</v>
      </c>
      <c r="J751">
        <f t="shared" si="12"/>
        <v>9.3709565038439489E-3</v>
      </c>
      <c r="K751">
        <f>-79727999/(1000)</f>
        <v>-79727.998999999996</v>
      </c>
      <c r="L751">
        <v>20.4160041809082</v>
      </c>
      <c r="M751">
        <v>6.5974388122558603</v>
      </c>
      <c r="N751">
        <v>99.514211538960794</v>
      </c>
      <c r="O751">
        <v>106.657196044922</v>
      </c>
      <c r="P751">
        <v>1.2799999713897701</v>
      </c>
      <c r="Q751">
        <v>1.04080428978615</v>
      </c>
      <c r="R751">
        <v>18.924732243398701</v>
      </c>
      <c r="S751">
        <v>60.233795412695002</v>
      </c>
      <c r="T751">
        <v>0</v>
      </c>
      <c r="U751">
        <v>0</v>
      </c>
      <c r="V751">
        <v>0</v>
      </c>
      <c r="W751">
        <v>0</v>
      </c>
    </row>
    <row r="752" spans="1:23" x14ac:dyDescent="0.55000000000000004">
      <c r="A752" t="s">
        <v>1512</v>
      </c>
      <c r="B752" t="s">
        <v>1513</v>
      </c>
      <c r="C752" t="s">
        <v>5</v>
      </c>
      <c r="D752">
        <v>10.67</v>
      </c>
      <c r="E752">
        <f>184005216/(1000)</f>
        <v>184005.21599999999</v>
      </c>
      <c r="F752">
        <f>488999008/(1000)</f>
        <v>488999.00799999997</v>
      </c>
      <c r="G752">
        <f>56487000/(1000)</f>
        <v>56487</v>
      </c>
      <c r="H752">
        <f>260147216/(1000)</f>
        <v>260147.21599999999</v>
      </c>
      <c r="I752">
        <f>71330000/(1000)</f>
        <v>71330</v>
      </c>
      <c r="J752">
        <f t="shared" si="12"/>
        <v>3.6470940137389592E-3</v>
      </c>
      <c r="K752">
        <f>51959001/(1000)</f>
        <v>51959.000999999997</v>
      </c>
      <c r="L752">
        <v>14.907580375671399</v>
      </c>
      <c r="M752">
        <v>5.1067700386047399</v>
      </c>
      <c r="N752">
        <v>95.819681993903799</v>
      </c>
      <c r="O752">
        <v>23.9067077636719</v>
      </c>
      <c r="P752">
        <v>0</v>
      </c>
      <c r="Q752">
        <v>0.54858610065583402</v>
      </c>
      <c r="R752">
        <v>7.2094594180975804</v>
      </c>
      <c r="S752">
        <v>127.520758310266</v>
      </c>
      <c r="T752">
        <v>0</v>
      </c>
      <c r="U752">
        <v>0</v>
      </c>
      <c r="V752">
        <v>0</v>
      </c>
      <c r="W752">
        <v>0</v>
      </c>
    </row>
    <row r="753" spans="1:23" x14ac:dyDescent="0.55000000000000004">
      <c r="A753" t="s">
        <v>1514</v>
      </c>
      <c r="B753" t="s">
        <v>1515</v>
      </c>
      <c r="C753" t="s">
        <v>31</v>
      </c>
      <c r="D753">
        <v>6.98</v>
      </c>
      <c r="E753">
        <f>573424448/(1000)</f>
        <v>573424.44799999997</v>
      </c>
      <c r="F753">
        <f>488300992/(1000)</f>
        <v>488300.99200000003</v>
      </c>
      <c r="G753">
        <f>66254996/(1000)</f>
        <v>66254.995999999999</v>
      </c>
      <c r="H753">
        <f>279170432/(1000)</f>
        <v>279170.43199999997</v>
      </c>
      <c r="I753">
        <f>117670000/(1000)</f>
        <v>117670</v>
      </c>
      <c r="J753">
        <f t="shared" si="12"/>
        <v>2.3724860372227414E-3</v>
      </c>
      <c r="K753">
        <f>114367009/(1000)</f>
        <v>114367.00900000001</v>
      </c>
      <c r="L753">
        <v>19.8485012054443</v>
      </c>
      <c r="M753">
        <v>-1.2215119600296001</v>
      </c>
      <c r="N753">
        <v>98.036826134585993</v>
      </c>
      <c r="O753">
        <v>0</v>
      </c>
      <c r="P753">
        <v>0</v>
      </c>
      <c r="Q753">
        <v>0</v>
      </c>
      <c r="R753">
        <v>8.7798742180803107</v>
      </c>
      <c r="S753">
        <v>58.432289882157498</v>
      </c>
      <c r="T753">
        <v>0</v>
      </c>
      <c r="U753">
        <v>0</v>
      </c>
      <c r="V753">
        <v>0</v>
      </c>
      <c r="W753">
        <v>0</v>
      </c>
    </row>
    <row r="754" spans="1:23" x14ac:dyDescent="0.55000000000000004">
      <c r="A754" t="s">
        <v>1516</v>
      </c>
      <c r="B754" t="s">
        <v>1517</v>
      </c>
      <c r="C754" t="s">
        <v>5</v>
      </c>
      <c r="D754">
        <v>6.58</v>
      </c>
      <c r="E754">
        <f>303216928/(1000)</f>
        <v>303216.92800000001</v>
      </c>
      <c r="F754">
        <f>488294016/(1000)</f>
        <v>488294.016</v>
      </c>
      <c r="G754">
        <f>44658000/(1000)</f>
        <v>44658</v>
      </c>
      <c r="H754">
        <f>663237920/(1000)</f>
        <v>663237.92000000004</v>
      </c>
      <c r="I754">
        <f>102702000/(1000)</f>
        <v>102702</v>
      </c>
      <c r="J754">
        <f t="shared" si="12"/>
        <v>6.4578870908064108E-3</v>
      </c>
      <c r="K754">
        <f>2378001/(1000)</f>
        <v>2378.0010000000002</v>
      </c>
      <c r="L754">
        <v>0</v>
      </c>
      <c r="M754">
        <v>-6.7001757621765101</v>
      </c>
      <c r="N754">
        <v>57.496918273694199</v>
      </c>
      <c r="O754">
        <v>126.76734924316401</v>
      </c>
      <c r="P754">
        <v>0</v>
      </c>
      <c r="Q754">
        <v>0.84358971318001097</v>
      </c>
      <c r="R754">
        <v>22.6896549792834</v>
      </c>
      <c r="S754">
        <v>393.99471501123003</v>
      </c>
      <c r="T754">
        <v>0</v>
      </c>
      <c r="U754">
        <v>0</v>
      </c>
      <c r="V754">
        <v>0</v>
      </c>
      <c r="W754">
        <v>0</v>
      </c>
    </row>
    <row r="755" spans="1:23" x14ac:dyDescent="0.55000000000000004">
      <c r="A755" t="s">
        <v>1518</v>
      </c>
      <c r="B755" t="s">
        <v>1519</v>
      </c>
      <c r="C755" t="s">
        <v>184</v>
      </c>
      <c r="D755">
        <v>9.18</v>
      </c>
      <c r="E755">
        <f>575737472/(1000)</f>
        <v>575737.47199999995</v>
      </c>
      <c r="F755">
        <f>486456000/(1000)</f>
        <v>486456</v>
      </c>
      <c r="G755">
        <f>0/(1000)</f>
        <v>0</v>
      </c>
      <c r="H755">
        <f>0/(1000)</f>
        <v>0</v>
      </c>
      <c r="I755">
        <f>0/(1000)</f>
        <v>0</v>
      </c>
      <c r="J755">
        <f t="shared" si="12"/>
        <v>1</v>
      </c>
      <c r="K755">
        <f>-515991007/(1000)</f>
        <v>-515991.00699999998</v>
      </c>
      <c r="L755">
        <v>37.940025329589801</v>
      </c>
      <c r="M755">
        <v>6.7469902038574201</v>
      </c>
      <c r="N755">
        <v>59.581928838543497</v>
      </c>
      <c r="O755">
        <v>253.62940979003901</v>
      </c>
      <c r="P755">
        <v>0</v>
      </c>
      <c r="Q755">
        <v>0.88781432975880703</v>
      </c>
      <c r="R755">
        <v>32.785714363641297</v>
      </c>
      <c r="S755">
        <v>184.06688743472901</v>
      </c>
      <c r="T755">
        <v>0</v>
      </c>
      <c r="U755">
        <v>0</v>
      </c>
      <c r="V755">
        <v>0</v>
      </c>
      <c r="W755">
        <v>0</v>
      </c>
    </row>
    <row r="756" spans="1:23" x14ac:dyDescent="0.55000000000000004">
      <c r="A756" t="s">
        <v>1520</v>
      </c>
      <c r="B756" t="s">
        <v>1521</v>
      </c>
      <c r="C756" t="s">
        <v>5</v>
      </c>
      <c r="D756">
        <v>126</v>
      </c>
      <c r="E756">
        <f>398298592/(1000)</f>
        <v>398298.592</v>
      </c>
      <c r="F756">
        <f>485939008/(1000)</f>
        <v>485939.00799999997</v>
      </c>
      <c r="G756">
        <f>45177000/(1000)</f>
        <v>45177</v>
      </c>
      <c r="H756">
        <f>308556592/(1000)</f>
        <v>308556.592</v>
      </c>
      <c r="I756">
        <f>51862000/(1000)</f>
        <v>51862</v>
      </c>
      <c r="J756">
        <f t="shared" si="12"/>
        <v>5.949569858470556E-3</v>
      </c>
      <c r="K756">
        <f>26378001/(1000)</f>
        <v>26378.001</v>
      </c>
      <c r="L756">
        <v>15.769925117492701</v>
      </c>
      <c r="M756">
        <v>30.617389678955099</v>
      </c>
      <c r="N756">
        <v>42.8648267458424</v>
      </c>
      <c r="O756">
        <v>1.13187003135681</v>
      </c>
      <c r="P756">
        <v>1</v>
      </c>
      <c r="Q756">
        <v>0</v>
      </c>
      <c r="R756">
        <v>16.1745833726999</v>
      </c>
      <c r="S756">
        <v>21.067678689621399</v>
      </c>
      <c r="T756">
        <v>0</v>
      </c>
      <c r="U756">
        <v>0</v>
      </c>
      <c r="V756">
        <v>0</v>
      </c>
      <c r="W756">
        <v>0</v>
      </c>
    </row>
    <row r="757" spans="1:23" x14ac:dyDescent="0.55000000000000004">
      <c r="A757" t="s">
        <v>1522</v>
      </c>
      <c r="B757" t="s">
        <v>1523</v>
      </c>
      <c r="C757" t="s">
        <v>5</v>
      </c>
      <c r="D757">
        <v>30.75</v>
      </c>
      <c r="E757">
        <f>2432460288/(1000)</f>
        <v>2432460.2880000002</v>
      </c>
      <c r="F757">
        <f>485807008/(1000)</f>
        <v>485807.00799999997</v>
      </c>
      <c r="G757">
        <f>274428992/(1000)</f>
        <v>274428.99200000003</v>
      </c>
      <c r="H757">
        <f>2488956284/(1000)</f>
        <v>2488956.284</v>
      </c>
      <c r="I757">
        <f>280398976/(1000)</f>
        <v>280398.97600000002</v>
      </c>
      <c r="J757">
        <f t="shared" si="12"/>
        <v>8.8764813606166653E-3</v>
      </c>
      <c r="K757">
        <f>-9264999/(1000)</f>
        <v>-9264.9989999999998</v>
      </c>
      <c r="L757">
        <v>21.6578273773193</v>
      </c>
      <c r="M757">
        <v>64.081085205078097</v>
      </c>
      <c r="N757">
        <v>60.719504369634898</v>
      </c>
      <c r="O757">
        <v>159.29544067382801</v>
      </c>
      <c r="P757">
        <v>0</v>
      </c>
      <c r="Q757">
        <v>6.7213117556258997</v>
      </c>
      <c r="R757">
        <v>14.8550727289698</v>
      </c>
      <c r="S757">
        <v>62.452276235884902</v>
      </c>
      <c r="T757">
        <v>0</v>
      </c>
      <c r="U757">
        <v>0</v>
      </c>
      <c r="V757">
        <v>0</v>
      </c>
      <c r="W757">
        <v>0</v>
      </c>
    </row>
    <row r="758" spans="1:23" x14ac:dyDescent="0.55000000000000004">
      <c r="A758" t="s">
        <v>1524</v>
      </c>
      <c r="B758" t="s">
        <v>1525</v>
      </c>
      <c r="C758" t="s">
        <v>81</v>
      </c>
      <c r="D758">
        <v>11.08</v>
      </c>
      <c r="E758">
        <f>806486592/(1000)</f>
        <v>806486.59199999995</v>
      </c>
      <c r="F758">
        <f>485655008/(1000)</f>
        <v>485655.00799999997</v>
      </c>
      <c r="G758">
        <f>68433000/(1000)</f>
        <v>68433</v>
      </c>
      <c r="H758">
        <f>635736592/(1000)</f>
        <v>635736.59199999995</v>
      </c>
      <c r="I758">
        <f>106814000/(1000)</f>
        <v>106814</v>
      </c>
      <c r="J758">
        <f t="shared" si="12"/>
        <v>5.9518096129720817E-3</v>
      </c>
      <c r="K758">
        <f>80010001/(1000)</f>
        <v>80010.001000000004</v>
      </c>
      <c r="L758">
        <v>23.529497146606399</v>
      </c>
      <c r="M758">
        <v>13.375989913940399</v>
      </c>
      <c r="N758">
        <v>96.080404290370694</v>
      </c>
      <c r="O758">
        <v>1.5133810043335001</v>
      </c>
      <c r="P758">
        <v>1.4400000572204601</v>
      </c>
      <c r="Q758">
        <v>0</v>
      </c>
      <c r="R758">
        <v>14.9729723754027</v>
      </c>
      <c r="S758">
        <v>18.561744493733499</v>
      </c>
      <c r="T758">
        <v>0</v>
      </c>
      <c r="U758">
        <v>0</v>
      </c>
      <c r="V758">
        <v>0</v>
      </c>
      <c r="W758">
        <v>0</v>
      </c>
    </row>
    <row r="759" spans="1:23" x14ac:dyDescent="0.55000000000000004">
      <c r="A759" t="s">
        <v>1526</v>
      </c>
      <c r="B759" t="s">
        <v>1527</v>
      </c>
      <c r="C759" t="s">
        <v>184</v>
      </c>
      <c r="D759">
        <v>4.8600000000000003</v>
      </c>
      <c r="E759">
        <f>298355872/(1000)</f>
        <v>298355.87199999997</v>
      </c>
      <c r="F759">
        <f>484896000/(1000)</f>
        <v>484896</v>
      </c>
      <c r="G759">
        <f>30613000/(1000)</f>
        <v>30613</v>
      </c>
      <c r="H759">
        <f>859705888/(1000)</f>
        <v>859705.88800000004</v>
      </c>
      <c r="I759">
        <f>41144000/(1000)</f>
        <v>41144</v>
      </c>
      <c r="J759">
        <f t="shared" si="12"/>
        <v>2.0895048804199883E-2</v>
      </c>
      <c r="K759">
        <f>67488001/(1000)</f>
        <v>67488.001000000004</v>
      </c>
      <c r="L759">
        <v>0</v>
      </c>
      <c r="M759">
        <v>1.05818796157837</v>
      </c>
      <c r="N759">
        <v>41.506693412794597</v>
      </c>
      <c r="O759">
        <v>1.5230690240860001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</row>
    <row r="760" spans="1:23" x14ac:dyDescent="0.55000000000000004">
      <c r="A760" t="s">
        <v>1528</v>
      </c>
      <c r="B760" t="s">
        <v>1529</v>
      </c>
      <c r="C760" t="s">
        <v>20</v>
      </c>
      <c r="D760">
        <v>11.56</v>
      </c>
      <c r="E760">
        <f>202028336/(1000)</f>
        <v>202028.33600000001</v>
      </c>
      <c r="F760">
        <f>484559008/(1000)</f>
        <v>484559.00799999997</v>
      </c>
      <c r="G760">
        <f>94577000/(1000)</f>
        <v>94577</v>
      </c>
      <c r="H760">
        <f>2409342256/(1000)</f>
        <v>2409342.2560000001</v>
      </c>
      <c r="I760">
        <f>126406000/(1000)</f>
        <v>126406</v>
      </c>
      <c r="J760">
        <f t="shared" si="12"/>
        <v>1.9060347261997058E-2</v>
      </c>
      <c r="K760">
        <f>94452001/(1000)</f>
        <v>94452.001000000004</v>
      </c>
      <c r="L760">
        <v>18.612606048583999</v>
      </c>
      <c r="M760">
        <v>-0.89138299226760898</v>
      </c>
      <c r="N760">
        <v>97.172777329524095</v>
      </c>
      <c r="O760">
        <v>613.51861572265602</v>
      </c>
      <c r="P760">
        <v>0</v>
      </c>
      <c r="Q760">
        <v>0</v>
      </c>
      <c r="R760">
        <v>10.605505082314499</v>
      </c>
      <c r="S760">
        <v>32.438771049651898</v>
      </c>
      <c r="T760">
        <v>0</v>
      </c>
      <c r="U760">
        <v>0</v>
      </c>
      <c r="V760">
        <v>0</v>
      </c>
      <c r="W760">
        <v>0</v>
      </c>
    </row>
    <row r="761" spans="1:23" x14ac:dyDescent="0.55000000000000004">
      <c r="A761" t="s">
        <v>1530</v>
      </c>
      <c r="B761" t="s">
        <v>1531</v>
      </c>
      <c r="C761" t="s">
        <v>5</v>
      </c>
      <c r="D761">
        <v>9.8000000000000007</v>
      </c>
      <c r="E761">
        <f>690603072/(1000)</f>
        <v>690603.07200000004</v>
      </c>
      <c r="F761">
        <f>481167008/(1000)</f>
        <v>481167.00799999997</v>
      </c>
      <c r="G761">
        <f>6352000/(1000)</f>
        <v>6352</v>
      </c>
      <c r="H761">
        <f>904688064/(1000)</f>
        <v>904688.06400000001</v>
      </c>
      <c r="I761">
        <f>262359008/(1000)</f>
        <v>262359.00799999997</v>
      </c>
      <c r="J761">
        <f t="shared" si="12"/>
        <v>3.4482828354039214E-3</v>
      </c>
      <c r="K761">
        <f>-993507967/(1000)</f>
        <v>-993507.96699999995</v>
      </c>
      <c r="L761">
        <v>0</v>
      </c>
      <c r="M761">
        <v>0</v>
      </c>
      <c r="N761">
        <v>79.247814433982995</v>
      </c>
      <c r="O761">
        <v>215.065185546875</v>
      </c>
      <c r="P761">
        <v>0</v>
      </c>
      <c r="Q761">
        <v>1.58833064336383</v>
      </c>
      <c r="R761">
        <v>3.24503313218871</v>
      </c>
      <c r="S761">
        <v>999.35799670992503</v>
      </c>
      <c r="T761">
        <v>0</v>
      </c>
      <c r="U761">
        <v>0</v>
      </c>
      <c r="V761">
        <v>0</v>
      </c>
      <c r="W761">
        <v>0</v>
      </c>
    </row>
    <row r="762" spans="1:23" x14ac:dyDescent="0.55000000000000004">
      <c r="A762" t="s">
        <v>1532</v>
      </c>
      <c r="B762" t="s">
        <v>1533</v>
      </c>
      <c r="C762" t="s">
        <v>2</v>
      </c>
      <c r="D762">
        <v>27.7</v>
      </c>
      <c r="E762">
        <f>521336192/(1000)</f>
        <v>521336.19199999998</v>
      </c>
      <c r="F762">
        <f>478475008/(1000)</f>
        <v>478475.00799999997</v>
      </c>
      <c r="G762">
        <f>45873000/(1000)</f>
        <v>45873</v>
      </c>
      <c r="H762">
        <f>619444192/(1000)</f>
        <v>619444.19200000004</v>
      </c>
      <c r="I762">
        <f>57158000/(1000)</f>
        <v>57158</v>
      </c>
      <c r="J762">
        <f t="shared" si="12"/>
        <v>1.0837401448616116E-2</v>
      </c>
      <c r="K762">
        <f>-876997.875/(1000)</f>
        <v>-876.99787500000002</v>
      </c>
      <c r="L762">
        <v>28.0090732574463</v>
      </c>
      <c r="M762">
        <v>23.050764083862301</v>
      </c>
      <c r="N762">
        <v>93.191040083019899</v>
      </c>
      <c r="O762">
        <v>88.160186767578097</v>
      </c>
      <c r="P762">
        <v>0</v>
      </c>
      <c r="Q762">
        <v>0</v>
      </c>
      <c r="R762">
        <v>21.811024038529599</v>
      </c>
      <c r="S762">
        <v>420.78345596238398</v>
      </c>
      <c r="T762">
        <v>0</v>
      </c>
      <c r="U762">
        <v>0</v>
      </c>
      <c r="V762">
        <v>0</v>
      </c>
      <c r="W762">
        <v>0</v>
      </c>
    </row>
    <row r="763" spans="1:23" x14ac:dyDescent="0.55000000000000004">
      <c r="A763" t="s">
        <v>1534</v>
      </c>
      <c r="B763" t="s">
        <v>1535</v>
      </c>
      <c r="C763" t="s">
        <v>5</v>
      </c>
      <c r="D763">
        <v>14.19</v>
      </c>
      <c r="E763">
        <f>775551616/(1000)</f>
        <v>775551.61600000004</v>
      </c>
      <c r="F763">
        <f>477532992/(1000)</f>
        <v>477532.99200000003</v>
      </c>
      <c r="G763">
        <f>18493000/(1000)</f>
        <v>18493</v>
      </c>
      <c r="H763">
        <f>737026616/(1000)</f>
        <v>737026.61600000004</v>
      </c>
      <c r="I763">
        <f>54096000/(1000)</f>
        <v>54096</v>
      </c>
      <c r="J763">
        <f t="shared" si="12"/>
        <v>1.3624419846199351E-2</v>
      </c>
      <c r="K763">
        <f>53628001/(1000)</f>
        <v>53628.000999999997</v>
      </c>
      <c r="L763">
        <v>0</v>
      </c>
      <c r="M763">
        <v>18.339088439941399</v>
      </c>
      <c r="N763">
        <v>96.582184179882105</v>
      </c>
      <c r="O763">
        <v>0</v>
      </c>
      <c r="P763">
        <v>0</v>
      </c>
      <c r="Q763">
        <v>1.8776050010265499</v>
      </c>
      <c r="R763">
        <v>6.6619716955029</v>
      </c>
      <c r="S763">
        <v>118.98352440523099</v>
      </c>
      <c r="T763">
        <v>0</v>
      </c>
      <c r="U763">
        <v>0</v>
      </c>
      <c r="V763">
        <v>0</v>
      </c>
      <c r="W763">
        <v>0</v>
      </c>
    </row>
    <row r="764" spans="1:23" x14ac:dyDescent="0.55000000000000004">
      <c r="A764" t="s">
        <v>1536</v>
      </c>
      <c r="B764" t="s">
        <v>1537</v>
      </c>
      <c r="C764" t="s">
        <v>184</v>
      </c>
      <c r="D764">
        <v>18.95</v>
      </c>
      <c r="E764">
        <f>520171808/(1000)</f>
        <v>520171.80800000002</v>
      </c>
      <c r="F764">
        <f>477527008/(1000)</f>
        <v>477527.00799999997</v>
      </c>
      <c r="G764">
        <f>225004992/(1000)</f>
        <v>225004.992</v>
      </c>
      <c r="H764">
        <f>3041489696/(1000)</f>
        <v>3041489.696</v>
      </c>
      <c r="I764">
        <f>234618992/(1000)</f>
        <v>234618.992</v>
      </c>
      <c r="J764">
        <f t="shared" si="12"/>
        <v>1.2963527249320038E-2</v>
      </c>
      <c r="K764">
        <f>-206415007/(1000)</f>
        <v>-206415.00700000001</v>
      </c>
      <c r="L764">
        <v>17.3254909515381</v>
      </c>
      <c r="M764">
        <v>10.1459512710571</v>
      </c>
      <c r="N764">
        <v>90.268748073522005</v>
      </c>
      <c r="O764">
        <v>959.71496582031295</v>
      </c>
      <c r="P764">
        <v>0.36000001430511502</v>
      </c>
      <c r="Q764">
        <v>1.4886096971226199</v>
      </c>
      <c r="R764">
        <v>17.0720729977558</v>
      </c>
      <c r="S764">
        <v>84.173538850172903</v>
      </c>
      <c r="T764">
        <v>0</v>
      </c>
      <c r="U764">
        <v>0</v>
      </c>
      <c r="V764">
        <v>0</v>
      </c>
      <c r="W764">
        <v>0</v>
      </c>
    </row>
    <row r="765" spans="1:23" x14ac:dyDescent="0.55000000000000004">
      <c r="A765" t="s">
        <v>1538</v>
      </c>
      <c r="B765" t="s">
        <v>1539</v>
      </c>
      <c r="C765" t="s">
        <v>31</v>
      </c>
      <c r="D765">
        <v>14.88</v>
      </c>
      <c r="E765">
        <f>926297856/(1000)</f>
        <v>926297.85600000003</v>
      </c>
      <c r="F765">
        <f>476778016/(1000)</f>
        <v>476778.016</v>
      </c>
      <c r="G765">
        <f>104290000/(1000)</f>
        <v>104290</v>
      </c>
      <c r="H765">
        <f>828199856/(1000)</f>
        <v>828199.85600000003</v>
      </c>
      <c r="I765">
        <f>114985000/(1000)</f>
        <v>114985</v>
      </c>
      <c r="J765">
        <f t="shared" si="12"/>
        <v>7.2026773579162498E-3</v>
      </c>
      <c r="K765">
        <f>82342001/(1000)</f>
        <v>82342.001000000004</v>
      </c>
      <c r="L765">
        <v>25.123765945434599</v>
      </c>
      <c r="M765">
        <v>18.7466144561768</v>
      </c>
      <c r="N765">
        <v>88.3126727851391</v>
      </c>
      <c r="O765">
        <v>12.8160753250122</v>
      </c>
      <c r="P765">
        <v>0.36000001430511502</v>
      </c>
      <c r="Q765">
        <v>2.6607062237286598</v>
      </c>
      <c r="R765">
        <v>12.1967214171972</v>
      </c>
      <c r="S765">
        <v>37.906725586098197</v>
      </c>
      <c r="T765">
        <v>0</v>
      </c>
      <c r="U765">
        <v>0</v>
      </c>
      <c r="V765">
        <v>0</v>
      </c>
      <c r="W765">
        <v>0</v>
      </c>
    </row>
    <row r="766" spans="1:23" x14ac:dyDescent="0.55000000000000004">
      <c r="A766" t="s">
        <v>1540</v>
      </c>
      <c r="B766" t="s">
        <v>1541</v>
      </c>
      <c r="C766" t="s">
        <v>31</v>
      </c>
      <c r="D766">
        <v>3.44</v>
      </c>
      <c r="E766">
        <f>501590176/(1000)</f>
        <v>501590.17599999998</v>
      </c>
      <c r="F766">
        <f>475776000/(1000)</f>
        <v>475776</v>
      </c>
      <c r="G766">
        <f>23946000/(1000)</f>
        <v>23946</v>
      </c>
      <c r="H766">
        <f>434424176/(1000)</f>
        <v>434424.17599999998</v>
      </c>
      <c r="I766">
        <f>53615000/(1000)</f>
        <v>53615</v>
      </c>
      <c r="J766">
        <f t="shared" si="12"/>
        <v>8.102661120954955E-3</v>
      </c>
      <c r="K766">
        <f>46725001/(1000)</f>
        <v>46725.000999999997</v>
      </c>
      <c r="L766">
        <v>0</v>
      </c>
      <c r="M766">
        <v>4.7631311416626003</v>
      </c>
      <c r="N766">
        <v>98.779450783999295</v>
      </c>
      <c r="O766">
        <v>0</v>
      </c>
      <c r="P766">
        <v>0</v>
      </c>
      <c r="Q766">
        <v>0</v>
      </c>
      <c r="R766">
        <v>12.2857143560386</v>
      </c>
      <c r="S766">
        <v>77.984615128620405</v>
      </c>
      <c r="T766">
        <v>0</v>
      </c>
      <c r="U766">
        <v>0</v>
      </c>
      <c r="V766">
        <v>0</v>
      </c>
      <c r="W766">
        <v>0</v>
      </c>
    </row>
    <row r="767" spans="1:23" x14ac:dyDescent="0.55000000000000004">
      <c r="A767" t="s">
        <v>1542</v>
      </c>
      <c r="B767" t="s">
        <v>1543</v>
      </c>
      <c r="C767" t="s">
        <v>2</v>
      </c>
      <c r="D767">
        <v>31.79</v>
      </c>
      <c r="E767">
        <f>389459296/(1000)</f>
        <v>389459.29599999997</v>
      </c>
      <c r="F767">
        <f>475087008/(1000)</f>
        <v>475087.00799999997</v>
      </c>
      <c r="G767">
        <f>62239000/(1000)</f>
        <v>62239</v>
      </c>
      <c r="H767">
        <f>391414296/(1000)</f>
        <v>391414.29599999997</v>
      </c>
      <c r="I767">
        <f>71492000/(1000)</f>
        <v>71492</v>
      </c>
      <c r="J767">
        <f t="shared" si="12"/>
        <v>5.474938398701952E-3</v>
      </c>
      <c r="K767">
        <f>16420001/(1000)</f>
        <v>16420.001</v>
      </c>
      <c r="L767">
        <v>33.401359558105497</v>
      </c>
      <c r="M767">
        <v>23.390684127807599</v>
      </c>
      <c r="N767">
        <v>91.324786798800105</v>
      </c>
      <c r="O767">
        <v>16.230646133422901</v>
      </c>
      <c r="P767">
        <v>0.30000001192092901</v>
      </c>
      <c r="Q767">
        <v>0</v>
      </c>
      <c r="R767">
        <v>9.6042302228225207</v>
      </c>
      <c r="S767">
        <v>190.79719416798301</v>
      </c>
      <c r="T767">
        <v>0</v>
      </c>
      <c r="U767">
        <v>0</v>
      </c>
      <c r="V767">
        <v>0</v>
      </c>
      <c r="W767">
        <v>0</v>
      </c>
    </row>
    <row r="768" spans="1:23" x14ac:dyDescent="0.55000000000000004">
      <c r="A768" t="s">
        <v>1544</v>
      </c>
      <c r="B768" t="s">
        <v>1545</v>
      </c>
      <c r="C768" t="s">
        <v>20</v>
      </c>
      <c r="D768">
        <v>4.8600000000000003</v>
      </c>
      <c r="E768">
        <f>94062384/(1000)</f>
        <v>94062.384000000005</v>
      </c>
      <c r="F768">
        <f>474360992/(1000)</f>
        <v>474360.99200000003</v>
      </c>
      <c r="G768">
        <f>33492000/(1000)</f>
        <v>33492</v>
      </c>
      <c r="H768">
        <f>66739384/(1000)</f>
        <v>66739.384000000005</v>
      </c>
      <c r="I768">
        <f>59784000/(1000)</f>
        <v>59784</v>
      </c>
      <c r="J768">
        <f t="shared" si="12"/>
        <v>1.1163418974976583E-3</v>
      </c>
      <c r="K768">
        <f>24273001/(1000)</f>
        <v>24273.001</v>
      </c>
      <c r="L768">
        <v>0</v>
      </c>
      <c r="M768">
        <v>11.364341735839799</v>
      </c>
      <c r="N768">
        <v>73.480446480238996</v>
      </c>
      <c r="O768">
        <v>0</v>
      </c>
      <c r="P768">
        <v>0</v>
      </c>
      <c r="Q768">
        <v>0.38127515546296797</v>
      </c>
      <c r="R768">
        <v>7.7142858477541596</v>
      </c>
      <c r="S768">
        <v>180.457964502359</v>
      </c>
      <c r="T768">
        <v>0</v>
      </c>
      <c r="U768">
        <v>0</v>
      </c>
      <c r="V768">
        <v>0</v>
      </c>
      <c r="W768">
        <v>0</v>
      </c>
    </row>
    <row r="769" spans="1:23" x14ac:dyDescent="0.55000000000000004">
      <c r="A769" t="s">
        <v>1546</v>
      </c>
      <c r="B769" t="s">
        <v>1547</v>
      </c>
      <c r="C769" t="s">
        <v>184</v>
      </c>
      <c r="D769">
        <v>7.4</v>
      </c>
      <c r="E769">
        <f>144283712/(1000)</f>
        <v>144283.712</v>
      </c>
      <c r="F769">
        <f>473476992/(1000)</f>
        <v>473476.99200000003</v>
      </c>
      <c r="G769">
        <f>173092992/(1000)</f>
        <v>173092.992</v>
      </c>
      <c r="H769">
        <f>954442688/(1000)</f>
        <v>954442.68799999997</v>
      </c>
      <c r="I769">
        <f>209356992/(1000)</f>
        <v>209356.992</v>
      </c>
      <c r="J769">
        <f t="shared" si="12"/>
        <v>4.5589243467922961E-3</v>
      </c>
      <c r="K769">
        <f>203436993/(1000)</f>
        <v>203436.99299999999</v>
      </c>
      <c r="L769">
        <v>0</v>
      </c>
      <c r="M769">
        <v>12.9554491043091</v>
      </c>
      <c r="N769">
        <v>99.142464291688597</v>
      </c>
      <c r="O769">
        <v>85.349342346191406</v>
      </c>
      <c r="P769">
        <v>0.21999999880790699</v>
      </c>
      <c r="Q769">
        <v>0</v>
      </c>
      <c r="R769">
        <v>8.9156628247268799</v>
      </c>
      <c r="S769">
        <v>439.02207650273198</v>
      </c>
      <c r="T769">
        <v>0</v>
      </c>
      <c r="U769">
        <v>0</v>
      </c>
      <c r="V769">
        <v>0</v>
      </c>
      <c r="W769">
        <v>0</v>
      </c>
    </row>
    <row r="770" spans="1:23" x14ac:dyDescent="0.55000000000000004">
      <c r="A770" t="s">
        <v>1548</v>
      </c>
      <c r="B770" t="s">
        <v>1549</v>
      </c>
      <c r="C770" t="s">
        <v>184</v>
      </c>
      <c r="D770">
        <v>71.75</v>
      </c>
      <c r="E770">
        <f>1001952896/(1000)</f>
        <v>1001952.8959999999</v>
      </c>
      <c r="F770">
        <f>473464000/(1000)</f>
        <v>473464</v>
      </c>
      <c r="G770">
        <f>0/(1000)</f>
        <v>0</v>
      </c>
      <c r="H770">
        <f>0/(1000)</f>
        <v>0</v>
      </c>
      <c r="I770">
        <f>0/(1000)</f>
        <v>0</v>
      </c>
      <c r="J770">
        <f t="shared" ref="J770:J833" si="13">(IF(I770=0,1000,H770/I770))/(1000)</f>
        <v>1</v>
      </c>
      <c r="K770">
        <f>65707001/(1000)</f>
        <v>65707.001000000004</v>
      </c>
      <c r="L770">
        <v>16.2978000640869</v>
      </c>
      <c r="M770">
        <v>3.9474949836731001</v>
      </c>
      <c r="N770">
        <v>74.245405727304302</v>
      </c>
      <c r="O770">
        <v>239.60314941406301</v>
      </c>
      <c r="P770">
        <v>3.7999999523162802</v>
      </c>
      <c r="Q770">
        <v>1.8911439798917</v>
      </c>
      <c r="R770">
        <v>14.613034545164499</v>
      </c>
      <c r="S770">
        <v>39.759725584188701</v>
      </c>
      <c r="T770">
        <v>0</v>
      </c>
      <c r="U770">
        <v>0</v>
      </c>
      <c r="V770">
        <v>0</v>
      </c>
      <c r="W770">
        <v>0</v>
      </c>
    </row>
    <row r="771" spans="1:23" x14ac:dyDescent="0.55000000000000004">
      <c r="A771" t="s">
        <v>1550</v>
      </c>
      <c r="B771" t="s">
        <v>1551</v>
      </c>
      <c r="C771" t="s">
        <v>20</v>
      </c>
      <c r="D771">
        <v>3.19</v>
      </c>
      <c r="E771">
        <f>84374224/(1000)</f>
        <v>84374.224000000002</v>
      </c>
      <c r="F771">
        <f>472915008/(1000)</f>
        <v>472915.00799999997</v>
      </c>
      <c r="G771">
        <f>57842000/(1000)</f>
        <v>57842</v>
      </c>
      <c r="H771">
        <f>389627216/(1000)</f>
        <v>389627.21600000001</v>
      </c>
      <c r="I771">
        <f>103806000/(1000)</f>
        <v>103806</v>
      </c>
      <c r="J771">
        <f t="shared" si="13"/>
        <v>3.7534171049842979E-3</v>
      </c>
      <c r="K771">
        <f>-10327999/(1000)</f>
        <v>-10327.999</v>
      </c>
      <c r="L771">
        <v>0</v>
      </c>
      <c r="M771">
        <v>0</v>
      </c>
      <c r="N771">
        <v>90.095501640993604</v>
      </c>
      <c r="O771">
        <v>172689.625</v>
      </c>
      <c r="P771">
        <v>0</v>
      </c>
      <c r="Q771">
        <v>3.2440689821967901</v>
      </c>
      <c r="R771">
        <v>3.93827173643915</v>
      </c>
      <c r="S771">
        <v>0</v>
      </c>
      <c r="T771">
        <v>0</v>
      </c>
      <c r="U771">
        <v>0</v>
      </c>
      <c r="V771">
        <v>0</v>
      </c>
      <c r="W771">
        <v>0</v>
      </c>
    </row>
    <row r="772" spans="1:23" x14ac:dyDescent="0.55000000000000004">
      <c r="A772" t="s">
        <v>1552</v>
      </c>
      <c r="B772" t="s">
        <v>1553</v>
      </c>
      <c r="C772" t="s">
        <v>8</v>
      </c>
      <c r="D772">
        <v>14.41</v>
      </c>
      <c r="E772">
        <f>205745984/(1000)</f>
        <v>205745.984</v>
      </c>
      <c r="F772">
        <f>472739008/(1000)</f>
        <v>472739.00799999997</v>
      </c>
      <c r="G772">
        <f>46479000/(1000)</f>
        <v>46479</v>
      </c>
      <c r="H772">
        <f>200186984/(1000)</f>
        <v>200186.984</v>
      </c>
      <c r="I772">
        <f>60600000/(1000)</f>
        <v>60600</v>
      </c>
      <c r="J772">
        <f t="shared" si="13"/>
        <v>3.3034155775577556E-3</v>
      </c>
      <c r="K772">
        <f>17943001/(1000)</f>
        <v>17943.001</v>
      </c>
      <c r="L772">
        <v>19.4971408843994</v>
      </c>
      <c r="M772">
        <v>14.5074462890625</v>
      </c>
      <c r="N772">
        <v>76.586357287359604</v>
      </c>
      <c r="O772">
        <v>0</v>
      </c>
      <c r="P772">
        <v>0.40000000596046398</v>
      </c>
      <c r="Q772">
        <v>0</v>
      </c>
      <c r="R772">
        <v>5.5637065291198597</v>
      </c>
      <c r="S772">
        <v>230.774061907846</v>
      </c>
      <c r="T772">
        <v>0</v>
      </c>
      <c r="U772">
        <v>0</v>
      </c>
      <c r="V772">
        <v>0</v>
      </c>
      <c r="W772">
        <v>0</v>
      </c>
    </row>
    <row r="773" spans="1:23" x14ac:dyDescent="0.55000000000000004">
      <c r="A773" t="s">
        <v>1554</v>
      </c>
      <c r="B773" t="s">
        <v>1555</v>
      </c>
      <c r="C773" t="s">
        <v>17</v>
      </c>
      <c r="D773">
        <v>5.4</v>
      </c>
      <c r="E773">
        <f>198703808/(1000)</f>
        <v>198703.80799999999</v>
      </c>
      <c r="F773">
        <f>471336000/(1000)</f>
        <v>471336</v>
      </c>
      <c r="G773">
        <f>81153000/(1000)</f>
        <v>81153</v>
      </c>
      <c r="H773">
        <f>536804800/(1000)</f>
        <v>536804.80000000005</v>
      </c>
      <c r="I773">
        <f>94451000/(1000)</f>
        <v>94451</v>
      </c>
      <c r="J773">
        <f t="shared" si="13"/>
        <v>5.6834210331282893E-3</v>
      </c>
      <c r="K773">
        <f>19819001/(1000)</f>
        <v>19819.001</v>
      </c>
      <c r="L773">
        <v>0</v>
      </c>
      <c r="M773">
        <v>14.253045082092299</v>
      </c>
      <c r="N773">
        <v>98.425684509397698</v>
      </c>
      <c r="O773">
        <v>306.81134033203102</v>
      </c>
      <c r="P773">
        <v>0.68000000715255704</v>
      </c>
      <c r="Q773">
        <v>0</v>
      </c>
      <c r="R773">
        <v>12.000000132454799</v>
      </c>
      <c r="S773">
        <v>60.494697521282198</v>
      </c>
      <c r="T773">
        <v>0</v>
      </c>
      <c r="U773">
        <v>0</v>
      </c>
      <c r="V773">
        <v>0</v>
      </c>
      <c r="W773">
        <v>0</v>
      </c>
    </row>
    <row r="774" spans="1:23" x14ac:dyDescent="0.55000000000000004">
      <c r="A774" t="s">
        <v>1556</v>
      </c>
      <c r="B774" t="s">
        <v>1557</v>
      </c>
      <c r="C774" t="s">
        <v>5</v>
      </c>
      <c r="D774">
        <v>0.91</v>
      </c>
      <c r="E774">
        <f>17763108/(1000)</f>
        <v>17763.108</v>
      </c>
      <c r="F774">
        <f>470256992/(1000)</f>
        <v>470256.99200000003</v>
      </c>
      <c r="G774">
        <f>31887000/(1000)</f>
        <v>31887</v>
      </c>
      <c r="H774">
        <f>108849108/(1000)</f>
        <v>108849.10799999999</v>
      </c>
      <c r="I774">
        <f>47364000/(1000)</f>
        <v>47364</v>
      </c>
      <c r="J774">
        <f t="shared" si="13"/>
        <v>2.2981401064099318E-3</v>
      </c>
      <c r="K774">
        <f>28724001/(1000)</f>
        <v>28724.001</v>
      </c>
      <c r="L774">
        <v>23.485176086425799</v>
      </c>
      <c r="M774">
        <v>4.7364268302917498</v>
      </c>
      <c r="N774">
        <v>95.967707858346202</v>
      </c>
      <c r="O774">
        <v>52.734001159667997</v>
      </c>
      <c r="P774">
        <v>0</v>
      </c>
      <c r="Q774">
        <v>9.6705636661228001E-2</v>
      </c>
      <c r="R774">
        <v>0</v>
      </c>
      <c r="S774">
        <v>626.37785149075398</v>
      </c>
      <c r="T774">
        <v>0</v>
      </c>
      <c r="U774">
        <v>0</v>
      </c>
      <c r="V774">
        <v>0</v>
      </c>
      <c r="W774">
        <v>0</v>
      </c>
    </row>
    <row r="775" spans="1:23" x14ac:dyDescent="0.55000000000000004">
      <c r="A775" t="s">
        <v>1558</v>
      </c>
      <c r="B775" t="s">
        <v>1559</v>
      </c>
      <c r="C775" t="s">
        <v>81</v>
      </c>
      <c r="D775">
        <v>1.23</v>
      </c>
      <c r="E775">
        <f>46561404/(1000)</f>
        <v>46561.404000000002</v>
      </c>
      <c r="F775">
        <f>468351008/(1000)</f>
        <v>468351.00799999997</v>
      </c>
      <c r="G775">
        <f>139291008/(1000)</f>
        <v>139291.008</v>
      </c>
      <c r="H775">
        <f>919777404/(1000)</f>
        <v>919777.40399999998</v>
      </c>
      <c r="I775">
        <f>155943008/(1000)</f>
        <v>155943.008</v>
      </c>
      <c r="J775">
        <f t="shared" si="13"/>
        <v>5.8981637958400801E-3</v>
      </c>
      <c r="K775">
        <f>84211001/(1000)</f>
        <v>84211.001000000004</v>
      </c>
      <c r="L775">
        <v>22.500371932983398</v>
      </c>
      <c r="M775">
        <v>-1.1624230146408101</v>
      </c>
      <c r="N775">
        <v>83.374498468284202</v>
      </c>
      <c r="O775">
        <v>147.36177062988301</v>
      </c>
      <c r="P775">
        <v>0</v>
      </c>
      <c r="Q775">
        <v>8.1295440169858998E-2</v>
      </c>
      <c r="R775">
        <v>1.53750002240995</v>
      </c>
      <c r="S775">
        <v>19.694399171853</v>
      </c>
      <c r="T775">
        <v>0</v>
      </c>
      <c r="U775">
        <v>0</v>
      </c>
      <c r="V775">
        <v>0</v>
      </c>
      <c r="W775">
        <v>0</v>
      </c>
    </row>
    <row r="776" spans="1:23" x14ac:dyDescent="0.55000000000000004">
      <c r="A776" t="s">
        <v>1560</v>
      </c>
      <c r="B776" t="s">
        <v>1561</v>
      </c>
      <c r="C776" t="s">
        <v>401</v>
      </c>
      <c r="D776">
        <v>7.45</v>
      </c>
      <c r="E776">
        <f>293620160/(1000)</f>
        <v>293620.15999999997</v>
      </c>
      <c r="F776">
        <f>466572000/(1000)</f>
        <v>466572</v>
      </c>
      <c r="G776">
        <f>111023000/(1000)</f>
        <v>111023</v>
      </c>
      <c r="H776">
        <f>2850758080/(1000)</f>
        <v>2850758.08</v>
      </c>
      <c r="I776">
        <f>240392000/(1000)</f>
        <v>240392</v>
      </c>
      <c r="J776">
        <f t="shared" si="13"/>
        <v>1.1858789310792373E-2</v>
      </c>
      <c r="K776">
        <f>-109400999/(1000)</f>
        <v>-109400.999</v>
      </c>
      <c r="L776">
        <v>48.8388862609863</v>
      </c>
      <c r="M776">
        <v>3.38693499565125</v>
      </c>
      <c r="N776">
        <v>91.880915749533003</v>
      </c>
      <c r="O776">
        <v>279.80218505859398</v>
      </c>
      <c r="P776">
        <v>2.2799999713897701</v>
      </c>
      <c r="Q776">
        <v>0.68348624495361898</v>
      </c>
      <c r="R776">
        <v>0</v>
      </c>
      <c r="S776">
        <v>269.37765708992703</v>
      </c>
      <c r="T776">
        <v>0</v>
      </c>
      <c r="U776">
        <v>0</v>
      </c>
      <c r="V776">
        <v>0</v>
      </c>
      <c r="W776">
        <v>0</v>
      </c>
    </row>
    <row r="777" spans="1:23" x14ac:dyDescent="0.55000000000000004">
      <c r="A777" t="s">
        <v>1562</v>
      </c>
      <c r="B777" t="s">
        <v>1563</v>
      </c>
      <c r="C777" t="s">
        <v>5</v>
      </c>
      <c r="D777">
        <v>19.2</v>
      </c>
      <c r="E777">
        <f>847916160/(1000)</f>
        <v>847916.16</v>
      </c>
      <c r="F777">
        <f>465696992/(1000)</f>
        <v>465696.99200000003</v>
      </c>
      <c r="G777">
        <f>0/(1000)</f>
        <v>0</v>
      </c>
      <c r="H777">
        <f>870009160/(1000)</f>
        <v>870009.16</v>
      </c>
      <c r="I777">
        <f>0/(1000)</f>
        <v>0</v>
      </c>
      <c r="J777">
        <f t="shared" si="13"/>
        <v>1</v>
      </c>
      <c r="K777">
        <f>123367993/(1000)</f>
        <v>123367.993</v>
      </c>
      <c r="L777">
        <v>0</v>
      </c>
      <c r="M777">
        <v>14.996024131774901</v>
      </c>
      <c r="N777">
        <v>99.958335254691207</v>
      </c>
      <c r="O777">
        <v>4.61146783828735</v>
      </c>
      <c r="P777">
        <v>0</v>
      </c>
      <c r="Q777">
        <v>1.1381149856428801</v>
      </c>
      <c r="R777">
        <v>8.24034373410516</v>
      </c>
      <c r="S777">
        <v>47.233149716359499</v>
      </c>
      <c r="T777">
        <v>0</v>
      </c>
      <c r="U777">
        <v>0</v>
      </c>
      <c r="V777">
        <v>0</v>
      </c>
      <c r="W777">
        <v>0</v>
      </c>
    </row>
    <row r="778" spans="1:23" x14ac:dyDescent="0.55000000000000004">
      <c r="A778" t="s">
        <v>1564</v>
      </c>
      <c r="B778" t="s">
        <v>1565</v>
      </c>
      <c r="C778" t="s">
        <v>5</v>
      </c>
      <c r="D778">
        <v>13.9</v>
      </c>
      <c r="E778">
        <f>788373248/(1000)</f>
        <v>788373.24800000002</v>
      </c>
      <c r="F778">
        <f>464651008/(1000)</f>
        <v>464651.00799999997</v>
      </c>
      <c r="G778">
        <f>101790000/(1000)</f>
        <v>101790</v>
      </c>
      <c r="H778">
        <f>650554240/(1000)</f>
        <v>650554.24</v>
      </c>
      <c r="I778">
        <f>122969000/(1000)</f>
        <v>122969</v>
      </c>
      <c r="J778">
        <f t="shared" si="13"/>
        <v>5.290392212671486E-3</v>
      </c>
      <c r="K778">
        <f>148924001/(1000)</f>
        <v>148924.00099999999</v>
      </c>
      <c r="L778">
        <v>27.806291580200199</v>
      </c>
      <c r="M778">
        <v>13.265588760376</v>
      </c>
      <c r="N778">
        <v>97.144622357909697</v>
      </c>
      <c r="O778">
        <v>72.843696594238295</v>
      </c>
      <c r="P778">
        <v>0.15999999642372101</v>
      </c>
      <c r="Q778">
        <v>1.3194114684249201</v>
      </c>
      <c r="R778">
        <v>9.3288587446733793</v>
      </c>
      <c r="S778">
        <v>118.343847022181</v>
      </c>
      <c r="T778">
        <v>0</v>
      </c>
      <c r="U778">
        <v>0</v>
      </c>
      <c r="V778">
        <v>0</v>
      </c>
      <c r="W778">
        <v>0</v>
      </c>
    </row>
    <row r="779" spans="1:23" x14ac:dyDescent="0.55000000000000004">
      <c r="A779" t="s">
        <v>1566</v>
      </c>
      <c r="B779" t="s">
        <v>1567</v>
      </c>
      <c r="C779" t="s">
        <v>20</v>
      </c>
      <c r="D779">
        <v>0.52</v>
      </c>
      <c r="E779">
        <f>21540636/(1000)</f>
        <v>21540.635999999999</v>
      </c>
      <c r="F779">
        <f>464128000/(1000)</f>
        <v>464128</v>
      </c>
      <c r="G779">
        <f>10510000/(1000)</f>
        <v>10510</v>
      </c>
      <c r="H779">
        <f>87233636/(1000)</f>
        <v>87233.635999999999</v>
      </c>
      <c r="I779">
        <f>27918000/(1000)</f>
        <v>27918</v>
      </c>
      <c r="J779">
        <f t="shared" si="13"/>
        <v>3.1246377247653844E-3</v>
      </c>
      <c r="K779">
        <f>-9638999/(1000)</f>
        <v>-9638.9989999999998</v>
      </c>
      <c r="L779">
        <v>65.458747863769503</v>
      </c>
      <c r="M779">
        <v>0.207007005810738</v>
      </c>
      <c r="N779">
        <v>87.8032917695447</v>
      </c>
      <c r="O779">
        <v>32.0444526672363</v>
      </c>
      <c r="P779">
        <v>0</v>
      </c>
      <c r="Q779">
        <v>0</v>
      </c>
      <c r="R779">
        <v>4.3333328676720804</v>
      </c>
      <c r="S779">
        <v>30.166078418421101</v>
      </c>
      <c r="T779">
        <v>0</v>
      </c>
      <c r="U779">
        <v>0</v>
      </c>
      <c r="V779">
        <v>0</v>
      </c>
      <c r="W779">
        <v>0</v>
      </c>
    </row>
    <row r="780" spans="1:23" x14ac:dyDescent="0.55000000000000004">
      <c r="A780" t="s">
        <v>1568</v>
      </c>
      <c r="B780" t="s">
        <v>1569</v>
      </c>
      <c r="C780" t="s">
        <v>184</v>
      </c>
      <c r="D780">
        <v>45.46</v>
      </c>
      <c r="E780">
        <f>1442932224/(1000)</f>
        <v>1442932.2239999999</v>
      </c>
      <c r="F780">
        <f>463993984/(1000)</f>
        <v>463993.984</v>
      </c>
      <c r="G780">
        <f>0/(1000)</f>
        <v>0</v>
      </c>
      <c r="H780">
        <f>0/(1000)</f>
        <v>0</v>
      </c>
      <c r="I780">
        <f>0/(1000)</f>
        <v>0</v>
      </c>
      <c r="J780">
        <f t="shared" si="13"/>
        <v>1</v>
      </c>
      <c r="K780">
        <f>-16043999/(1000)</f>
        <v>-16043.999</v>
      </c>
      <c r="L780">
        <v>17.697402954101602</v>
      </c>
      <c r="M780">
        <v>13.2827968597412</v>
      </c>
      <c r="N780">
        <v>82.828986733462898</v>
      </c>
      <c r="O780">
        <v>67.936813354492202</v>
      </c>
      <c r="P780">
        <v>0.95999997854232799</v>
      </c>
      <c r="Q780">
        <v>2.3687322711299901</v>
      </c>
      <c r="R780">
        <v>19.020919758507901</v>
      </c>
      <c r="S780">
        <v>53.450349384518603</v>
      </c>
      <c r="T780">
        <v>0</v>
      </c>
      <c r="U780">
        <v>0</v>
      </c>
      <c r="V780">
        <v>0</v>
      </c>
      <c r="W780">
        <v>0</v>
      </c>
    </row>
    <row r="781" spans="1:23" x14ac:dyDescent="0.55000000000000004">
      <c r="A781" t="s">
        <v>1570</v>
      </c>
      <c r="B781" t="s">
        <v>1571</v>
      </c>
      <c r="C781" t="s">
        <v>5</v>
      </c>
      <c r="D781">
        <v>8.99</v>
      </c>
      <c r="E781">
        <f>658884288/(1000)</f>
        <v>658884.28799999994</v>
      </c>
      <c r="F781">
        <f>463928000/(1000)</f>
        <v>463928</v>
      </c>
      <c r="G781">
        <f>83089000/(1000)</f>
        <v>83089</v>
      </c>
      <c r="H781">
        <f>1214689280/(1000)</f>
        <v>1214689.28</v>
      </c>
      <c r="I781">
        <f>109940000/(1000)</f>
        <v>109940</v>
      </c>
      <c r="J781">
        <f t="shared" si="13"/>
        <v>1.1048656358013461E-2</v>
      </c>
      <c r="K781">
        <f>32887003/(1000)</f>
        <v>32887.002999999997</v>
      </c>
      <c r="L781">
        <v>31.539901733398398</v>
      </c>
      <c r="M781">
        <v>4.2340059280395499</v>
      </c>
      <c r="N781">
        <v>98.914731480313307</v>
      </c>
      <c r="O781">
        <v>203.00253295898401</v>
      </c>
      <c r="P781">
        <v>0</v>
      </c>
      <c r="Q781">
        <v>1.76794487781247</v>
      </c>
      <c r="R781">
        <v>14.4999995193174</v>
      </c>
      <c r="S781">
        <v>227.52174404156801</v>
      </c>
      <c r="T781">
        <v>0</v>
      </c>
      <c r="U781">
        <v>0</v>
      </c>
      <c r="V781">
        <v>0</v>
      </c>
      <c r="W781">
        <v>0</v>
      </c>
    </row>
    <row r="782" spans="1:23" x14ac:dyDescent="0.55000000000000004">
      <c r="A782" t="s">
        <v>1572</v>
      </c>
      <c r="B782" t="s">
        <v>1573</v>
      </c>
      <c r="C782" t="s">
        <v>31</v>
      </c>
      <c r="D782">
        <v>14.6</v>
      </c>
      <c r="E782">
        <f>716309632/(1000)</f>
        <v>716309.63199999998</v>
      </c>
      <c r="F782">
        <f>462191008/(1000)</f>
        <v>462191.00799999997</v>
      </c>
      <c r="G782">
        <f>93204000/(1000)</f>
        <v>93204</v>
      </c>
      <c r="H782">
        <f>180856608/(1000)</f>
        <v>180856.60800000001</v>
      </c>
      <c r="I782">
        <f>120008000/(1000)</f>
        <v>120008</v>
      </c>
      <c r="J782">
        <f t="shared" si="13"/>
        <v>1.5070379308046132E-3</v>
      </c>
      <c r="K782">
        <f>36146005/(1000)</f>
        <v>36146.004999999997</v>
      </c>
      <c r="L782">
        <v>45.342082977294901</v>
      </c>
      <c r="M782">
        <v>10.6055603027344</v>
      </c>
      <c r="N782">
        <v>93.777500170277094</v>
      </c>
      <c r="O782">
        <v>0</v>
      </c>
      <c r="P782">
        <v>0</v>
      </c>
      <c r="Q782">
        <v>0</v>
      </c>
      <c r="R782">
        <v>0</v>
      </c>
      <c r="S782">
        <v>487.401514920441</v>
      </c>
      <c r="T782">
        <v>0</v>
      </c>
      <c r="U782">
        <v>0</v>
      </c>
      <c r="V782">
        <v>0</v>
      </c>
      <c r="W782">
        <v>0</v>
      </c>
    </row>
    <row r="783" spans="1:23" x14ac:dyDescent="0.55000000000000004">
      <c r="A783" t="s">
        <v>1574</v>
      </c>
      <c r="B783" t="s">
        <v>1575</v>
      </c>
      <c r="C783" t="s">
        <v>8</v>
      </c>
      <c r="D783">
        <v>0.44</v>
      </c>
      <c r="E783">
        <f>25413256/(1000)</f>
        <v>25413.256000000001</v>
      </c>
      <c r="F783">
        <f>461512992/(1000)</f>
        <v>461512.99200000003</v>
      </c>
      <c r="G783">
        <f>2077000/(1000)</f>
        <v>2077</v>
      </c>
      <c r="H783">
        <f>334364264/(1000)</f>
        <v>334364.26400000002</v>
      </c>
      <c r="I783">
        <f>19590000/(1000)</f>
        <v>19590</v>
      </c>
      <c r="J783">
        <f t="shared" si="13"/>
        <v>1.706810944359367E-2</v>
      </c>
      <c r="K783">
        <f>-193763999/(1000)</f>
        <v>-193763.99900000001</v>
      </c>
      <c r="L783">
        <v>0</v>
      </c>
      <c r="M783">
        <v>-6.4058299064636204</v>
      </c>
      <c r="N783">
        <v>85.127792392929393</v>
      </c>
      <c r="O783">
        <v>44.476806640625</v>
      </c>
      <c r="P783">
        <v>0</v>
      </c>
      <c r="Q783">
        <v>7.746479065379E-2</v>
      </c>
      <c r="R783">
        <v>0</v>
      </c>
      <c r="S783">
        <v>15841.7268393782</v>
      </c>
      <c r="T783">
        <v>0</v>
      </c>
      <c r="U783">
        <v>0</v>
      </c>
      <c r="V783">
        <v>0</v>
      </c>
      <c r="W783">
        <v>0</v>
      </c>
    </row>
    <row r="784" spans="1:23" x14ac:dyDescent="0.55000000000000004">
      <c r="A784" t="s">
        <v>1576</v>
      </c>
      <c r="B784" t="s">
        <v>1577</v>
      </c>
      <c r="C784" t="s">
        <v>31</v>
      </c>
      <c r="D784">
        <v>26.64</v>
      </c>
      <c r="E784">
        <f>450953920/(1000)</f>
        <v>450953.92</v>
      </c>
      <c r="F784">
        <f>460515008/(1000)</f>
        <v>460515.00799999997</v>
      </c>
      <c r="G784">
        <f>61761000/(1000)</f>
        <v>61761</v>
      </c>
      <c r="H784">
        <f>363500920/(1000)</f>
        <v>363500.92</v>
      </c>
      <c r="I784">
        <f>70968000/(1000)</f>
        <v>70968</v>
      </c>
      <c r="J784">
        <f t="shared" si="13"/>
        <v>5.1220397925825717E-3</v>
      </c>
      <c r="K784">
        <f>20422001/(1000)</f>
        <v>20422.001</v>
      </c>
      <c r="L784">
        <v>17.690940856933601</v>
      </c>
      <c r="M784">
        <v>24.929367065429702</v>
      </c>
      <c r="N784">
        <v>97.617514241706203</v>
      </c>
      <c r="O784">
        <v>13.001727104186999</v>
      </c>
      <c r="P784">
        <v>0.60000002384185802</v>
      </c>
      <c r="Q784">
        <v>1.8385093036887401</v>
      </c>
      <c r="R784">
        <v>9.7941174269573299</v>
      </c>
      <c r="S784">
        <v>35.410938132632197</v>
      </c>
      <c r="T784">
        <v>0</v>
      </c>
      <c r="U784">
        <v>0</v>
      </c>
      <c r="V784">
        <v>0</v>
      </c>
      <c r="W784">
        <v>0</v>
      </c>
    </row>
    <row r="785" spans="1:23" x14ac:dyDescent="0.55000000000000004">
      <c r="A785" t="s">
        <v>1578</v>
      </c>
      <c r="B785" t="s">
        <v>1579</v>
      </c>
      <c r="C785" t="s">
        <v>184</v>
      </c>
      <c r="D785">
        <v>15.21</v>
      </c>
      <c r="E785">
        <f>657225600/(1000)</f>
        <v>657225.6</v>
      </c>
      <c r="F785">
        <f>457403008/(1000)</f>
        <v>457403.00799999997</v>
      </c>
      <c r="G785">
        <f>74619000/(1000)</f>
        <v>74619</v>
      </c>
      <c r="H785">
        <f>629781600/(1000)</f>
        <v>629781.6</v>
      </c>
      <c r="I785">
        <f>86973000/(1000)</f>
        <v>86973</v>
      </c>
      <c r="J785">
        <f t="shared" si="13"/>
        <v>7.2411162084784928E-3</v>
      </c>
      <c r="K785">
        <f>44185001/(1000)</f>
        <v>44185.000999999997</v>
      </c>
      <c r="L785">
        <v>15.4866943359375</v>
      </c>
      <c r="M785">
        <v>21.444450378418001</v>
      </c>
      <c r="N785">
        <v>92.247747176699804</v>
      </c>
      <c r="O785">
        <v>0</v>
      </c>
      <c r="P785">
        <v>0</v>
      </c>
      <c r="Q785">
        <v>0</v>
      </c>
      <c r="R785">
        <v>13.342105115247</v>
      </c>
      <c r="S785">
        <v>121.664764904691</v>
      </c>
      <c r="T785">
        <v>0</v>
      </c>
      <c r="U785">
        <v>0</v>
      </c>
      <c r="V785">
        <v>0</v>
      </c>
      <c r="W785">
        <v>0</v>
      </c>
    </row>
    <row r="786" spans="1:23" x14ac:dyDescent="0.55000000000000004">
      <c r="A786" t="s">
        <v>1580</v>
      </c>
      <c r="B786" t="s">
        <v>1581</v>
      </c>
      <c r="C786" t="s">
        <v>5</v>
      </c>
      <c r="D786">
        <v>0.25</v>
      </c>
      <c r="E786">
        <f>12661475/(1000)</f>
        <v>12661.475</v>
      </c>
      <c r="F786">
        <f>457226976/(1000)</f>
        <v>457226.97600000002</v>
      </c>
      <c r="G786">
        <f>-11402000/(1000)</f>
        <v>-11402</v>
      </c>
      <c r="H786">
        <f>84118475/(1000)</f>
        <v>84118.475000000006</v>
      </c>
      <c r="I786">
        <f>13337999/(1000)</f>
        <v>13337.999</v>
      </c>
      <c r="J786">
        <f t="shared" si="13"/>
        <v>6.3066787604347556E-3</v>
      </c>
      <c r="K786">
        <f>9506002/(1000)</f>
        <v>9506.0020000000004</v>
      </c>
      <c r="L786">
        <v>0</v>
      </c>
      <c r="M786">
        <v>-15.0789194107056</v>
      </c>
      <c r="N786">
        <v>92.334225138381498</v>
      </c>
      <c r="O786">
        <v>177.63357543945301</v>
      </c>
      <c r="P786">
        <v>0</v>
      </c>
      <c r="Q786">
        <v>0</v>
      </c>
      <c r="R786">
        <v>0</v>
      </c>
      <c r="S786">
        <v>76.198766872541398</v>
      </c>
      <c r="T786">
        <v>0</v>
      </c>
      <c r="U786">
        <v>0</v>
      </c>
      <c r="V786">
        <v>0</v>
      </c>
      <c r="W786">
        <v>0</v>
      </c>
    </row>
    <row r="787" spans="1:23" x14ac:dyDescent="0.55000000000000004">
      <c r="A787" t="s">
        <v>1582</v>
      </c>
      <c r="B787" t="s">
        <v>1583</v>
      </c>
      <c r="C787" t="s">
        <v>5</v>
      </c>
      <c r="D787">
        <v>37.29</v>
      </c>
      <c r="E787">
        <f>433183008/(1000)</f>
        <v>433183.00799999997</v>
      </c>
      <c r="F787">
        <f>457088992/(1000)</f>
        <v>457088.99200000003</v>
      </c>
      <c r="G787">
        <f>98355000/(1000)</f>
        <v>98355</v>
      </c>
      <c r="H787">
        <f>465239008/(1000)</f>
        <v>465239.00799999997</v>
      </c>
      <c r="I787">
        <f>106887000/(1000)</f>
        <v>106887</v>
      </c>
      <c r="J787">
        <f t="shared" si="13"/>
        <v>4.3526248093781273E-3</v>
      </c>
      <c r="K787">
        <f>61320001/(1000)</f>
        <v>61320.000999999997</v>
      </c>
      <c r="L787">
        <v>13.749387741088899</v>
      </c>
      <c r="M787">
        <v>210.27946472168</v>
      </c>
      <c r="N787">
        <v>91.506120263153207</v>
      </c>
      <c r="O787">
        <v>418.68377685546898</v>
      </c>
      <c r="P787">
        <v>0</v>
      </c>
      <c r="Q787">
        <v>0</v>
      </c>
      <c r="R787">
        <v>8.3609867925862495</v>
      </c>
      <c r="S787">
        <v>30.364814426764799</v>
      </c>
      <c r="T787">
        <v>0</v>
      </c>
      <c r="U787">
        <v>0</v>
      </c>
      <c r="V787">
        <v>0</v>
      </c>
      <c r="W787">
        <v>0</v>
      </c>
    </row>
    <row r="788" spans="1:23" x14ac:dyDescent="0.55000000000000004">
      <c r="A788" t="s">
        <v>1584</v>
      </c>
      <c r="B788" t="s">
        <v>1585</v>
      </c>
      <c r="C788" t="s">
        <v>5</v>
      </c>
      <c r="D788">
        <v>7.08</v>
      </c>
      <c r="E788">
        <f>226317856/(1000)</f>
        <v>226317.856</v>
      </c>
      <c r="F788">
        <f>455776992/(1000)</f>
        <v>455776.99200000003</v>
      </c>
      <c r="G788">
        <f>0/(1000)</f>
        <v>0</v>
      </c>
      <c r="H788">
        <f>343195856/(1000)</f>
        <v>343195.85600000003</v>
      </c>
      <c r="I788">
        <f>0/(1000)</f>
        <v>0</v>
      </c>
      <c r="J788">
        <f t="shared" si="13"/>
        <v>1</v>
      </c>
      <c r="K788">
        <f>86828001/(1000)</f>
        <v>86828.001000000004</v>
      </c>
      <c r="L788">
        <v>0</v>
      </c>
      <c r="M788">
        <v>-10.6629629135132</v>
      </c>
      <c r="N788">
        <v>97.428816582568999</v>
      </c>
      <c r="O788">
        <v>34.671829223632798</v>
      </c>
      <c r="P788">
        <v>0</v>
      </c>
      <c r="Q788">
        <v>0.62668733249498298</v>
      </c>
      <c r="R788">
        <v>10.892307475050499</v>
      </c>
      <c r="S788">
        <v>-57.607543798993902</v>
      </c>
      <c r="T788">
        <v>0</v>
      </c>
      <c r="U788">
        <v>0</v>
      </c>
      <c r="V788">
        <v>0</v>
      </c>
      <c r="W788">
        <v>0</v>
      </c>
    </row>
    <row r="789" spans="1:23" x14ac:dyDescent="0.55000000000000004">
      <c r="A789" t="s">
        <v>1586</v>
      </c>
      <c r="B789" t="s">
        <v>1587</v>
      </c>
      <c r="C789" t="s">
        <v>5</v>
      </c>
      <c r="D789">
        <v>14.75</v>
      </c>
      <c r="E789">
        <f>143222496/(1000)</f>
        <v>143222.49600000001</v>
      </c>
      <c r="F789">
        <f>455776000/(1000)</f>
        <v>455776</v>
      </c>
      <c r="G789">
        <f>25213000/(1000)</f>
        <v>25213</v>
      </c>
      <c r="H789">
        <f>134066496/(1000)</f>
        <v>134066.49600000001</v>
      </c>
      <c r="I789">
        <f>28038000/(1000)</f>
        <v>28038</v>
      </c>
      <c r="J789">
        <f t="shared" si="13"/>
        <v>4.781599828803767E-3</v>
      </c>
      <c r="K789">
        <f>13509001/(1000)</f>
        <v>13509.001</v>
      </c>
      <c r="L789">
        <v>17.663650512695298</v>
      </c>
      <c r="M789">
        <v>17.6304016113281</v>
      </c>
      <c r="N789">
        <v>83.716786488821597</v>
      </c>
      <c r="O789">
        <v>0</v>
      </c>
      <c r="P789">
        <v>0</v>
      </c>
      <c r="Q789">
        <v>0</v>
      </c>
      <c r="R789">
        <v>9.5353904611121791</v>
      </c>
      <c r="S789">
        <v>81.728148826460796</v>
      </c>
      <c r="T789">
        <v>0</v>
      </c>
      <c r="U789">
        <v>0</v>
      </c>
      <c r="V789">
        <v>0</v>
      </c>
      <c r="W789">
        <v>0</v>
      </c>
    </row>
    <row r="790" spans="1:23" x14ac:dyDescent="0.55000000000000004">
      <c r="A790" t="s">
        <v>1588</v>
      </c>
      <c r="B790" t="s">
        <v>1589</v>
      </c>
      <c r="C790" t="s">
        <v>5</v>
      </c>
      <c r="D790">
        <v>9.66</v>
      </c>
      <c r="E790">
        <f>324417568/(1000)</f>
        <v>324417.56800000003</v>
      </c>
      <c r="F790">
        <f>455334016/(1000)</f>
        <v>455334.016</v>
      </c>
      <c r="G790">
        <f>0/(1000)</f>
        <v>0</v>
      </c>
      <c r="H790">
        <f>0/(1000)</f>
        <v>0</v>
      </c>
      <c r="I790">
        <f>0/(1000)</f>
        <v>0</v>
      </c>
      <c r="J790">
        <f t="shared" si="13"/>
        <v>1</v>
      </c>
      <c r="K790">
        <f>89726001/(1000)</f>
        <v>89726.001000000004</v>
      </c>
      <c r="L790">
        <v>16.987302780151399</v>
      </c>
      <c r="M790">
        <v>5.4027152061462402</v>
      </c>
      <c r="N790">
        <v>97.206674936637697</v>
      </c>
      <c r="O790">
        <v>293.840087890625</v>
      </c>
      <c r="P790">
        <v>0.43999999761581399</v>
      </c>
      <c r="Q790">
        <v>0.58359764271179604</v>
      </c>
      <c r="R790">
        <v>11.103447659262301</v>
      </c>
      <c r="S790">
        <v>24.331422702640499</v>
      </c>
      <c r="T790">
        <v>0</v>
      </c>
      <c r="U790">
        <v>0</v>
      </c>
      <c r="V790">
        <v>0</v>
      </c>
      <c r="W790">
        <v>0</v>
      </c>
    </row>
    <row r="791" spans="1:23" x14ac:dyDescent="0.55000000000000004">
      <c r="A791" t="s">
        <v>1590</v>
      </c>
      <c r="B791" t="s">
        <v>1591</v>
      </c>
      <c r="C791" t="s">
        <v>5</v>
      </c>
      <c r="D791">
        <v>1.35</v>
      </c>
      <c r="E791">
        <f>43312052/(1000)</f>
        <v>43312.052000000003</v>
      </c>
      <c r="F791">
        <f>454340000/(1000)</f>
        <v>454340</v>
      </c>
      <c r="G791">
        <f>34818000/(1000)</f>
        <v>34818</v>
      </c>
      <c r="H791">
        <f>482212052/(1000)</f>
        <v>482212.05200000003</v>
      </c>
      <c r="I791">
        <f>204900992/(1000)</f>
        <v>204900.992</v>
      </c>
      <c r="J791">
        <f t="shared" si="13"/>
        <v>2.3533905194563433E-3</v>
      </c>
      <c r="K791">
        <f>-52430999/(1000)</f>
        <v>-52430.999000000003</v>
      </c>
      <c r="L791">
        <v>52.104282379150398</v>
      </c>
      <c r="M791">
        <v>-33.719215393066399</v>
      </c>
      <c r="N791">
        <v>93.394632138482393</v>
      </c>
      <c r="O791">
        <v>475.14071655273398</v>
      </c>
      <c r="P791">
        <v>0</v>
      </c>
      <c r="Q791">
        <v>0</v>
      </c>
      <c r="R791">
        <v>1.41213383325947</v>
      </c>
      <c r="S791">
        <v>239.59697431757701</v>
      </c>
      <c r="T791">
        <v>0</v>
      </c>
      <c r="U791">
        <v>0</v>
      </c>
      <c r="V791">
        <v>0</v>
      </c>
      <c r="W791">
        <v>0</v>
      </c>
    </row>
    <row r="792" spans="1:23" x14ac:dyDescent="0.55000000000000004">
      <c r="A792" t="s">
        <v>1592</v>
      </c>
      <c r="B792" t="s">
        <v>1593</v>
      </c>
      <c r="C792" t="s">
        <v>5</v>
      </c>
      <c r="D792">
        <v>4.58</v>
      </c>
      <c r="E792">
        <f>72926880/(1000)</f>
        <v>72926.880000000005</v>
      </c>
      <c r="F792">
        <f>453620992/(1000)</f>
        <v>453620.99200000003</v>
      </c>
      <c r="G792">
        <f>1653000/(1000)</f>
        <v>1653</v>
      </c>
      <c r="H792">
        <f>46244880/(1000)</f>
        <v>46244.88</v>
      </c>
      <c r="I792">
        <f>28073000/(1000)</f>
        <v>28073</v>
      </c>
      <c r="J792">
        <f t="shared" si="13"/>
        <v>1.6473080896234815E-3</v>
      </c>
      <c r="K792">
        <f>-3301999/(1000)</f>
        <v>-3301.9989999999998</v>
      </c>
      <c r="L792">
        <v>0</v>
      </c>
      <c r="M792">
        <v>-7.1932849884033203</v>
      </c>
      <c r="N792">
        <v>58.179099810372001</v>
      </c>
      <c r="O792" s="3">
        <v>0</v>
      </c>
      <c r="P792">
        <v>0</v>
      </c>
      <c r="Q792">
        <v>0.49036400951632197</v>
      </c>
      <c r="R792">
        <v>0</v>
      </c>
      <c r="S792">
        <v>51.750271398286998</v>
      </c>
      <c r="T792">
        <v>0</v>
      </c>
      <c r="U792">
        <v>0</v>
      </c>
      <c r="V792">
        <v>0</v>
      </c>
      <c r="W792">
        <v>0</v>
      </c>
    </row>
    <row r="793" spans="1:23" x14ac:dyDescent="0.55000000000000004">
      <c r="A793" t="s">
        <v>1594</v>
      </c>
      <c r="B793" t="s">
        <v>1595</v>
      </c>
      <c r="C793" t="s">
        <v>8</v>
      </c>
      <c r="D793">
        <v>14.01</v>
      </c>
      <c r="E793">
        <f>221138608/(1000)</f>
        <v>221138.60800000001</v>
      </c>
      <c r="F793">
        <f>451504000/(1000)</f>
        <v>451504</v>
      </c>
      <c r="G793">
        <f>26857000/(1000)</f>
        <v>26857</v>
      </c>
      <c r="H793">
        <f>384350608/(1000)</f>
        <v>384350.60800000001</v>
      </c>
      <c r="I793">
        <f>56904000/(1000)</f>
        <v>56904</v>
      </c>
      <c r="J793">
        <f t="shared" si="13"/>
        <v>6.754368902010404E-3</v>
      </c>
      <c r="K793">
        <f>-134488991/(1000)</f>
        <v>-134488.99100000001</v>
      </c>
      <c r="L793">
        <v>57.677066802978501</v>
      </c>
      <c r="M793">
        <v>6.8094120025634801</v>
      </c>
      <c r="N793">
        <v>95.565558936021802</v>
      </c>
      <c r="O793">
        <v>46.656047821044901</v>
      </c>
      <c r="P793">
        <v>0</v>
      </c>
      <c r="Q793">
        <v>0.46981892596442598</v>
      </c>
      <c r="R793">
        <v>15.951456588505</v>
      </c>
      <c r="S793">
        <v>59.119787162130599</v>
      </c>
      <c r="T793">
        <v>0</v>
      </c>
      <c r="U793">
        <v>0</v>
      </c>
      <c r="V793">
        <v>0</v>
      </c>
      <c r="W793">
        <v>0</v>
      </c>
    </row>
    <row r="794" spans="1:23" x14ac:dyDescent="0.55000000000000004">
      <c r="A794" t="s">
        <v>1596</v>
      </c>
      <c r="B794" t="s">
        <v>1597</v>
      </c>
      <c r="C794" t="s">
        <v>5</v>
      </c>
      <c r="D794">
        <v>34.35</v>
      </c>
      <c r="E794">
        <f>1176515072/(1000)</f>
        <v>1176515.0719999999</v>
      </c>
      <c r="F794">
        <f>451382016/(1000)</f>
        <v>451382.016</v>
      </c>
      <c r="G794">
        <f>111263000/(1000)</f>
        <v>111263</v>
      </c>
      <c r="H794">
        <f>0/(1000)</f>
        <v>0</v>
      </c>
      <c r="I794">
        <f>126265000/(1000)</f>
        <v>126265</v>
      </c>
      <c r="J794">
        <f t="shared" si="13"/>
        <v>0</v>
      </c>
      <c r="K794">
        <f>20186001/(1000)</f>
        <v>20186.001</v>
      </c>
      <c r="L794">
        <v>22.715248107910199</v>
      </c>
      <c r="M794">
        <v>16.9560432434082</v>
      </c>
      <c r="N794">
        <v>98.6061608158561</v>
      </c>
      <c r="O794">
        <v>44.9742431640625</v>
      </c>
      <c r="P794">
        <v>0.68000000715255704</v>
      </c>
      <c r="Q794">
        <v>1.5564113705981</v>
      </c>
      <c r="R794">
        <v>15.334821090135399</v>
      </c>
      <c r="S794">
        <v>61.5482773872533</v>
      </c>
      <c r="T794">
        <v>0</v>
      </c>
      <c r="U794">
        <v>0</v>
      </c>
      <c r="V794">
        <v>0</v>
      </c>
      <c r="W794">
        <v>0</v>
      </c>
    </row>
    <row r="795" spans="1:23" x14ac:dyDescent="0.55000000000000004">
      <c r="A795" t="s">
        <v>1598</v>
      </c>
      <c r="B795" t="s">
        <v>1599</v>
      </c>
      <c r="C795" t="s">
        <v>184</v>
      </c>
      <c r="D795">
        <v>13.2</v>
      </c>
      <c r="E795">
        <f>1143571456/(1000)</f>
        <v>1143571.456</v>
      </c>
      <c r="F795">
        <f>450499008/(1000)</f>
        <v>450499.00799999997</v>
      </c>
      <c r="G795">
        <f>0/(1000)</f>
        <v>0</v>
      </c>
      <c r="H795">
        <f>0/(1000)</f>
        <v>0</v>
      </c>
      <c r="I795">
        <f>0/(1000)</f>
        <v>0</v>
      </c>
      <c r="J795">
        <f t="shared" si="13"/>
        <v>1</v>
      </c>
      <c r="K795">
        <f>97064001/(1000)</f>
        <v>97064.001000000004</v>
      </c>
      <c r="L795">
        <v>0</v>
      </c>
      <c r="M795">
        <v>12.882708549499499</v>
      </c>
      <c r="N795">
        <v>98.099940866473304</v>
      </c>
      <c r="O795">
        <v>198.80703735351599</v>
      </c>
      <c r="P795">
        <v>0.95999997854232799</v>
      </c>
      <c r="Q795">
        <v>1.2140721361067099</v>
      </c>
      <c r="R795">
        <v>12.6923074288922</v>
      </c>
      <c r="S795">
        <v>-17.7406682909631</v>
      </c>
      <c r="T795">
        <v>0</v>
      </c>
      <c r="U795">
        <v>0</v>
      </c>
      <c r="V795">
        <v>0</v>
      </c>
      <c r="W795">
        <v>0</v>
      </c>
    </row>
    <row r="796" spans="1:23" x14ac:dyDescent="0.55000000000000004">
      <c r="A796" t="s">
        <v>1600</v>
      </c>
      <c r="B796" t="s">
        <v>1601</v>
      </c>
      <c r="C796" t="s">
        <v>31</v>
      </c>
      <c r="D796">
        <v>4.8600000000000003</v>
      </c>
      <c r="E796">
        <f>1075790208/(1000)</f>
        <v>1075790.2080000001</v>
      </c>
      <c r="F796">
        <f>449380992/(1000)</f>
        <v>449380.99200000003</v>
      </c>
      <c r="G796">
        <f>-7879000/(1000)</f>
        <v>-7879</v>
      </c>
      <c r="H796">
        <f>884123200/(1000)</f>
        <v>884123.2</v>
      </c>
      <c r="I796">
        <f>48971000/(1000)</f>
        <v>48971</v>
      </c>
      <c r="J796">
        <f t="shared" si="13"/>
        <v>1.8054015641910517E-2</v>
      </c>
      <c r="K796">
        <f>81386001/(1000)</f>
        <v>81386.001000000004</v>
      </c>
      <c r="L796">
        <v>0</v>
      </c>
      <c r="M796">
        <v>-8.4003438949584996</v>
      </c>
      <c r="N796">
        <v>98.527664591752796</v>
      </c>
      <c r="O796">
        <v>37.743518829345703</v>
      </c>
      <c r="P796">
        <v>0</v>
      </c>
      <c r="Q796">
        <v>1.2755906053817001</v>
      </c>
      <c r="R796">
        <v>21.130435322036401</v>
      </c>
      <c r="S796">
        <v>106.05016003080701</v>
      </c>
      <c r="T796">
        <v>0</v>
      </c>
      <c r="U796">
        <v>0</v>
      </c>
      <c r="V796">
        <v>0</v>
      </c>
      <c r="W796">
        <v>0</v>
      </c>
    </row>
    <row r="797" spans="1:23" x14ac:dyDescent="0.55000000000000004">
      <c r="A797" t="s">
        <v>1602</v>
      </c>
      <c r="B797" t="s">
        <v>1603</v>
      </c>
      <c r="C797" t="s">
        <v>20</v>
      </c>
      <c r="D797">
        <v>79.87</v>
      </c>
      <c r="E797">
        <f>1043797056/(1000)</f>
        <v>1043797.056</v>
      </c>
      <c r="F797">
        <f>448928992/(1000)</f>
        <v>448928.99200000003</v>
      </c>
      <c r="G797">
        <f>105553000/(1000)</f>
        <v>105553</v>
      </c>
      <c r="H797">
        <f>976386056/(1000)</f>
        <v>976386.05599999998</v>
      </c>
      <c r="I797">
        <f>109069000/(1000)</f>
        <v>109069</v>
      </c>
      <c r="J797">
        <f t="shared" si="13"/>
        <v>8.9520033740109473E-3</v>
      </c>
      <c r="K797">
        <f>54669001/(1000)</f>
        <v>54669.000999999997</v>
      </c>
      <c r="L797">
        <v>22.0439052581787</v>
      </c>
      <c r="M797">
        <v>25.9076251983643</v>
      </c>
      <c r="N797">
        <v>96.567372100244299</v>
      </c>
      <c r="O797">
        <v>0</v>
      </c>
      <c r="P797">
        <v>0</v>
      </c>
      <c r="Q797">
        <v>2.6757119506157099</v>
      </c>
      <c r="R797">
        <v>13.4915542762126</v>
      </c>
      <c r="S797">
        <v>352.97405026890101</v>
      </c>
      <c r="T797">
        <v>0</v>
      </c>
      <c r="U797">
        <v>0</v>
      </c>
      <c r="V797">
        <v>0</v>
      </c>
      <c r="W797">
        <v>0</v>
      </c>
    </row>
    <row r="798" spans="1:23" x14ac:dyDescent="0.55000000000000004">
      <c r="A798" t="s">
        <v>1604</v>
      </c>
      <c r="B798" t="s">
        <v>1605</v>
      </c>
      <c r="C798" t="s">
        <v>5</v>
      </c>
      <c r="D798">
        <v>4.79</v>
      </c>
      <c r="E798">
        <f>289064064/(1000)</f>
        <v>289064.06400000001</v>
      </c>
      <c r="F798">
        <f>448722976/(1000)</f>
        <v>448722.97600000002</v>
      </c>
      <c r="G798">
        <f>281893984/(1000)</f>
        <v>281893.984</v>
      </c>
      <c r="H798">
        <f>3856796032/(1000)</f>
        <v>3856796.0320000001</v>
      </c>
      <c r="I798">
        <f>291060000/(1000)</f>
        <v>291060</v>
      </c>
      <c r="J798">
        <f t="shared" si="13"/>
        <v>1.3250862475091047E-2</v>
      </c>
      <c r="K798">
        <f>-29718999/(1000)</f>
        <v>-29718.999</v>
      </c>
      <c r="L798">
        <v>0</v>
      </c>
      <c r="M798">
        <v>-49.974048614502003</v>
      </c>
      <c r="N798">
        <v>86.657750662796602</v>
      </c>
      <c r="O798">
        <v>877.65032958984398</v>
      </c>
      <c r="P798">
        <v>0</v>
      </c>
      <c r="Q798">
        <v>0</v>
      </c>
      <c r="R798">
        <v>11.4047620182734</v>
      </c>
      <c r="S798">
        <v>0.19604640348418501</v>
      </c>
      <c r="T798">
        <v>0</v>
      </c>
      <c r="U798">
        <v>0</v>
      </c>
      <c r="V798">
        <v>0</v>
      </c>
      <c r="W798">
        <v>0</v>
      </c>
    </row>
    <row r="799" spans="1:23" x14ac:dyDescent="0.55000000000000004">
      <c r="A799" t="s">
        <v>1606</v>
      </c>
      <c r="B799" t="s">
        <v>1607</v>
      </c>
      <c r="C799" t="s">
        <v>31</v>
      </c>
      <c r="D799">
        <v>0.77</v>
      </c>
      <c r="E799">
        <f>121027984/(1000)</f>
        <v>121027.984</v>
      </c>
      <c r="F799">
        <f>448236992/(1000)</f>
        <v>448236.99200000003</v>
      </c>
      <c r="G799">
        <f>-8887000/(1000)</f>
        <v>-8887</v>
      </c>
      <c r="H799">
        <f>75013980/(1000)</f>
        <v>75013.98</v>
      </c>
      <c r="I799">
        <f>-552000.0625/(1000)</f>
        <v>-552.00006250000001</v>
      </c>
      <c r="J799">
        <f t="shared" si="13"/>
        <v>-0.13589487591769972</v>
      </c>
      <c r="K799">
        <f>-16487999/(1000)</f>
        <v>-16487.999</v>
      </c>
      <c r="L799">
        <v>0</v>
      </c>
      <c r="M799">
        <v>-7.6273760795593297</v>
      </c>
      <c r="N799">
        <v>97.917982000789095</v>
      </c>
      <c r="O799">
        <v>9.6471395492553693</v>
      </c>
      <c r="P799">
        <v>0</v>
      </c>
      <c r="Q799">
        <v>0</v>
      </c>
      <c r="R799">
        <v>0</v>
      </c>
      <c r="S799">
        <v>77.497106109324804</v>
      </c>
      <c r="T799">
        <v>0</v>
      </c>
      <c r="U799">
        <v>0</v>
      </c>
      <c r="V799">
        <v>0</v>
      </c>
      <c r="W799">
        <v>0</v>
      </c>
    </row>
    <row r="800" spans="1:23" x14ac:dyDescent="0.55000000000000004">
      <c r="A800" t="s">
        <v>1608</v>
      </c>
      <c r="B800" t="s">
        <v>1609</v>
      </c>
      <c r="C800" t="s">
        <v>5</v>
      </c>
      <c r="D800">
        <v>3.16</v>
      </c>
      <c r="E800">
        <f>86388400/(1000)</f>
        <v>86388.4</v>
      </c>
      <c r="F800">
        <f>446700992/(1000)</f>
        <v>446700.99200000003</v>
      </c>
      <c r="G800">
        <f>24359000/(1000)</f>
        <v>24359</v>
      </c>
      <c r="H800">
        <f>130729400/(1000)</f>
        <v>130729.4</v>
      </c>
      <c r="I800">
        <f>31890000/(1000)</f>
        <v>31890</v>
      </c>
      <c r="J800">
        <f t="shared" si="13"/>
        <v>4.0993853872687358E-3</v>
      </c>
      <c r="K800">
        <f>229001.09375/(1000)</f>
        <v>229.00109375</v>
      </c>
      <c r="L800">
        <v>15.897442817688001</v>
      </c>
      <c r="M800">
        <v>15.3996229171753</v>
      </c>
      <c r="N800">
        <v>81.424091824775701</v>
      </c>
      <c r="O800">
        <v>46.302219390869098</v>
      </c>
      <c r="P800">
        <v>0</v>
      </c>
      <c r="Q800">
        <v>0</v>
      </c>
      <c r="R800">
        <v>6.0769232907415196</v>
      </c>
      <c r="S800">
        <v>116.200737607326</v>
      </c>
      <c r="T800">
        <v>0</v>
      </c>
      <c r="U800">
        <v>0</v>
      </c>
      <c r="V800">
        <v>0</v>
      </c>
      <c r="W800">
        <v>0</v>
      </c>
    </row>
    <row r="801" spans="1:23" x14ac:dyDescent="0.55000000000000004">
      <c r="A801" t="s">
        <v>1610</v>
      </c>
      <c r="B801" t="s">
        <v>1611</v>
      </c>
      <c r="C801" t="s">
        <v>184</v>
      </c>
      <c r="D801">
        <v>25.65</v>
      </c>
      <c r="E801">
        <f>340667904/(1000)</f>
        <v>340667.90399999998</v>
      </c>
      <c r="F801">
        <f>445809600/(1000)</f>
        <v>445809.6</v>
      </c>
      <c r="G801">
        <f>0/(1000)</f>
        <v>0</v>
      </c>
      <c r="H801">
        <f>365239140/(1000)</f>
        <v>365239.14</v>
      </c>
      <c r="I801">
        <f>0/(1000)</f>
        <v>0</v>
      </c>
      <c r="J801">
        <f t="shared" si="13"/>
        <v>1</v>
      </c>
      <c r="K801">
        <f>37861641/(1000)</f>
        <v>37861.641000000003</v>
      </c>
      <c r="L801">
        <v>0</v>
      </c>
      <c r="M801">
        <v>12.705680847168001</v>
      </c>
      <c r="N801">
        <v>38.881444020944997</v>
      </c>
      <c r="O801">
        <v>8.5800542831420898</v>
      </c>
      <c r="P801">
        <v>0.72000002861022905</v>
      </c>
      <c r="Q801">
        <v>1.1287128355538201</v>
      </c>
      <c r="R801">
        <v>25.396039185052398</v>
      </c>
      <c r="S801">
        <v>36.113431523411698</v>
      </c>
      <c r="T801">
        <v>0</v>
      </c>
      <c r="U801">
        <v>0</v>
      </c>
      <c r="V801">
        <v>0</v>
      </c>
      <c r="W801">
        <v>0</v>
      </c>
    </row>
    <row r="802" spans="1:23" x14ac:dyDescent="0.55000000000000004">
      <c r="A802" t="s">
        <v>1612</v>
      </c>
      <c r="B802" t="s">
        <v>1613</v>
      </c>
      <c r="C802" t="s">
        <v>5</v>
      </c>
      <c r="D802">
        <v>1.24</v>
      </c>
      <c r="E802">
        <f>123333624/(1000)</f>
        <v>123333.624</v>
      </c>
      <c r="F802">
        <f>445722976/(1000)</f>
        <v>445722.97600000002</v>
      </c>
      <c r="G802">
        <f>-13186000/(1000)</f>
        <v>-13186</v>
      </c>
      <c r="H802">
        <f>96238624/(1000)</f>
        <v>96238.623999999996</v>
      </c>
      <c r="I802">
        <f>-2158000/(1000)</f>
        <v>-2158</v>
      </c>
      <c r="J802">
        <f t="shared" si="13"/>
        <v>-4.4596211306765526E-2</v>
      </c>
      <c r="K802">
        <f>-6470998.5/(1000)</f>
        <v>-6470.9984999999997</v>
      </c>
      <c r="L802">
        <v>0</v>
      </c>
      <c r="M802">
        <v>-12.308204650878899</v>
      </c>
      <c r="N802">
        <v>68.551495250124205</v>
      </c>
      <c r="O802">
        <v>4.66259813308716</v>
      </c>
      <c r="P802">
        <v>0</v>
      </c>
      <c r="Q802">
        <v>1.2038835378447801</v>
      </c>
      <c r="R802">
        <v>0</v>
      </c>
      <c r="S802">
        <v>129.863118592322</v>
      </c>
      <c r="T802">
        <v>0</v>
      </c>
      <c r="U802">
        <v>0</v>
      </c>
      <c r="V802">
        <v>0</v>
      </c>
      <c r="W802">
        <v>0</v>
      </c>
    </row>
    <row r="803" spans="1:23" x14ac:dyDescent="0.55000000000000004">
      <c r="A803" t="s">
        <v>1614</v>
      </c>
      <c r="B803" t="s">
        <v>1615</v>
      </c>
      <c r="C803" t="s">
        <v>31</v>
      </c>
      <c r="D803">
        <v>6.78</v>
      </c>
      <c r="E803">
        <f>244114576/(1000)</f>
        <v>244114.576</v>
      </c>
      <c r="F803">
        <f>445196992/(1000)</f>
        <v>445196.99200000003</v>
      </c>
      <c r="G803">
        <f>26515000/(1000)</f>
        <v>26515</v>
      </c>
      <c r="H803">
        <f>286038576/(1000)</f>
        <v>286038.576</v>
      </c>
      <c r="I803">
        <f>47775000/(1000)</f>
        <v>47775</v>
      </c>
      <c r="J803">
        <f t="shared" si="13"/>
        <v>5.9872020094191526E-3</v>
      </c>
      <c r="K803">
        <f>16670001/(1000)</f>
        <v>16670.001</v>
      </c>
      <c r="L803">
        <v>0</v>
      </c>
      <c r="M803">
        <v>10.455349922180201</v>
      </c>
      <c r="N803">
        <v>96.521047736186603</v>
      </c>
      <c r="O803">
        <v>46.677051544189503</v>
      </c>
      <c r="P803">
        <v>0</v>
      </c>
      <c r="Q803">
        <v>0.62835961388121997</v>
      </c>
      <c r="R803">
        <v>15.767442632521</v>
      </c>
      <c r="S803">
        <v>171.47151237240399</v>
      </c>
      <c r="T803">
        <v>0</v>
      </c>
      <c r="U803">
        <v>0</v>
      </c>
      <c r="V803">
        <v>0</v>
      </c>
      <c r="W803">
        <v>0</v>
      </c>
    </row>
    <row r="804" spans="1:23" x14ac:dyDescent="0.55000000000000004">
      <c r="A804" t="s">
        <v>1616</v>
      </c>
      <c r="B804" t="s">
        <v>1617</v>
      </c>
      <c r="C804" t="s">
        <v>38</v>
      </c>
      <c r="D804">
        <v>0</v>
      </c>
      <c r="E804">
        <f>407540384/(1000)</f>
        <v>407540.38400000002</v>
      </c>
      <c r="F804">
        <f>444919008/(1000)</f>
        <v>444919.00799999997</v>
      </c>
      <c r="G804">
        <f>64501000/(1000)</f>
        <v>64501</v>
      </c>
      <c r="H804">
        <f>952124384/(1000)</f>
        <v>952124.38399999996</v>
      </c>
      <c r="I804">
        <f>152399008/(1000)</f>
        <v>152399.008</v>
      </c>
      <c r="J804">
        <f t="shared" si="13"/>
        <v>6.2475759947203859E-3</v>
      </c>
      <c r="K804">
        <f>52772001/(1000)</f>
        <v>52772.000999999997</v>
      </c>
      <c r="L804">
        <v>18.495359420776399</v>
      </c>
      <c r="M804">
        <v>0</v>
      </c>
      <c r="N804">
        <v>89.878808923835606</v>
      </c>
      <c r="O804">
        <v>18347.8125</v>
      </c>
      <c r="P804">
        <v>0</v>
      </c>
      <c r="Q804">
        <v>14.0812720937364</v>
      </c>
      <c r="R804">
        <v>24.1515146465998</v>
      </c>
      <c r="S804">
        <v>7.98140358624486</v>
      </c>
      <c r="T804">
        <v>0</v>
      </c>
      <c r="U804">
        <v>0</v>
      </c>
      <c r="V804">
        <v>0</v>
      </c>
      <c r="W804">
        <v>0</v>
      </c>
    </row>
    <row r="805" spans="1:23" x14ac:dyDescent="0.55000000000000004">
      <c r="A805" t="s">
        <v>1618</v>
      </c>
      <c r="B805" t="s">
        <v>1619</v>
      </c>
      <c r="C805" t="s">
        <v>5</v>
      </c>
      <c r="D805">
        <v>6.01</v>
      </c>
      <c r="E805">
        <f>488524736/(1000)</f>
        <v>488524.73599999998</v>
      </c>
      <c r="F805">
        <f>444852000/(1000)</f>
        <v>444852</v>
      </c>
      <c r="G805">
        <f>142720992/(1000)</f>
        <v>142720.992</v>
      </c>
      <c r="H805">
        <f>901719744/(1000)</f>
        <v>901719.74399999995</v>
      </c>
      <c r="I805">
        <f>153890000/(1000)</f>
        <v>153890</v>
      </c>
      <c r="J805">
        <f t="shared" si="13"/>
        <v>5.8595083761128078E-3</v>
      </c>
      <c r="K805">
        <f>113112001/(1000)</f>
        <v>113112.001</v>
      </c>
      <c r="L805">
        <v>24.540523529052699</v>
      </c>
      <c r="M805">
        <v>0.15740099549293499</v>
      </c>
      <c r="N805">
        <v>82.087859822901095</v>
      </c>
      <c r="O805">
        <v>27.723869323730501</v>
      </c>
      <c r="P805">
        <v>0</v>
      </c>
      <c r="Q805">
        <v>0.48350764934247897</v>
      </c>
      <c r="R805">
        <v>4.2624116107483498</v>
      </c>
      <c r="S805">
        <v>5.7680602579221603</v>
      </c>
      <c r="T805">
        <v>0</v>
      </c>
      <c r="U805">
        <v>0</v>
      </c>
      <c r="V805">
        <v>0</v>
      </c>
      <c r="W805">
        <v>0</v>
      </c>
    </row>
    <row r="806" spans="1:23" x14ac:dyDescent="0.55000000000000004">
      <c r="A806" t="s">
        <v>1620</v>
      </c>
      <c r="B806" t="s">
        <v>1621</v>
      </c>
      <c r="C806" t="s">
        <v>2</v>
      </c>
      <c r="D806">
        <v>14.61</v>
      </c>
      <c r="E806">
        <f>187932816/(1000)</f>
        <v>187932.81599999999</v>
      </c>
      <c r="F806">
        <f>444547008/(1000)</f>
        <v>444547.00799999997</v>
      </c>
      <c r="G806">
        <f>31892000/(1000)</f>
        <v>31892</v>
      </c>
      <c r="H806">
        <f>357408816/(1000)</f>
        <v>357408.81599999999</v>
      </c>
      <c r="I806">
        <f>36854000/(1000)</f>
        <v>36854</v>
      </c>
      <c r="J806">
        <f t="shared" si="13"/>
        <v>9.6979653768926016E-3</v>
      </c>
      <c r="K806">
        <f>11574001/(1000)</f>
        <v>11574.001</v>
      </c>
      <c r="L806">
        <v>14.3463945388794</v>
      </c>
      <c r="M806">
        <v>25.1565265655518</v>
      </c>
      <c r="N806">
        <v>67.478017162919599</v>
      </c>
      <c r="O806">
        <v>104.596000671387</v>
      </c>
      <c r="P806">
        <v>0</v>
      </c>
      <c r="Q806">
        <v>0</v>
      </c>
      <c r="R806">
        <v>8.1392756342104402</v>
      </c>
      <c r="S806">
        <v>200.15462439063899</v>
      </c>
      <c r="T806">
        <v>0</v>
      </c>
      <c r="U806">
        <v>0</v>
      </c>
      <c r="V806">
        <v>0</v>
      </c>
      <c r="W806">
        <v>0</v>
      </c>
    </row>
    <row r="807" spans="1:23" x14ac:dyDescent="0.55000000000000004">
      <c r="A807" t="s">
        <v>1622</v>
      </c>
      <c r="B807" t="s">
        <v>1623</v>
      </c>
      <c r="C807" t="s">
        <v>20</v>
      </c>
      <c r="D807">
        <v>3.5</v>
      </c>
      <c r="E807">
        <f>223159904/(1000)</f>
        <v>223159.90400000001</v>
      </c>
      <c r="F807">
        <f>442271008/(1000)</f>
        <v>442271.00799999997</v>
      </c>
      <c r="G807">
        <f>-101170000/(1000)</f>
        <v>-101170</v>
      </c>
      <c r="H807">
        <f>222539905.0625/(1000)</f>
        <v>222539.90506250001</v>
      </c>
      <c r="I807">
        <f>-81560000/(1000)</f>
        <v>-81560</v>
      </c>
      <c r="J807">
        <f t="shared" si="13"/>
        <v>-2.728542239608877E-3</v>
      </c>
      <c r="K807">
        <f>-42056999/(1000)</f>
        <v>-42056.999000000003</v>
      </c>
      <c r="L807">
        <v>0</v>
      </c>
      <c r="M807">
        <v>-35.091396331787102</v>
      </c>
      <c r="N807">
        <v>92.283746866756601</v>
      </c>
      <c r="O807">
        <v>4.1071999818086999E-2</v>
      </c>
      <c r="P807">
        <v>0</v>
      </c>
      <c r="Q807">
        <v>0</v>
      </c>
      <c r="R807">
        <v>0</v>
      </c>
      <c r="S807">
        <v>-16.830702892560101</v>
      </c>
      <c r="T807">
        <v>0</v>
      </c>
      <c r="U807">
        <v>0</v>
      </c>
      <c r="V807">
        <v>0</v>
      </c>
      <c r="W807">
        <v>0</v>
      </c>
    </row>
    <row r="808" spans="1:23" x14ac:dyDescent="0.55000000000000004">
      <c r="A808" t="s">
        <v>1624</v>
      </c>
      <c r="B808" t="s">
        <v>1625</v>
      </c>
      <c r="C808" t="s">
        <v>31</v>
      </c>
      <c r="D808">
        <v>0.38</v>
      </c>
      <c r="E808">
        <f>179751280/(1000)</f>
        <v>179751.28</v>
      </c>
      <c r="F808">
        <f>440180000/(1000)</f>
        <v>440180</v>
      </c>
      <c r="G808">
        <f>-17039000/(1000)</f>
        <v>-17039</v>
      </c>
      <c r="H808">
        <f>284262280/(1000)</f>
        <v>284262.28000000003</v>
      </c>
      <c r="I808">
        <f>23882002/(1000)</f>
        <v>23882.002</v>
      </c>
      <c r="J808">
        <f t="shared" si="13"/>
        <v>1.1902782689658933E-2</v>
      </c>
      <c r="K808">
        <f>12139003/(1000)</f>
        <v>12139.003000000001</v>
      </c>
      <c r="L808">
        <v>0</v>
      </c>
      <c r="M808">
        <v>-49.690860748291001</v>
      </c>
      <c r="N808">
        <v>85.408718620237906</v>
      </c>
      <c r="O808">
        <v>208.54322814941401</v>
      </c>
      <c r="P808">
        <v>0</v>
      </c>
      <c r="Q808">
        <v>0.86363635747885903</v>
      </c>
      <c r="R808">
        <v>0</v>
      </c>
      <c r="S808">
        <v>164.400956259536</v>
      </c>
      <c r="T808">
        <v>0</v>
      </c>
      <c r="U808">
        <v>0</v>
      </c>
      <c r="V808">
        <v>0</v>
      </c>
      <c r="W808">
        <v>0</v>
      </c>
    </row>
    <row r="809" spans="1:23" x14ac:dyDescent="0.55000000000000004">
      <c r="A809" t="s">
        <v>1626</v>
      </c>
      <c r="B809" t="s">
        <v>1627</v>
      </c>
      <c r="C809" t="s">
        <v>20</v>
      </c>
      <c r="D809">
        <v>25.5</v>
      </c>
      <c r="E809">
        <f>472968896/(1000)</f>
        <v>472968.89600000001</v>
      </c>
      <c r="F809">
        <f>439388992/(1000)</f>
        <v>439388.99200000003</v>
      </c>
      <c r="G809">
        <f>36898000/(1000)</f>
        <v>36898</v>
      </c>
      <c r="H809">
        <f>572072896/(1000)</f>
        <v>572072.89599999995</v>
      </c>
      <c r="I809">
        <f>57319000/(1000)</f>
        <v>57319</v>
      </c>
      <c r="J809">
        <f t="shared" si="13"/>
        <v>9.9805107555958738E-3</v>
      </c>
      <c r="K809">
        <f>16378001/(1000)</f>
        <v>16378.001</v>
      </c>
      <c r="L809">
        <v>20.7713813781738</v>
      </c>
      <c r="M809">
        <v>11.130067825317401</v>
      </c>
      <c r="N809">
        <v>89.710908800542597</v>
      </c>
      <c r="O809">
        <v>71.026260375976605</v>
      </c>
      <c r="P809">
        <v>0.15999999642372101</v>
      </c>
      <c r="Q809">
        <v>2.5796661011189999</v>
      </c>
      <c r="R809">
        <v>23.4638969748693</v>
      </c>
      <c r="S809">
        <v>70.288649981009698</v>
      </c>
      <c r="T809">
        <v>0</v>
      </c>
      <c r="U809">
        <v>0</v>
      </c>
      <c r="V809">
        <v>0</v>
      </c>
      <c r="W809">
        <v>0</v>
      </c>
    </row>
    <row r="810" spans="1:23" x14ac:dyDescent="0.55000000000000004">
      <c r="A810" t="s">
        <v>1628</v>
      </c>
      <c r="B810" t="s">
        <v>1629</v>
      </c>
      <c r="C810" t="s">
        <v>184</v>
      </c>
      <c r="D810">
        <v>43.35</v>
      </c>
      <c r="E810">
        <f>497458592/(1000)</f>
        <v>497458.592</v>
      </c>
      <c r="F810">
        <f>439224000/(1000)</f>
        <v>439224</v>
      </c>
      <c r="G810">
        <f>0/(1000)</f>
        <v>0</v>
      </c>
      <c r="H810">
        <f>497091591.90625/(1000)</f>
        <v>497091.59190624999</v>
      </c>
      <c r="I810">
        <f>0/(1000)</f>
        <v>0</v>
      </c>
      <c r="J810">
        <f t="shared" si="13"/>
        <v>1</v>
      </c>
      <c r="K810">
        <f>31928001/(1000)</f>
        <v>31928.001</v>
      </c>
      <c r="L810">
        <v>17.856880187988299</v>
      </c>
      <c r="M810">
        <v>5.2109107971191397</v>
      </c>
      <c r="N810">
        <v>32.169684798146797</v>
      </c>
      <c r="O810">
        <v>1.5195770263671899</v>
      </c>
      <c r="P810">
        <v>1.08000004291534</v>
      </c>
      <c r="Q810">
        <v>0</v>
      </c>
      <c r="R810">
        <v>23.306450239856598</v>
      </c>
      <c r="S810">
        <v>0.24855169756259299</v>
      </c>
      <c r="T810">
        <v>0</v>
      </c>
      <c r="U810">
        <v>0</v>
      </c>
      <c r="V810">
        <v>0</v>
      </c>
      <c r="W810">
        <v>0</v>
      </c>
    </row>
    <row r="811" spans="1:23" x14ac:dyDescent="0.55000000000000004">
      <c r="A811" t="s">
        <v>1630</v>
      </c>
      <c r="B811" t="s">
        <v>1631</v>
      </c>
      <c r="C811" t="s">
        <v>184</v>
      </c>
      <c r="D811">
        <v>21.38</v>
      </c>
      <c r="E811">
        <f>1036673408/(1000)</f>
        <v>1036673.4080000001</v>
      </c>
      <c r="F811">
        <f>439052992/(1000)</f>
        <v>439052.99200000003</v>
      </c>
      <c r="G811">
        <f>0/(1000)</f>
        <v>0</v>
      </c>
      <c r="H811">
        <f>0/(1000)</f>
        <v>0</v>
      </c>
      <c r="I811">
        <f>0/(1000)</f>
        <v>0</v>
      </c>
      <c r="J811">
        <f t="shared" si="13"/>
        <v>1</v>
      </c>
      <c r="K811">
        <f>52183001/(1000)</f>
        <v>52183.000999999997</v>
      </c>
      <c r="L811">
        <v>22.3136310577393</v>
      </c>
      <c r="M811">
        <v>8.0656204223632795</v>
      </c>
      <c r="N811">
        <v>35.207268530996899</v>
      </c>
      <c r="O811">
        <v>73.005554199218807</v>
      </c>
      <c r="P811">
        <v>0.39111110568046598</v>
      </c>
      <c r="Q811">
        <v>1.63549426555224</v>
      </c>
      <c r="R811">
        <v>16.573642484600601</v>
      </c>
      <c r="S811">
        <v>50.014864371222899</v>
      </c>
      <c r="T811">
        <v>0</v>
      </c>
      <c r="U811">
        <v>0</v>
      </c>
      <c r="V811">
        <v>0</v>
      </c>
      <c r="W811">
        <v>0</v>
      </c>
    </row>
    <row r="812" spans="1:23" x14ac:dyDescent="0.55000000000000004">
      <c r="A812" t="s">
        <v>1632</v>
      </c>
      <c r="B812" t="s">
        <v>1633</v>
      </c>
      <c r="C812" t="s">
        <v>20</v>
      </c>
      <c r="D812">
        <v>14.72</v>
      </c>
      <c r="E812">
        <f>211532288/(1000)</f>
        <v>211532.288</v>
      </c>
      <c r="F812">
        <f>437515008/(1000)</f>
        <v>437515.00799999997</v>
      </c>
      <c r="G812">
        <f>18679000/(1000)</f>
        <v>18679</v>
      </c>
      <c r="H812">
        <f>200923288/(1000)</f>
        <v>200923.288</v>
      </c>
      <c r="I812">
        <f>31262000/(1000)</f>
        <v>31262</v>
      </c>
      <c r="J812">
        <f t="shared" si="13"/>
        <v>6.4270772183481545E-3</v>
      </c>
      <c r="K812">
        <f>-13453999/(1000)</f>
        <v>-13453.999</v>
      </c>
      <c r="L812">
        <v>0</v>
      </c>
      <c r="M812">
        <v>11.0892658233643</v>
      </c>
      <c r="N812">
        <v>97.285389292347602</v>
      </c>
      <c r="O812">
        <v>2.1592938899993901</v>
      </c>
      <c r="P812">
        <v>0</v>
      </c>
      <c r="Q812">
        <v>1.3604436859707301</v>
      </c>
      <c r="R812">
        <v>13.3818185424017</v>
      </c>
      <c r="S812">
        <v>0</v>
      </c>
      <c r="T812">
        <v>0</v>
      </c>
      <c r="U812">
        <v>0</v>
      </c>
      <c r="V812">
        <v>0</v>
      </c>
      <c r="W812">
        <v>0</v>
      </c>
    </row>
    <row r="813" spans="1:23" x14ac:dyDescent="0.55000000000000004">
      <c r="A813" t="s">
        <v>1634</v>
      </c>
      <c r="B813" t="s">
        <v>1635</v>
      </c>
      <c r="C813" t="s">
        <v>401</v>
      </c>
      <c r="D813">
        <v>27.36</v>
      </c>
      <c r="E813">
        <f>1739190400/(1000)</f>
        <v>1739190.4</v>
      </c>
      <c r="F813">
        <f>437059008/(1000)</f>
        <v>437059.00799999997</v>
      </c>
      <c r="G813">
        <f>116053000/(1000)</f>
        <v>116053</v>
      </c>
      <c r="H813">
        <f>3466358400/(1000)</f>
        <v>3466358.4</v>
      </c>
      <c r="I813">
        <f>230630000/(1000)</f>
        <v>230630</v>
      </c>
      <c r="J813">
        <f t="shared" si="13"/>
        <v>1.5029954472531762E-2</v>
      </c>
      <c r="K813">
        <f>-125827999/(1000)</f>
        <v>-125827.999</v>
      </c>
      <c r="L813">
        <v>0</v>
      </c>
      <c r="M813">
        <v>8.3459005355834996</v>
      </c>
      <c r="N813">
        <v>97.439393161691001</v>
      </c>
      <c r="O813">
        <v>150.34707641601599</v>
      </c>
      <c r="P813">
        <v>1.70000004768372</v>
      </c>
      <c r="Q813">
        <v>1.29873215236046</v>
      </c>
      <c r="R813">
        <v>55.836736975288197</v>
      </c>
      <c r="S813">
        <v>-3.8775817854831001</v>
      </c>
      <c r="T813">
        <v>0</v>
      </c>
      <c r="U813">
        <v>0</v>
      </c>
      <c r="V813">
        <v>0</v>
      </c>
      <c r="W813">
        <v>0</v>
      </c>
    </row>
    <row r="814" spans="1:23" x14ac:dyDescent="0.55000000000000004">
      <c r="A814" t="s">
        <v>1636</v>
      </c>
      <c r="B814" t="s">
        <v>1637</v>
      </c>
      <c r="C814" t="s">
        <v>401</v>
      </c>
      <c r="D814">
        <v>7.55</v>
      </c>
      <c r="E814">
        <f>334444608/(1000)</f>
        <v>334444.60800000001</v>
      </c>
      <c r="F814">
        <f>436852992/(1000)</f>
        <v>436852.99200000003</v>
      </c>
      <c r="G814">
        <f>27114000/(1000)</f>
        <v>27114</v>
      </c>
      <c r="H814">
        <f>2739337536/(1000)</f>
        <v>2739337.5359999998</v>
      </c>
      <c r="I814">
        <f>148698000/(1000)</f>
        <v>148698</v>
      </c>
      <c r="J814">
        <f t="shared" si="13"/>
        <v>1.842215454141952E-2</v>
      </c>
      <c r="K814">
        <f>-584724991/(1000)</f>
        <v>-584724.99100000004</v>
      </c>
      <c r="L814">
        <v>0</v>
      </c>
      <c r="M814">
        <v>22.720752716064499</v>
      </c>
      <c r="N814">
        <v>90.568051372552404</v>
      </c>
      <c r="O814">
        <v>181.20729064941401</v>
      </c>
      <c r="P814">
        <v>0</v>
      </c>
      <c r="Q814">
        <v>0.48851505842805598</v>
      </c>
      <c r="R814">
        <v>0</v>
      </c>
      <c r="S814">
        <v>38.098212639177802</v>
      </c>
      <c r="T814">
        <v>0</v>
      </c>
      <c r="U814">
        <v>0</v>
      </c>
      <c r="V814">
        <v>0</v>
      </c>
      <c r="W814">
        <v>0</v>
      </c>
    </row>
    <row r="815" spans="1:23" x14ac:dyDescent="0.55000000000000004">
      <c r="A815" t="s">
        <v>1638</v>
      </c>
      <c r="B815" t="s">
        <v>1639</v>
      </c>
      <c r="C815" t="s">
        <v>5</v>
      </c>
      <c r="D815">
        <v>13.17</v>
      </c>
      <c r="E815">
        <f>1409960448/(1000)</f>
        <v>1409960.4480000001</v>
      </c>
      <c r="F815">
        <f>434444992/(1000)</f>
        <v>434444.99200000003</v>
      </c>
      <c r="G815">
        <f>0/(1000)</f>
        <v>0</v>
      </c>
      <c r="H815">
        <f>0/(1000)</f>
        <v>0</v>
      </c>
      <c r="I815">
        <f>0/(1000)</f>
        <v>0</v>
      </c>
      <c r="J815">
        <f t="shared" si="13"/>
        <v>1</v>
      </c>
      <c r="K815">
        <f>117178001/(1000)</f>
        <v>117178.001</v>
      </c>
      <c r="L815">
        <v>0</v>
      </c>
      <c r="M815">
        <v>1.7182710170745901</v>
      </c>
      <c r="N815">
        <v>91.251883778451699</v>
      </c>
      <c r="O815">
        <v>167.40048217773401</v>
      </c>
      <c r="P815">
        <v>0.28000000119209301</v>
      </c>
      <c r="Q815">
        <v>1.00482960112188</v>
      </c>
      <c r="R815">
        <v>28.0212772733462</v>
      </c>
      <c r="S815">
        <v>0</v>
      </c>
      <c r="T815">
        <v>0</v>
      </c>
      <c r="U815">
        <v>0</v>
      </c>
      <c r="V815">
        <v>0</v>
      </c>
      <c r="W815">
        <v>0</v>
      </c>
    </row>
    <row r="816" spans="1:23" x14ac:dyDescent="0.55000000000000004">
      <c r="A816" t="s">
        <v>1640</v>
      </c>
      <c r="B816" t="s">
        <v>1641</v>
      </c>
      <c r="C816" t="s">
        <v>2</v>
      </c>
      <c r="D816">
        <v>14.06</v>
      </c>
      <c r="E816">
        <f>248109792/(1000)</f>
        <v>248109.79199999999</v>
      </c>
      <c r="F816">
        <f>432971200/(1000)</f>
        <v>432971.2</v>
      </c>
      <c r="G816">
        <f>18861722/(1000)</f>
        <v>18861.722000000002</v>
      </c>
      <c r="H816">
        <f>331536576/(1000)</f>
        <v>331536.576</v>
      </c>
      <c r="I816">
        <f>21377076/(1000)</f>
        <v>21377.076000000001</v>
      </c>
      <c r="J816">
        <f t="shared" si="13"/>
        <v>1.5508976812357311E-2</v>
      </c>
      <c r="K816">
        <f>6172249/(1000)</f>
        <v>6172.2489999999998</v>
      </c>
      <c r="L816">
        <v>0</v>
      </c>
      <c r="M816">
        <v>11.338203430175801</v>
      </c>
      <c r="N816">
        <v>77.186412504831495</v>
      </c>
      <c r="O816">
        <v>165.38249206543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</row>
    <row r="817" spans="1:23" x14ac:dyDescent="0.55000000000000004">
      <c r="A817" t="s">
        <v>1642</v>
      </c>
      <c r="B817" t="s">
        <v>1643</v>
      </c>
      <c r="C817" t="s">
        <v>5</v>
      </c>
      <c r="D817">
        <v>13.34</v>
      </c>
      <c r="E817">
        <f>881820672/(1000)</f>
        <v>881820.67200000002</v>
      </c>
      <c r="F817">
        <f>431800000/(1000)</f>
        <v>431800</v>
      </c>
      <c r="G817">
        <f>32971000/(1000)</f>
        <v>32971</v>
      </c>
      <c r="H817">
        <f>653189664/(1000)</f>
        <v>653189.66399999999</v>
      </c>
      <c r="I817">
        <f>51952000/(1000)</f>
        <v>51952</v>
      </c>
      <c r="J817">
        <f t="shared" si="13"/>
        <v>1.2572945488142901E-2</v>
      </c>
      <c r="K817">
        <f>13818001/(1000)</f>
        <v>13818.001</v>
      </c>
      <c r="L817">
        <v>72.269577026367202</v>
      </c>
      <c r="M817">
        <v>-7.3968939781189</v>
      </c>
      <c r="N817">
        <v>99.3933749892375</v>
      </c>
      <c r="O817">
        <v>27.1039733886719</v>
      </c>
      <c r="P817">
        <v>0</v>
      </c>
      <c r="Q817">
        <v>1.7692307984189199</v>
      </c>
      <c r="R817">
        <v>19.333333621278499</v>
      </c>
      <c r="S817">
        <v>65.859387008288806</v>
      </c>
      <c r="T817">
        <v>0</v>
      </c>
      <c r="U817">
        <v>0</v>
      </c>
      <c r="V817">
        <v>0</v>
      </c>
      <c r="W817">
        <v>0</v>
      </c>
    </row>
    <row r="818" spans="1:23" x14ac:dyDescent="0.55000000000000004">
      <c r="A818" t="s">
        <v>1644</v>
      </c>
      <c r="B818" t="s">
        <v>1645</v>
      </c>
      <c r="C818" t="s">
        <v>401</v>
      </c>
      <c r="D818">
        <v>5</v>
      </c>
      <c r="E818">
        <f>469612992/(1000)</f>
        <v>469612.99200000003</v>
      </c>
      <c r="F818">
        <f>431747008/(1000)</f>
        <v>431747.00799999997</v>
      </c>
      <c r="G818">
        <f>95219000/(1000)</f>
        <v>95219</v>
      </c>
      <c r="H818">
        <f>3831902912/(1000)</f>
        <v>3831902.912</v>
      </c>
      <c r="I818">
        <f>348753984/(1000)</f>
        <v>348753.984</v>
      </c>
      <c r="J818">
        <f t="shared" si="13"/>
        <v>1.0987409715153246E-2</v>
      </c>
      <c r="K818">
        <f>-266907999/(1000)</f>
        <v>-266907.99900000001</v>
      </c>
      <c r="L818">
        <v>0</v>
      </c>
      <c r="M818">
        <v>6.9680190086364702</v>
      </c>
      <c r="N818">
        <v>78.944045590543993</v>
      </c>
      <c r="O818">
        <v>173.75581359863301</v>
      </c>
      <c r="P818">
        <v>0.64123618602752697</v>
      </c>
      <c r="Q818">
        <v>0</v>
      </c>
      <c r="R818">
        <v>0</v>
      </c>
      <c r="S818">
        <v>362.98457743986802</v>
      </c>
      <c r="T818">
        <v>0</v>
      </c>
      <c r="U818">
        <v>0</v>
      </c>
      <c r="V818">
        <v>0</v>
      </c>
      <c r="W818">
        <v>0</v>
      </c>
    </row>
    <row r="819" spans="1:23" x14ac:dyDescent="0.55000000000000004">
      <c r="A819" t="s">
        <v>1646</v>
      </c>
      <c r="B819" t="s">
        <v>1647</v>
      </c>
      <c r="C819" t="s">
        <v>31</v>
      </c>
      <c r="D819">
        <v>27.77</v>
      </c>
      <c r="E819">
        <f>500182144/(1000)</f>
        <v>500182.14399999997</v>
      </c>
      <c r="F819">
        <f>431353984/(1000)</f>
        <v>431353.984</v>
      </c>
      <c r="G819">
        <f>17794000/(1000)</f>
        <v>17794</v>
      </c>
      <c r="H819">
        <f>451476144/(1000)</f>
        <v>451476.14399999997</v>
      </c>
      <c r="I819">
        <f>43512000/(1000)</f>
        <v>43512</v>
      </c>
      <c r="J819">
        <f t="shared" si="13"/>
        <v>1.0375899613899613E-2</v>
      </c>
      <c r="K819">
        <f>36925001/(1000)</f>
        <v>36925.000999999997</v>
      </c>
      <c r="L819">
        <v>23.954347610473601</v>
      </c>
      <c r="M819">
        <v>6.1356868743896502</v>
      </c>
      <c r="N819">
        <v>98.732480800604407</v>
      </c>
      <c r="O819">
        <v>0</v>
      </c>
      <c r="P819">
        <v>0</v>
      </c>
      <c r="Q819">
        <v>0</v>
      </c>
      <c r="R819">
        <v>14.463542228370599</v>
      </c>
      <c r="S819">
        <v>96.572145207302299</v>
      </c>
      <c r="T819">
        <v>0</v>
      </c>
      <c r="U819">
        <v>0</v>
      </c>
      <c r="V819">
        <v>0</v>
      </c>
      <c r="W819">
        <v>0</v>
      </c>
    </row>
    <row r="820" spans="1:23" x14ac:dyDescent="0.55000000000000004">
      <c r="A820" t="s">
        <v>1648</v>
      </c>
      <c r="B820" t="s">
        <v>1649</v>
      </c>
      <c r="C820" t="s">
        <v>20</v>
      </c>
      <c r="D820">
        <v>21.32</v>
      </c>
      <c r="E820">
        <f>380996928/(1000)</f>
        <v>380996.92800000001</v>
      </c>
      <c r="F820">
        <f>431049984/(1000)</f>
        <v>431049.984</v>
      </c>
      <c r="G820">
        <f>52914000/(1000)</f>
        <v>52914</v>
      </c>
      <c r="H820">
        <f>330896924/(1000)</f>
        <v>330896.924</v>
      </c>
      <c r="I820">
        <f>61349000/(1000)</f>
        <v>61349</v>
      </c>
      <c r="J820">
        <f t="shared" si="13"/>
        <v>5.3936808097931506E-3</v>
      </c>
      <c r="K820">
        <f>46942001/(1000)</f>
        <v>46942.000999999997</v>
      </c>
      <c r="L820">
        <v>17.2502346038818</v>
      </c>
      <c r="M820">
        <v>16.7065334320068</v>
      </c>
      <c r="N820">
        <v>92.502688722965203</v>
      </c>
      <c r="O820">
        <v>0</v>
      </c>
      <c r="P820">
        <v>0</v>
      </c>
      <c r="Q820">
        <v>1.87171872527506</v>
      </c>
      <c r="R820">
        <v>13.9346401768435</v>
      </c>
      <c r="S820">
        <v>32.168783574950297</v>
      </c>
      <c r="T820">
        <v>0</v>
      </c>
      <c r="U820">
        <v>0</v>
      </c>
      <c r="V820">
        <v>0</v>
      </c>
      <c r="W820">
        <v>0</v>
      </c>
    </row>
    <row r="821" spans="1:23" x14ac:dyDescent="0.55000000000000004">
      <c r="A821" t="s">
        <v>1650</v>
      </c>
      <c r="B821" t="s">
        <v>1651</v>
      </c>
      <c r="C821" t="s">
        <v>184</v>
      </c>
      <c r="D821">
        <v>16.5</v>
      </c>
      <c r="E821">
        <f>805696640/(1000)</f>
        <v>805696.64</v>
      </c>
      <c r="F821">
        <f>429923008/(1000)</f>
        <v>429923.00799999997</v>
      </c>
      <c r="G821">
        <f>0/(1000)</f>
        <v>0</v>
      </c>
      <c r="H821">
        <f>643903648/(1000)</f>
        <v>643903.64800000004</v>
      </c>
      <c r="I821">
        <f>0/(1000)</f>
        <v>0</v>
      </c>
      <c r="J821">
        <f t="shared" si="13"/>
        <v>1</v>
      </c>
      <c r="K821">
        <f>115190001/(1000)</f>
        <v>115190.001</v>
      </c>
      <c r="L821">
        <v>0</v>
      </c>
      <c r="M821">
        <v>35.210105895996101</v>
      </c>
      <c r="N821">
        <v>99.669259309662294</v>
      </c>
      <c r="O821">
        <v>0</v>
      </c>
      <c r="P821">
        <v>0.239999994635582</v>
      </c>
      <c r="Q821">
        <v>1.0101010667141199</v>
      </c>
      <c r="R821">
        <v>6.84647312386958</v>
      </c>
      <c r="S821">
        <v>0</v>
      </c>
      <c r="T821">
        <v>0</v>
      </c>
      <c r="U821">
        <v>0</v>
      </c>
      <c r="V821">
        <v>0</v>
      </c>
      <c r="W821">
        <v>0</v>
      </c>
    </row>
    <row r="822" spans="1:23" x14ac:dyDescent="0.55000000000000004">
      <c r="A822" t="s">
        <v>1652</v>
      </c>
      <c r="B822" t="s">
        <v>1653</v>
      </c>
      <c r="C822" t="s">
        <v>31</v>
      </c>
      <c r="D822">
        <v>4.6399999999999997</v>
      </c>
      <c r="E822">
        <f>140713568/(1000)</f>
        <v>140713.568</v>
      </c>
      <c r="F822">
        <f>429903008/(1000)</f>
        <v>429903.00799999997</v>
      </c>
      <c r="G822">
        <f>53447000/(1000)</f>
        <v>53447</v>
      </c>
      <c r="H822">
        <f>-11838432/(1000)</f>
        <v>-11838.432000000001</v>
      </c>
      <c r="I822">
        <f>64400000/(1000)</f>
        <v>64400</v>
      </c>
      <c r="J822">
        <f t="shared" si="13"/>
        <v>-1.8382658385093168E-4</v>
      </c>
      <c r="K822">
        <f>34640001/(1000)</f>
        <v>34640.000999999997</v>
      </c>
      <c r="L822">
        <v>0</v>
      </c>
      <c r="M822">
        <v>22.025051116943398</v>
      </c>
      <c r="N822">
        <v>99.293678463499504</v>
      </c>
      <c r="O822">
        <v>0.21125599741935699</v>
      </c>
      <c r="P822">
        <v>0</v>
      </c>
      <c r="Q822">
        <v>0</v>
      </c>
      <c r="R822">
        <v>3.83471060701345</v>
      </c>
      <c r="S822">
        <v>1388.99628706013</v>
      </c>
      <c r="T822">
        <v>0</v>
      </c>
      <c r="U822">
        <v>0</v>
      </c>
      <c r="V822">
        <v>0</v>
      </c>
      <c r="W822">
        <v>0</v>
      </c>
    </row>
    <row r="823" spans="1:23" x14ac:dyDescent="0.55000000000000004">
      <c r="A823" t="s">
        <v>1654</v>
      </c>
      <c r="B823" t="s">
        <v>1655</v>
      </c>
      <c r="C823" t="s">
        <v>5</v>
      </c>
      <c r="D823">
        <v>4.8</v>
      </c>
      <c r="E823">
        <f>287570400/(1000)</f>
        <v>287570.40000000002</v>
      </c>
      <c r="F823">
        <f>429832000/(1000)</f>
        <v>429832</v>
      </c>
      <c r="G823">
        <f>44356000/(1000)</f>
        <v>44356</v>
      </c>
      <c r="H823">
        <f>531645408/(1000)</f>
        <v>531645.40800000005</v>
      </c>
      <c r="I823">
        <f>68264000/(1000)</f>
        <v>68264</v>
      </c>
      <c r="J823">
        <f t="shared" si="13"/>
        <v>7.7880787530762927E-3</v>
      </c>
      <c r="K823">
        <f>57362001/(1000)</f>
        <v>57362.000999999997</v>
      </c>
      <c r="L823">
        <v>20.6197700500488</v>
      </c>
      <c r="M823">
        <v>17.5071315765381</v>
      </c>
      <c r="N823">
        <v>82.761786921485395</v>
      </c>
      <c r="O823">
        <v>87.719314575195298</v>
      </c>
      <c r="P823">
        <v>0</v>
      </c>
      <c r="Q823">
        <v>1.26482215921913</v>
      </c>
      <c r="R823">
        <v>5.9149725505322097</v>
      </c>
      <c r="S823">
        <v>199.60340982126399</v>
      </c>
      <c r="T823">
        <v>0</v>
      </c>
      <c r="U823">
        <v>0</v>
      </c>
      <c r="V823">
        <v>0</v>
      </c>
      <c r="W823">
        <v>0</v>
      </c>
    </row>
    <row r="824" spans="1:23" x14ac:dyDescent="0.55000000000000004">
      <c r="A824" t="s">
        <v>1656</v>
      </c>
      <c r="B824" t="s">
        <v>1657</v>
      </c>
      <c r="C824" t="s">
        <v>20</v>
      </c>
      <c r="D824">
        <v>1.68</v>
      </c>
      <c r="E824">
        <f>113447704/(1000)</f>
        <v>113447.704</v>
      </c>
      <c r="F824">
        <f>429319008/(1000)</f>
        <v>429319.00799999997</v>
      </c>
      <c r="G824">
        <f>4556000/(1000)</f>
        <v>4556</v>
      </c>
      <c r="H824">
        <f>156446704/(1000)</f>
        <v>156446.704</v>
      </c>
      <c r="I824">
        <f>22989000/(1000)</f>
        <v>22989</v>
      </c>
      <c r="J824">
        <f t="shared" si="13"/>
        <v>6.8052853103658271E-3</v>
      </c>
      <c r="K824">
        <f>4203001/(1000)</f>
        <v>4203.0010000000002</v>
      </c>
      <c r="L824">
        <v>0</v>
      </c>
      <c r="M824">
        <v>-98.905494689941406</v>
      </c>
      <c r="N824">
        <v>79.360095445957896</v>
      </c>
      <c r="O824">
        <v>135.47789001464801</v>
      </c>
      <c r="P824">
        <v>0</v>
      </c>
      <c r="Q824">
        <v>0</v>
      </c>
      <c r="R824">
        <v>0</v>
      </c>
      <c r="S824">
        <v>-12.6599816013468</v>
      </c>
      <c r="T824">
        <v>0</v>
      </c>
      <c r="U824">
        <v>0</v>
      </c>
      <c r="V824">
        <v>0</v>
      </c>
      <c r="W824">
        <v>0</v>
      </c>
    </row>
    <row r="825" spans="1:23" x14ac:dyDescent="0.55000000000000004">
      <c r="A825" t="s">
        <v>1658</v>
      </c>
      <c r="B825" t="s">
        <v>1659</v>
      </c>
      <c r="C825" t="s">
        <v>5</v>
      </c>
      <c r="D825">
        <v>23</v>
      </c>
      <c r="E825">
        <f>763747264/(1000)</f>
        <v>763747.26399999997</v>
      </c>
      <c r="F825">
        <f>427528000/(1000)</f>
        <v>427528</v>
      </c>
      <c r="G825">
        <f>64137000/(1000)</f>
        <v>64137</v>
      </c>
      <c r="H825">
        <f>680843264/(1000)</f>
        <v>680843.26399999997</v>
      </c>
      <c r="I825">
        <f>69032000/(1000)</f>
        <v>69032</v>
      </c>
      <c r="J825">
        <f t="shared" si="13"/>
        <v>9.862719666241743E-3</v>
      </c>
      <c r="K825">
        <f>25555001/(1000)</f>
        <v>25555.001</v>
      </c>
      <c r="L825">
        <v>0</v>
      </c>
      <c r="M825">
        <v>6.4532299041748002</v>
      </c>
      <c r="N825">
        <v>79.1428717225632</v>
      </c>
      <c r="O825">
        <v>52.789981842041001</v>
      </c>
      <c r="P825">
        <v>0</v>
      </c>
      <c r="Q825">
        <v>1.68169226554329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</row>
    <row r="826" spans="1:23" x14ac:dyDescent="0.55000000000000004">
      <c r="A826" t="s">
        <v>1660</v>
      </c>
      <c r="B826" t="s">
        <v>1661</v>
      </c>
      <c r="C826" t="s">
        <v>94</v>
      </c>
      <c r="D826">
        <v>43.68</v>
      </c>
      <c r="E826">
        <f>2168262144/(1000)</f>
        <v>2168262.1439999999</v>
      </c>
      <c r="F826">
        <f>426248992/(1000)</f>
        <v>426248.99200000003</v>
      </c>
      <c r="G826">
        <f>181486000/(1000)</f>
        <v>181486</v>
      </c>
      <c r="H826">
        <f>4295696128/(1000)</f>
        <v>4295696.1279999996</v>
      </c>
      <c r="I826">
        <f>249414000/(1000)</f>
        <v>249414</v>
      </c>
      <c r="J826">
        <f t="shared" si="13"/>
        <v>1.7223155588699909E-2</v>
      </c>
      <c r="K826">
        <f>-151385999/(1000)</f>
        <v>-151385.99900000001</v>
      </c>
      <c r="L826">
        <v>0</v>
      </c>
      <c r="M826">
        <v>13.3834981918335</v>
      </c>
      <c r="N826">
        <v>96.679670138902196</v>
      </c>
      <c r="O826">
        <v>398.42364501953102</v>
      </c>
      <c r="P826">
        <v>1.2200000286102299</v>
      </c>
      <c r="Q826">
        <v>2.34649480753402</v>
      </c>
      <c r="R826">
        <v>21.307317717652602</v>
      </c>
      <c r="S826">
        <v>0</v>
      </c>
      <c r="T826">
        <v>0</v>
      </c>
      <c r="U826">
        <v>0</v>
      </c>
      <c r="V826">
        <v>0</v>
      </c>
      <c r="W826">
        <v>0</v>
      </c>
    </row>
    <row r="827" spans="1:23" x14ac:dyDescent="0.55000000000000004">
      <c r="A827" t="s">
        <v>1662</v>
      </c>
      <c r="B827" t="s">
        <v>1663</v>
      </c>
      <c r="C827" t="s">
        <v>38</v>
      </c>
      <c r="D827">
        <v>3.35</v>
      </c>
      <c r="E827">
        <f>119884768/(1000)</f>
        <v>119884.768</v>
      </c>
      <c r="F827">
        <f>425470016/(1000)</f>
        <v>425470.016</v>
      </c>
      <c r="G827">
        <f>22172000/(1000)</f>
        <v>22172</v>
      </c>
      <c r="H827">
        <f>600053760/(1000)</f>
        <v>600053.76000000001</v>
      </c>
      <c r="I827">
        <f>67453000/(1000)</f>
        <v>67453</v>
      </c>
      <c r="J827">
        <f t="shared" si="13"/>
        <v>8.8958795012823739E-3</v>
      </c>
      <c r="K827">
        <f>-16471000/(1000)</f>
        <v>-16471</v>
      </c>
      <c r="L827">
        <v>0</v>
      </c>
      <c r="M827">
        <v>0</v>
      </c>
      <c r="N827">
        <v>77.416346264705993</v>
      </c>
      <c r="O827">
        <v>0</v>
      </c>
      <c r="P827">
        <v>0</v>
      </c>
      <c r="Q827">
        <v>0</v>
      </c>
      <c r="R827">
        <v>0</v>
      </c>
      <c r="S827">
        <v>217.33022270618599</v>
      </c>
      <c r="T827">
        <v>0</v>
      </c>
      <c r="U827">
        <v>0</v>
      </c>
      <c r="V827">
        <v>0</v>
      </c>
      <c r="W827">
        <v>0</v>
      </c>
    </row>
    <row r="828" spans="1:23" x14ac:dyDescent="0.55000000000000004">
      <c r="A828" t="s">
        <v>1664</v>
      </c>
      <c r="B828" t="s">
        <v>1665</v>
      </c>
      <c r="C828" t="s">
        <v>5</v>
      </c>
      <c r="D828">
        <v>13.85</v>
      </c>
      <c r="E828">
        <f>220231632/(1000)</f>
        <v>220231.63200000001</v>
      </c>
      <c r="F828">
        <f>424631008/(1000)</f>
        <v>424631.00799999997</v>
      </c>
      <c r="G828">
        <f>52319000/(1000)</f>
        <v>52319</v>
      </c>
      <c r="H828">
        <f>331053632/(1000)</f>
        <v>331053.63199999998</v>
      </c>
      <c r="I828">
        <f>63453000/(1000)</f>
        <v>63453</v>
      </c>
      <c r="J828">
        <f t="shared" si="13"/>
        <v>5.2173046506863345E-3</v>
      </c>
      <c r="K828">
        <f>1672001.875/(1000)</f>
        <v>1672.0018749999999</v>
      </c>
      <c r="L828">
        <v>0</v>
      </c>
      <c r="M828">
        <v>18.230270385742202</v>
      </c>
      <c r="N828">
        <v>99.933336513607102</v>
      </c>
      <c r="O828">
        <v>26.478462219238299</v>
      </c>
      <c r="P828">
        <v>0</v>
      </c>
      <c r="Q828">
        <v>0</v>
      </c>
      <c r="R828">
        <v>6.3532112501690197</v>
      </c>
      <c r="S828">
        <v>125.215868974881</v>
      </c>
      <c r="T828">
        <v>0</v>
      </c>
      <c r="U828">
        <v>0</v>
      </c>
      <c r="V828">
        <v>0</v>
      </c>
      <c r="W828">
        <v>0</v>
      </c>
    </row>
    <row r="829" spans="1:23" x14ac:dyDescent="0.55000000000000004">
      <c r="A829" t="s">
        <v>1666</v>
      </c>
      <c r="B829" t="s">
        <v>1667</v>
      </c>
      <c r="C829" t="s">
        <v>81</v>
      </c>
      <c r="D829">
        <v>11.57</v>
      </c>
      <c r="E829">
        <f>314698208/(1000)</f>
        <v>314698.20799999998</v>
      </c>
      <c r="F829">
        <f>424624000/(1000)</f>
        <v>424624</v>
      </c>
      <c r="G829">
        <f>82278000/(1000)</f>
        <v>82278</v>
      </c>
      <c r="H829">
        <f>210970208/(1000)</f>
        <v>210970.20800000001</v>
      </c>
      <c r="I829">
        <f>130966000/(1000)</f>
        <v>130966</v>
      </c>
      <c r="J829">
        <f t="shared" si="13"/>
        <v>1.6108776934471542E-3</v>
      </c>
      <c r="K829">
        <f>95962001/(1000)</f>
        <v>95962.001000000004</v>
      </c>
      <c r="L829">
        <v>0</v>
      </c>
      <c r="M829">
        <v>-1.22372102737427</v>
      </c>
      <c r="N829">
        <v>97.974598254140801</v>
      </c>
      <c r="O829">
        <v>0</v>
      </c>
      <c r="P829">
        <v>1</v>
      </c>
      <c r="Q829">
        <v>0</v>
      </c>
      <c r="R829">
        <v>0</v>
      </c>
      <c r="S829">
        <v>-48.136197990704197</v>
      </c>
      <c r="T829">
        <v>0</v>
      </c>
      <c r="U829">
        <v>0</v>
      </c>
      <c r="V829">
        <v>0</v>
      </c>
      <c r="W829">
        <v>0</v>
      </c>
    </row>
    <row r="830" spans="1:23" x14ac:dyDescent="0.55000000000000004">
      <c r="A830" t="s">
        <v>1668</v>
      </c>
      <c r="B830" t="s">
        <v>1669</v>
      </c>
      <c r="C830" t="s">
        <v>5</v>
      </c>
      <c r="D830">
        <v>71.53</v>
      </c>
      <c r="E830">
        <f>1353090176/(1000)</f>
        <v>1353090.176</v>
      </c>
      <c r="F830">
        <f>423377984/(1000)</f>
        <v>423377.984</v>
      </c>
      <c r="G830">
        <f>124239000/(1000)</f>
        <v>124239</v>
      </c>
      <c r="H830">
        <f>1800309184/(1000)</f>
        <v>1800309.1839999999</v>
      </c>
      <c r="I830">
        <f>133082000/(1000)</f>
        <v>133082</v>
      </c>
      <c r="J830">
        <f t="shared" si="13"/>
        <v>1.352781881847282E-2</v>
      </c>
      <c r="K830">
        <f>80439001/(1000)</f>
        <v>80439.001000000004</v>
      </c>
      <c r="L830">
        <v>19.835802078247099</v>
      </c>
      <c r="M830">
        <v>35.393978118896499</v>
      </c>
      <c r="N830">
        <v>83.845759433542796</v>
      </c>
      <c r="O830">
        <v>255.60910034179699</v>
      </c>
      <c r="P830">
        <v>0</v>
      </c>
      <c r="Q830">
        <v>5.4519816618313</v>
      </c>
      <c r="R830">
        <v>18.388174842766698</v>
      </c>
      <c r="S830">
        <v>89.756890586062795</v>
      </c>
      <c r="T830">
        <v>0</v>
      </c>
      <c r="U830">
        <v>0</v>
      </c>
      <c r="V830">
        <v>0</v>
      </c>
      <c r="W830">
        <v>0</v>
      </c>
    </row>
    <row r="831" spans="1:23" x14ac:dyDescent="0.55000000000000004">
      <c r="A831" t="s">
        <v>1670</v>
      </c>
      <c r="B831" t="s">
        <v>1671</v>
      </c>
      <c r="C831" t="s">
        <v>17</v>
      </c>
      <c r="D831">
        <v>34.24</v>
      </c>
      <c r="E831">
        <f>528895008/(1000)</f>
        <v>528895.00800000003</v>
      </c>
      <c r="F831">
        <f>423148992/(1000)</f>
        <v>423148.99200000003</v>
      </c>
      <c r="G831">
        <f>70701000/(1000)</f>
        <v>70701</v>
      </c>
      <c r="H831">
        <f>545846008/(1000)</f>
        <v>545846.00800000003</v>
      </c>
      <c r="I831">
        <f>76034000/(1000)</f>
        <v>76034</v>
      </c>
      <c r="J831">
        <f t="shared" si="13"/>
        <v>7.1789726701212619E-3</v>
      </c>
      <c r="K831">
        <f>30955001/(1000)</f>
        <v>30955.001</v>
      </c>
      <c r="L831">
        <v>21.967939376831101</v>
      </c>
      <c r="M831">
        <v>91.702331542968807</v>
      </c>
      <c r="N831">
        <v>29.152504884380399</v>
      </c>
      <c r="O831">
        <v>72.467521667480497</v>
      </c>
      <c r="P831">
        <v>0</v>
      </c>
      <c r="Q831">
        <v>10.0116961738699</v>
      </c>
      <c r="R831">
        <v>15.217778322196301</v>
      </c>
      <c r="S831">
        <v>216.311589522784</v>
      </c>
      <c r="T831">
        <v>0</v>
      </c>
      <c r="U831">
        <v>0</v>
      </c>
      <c r="V831">
        <v>0</v>
      </c>
      <c r="W831">
        <v>0</v>
      </c>
    </row>
    <row r="832" spans="1:23" x14ac:dyDescent="0.55000000000000004">
      <c r="A832" t="s">
        <v>1672</v>
      </c>
      <c r="B832" t="s">
        <v>1673</v>
      </c>
      <c r="C832" t="s">
        <v>31</v>
      </c>
      <c r="D832">
        <v>1.95</v>
      </c>
      <c r="E832">
        <f>81911504/(1000)</f>
        <v>81911.504000000001</v>
      </c>
      <c r="F832">
        <f>422548000/(1000)</f>
        <v>422548</v>
      </c>
      <c r="G832">
        <f>64999.99609375/(1000)</f>
        <v>64.999996093749999</v>
      </c>
      <c r="H832">
        <f>270030512/(1000)</f>
        <v>270030.51199999999</v>
      </c>
      <c r="I832">
        <f>103996000/(1000)</f>
        <v>103996</v>
      </c>
      <c r="J832">
        <f t="shared" si="13"/>
        <v>2.5965470979653063E-3</v>
      </c>
      <c r="K832">
        <f>-13044997/(1000)</f>
        <v>-13044.996999999999</v>
      </c>
      <c r="L832">
        <v>0</v>
      </c>
      <c r="M832">
        <v>-40.646400451660199</v>
      </c>
      <c r="N832">
        <v>86.905408141145799</v>
      </c>
      <c r="O832">
        <v>51.713699340820298</v>
      </c>
      <c r="P832">
        <v>0</v>
      </c>
      <c r="Q832">
        <v>0.227008150529106</v>
      </c>
      <c r="R832">
        <v>0</v>
      </c>
      <c r="S832">
        <v>21.114181217826001</v>
      </c>
      <c r="T832">
        <v>0</v>
      </c>
      <c r="U832">
        <v>0</v>
      </c>
      <c r="V832">
        <v>0</v>
      </c>
      <c r="W832">
        <v>0</v>
      </c>
    </row>
    <row r="833" spans="1:23" x14ac:dyDescent="0.55000000000000004">
      <c r="A833" t="s">
        <v>1674</v>
      </c>
      <c r="B833" t="s">
        <v>1675</v>
      </c>
      <c r="C833" t="s">
        <v>5</v>
      </c>
      <c r="D833">
        <v>10.15</v>
      </c>
      <c r="E833">
        <f>229276320/(1000)</f>
        <v>229276.32</v>
      </c>
      <c r="F833">
        <f>422164000/(1000)</f>
        <v>422164</v>
      </c>
      <c r="G833">
        <f>67919000/(1000)</f>
        <v>67919</v>
      </c>
      <c r="H833">
        <f>281166320/(1000)</f>
        <v>281166.32</v>
      </c>
      <c r="I833">
        <f>72348000/(1000)</f>
        <v>72348</v>
      </c>
      <c r="J833">
        <f t="shared" si="13"/>
        <v>3.8863039752308286E-3</v>
      </c>
      <c r="K833">
        <f>34049001/(1000)</f>
        <v>34049.000999999997</v>
      </c>
      <c r="L833">
        <v>0</v>
      </c>
      <c r="M833">
        <v>39.198249816894503</v>
      </c>
      <c r="N833">
        <v>98.874661666597802</v>
      </c>
      <c r="O833">
        <v>90.069969177246094</v>
      </c>
      <c r="P833">
        <v>0</v>
      </c>
      <c r="Q833">
        <v>1.8726936301946699</v>
      </c>
      <c r="R833">
        <v>7.99212561636541</v>
      </c>
      <c r="S833">
        <v>0</v>
      </c>
      <c r="T833">
        <v>0</v>
      </c>
      <c r="U833">
        <v>0</v>
      </c>
      <c r="V833">
        <v>0</v>
      </c>
      <c r="W833">
        <v>0</v>
      </c>
    </row>
    <row r="834" spans="1:23" x14ac:dyDescent="0.55000000000000004">
      <c r="A834" t="s">
        <v>1676</v>
      </c>
      <c r="B834" t="s">
        <v>1677</v>
      </c>
      <c r="C834" t="s">
        <v>2</v>
      </c>
      <c r="D834">
        <v>2.29</v>
      </c>
      <c r="E834">
        <f>37253492/(1000)</f>
        <v>37253.491999999998</v>
      </c>
      <c r="F834">
        <f>421294016/(1000)</f>
        <v>421294.016</v>
      </c>
      <c r="G834">
        <f>24801000/(1000)</f>
        <v>24801</v>
      </c>
      <c r="H834">
        <f>132593492/(1000)</f>
        <v>132593.492</v>
      </c>
      <c r="I834">
        <f>47797000/(1000)</f>
        <v>47797</v>
      </c>
      <c r="J834">
        <f t="shared" ref="J834:J897" si="14">(IF(I834=0,1000,H834/I834))/(1000)</f>
        <v>2.7740965332552249E-3</v>
      </c>
      <c r="K834">
        <f>2738000/(1000)</f>
        <v>2738</v>
      </c>
      <c r="L834">
        <v>14.7188262939453</v>
      </c>
      <c r="M834">
        <v>-0.89129698276519798</v>
      </c>
      <c r="N834">
        <v>99.341645425377806</v>
      </c>
      <c r="O834">
        <v>87.728675842285199</v>
      </c>
      <c r="P834">
        <v>0</v>
      </c>
      <c r="Q834">
        <v>0</v>
      </c>
      <c r="R834">
        <v>2.16037731764367</v>
      </c>
      <c r="S834">
        <v>118.45004355581401</v>
      </c>
      <c r="T834">
        <v>0</v>
      </c>
      <c r="U834">
        <v>0</v>
      </c>
      <c r="V834">
        <v>0</v>
      </c>
      <c r="W834">
        <v>0</v>
      </c>
    </row>
    <row r="835" spans="1:23" x14ac:dyDescent="0.55000000000000004">
      <c r="A835" t="s">
        <v>1678</v>
      </c>
      <c r="B835" t="s">
        <v>1679</v>
      </c>
      <c r="C835" t="s">
        <v>2</v>
      </c>
      <c r="D835">
        <v>77</v>
      </c>
      <c r="E835">
        <f>527226688/(1000)</f>
        <v>527226.68799999997</v>
      </c>
      <c r="F835">
        <f>420716000/(1000)</f>
        <v>420716</v>
      </c>
      <c r="G835">
        <f>53960000/(1000)</f>
        <v>53960</v>
      </c>
      <c r="H835">
        <f>407553688/(1000)</f>
        <v>407553.68800000002</v>
      </c>
      <c r="I835">
        <f>62445000/(1000)</f>
        <v>62445</v>
      </c>
      <c r="J835">
        <f t="shared" si="14"/>
        <v>6.5266024181279535E-3</v>
      </c>
      <c r="K835">
        <f>31808003/(1000)</f>
        <v>31808.003000000001</v>
      </c>
      <c r="L835">
        <v>15.8273468017578</v>
      </c>
      <c r="M835">
        <v>13.4351854324341</v>
      </c>
      <c r="N835">
        <v>69.708345907550907</v>
      </c>
      <c r="O835">
        <v>0</v>
      </c>
      <c r="P835">
        <v>1</v>
      </c>
      <c r="Q835">
        <v>0</v>
      </c>
      <c r="R835">
        <v>11.9751164054125</v>
      </c>
      <c r="S835">
        <v>214.603414367863</v>
      </c>
      <c r="T835">
        <v>0</v>
      </c>
      <c r="U835">
        <v>0</v>
      </c>
      <c r="V835">
        <v>0</v>
      </c>
      <c r="W835">
        <v>0</v>
      </c>
    </row>
    <row r="836" spans="1:23" x14ac:dyDescent="0.55000000000000004">
      <c r="A836" t="s">
        <v>1680</v>
      </c>
      <c r="B836" t="s">
        <v>1681</v>
      </c>
      <c r="C836" t="s">
        <v>31</v>
      </c>
      <c r="D836">
        <v>17.47</v>
      </c>
      <c r="E836">
        <f>611278784/(1000)</f>
        <v>611278.78399999999</v>
      </c>
      <c r="F836">
        <f>419260992/(1000)</f>
        <v>419260.99200000003</v>
      </c>
      <c r="G836">
        <f>84467000/(1000)</f>
        <v>84467</v>
      </c>
      <c r="H836">
        <f>676529784/(1000)</f>
        <v>676529.78399999999</v>
      </c>
      <c r="I836">
        <f>116339000/(1000)</f>
        <v>116339</v>
      </c>
      <c r="J836">
        <f t="shared" si="14"/>
        <v>5.8151590094465307E-3</v>
      </c>
      <c r="K836">
        <f>95108001/(1000)</f>
        <v>95108.001000000004</v>
      </c>
      <c r="L836">
        <v>0</v>
      </c>
      <c r="M836">
        <v>30.365913391113299</v>
      </c>
      <c r="N836">
        <v>97.664203000478295</v>
      </c>
      <c r="O836">
        <v>278.706787109375</v>
      </c>
      <c r="P836">
        <v>0</v>
      </c>
      <c r="Q836">
        <v>3.9524884642089502</v>
      </c>
      <c r="R836">
        <v>10.581465215726199</v>
      </c>
      <c r="S836">
        <v>-31.3735456581854</v>
      </c>
      <c r="T836">
        <v>0</v>
      </c>
      <c r="U836">
        <v>0</v>
      </c>
      <c r="V836">
        <v>0</v>
      </c>
      <c r="W836">
        <v>0</v>
      </c>
    </row>
    <row r="837" spans="1:23" x14ac:dyDescent="0.55000000000000004">
      <c r="A837" t="s">
        <v>1682</v>
      </c>
      <c r="B837" t="s">
        <v>1683</v>
      </c>
      <c r="C837" t="s">
        <v>121</v>
      </c>
      <c r="D837">
        <v>2.31</v>
      </c>
      <c r="E837">
        <f>87677440/(1000)</f>
        <v>87677.440000000002</v>
      </c>
      <c r="F837">
        <f>418029856/(1000)</f>
        <v>418029.85600000003</v>
      </c>
      <c r="G837">
        <f>38932624/(1000)</f>
        <v>38932.624000000003</v>
      </c>
      <c r="H837">
        <f>166902496/(1000)</f>
        <v>166902.49600000001</v>
      </c>
      <c r="I837">
        <f>43317044/(1000)</f>
        <v>43317.044000000002</v>
      </c>
      <c r="J837">
        <f t="shared" si="14"/>
        <v>3.8530444505862405E-3</v>
      </c>
      <c r="K837">
        <f>-45841715/(1000)</f>
        <v>-45841.714999999997</v>
      </c>
      <c r="L837">
        <v>0</v>
      </c>
      <c r="M837">
        <v>28.037572860717798</v>
      </c>
      <c r="N837">
        <v>20.0697653357599</v>
      </c>
      <c r="O837">
        <v>103.62996673584</v>
      </c>
      <c r="P837">
        <v>0</v>
      </c>
      <c r="Q837">
        <v>0</v>
      </c>
      <c r="R837">
        <v>2.51086949814104</v>
      </c>
      <c r="S837">
        <v>0</v>
      </c>
      <c r="T837">
        <v>0</v>
      </c>
      <c r="U837">
        <v>0</v>
      </c>
      <c r="V837">
        <v>0</v>
      </c>
      <c r="W837">
        <v>0</v>
      </c>
    </row>
    <row r="838" spans="1:23" x14ac:dyDescent="0.55000000000000004">
      <c r="A838" t="s">
        <v>1684</v>
      </c>
      <c r="B838" t="s">
        <v>1685</v>
      </c>
      <c r="C838" t="s">
        <v>5</v>
      </c>
      <c r="D838">
        <v>14.31</v>
      </c>
      <c r="E838">
        <f>863556992/(1000)</f>
        <v>863556.99199999997</v>
      </c>
      <c r="F838">
        <f>416960000/(1000)</f>
        <v>416960</v>
      </c>
      <c r="G838">
        <f>34947000/(1000)</f>
        <v>34947</v>
      </c>
      <c r="H838">
        <f>589452000/(1000)</f>
        <v>589452</v>
      </c>
      <c r="I838">
        <f>52402000/(1000)</f>
        <v>52402</v>
      </c>
      <c r="J838">
        <f t="shared" si="14"/>
        <v>1.1248654631502614E-2</v>
      </c>
      <c r="K838">
        <f>61819001/(1000)</f>
        <v>61819.000999999997</v>
      </c>
      <c r="L838">
        <v>0</v>
      </c>
      <c r="M838">
        <v>11.717485427856399</v>
      </c>
      <c r="N838">
        <v>98.686580809050994</v>
      </c>
      <c r="O838">
        <v>0</v>
      </c>
      <c r="P838">
        <v>0</v>
      </c>
      <c r="Q838">
        <v>1.80397108428173</v>
      </c>
      <c r="R838">
        <v>15.900000360939201</v>
      </c>
      <c r="S838">
        <v>1778.1981981982001</v>
      </c>
      <c r="T838">
        <v>0</v>
      </c>
      <c r="U838">
        <v>0</v>
      </c>
      <c r="V838">
        <v>0</v>
      </c>
      <c r="W838">
        <v>0</v>
      </c>
    </row>
    <row r="839" spans="1:23" x14ac:dyDescent="0.55000000000000004">
      <c r="A839" t="s">
        <v>1686</v>
      </c>
      <c r="B839" t="s">
        <v>1687</v>
      </c>
      <c r="C839" t="s">
        <v>8</v>
      </c>
      <c r="D839">
        <v>5.57</v>
      </c>
      <c r="E839">
        <f>278434848/(1000)</f>
        <v>278434.848</v>
      </c>
      <c r="F839">
        <f>416178176/(1000)</f>
        <v>416178.17599999998</v>
      </c>
      <c r="G839">
        <f>126975784/(1000)</f>
        <v>126975.784</v>
      </c>
      <c r="H839">
        <f>543743840/(1000)</f>
        <v>543743.84</v>
      </c>
      <c r="I839">
        <f>179832256/(1000)</f>
        <v>179832.25599999999</v>
      </c>
      <c r="J839">
        <f t="shared" si="14"/>
        <v>3.0236168532524E-3</v>
      </c>
      <c r="K839">
        <f>-12976460/(1000)</f>
        <v>-12976.46</v>
      </c>
      <c r="L839">
        <v>0</v>
      </c>
      <c r="M839">
        <v>21.899290084838899</v>
      </c>
      <c r="N839">
        <v>97.784480935900106</v>
      </c>
      <c r="O839">
        <v>0</v>
      </c>
      <c r="P839">
        <v>0</v>
      </c>
      <c r="Q839">
        <v>0.51383764697933298</v>
      </c>
      <c r="R839">
        <v>0</v>
      </c>
      <c r="S839">
        <v>505.790649199418</v>
      </c>
      <c r="T839">
        <v>0</v>
      </c>
      <c r="U839">
        <v>0</v>
      </c>
      <c r="V839">
        <v>0</v>
      </c>
      <c r="W839">
        <v>0</v>
      </c>
    </row>
    <row r="840" spans="1:23" x14ac:dyDescent="0.55000000000000004">
      <c r="A840" t="s">
        <v>1688</v>
      </c>
      <c r="B840" t="s">
        <v>1689</v>
      </c>
      <c r="C840" t="s">
        <v>401</v>
      </c>
      <c r="D840">
        <v>3.91</v>
      </c>
      <c r="E840">
        <f>246290496/(1000)</f>
        <v>246290.49600000001</v>
      </c>
      <c r="F840">
        <f>415312992/(1000)</f>
        <v>415312.99200000003</v>
      </c>
      <c r="G840">
        <f>306188992/(1000)</f>
        <v>306188.99200000003</v>
      </c>
      <c r="H840">
        <f>0/(1000)</f>
        <v>0</v>
      </c>
      <c r="I840">
        <f>338516000/(1000)</f>
        <v>338516</v>
      </c>
      <c r="J840">
        <f t="shared" si="14"/>
        <v>0</v>
      </c>
      <c r="K840">
        <f>-583980991/(1000)</f>
        <v>-583980.99100000004</v>
      </c>
      <c r="L840">
        <v>0</v>
      </c>
      <c r="M840">
        <v>6.4546060562133798</v>
      </c>
      <c r="N840">
        <v>89.809003005252293</v>
      </c>
      <c r="O840">
        <v>616.52917480468795</v>
      </c>
      <c r="P840">
        <v>1.3242439031601001</v>
      </c>
      <c r="Q840">
        <v>0.25683639301528799</v>
      </c>
      <c r="R840">
        <v>0</v>
      </c>
      <c r="S840">
        <v>5191312.0831413502</v>
      </c>
      <c r="T840">
        <v>0</v>
      </c>
      <c r="U840">
        <v>0</v>
      </c>
      <c r="V840">
        <v>0</v>
      </c>
      <c r="W840">
        <v>0</v>
      </c>
    </row>
    <row r="841" spans="1:23" x14ac:dyDescent="0.55000000000000004">
      <c r="A841" t="s">
        <v>1690</v>
      </c>
      <c r="B841" t="s">
        <v>1691</v>
      </c>
      <c r="C841" t="s">
        <v>401</v>
      </c>
      <c r="D841">
        <v>38.36</v>
      </c>
      <c r="E841">
        <f>953468544/(1000)</f>
        <v>953468.54399999999</v>
      </c>
      <c r="F841">
        <f>415183008/(1000)</f>
        <v>415183.00799999997</v>
      </c>
      <c r="G841">
        <f>121520000/(1000)</f>
        <v>121520</v>
      </c>
      <c r="H841">
        <f>2787605504/(1000)</f>
        <v>2787605.5040000002</v>
      </c>
      <c r="I841">
        <f>194100992/(1000)</f>
        <v>194100.992</v>
      </c>
      <c r="J841">
        <f t="shared" si="14"/>
        <v>1.4361624200251385E-2</v>
      </c>
      <c r="K841">
        <f>68633001/(1000)</f>
        <v>68633.001000000004</v>
      </c>
      <c r="L841">
        <v>0</v>
      </c>
      <c r="M841">
        <v>54.382976531982401</v>
      </c>
      <c r="N841">
        <v>90.5189108012693</v>
      </c>
      <c r="O841">
        <v>574.74688720703102</v>
      </c>
      <c r="P841">
        <v>0.80000001192092896</v>
      </c>
      <c r="Q841">
        <v>0</v>
      </c>
      <c r="R841">
        <v>40.808512199749401</v>
      </c>
      <c r="S841">
        <v>59.631733282167097</v>
      </c>
      <c r="T841">
        <v>0</v>
      </c>
      <c r="U841">
        <v>0</v>
      </c>
      <c r="V841">
        <v>0</v>
      </c>
      <c r="W841">
        <v>0</v>
      </c>
    </row>
    <row r="842" spans="1:23" x14ac:dyDescent="0.55000000000000004">
      <c r="A842" t="s">
        <v>1692</v>
      </c>
      <c r="B842" t="s">
        <v>1693</v>
      </c>
      <c r="C842" t="s">
        <v>5</v>
      </c>
      <c r="D842">
        <v>3.62</v>
      </c>
      <c r="E842">
        <f>81996616/(1000)</f>
        <v>81996.615999999995</v>
      </c>
      <c r="F842">
        <f>415012992/(1000)</f>
        <v>415012.99200000003</v>
      </c>
      <c r="G842">
        <f>0/(1000)</f>
        <v>0</v>
      </c>
      <c r="H842">
        <f>0/(1000)</f>
        <v>0</v>
      </c>
      <c r="I842">
        <f>0/(1000)</f>
        <v>0</v>
      </c>
      <c r="J842">
        <f t="shared" si="14"/>
        <v>1</v>
      </c>
      <c r="K842">
        <f>51183001/(1000)</f>
        <v>51183.000999999997</v>
      </c>
      <c r="L842">
        <v>16.817632675170898</v>
      </c>
      <c r="M842">
        <v>7.3485617637634304</v>
      </c>
      <c r="N842">
        <v>97.438086207850404</v>
      </c>
      <c r="O842">
        <v>207.817306518555</v>
      </c>
      <c r="P842">
        <v>0</v>
      </c>
      <c r="Q842">
        <v>0.28560156458263602</v>
      </c>
      <c r="R842">
        <v>0</v>
      </c>
      <c r="S842">
        <v>28.312203809052701</v>
      </c>
      <c r="T842">
        <v>0</v>
      </c>
      <c r="U842">
        <v>0</v>
      </c>
      <c r="V842">
        <v>0</v>
      </c>
      <c r="W842">
        <v>0</v>
      </c>
    </row>
    <row r="843" spans="1:23" x14ac:dyDescent="0.55000000000000004">
      <c r="A843" t="s">
        <v>1694</v>
      </c>
      <c r="B843" t="s">
        <v>1695</v>
      </c>
      <c r="C843" t="s">
        <v>38</v>
      </c>
      <c r="D843">
        <v>27.28</v>
      </c>
      <c r="E843">
        <f>361132640/(1000)</f>
        <v>361132.64</v>
      </c>
      <c r="F843">
        <f>413508992/(1000)</f>
        <v>413508.99200000003</v>
      </c>
      <c r="G843">
        <f>28327000/(1000)</f>
        <v>28327</v>
      </c>
      <c r="H843">
        <f>199651648/(1000)</f>
        <v>199651.64799999999</v>
      </c>
      <c r="I843">
        <f>43947000/(1000)</f>
        <v>43947</v>
      </c>
      <c r="J843">
        <f t="shared" si="14"/>
        <v>4.5430097162491179E-3</v>
      </c>
      <c r="K843">
        <f>33122003/(1000)</f>
        <v>33122.002999999997</v>
      </c>
      <c r="L843">
        <v>59.744117736816399</v>
      </c>
      <c r="M843">
        <v>5.7153081893920898</v>
      </c>
      <c r="N843">
        <v>98.539810263619103</v>
      </c>
      <c r="O843">
        <v>0</v>
      </c>
      <c r="P843">
        <v>0.40000000596046398</v>
      </c>
      <c r="Q843">
        <v>0.79406203027618305</v>
      </c>
      <c r="R843">
        <v>16.457102403964399</v>
      </c>
      <c r="S843">
        <v>-12.335885321906</v>
      </c>
      <c r="T843">
        <v>0</v>
      </c>
      <c r="U843">
        <v>0</v>
      </c>
      <c r="V843">
        <v>0</v>
      </c>
      <c r="W843">
        <v>0</v>
      </c>
    </row>
    <row r="844" spans="1:23" x14ac:dyDescent="0.55000000000000004">
      <c r="A844" t="s">
        <v>1696</v>
      </c>
      <c r="B844" t="s">
        <v>1697</v>
      </c>
      <c r="C844" t="s">
        <v>17</v>
      </c>
      <c r="D844">
        <v>2.4500000000000002</v>
      </c>
      <c r="E844">
        <f>64828960/(1000)</f>
        <v>64828.959999999999</v>
      </c>
      <c r="F844">
        <f>412678016/(1000)</f>
        <v>412678.016</v>
      </c>
      <c r="G844">
        <f>7609000/(1000)</f>
        <v>7609</v>
      </c>
      <c r="H844">
        <f>30135960/(1000)</f>
        <v>30135.96</v>
      </c>
      <c r="I844">
        <f>17845000/(1000)</f>
        <v>17845</v>
      </c>
      <c r="J844">
        <f t="shared" si="14"/>
        <v>1.6887621182404033E-3</v>
      </c>
      <c r="K844">
        <f>4366999.5/(1000)</f>
        <v>4366.9994999999999</v>
      </c>
      <c r="L844">
        <v>18.896812438964801</v>
      </c>
      <c r="M844">
        <v>7.5080270767211896</v>
      </c>
      <c r="N844">
        <v>59.116504032269702</v>
      </c>
      <c r="O844">
        <v>0.427148997783661</v>
      </c>
      <c r="P844">
        <v>0.80000001192092896</v>
      </c>
      <c r="Q844">
        <v>0</v>
      </c>
      <c r="R844">
        <v>0</v>
      </c>
      <c r="S844">
        <v>192.787422311775</v>
      </c>
      <c r="T844">
        <v>0</v>
      </c>
      <c r="U844">
        <v>0</v>
      </c>
      <c r="V844">
        <v>0</v>
      </c>
      <c r="W844">
        <v>0</v>
      </c>
    </row>
    <row r="845" spans="1:23" x14ac:dyDescent="0.55000000000000004">
      <c r="A845" t="s">
        <v>1698</v>
      </c>
      <c r="B845" t="s">
        <v>1699</v>
      </c>
      <c r="C845" t="s">
        <v>5</v>
      </c>
      <c r="D845">
        <v>2.29</v>
      </c>
      <c r="E845">
        <f>218677152/(1000)</f>
        <v>218677.152</v>
      </c>
      <c r="F845">
        <f>411748000/(1000)</f>
        <v>411748</v>
      </c>
      <c r="G845">
        <f>6872000/(1000)</f>
        <v>6872</v>
      </c>
      <c r="H845">
        <f>107611152/(1000)</f>
        <v>107611.152</v>
      </c>
      <c r="I845">
        <f>18174000/(1000)</f>
        <v>18174</v>
      </c>
      <c r="J845">
        <f t="shared" si="14"/>
        <v>5.9211594585671838E-3</v>
      </c>
      <c r="K845">
        <f>24803001/(1000)</f>
        <v>24803.001</v>
      </c>
      <c r="L845">
        <v>0</v>
      </c>
      <c r="M845">
        <v>-14.226143836975099</v>
      </c>
      <c r="N845">
        <v>94.091556592279204</v>
      </c>
      <c r="O845">
        <v>2.1193420886993399</v>
      </c>
      <c r="P845">
        <v>0</v>
      </c>
      <c r="Q845">
        <v>0</v>
      </c>
      <c r="R845">
        <v>229.000086613034</v>
      </c>
      <c r="S845">
        <v>49.912991424272597</v>
      </c>
      <c r="T845">
        <v>0</v>
      </c>
      <c r="U845">
        <v>0</v>
      </c>
      <c r="V845">
        <v>0</v>
      </c>
      <c r="W845">
        <v>0</v>
      </c>
    </row>
    <row r="846" spans="1:23" x14ac:dyDescent="0.55000000000000004">
      <c r="A846" t="s">
        <v>1700</v>
      </c>
      <c r="B846" t="s">
        <v>1701</v>
      </c>
      <c r="C846" t="s">
        <v>184</v>
      </c>
      <c r="D846">
        <v>28.21</v>
      </c>
      <c r="E846">
        <f>657504576/(1000)</f>
        <v>657504.576</v>
      </c>
      <c r="F846">
        <f>411641984/(1000)</f>
        <v>411641.984</v>
      </c>
      <c r="G846">
        <f>0/(1000)</f>
        <v>0</v>
      </c>
      <c r="H846">
        <f>657144576/(1000)</f>
        <v>657144.576</v>
      </c>
      <c r="I846">
        <f>0/(1000)</f>
        <v>0</v>
      </c>
      <c r="J846">
        <f t="shared" si="14"/>
        <v>1</v>
      </c>
      <c r="K846">
        <f>60113001/(1000)</f>
        <v>60113.000999999997</v>
      </c>
      <c r="L846">
        <v>0</v>
      </c>
      <c r="M846">
        <v>18.141933441162099</v>
      </c>
      <c r="N846">
        <v>86.388498444701796</v>
      </c>
      <c r="O846">
        <v>32.656833648681598</v>
      </c>
      <c r="P846">
        <v>0.20000000298023199</v>
      </c>
      <c r="Q846">
        <v>1.52845046190935</v>
      </c>
      <c r="R846">
        <v>9.9681974051887003</v>
      </c>
      <c r="S846">
        <v>556.40066334991695</v>
      </c>
      <c r="T846">
        <v>0</v>
      </c>
      <c r="U846">
        <v>0</v>
      </c>
      <c r="V846">
        <v>0</v>
      </c>
      <c r="W846">
        <v>0</v>
      </c>
    </row>
    <row r="847" spans="1:23" x14ac:dyDescent="0.55000000000000004">
      <c r="A847" t="s">
        <v>1702</v>
      </c>
      <c r="B847" t="s">
        <v>1703</v>
      </c>
      <c r="C847" t="s">
        <v>38</v>
      </c>
      <c r="D847">
        <v>16.739999999999998</v>
      </c>
      <c r="E847">
        <f>344055552/(1000)</f>
        <v>344055.55200000003</v>
      </c>
      <c r="F847">
        <f>411317984/(1000)</f>
        <v>411317.984</v>
      </c>
      <c r="G847">
        <f>36718000/(1000)</f>
        <v>36718</v>
      </c>
      <c r="H847">
        <f>348472551/(1000)</f>
        <v>348472.55099999998</v>
      </c>
      <c r="I847">
        <f>43696000/(1000)</f>
        <v>43696</v>
      </c>
      <c r="J847">
        <f t="shared" si="14"/>
        <v>7.9749302224459903E-3</v>
      </c>
      <c r="K847">
        <f>-17008001/(1000)</f>
        <v>-17008.001</v>
      </c>
      <c r="L847">
        <v>0</v>
      </c>
      <c r="M847">
        <v>22.3399562835693</v>
      </c>
      <c r="N847">
        <v>70.475698215205597</v>
      </c>
      <c r="O847">
        <v>49.021800994872997</v>
      </c>
      <c r="P847">
        <v>9.0000003576279006E-2</v>
      </c>
      <c r="Q847">
        <v>0</v>
      </c>
      <c r="R847">
        <v>13.0781248090061</v>
      </c>
      <c r="S847">
        <v>0</v>
      </c>
      <c r="T847">
        <v>0</v>
      </c>
      <c r="U847">
        <v>0</v>
      </c>
      <c r="V847">
        <v>0</v>
      </c>
      <c r="W847">
        <v>0</v>
      </c>
    </row>
    <row r="848" spans="1:23" x14ac:dyDescent="0.55000000000000004">
      <c r="A848" t="s">
        <v>1704</v>
      </c>
      <c r="B848" t="s">
        <v>1705</v>
      </c>
      <c r="C848" t="s">
        <v>20</v>
      </c>
      <c r="D848">
        <v>40.42</v>
      </c>
      <c r="E848">
        <f>553030464/(1000)</f>
        <v>553030.46400000004</v>
      </c>
      <c r="F848">
        <f>410735008/(1000)</f>
        <v>410735.00799999997</v>
      </c>
      <c r="G848">
        <f>33636000/(1000)</f>
        <v>33636</v>
      </c>
      <c r="H848">
        <f>590266464/(1000)</f>
        <v>590266.46400000004</v>
      </c>
      <c r="I848">
        <f>56920000/(1000)</f>
        <v>56920</v>
      </c>
      <c r="J848">
        <f t="shared" si="14"/>
        <v>1.0370106535488406E-2</v>
      </c>
      <c r="K848">
        <f>5593001/(1000)</f>
        <v>5593.0010000000002</v>
      </c>
      <c r="L848">
        <v>31.740234375</v>
      </c>
      <c r="M848">
        <v>4.3841109275817898</v>
      </c>
      <c r="N848">
        <v>67.386583934643795</v>
      </c>
      <c r="O848">
        <v>22.370075225830099</v>
      </c>
      <c r="P848">
        <v>0.5</v>
      </c>
      <c r="Q848">
        <v>1.4384340790116099</v>
      </c>
      <c r="R848">
        <v>35.147827500566997</v>
      </c>
      <c r="S848">
        <v>-6.4048124325452003</v>
      </c>
      <c r="T848">
        <v>0</v>
      </c>
      <c r="U848">
        <v>0</v>
      </c>
      <c r="V848">
        <v>0</v>
      </c>
      <c r="W848">
        <v>0</v>
      </c>
    </row>
    <row r="849" spans="1:23" x14ac:dyDescent="0.55000000000000004">
      <c r="A849" t="s">
        <v>1706</v>
      </c>
      <c r="B849" t="s">
        <v>1707</v>
      </c>
      <c r="C849" t="s">
        <v>5</v>
      </c>
      <c r="D849">
        <v>11.4</v>
      </c>
      <c r="E849">
        <f>397316224/(1000)</f>
        <v>397316.22399999999</v>
      </c>
      <c r="F849">
        <f>410432000/(1000)</f>
        <v>410432</v>
      </c>
      <c r="G849">
        <f>32361000/(1000)</f>
        <v>32361</v>
      </c>
      <c r="H849">
        <f>117801216/(1000)</f>
        <v>117801.216</v>
      </c>
      <c r="I849">
        <f>34664000/(1000)</f>
        <v>34664</v>
      </c>
      <c r="J849">
        <f t="shared" si="14"/>
        <v>3.3983734133394877E-3</v>
      </c>
      <c r="K849">
        <f>32026001/(1000)</f>
        <v>32026.001</v>
      </c>
      <c r="L849">
        <v>15.967734336853001</v>
      </c>
      <c r="M849">
        <v>10.702938079834</v>
      </c>
      <c r="N849">
        <v>99.758513850217497</v>
      </c>
      <c r="O849">
        <v>0</v>
      </c>
      <c r="P849">
        <v>0.20000000298023199</v>
      </c>
      <c r="Q849">
        <v>0.99650349970977103</v>
      </c>
      <c r="R849">
        <v>27.1428558782858</v>
      </c>
      <c r="S849">
        <v>41.727186547387198</v>
      </c>
      <c r="T849">
        <v>0</v>
      </c>
      <c r="U849">
        <v>0</v>
      </c>
      <c r="V849">
        <v>0</v>
      </c>
      <c r="W849">
        <v>0</v>
      </c>
    </row>
    <row r="850" spans="1:23" x14ac:dyDescent="0.55000000000000004">
      <c r="A850" t="s">
        <v>1708</v>
      </c>
      <c r="B850" t="s">
        <v>1709</v>
      </c>
      <c r="C850" t="s">
        <v>401</v>
      </c>
      <c r="D850">
        <v>30.7</v>
      </c>
      <c r="E850">
        <f>1583944960/(1000)</f>
        <v>1583944.96</v>
      </c>
      <c r="F850">
        <f>410174016/(1000)</f>
        <v>410174.016</v>
      </c>
      <c r="G850">
        <f>120245000/(1000)</f>
        <v>120245</v>
      </c>
      <c r="H850">
        <f>3776768000/(1000)</f>
        <v>3776768</v>
      </c>
      <c r="I850">
        <f>227870000/(1000)</f>
        <v>227870</v>
      </c>
      <c r="J850">
        <f t="shared" si="14"/>
        <v>1.6574222144205029E-2</v>
      </c>
      <c r="K850">
        <f>-216388991/(1000)</f>
        <v>-216388.99100000001</v>
      </c>
      <c r="L850">
        <v>101.16799163818401</v>
      </c>
      <c r="M850">
        <v>3.3837230205535902</v>
      </c>
      <c r="N850">
        <v>98.0311791615256</v>
      </c>
      <c r="O850">
        <v>191.64176940918</v>
      </c>
      <c r="P850">
        <v>1.4900000095367401</v>
      </c>
      <c r="Q850">
        <v>1.9755470294916699</v>
      </c>
      <c r="R850">
        <v>49.516131072058101</v>
      </c>
      <c r="S850">
        <v>164.60791164554999</v>
      </c>
      <c r="T850">
        <v>0</v>
      </c>
      <c r="U850">
        <v>0</v>
      </c>
      <c r="V850">
        <v>0</v>
      </c>
      <c r="W850">
        <v>0</v>
      </c>
    </row>
    <row r="851" spans="1:23" x14ac:dyDescent="0.55000000000000004">
      <c r="A851" t="s">
        <v>1710</v>
      </c>
      <c r="B851" t="s">
        <v>1711</v>
      </c>
      <c r="C851" t="s">
        <v>5</v>
      </c>
      <c r="D851">
        <v>8.33</v>
      </c>
      <c r="E851">
        <f>399776704/(1000)</f>
        <v>399776.70400000003</v>
      </c>
      <c r="F851">
        <f>409875008/(1000)</f>
        <v>409875.00799999997</v>
      </c>
      <c r="G851">
        <f>78221000/(1000)</f>
        <v>78221</v>
      </c>
      <c r="H851">
        <f>2487678912/(1000)</f>
        <v>2487678.912</v>
      </c>
      <c r="I851">
        <f>202032000/(1000)</f>
        <v>202032</v>
      </c>
      <c r="J851">
        <f t="shared" si="14"/>
        <v>1.2313291518175338E-2</v>
      </c>
      <c r="K851">
        <f>-457862015/(1000)</f>
        <v>-457862.01500000001</v>
      </c>
      <c r="L851">
        <v>63.849323272705099</v>
      </c>
      <c r="M851">
        <v>30.106758117675799</v>
      </c>
      <c r="N851">
        <v>90.777912712265902</v>
      </c>
      <c r="O851">
        <v>112.42946624755901</v>
      </c>
      <c r="P851">
        <v>1</v>
      </c>
      <c r="Q851">
        <v>0.93595508772411096</v>
      </c>
      <c r="R851">
        <v>0</v>
      </c>
      <c r="S851">
        <v>26.854261235955601</v>
      </c>
      <c r="T851">
        <v>0</v>
      </c>
      <c r="U851">
        <v>0</v>
      </c>
      <c r="V851">
        <v>0</v>
      </c>
      <c r="W851">
        <v>0</v>
      </c>
    </row>
    <row r="852" spans="1:23" x14ac:dyDescent="0.55000000000000004">
      <c r="A852" t="s">
        <v>1712</v>
      </c>
      <c r="B852" t="s">
        <v>1713</v>
      </c>
      <c r="C852" t="s">
        <v>5</v>
      </c>
      <c r="D852">
        <v>17.510000000000002</v>
      </c>
      <c r="E852">
        <f>149417232/(1000)</f>
        <v>149417.23199999999</v>
      </c>
      <c r="F852">
        <f>406313984/(1000)</f>
        <v>406313.984</v>
      </c>
      <c r="G852">
        <f>35202000/(1000)</f>
        <v>35202</v>
      </c>
      <c r="H852">
        <f>298497232/(1000)</f>
        <v>298497.23200000002</v>
      </c>
      <c r="I852">
        <f>45679000/(1000)</f>
        <v>45679</v>
      </c>
      <c r="J852">
        <f t="shared" si="14"/>
        <v>6.5346708991002433E-3</v>
      </c>
      <c r="K852">
        <f>29097999/(1000)</f>
        <v>29097.999</v>
      </c>
      <c r="L852">
        <v>13.4052791595459</v>
      </c>
      <c r="M852">
        <v>9.5779724121093803</v>
      </c>
      <c r="N852">
        <v>87.750924379696698</v>
      </c>
      <c r="O852">
        <v>107.624298095703</v>
      </c>
      <c r="P852">
        <v>0</v>
      </c>
      <c r="Q852">
        <v>0</v>
      </c>
      <c r="R852">
        <v>8.6683171547291291</v>
      </c>
      <c r="S852">
        <v>22.2743490858924</v>
      </c>
      <c r="T852">
        <v>0</v>
      </c>
      <c r="U852">
        <v>0</v>
      </c>
      <c r="V852">
        <v>0</v>
      </c>
      <c r="W852">
        <v>0</v>
      </c>
    </row>
    <row r="853" spans="1:23" x14ac:dyDescent="0.55000000000000004">
      <c r="A853" t="s">
        <v>1714</v>
      </c>
      <c r="B853" t="s">
        <v>1715</v>
      </c>
      <c r="C853" t="s">
        <v>184</v>
      </c>
      <c r="D853">
        <v>14.51</v>
      </c>
      <c r="E853">
        <f>1161820032/(1000)</f>
        <v>1161820.0319999999</v>
      </c>
      <c r="F853">
        <f>405820000/(1000)</f>
        <v>405820</v>
      </c>
      <c r="G853">
        <f>0/(1000)</f>
        <v>0</v>
      </c>
      <c r="H853">
        <f>0/(1000)</f>
        <v>0</v>
      </c>
      <c r="I853">
        <f>0/(1000)</f>
        <v>0</v>
      </c>
      <c r="J853">
        <f t="shared" si="14"/>
        <v>1</v>
      </c>
      <c r="K853">
        <f>38172001/(1000)</f>
        <v>38172.000999999997</v>
      </c>
      <c r="L853">
        <v>16.638111114501999</v>
      </c>
      <c r="M853">
        <v>11.7875061035156</v>
      </c>
      <c r="N853">
        <v>80.489772388192705</v>
      </c>
      <c r="O853">
        <v>222.39732360839801</v>
      </c>
      <c r="P853">
        <v>0.68999999761581399</v>
      </c>
      <c r="Q853">
        <v>1.1304144381947601</v>
      </c>
      <c r="R853">
        <v>10.3642858336471</v>
      </c>
      <c r="S853">
        <v>103.45934021859</v>
      </c>
      <c r="T853">
        <v>0</v>
      </c>
      <c r="U853">
        <v>0</v>
      </c>
      <c r="V853">
        <v>0</v>
      </c>
      <c r="W853">
        <v>0</v>
      </c>
    </row>
    <row r="854" spans="1:23" x14ac:dyDescent="0.55000000000000004">
      <c r="A854" t="s">
        <v>1716</v>
      </c>
      <c r="B854" t="s">
        <v>1717</v>
      </c>
      <c r="C854" t="s">
        <v>20</v>
      </c>
      <c r="D854">
        <v>10.56</v>
      </c>
      <c r="E854">
        <f>282890784/(1000)</f>
        <v>282890.78399999999</v>
      </c>
      <c r="F854">
        <f>405307008/(1000)</f>
        <v>405307.00799999997</v>
      </c>
      <c r="G854">
        <f>18806000/(1000)</f>
        <v>18806</v>
      </c>
      <c r="H854">
        <f>258077784/(1000)</f>
        <v>258077.78400000001</v>
      </c>
      <c r="I854">
        <f>22433000/(1000)</f>
        <v>22433</v>
      </c>
      <c r="J854">
        <f t="shared" si="14"/>
        <v>1.1504381224089512E-2</v>
      </c>
      <c r="K854">
        <f>2535001/(1000)</f>
        <v>2535.0010000000002</v>
      </c>
      <c r="L854">
        <v>0</v>
      </c>
      <c r="M854">
        <v>0</v>
      </c>
      <c r="N854">
        <v>65.308765028996902</v>
      </c>
      <c r="O854">
        <v>0.132338002324104</v>
      </c>
      <c r="P854">
        <v>0</v>
      </c>
      <c r="Q854">
        <v>2.3891403251899899</v>
      </c>
      <c r="R854">
        <v>15.0857149815073</v>
      </c>
      <c r="S854">
        <v>0</v>
      </c>
      <c r="T854">
        <v>0</v>
      </c>
      <c r="U854">
        <v>0</v>
      </c>
      <c r="V854">
        <v>0</v>
      </c>
      <c r="W854">
        <v>0</v>
      </c>
    </row>
    <row r="855" spans="1:23" x14ac:dyDescent="0.55000000000000004">
      <c r="A855" t="s">
        <v>1718</v>
      </c>
      <c r="B855" t="s">
        <v>1719</v>
      </c>
      <c r="C855" t="s">
        <v>5</v>
      </c>
      <c r="D855">
        <v>9.25</v>
      </c>
      <c r="E855">
        <f>303315840/(1000)</f>
        <v>303315.84000000003</v>
      </c>
      <c r="F855">
        <f>404872000/(1000)</f>
        <v>404872</v>
      </c>
      <c r="G855">
        <f>21556000/(1000)</f>
        <v>21556</v>
      </c>
      <c r="H855">
        <f>378150840/(1000)</f>
        <v>378150.84</v>
      </c>
      <c r="I855">
        <f>27500000/(1000)</f>
        <v>27500</v>
      </c>
      <c r="J855">
        <f t="shared" si="14"/>
        <v>1.3750939636363637E-2</v>
      </c>
      <c r="K855">
        <f>6334001.5/(1000)</f>
        <v>6334.0015000000003</v>
      </c>
      <c r="L855">
        <v>22.490205764770501</v>
      </c>
      <c r="M855">
        <v>6.68316602706909</v>
      </c>
      <c r="N855">
        <v>95.798221048127601</v>
      </c>
      <c r="O855">
        <v>5.4400000953999997E-4</v>
      </c>
      <c r="P855">
        <v>0</v>
      </c>
      <c r="Q855">
        <v>1.49193552976841</v>
      </c>
      <c r="R855">
        <v>15.9482759112375</v>
      </c>
      <c r="S855">
        <v>108.204308700726</v>
      </c>
      <c r="T855">
        <v>0</v>
      </c>
      <c r="U855">
        <v>0</v>
      </c>
      <c r="V855">
        <v>0</v>
      </c>
      <c r="W855">
        <v>0</v>
      </c>
    </row>
    <row r="856" spans="1:23" x14ac:dyDescent="0.55000000000000004">
      <c r="A856" t="s">
        <v>1720</v>
      </c>
      <c r="B856" t="s">
        <v>1721</v>
      </c>
      <c r="C856" t="s">
        <v>5</v>
      </c>
      <c r="D856">
        <v>7.62</v>
      </c>
      <c r="E856">
        <f>191453248/(1000)</f>
        <v>191453.24799999999</v>
      </c>
      <c r="F856">
        <f>404802016/(1000)</f>
        <v>404802.016</v>
      </c>
      <c r="G856">
        <f>195790000/(1000)</f>
        <v>195790</v>
      </c>
      <c r="H856">
        <f>2534105152/(1000)</f>
        <v>2534105.1519999998</v>
      </c>
      <c r="I856">
        <f>212566992/(1000)</f>
        <v>212566.992</v>
      </c>
      <c r="J856">
        <f t="shared" si="14"/>
        <v>1.1921442403437687E-2</v>
      </c>
      <c r="K856">
        <f>-254560991/(1000)</f>
        <v>-254560.99100000001</v>
      </c>
      <c r="L856">
        <v>0</v>
      </c>
      <c r="M856">
        <v>11.2457361221313</v>
      </c>
      <c r="N856">
        <v>69.478332696161203</v>
      </c>
      <c r="O856">
        <v>1236.35595703125</v>
      </c>
      <c r="P856">
        <v>0</v>
      </c>
      <c r="Q856">
        <v>0.60572336500573198</v>
      </c>
      <c r="R856">
        <v>6.1451612246163698</v>
      </c>
      <c r="S856">
        <v>0</v>
      </c>
      <c r="T856">
        <v>0</v>
      </c>
      <c r="U856">
        <v>0</v>
      </c>
      <c r="V856">
        <v>0</v>
      </c>
      <c r="W856">
        <v>0</v>
      </c>
    </row>
    <row r="857" spans="1:23" x14ac:dyDescent="0.55000000000000004">
      <c r="A857" t="s">
        <v>1722</v>
      </c>
      <c r="B857" t="s">
        <v>1723</v>
      </c>
      <c r="C857" t="s">
        <v>31</v>
      </c>
      <c r="D857">
        <v>0.51</v>
      </c>
      <c r="E857">
        <f>52555144/(1000)</f>
        <v>52555.144</v>
      </c>
      <c r="F857">
        <f>404800000/(1000)</f>
        <v>404800</v>
      </c>
      <c r="G857">
        <f>-13499000/(1000)</f>
        <v>-13499</v>
      </c>
      <c r="H857">
        <f>85192142/(1000)</f>
        <v>85192.142000000007</v>
      </c>
      <c r="I857">
        <f>8412000/(1000)</f>
        <v>8412</v>
      </c>
      <c r="J857">
        <f t="shared" si="14"/>
        <v>1.0127453875416073E-2</v>
      </c>
      <c r="K857">
        <f>-41489999/(1000)</f>
        <v>-41489.999000000003</v>
      </c>
      <c r="L857">
        <v>0</v>
      </c>
      <c r="M857">
        <v>-2.3657898902893102</v>
      </c>
      <c r="N857">
        <v>98.495767433451306</v>
      </c>
      <c r="O857">
        <v>16.444858551025401</v>
      </c>
      <c r="P857">
        <v>0</v>
      </c>
      <c r="Q857">
        <v>0.12615955177661201</v>
      </c>
      <c r="R857">
        <v>0</v>
      </c>
      <c r="S857">
        <v>27.261981111907499</v>
      </c>
      <c r="T857">
        <v>0</v>
      </c>
      <c r="U857">
        <v>0</v>
      </c>
      <c r="V857">
        <v>0</v>
      </c>
      <c r="W857">
        <v>0</v>
      </c>
    </row>
    <row r="858" spans="1:23" x14ac:dyDescent="0.55000000000000004">
      <c r="A858" t="s">
        <v>1724</v>
      </c>
      <c r="B858" t="s">
        <v>1725</v>
      </c>
      <c r="C858" t="s">
        <v>31</v>
      </c>
      <c r="D858">
        <v>2.0099999999999998</v>
      </c>
      <c r="E858">
        <f>42713100/(1000)</f>
        <v>42713.1</v>
      </c>
      <c r="F858">
        <f>403807008/(1000)</f>
        <v>403807.00799999997</v>
      </c>
      <c r="G858">
        <f>23507000/(1000)</f>
        <v>23507</v>
      </c>
      <c r="H858">
        <f>34011099/(1000)</f>
        <v>34011.099000000002</v>
      </c>
      <c r="I858">
        <f>27882000/(1000)</f>
        <v>27882</v>
      </c>
      <c r="J858">
        <f t="shared" si="14"/>
        <v>1.2198227888960619E-3</v>
      </c>
      <c r="K858">
        <f>15813001/(1000)</f>
        <v>15813.001</v>
      </c>
      <c r="L858">
        <v>0</v>
      </c>
      <c r="M858">
        <v>13.4313097000122</v>
      </c>
      <c r="N858">
        <v>91.306478020428003</v>
      </c>
      <c r="O858">
        <v>17.973094940185501</v>
      </c>
      <c r="P858">
        <v>0</v>
      </c>
      <c r="Q858">
        <v>0.58944279761612195</v>
      </c>
      <c r="R858">
        <v>20.099998481944301</v>
      </c>
      <c r="S858">
        <v>379.27339710874298</v>
      </c>
      <c r="T858">
        <v>0</v>
      </c>
      <c r="U858">
        <v>0</v>
      </c>
      <c r="V858">
        <v>0</v>
      </c>
      <c r="W858">
        <v>0</v>
      </c>
    </row>
    <row r="859" spans="1:23" x14ac:dyDescent="0.55000000000000004">
      <c r="A859" t="s">
        <v>1726</v>
      </c>
      <c r="B859" t="s">
        <v>1727</v>
      </c>
      <c r="C859" t="s">
        <v>20</v>
      </c>
      <c r="D859">
        <v>5.75</v>
      </c>
      <c r="E859">
        <f>91857976/(1000)</f>
        <v>91857.975999999995</v>
      </c>
      <c r="F859">
        <f>402902016/(1000)</f>
        <v>402902.016</v>
      </c>
      <c r="G859">
        <f>29103000/(1000)</f>
        <v>29103</v>
      </c>
      <c r="H859">
        <f>215020976/(1000)</f>
        <v>215020.976</v>
      </c>
      <c r="I859">
        <f>40295000/(1000)</f>
        <v>40295</v>
      </c>
      <c r="J859">
        <f t="shared" si="14"/>
        <v>5.3361701451793021E-3</v>
      </c>
      <c r="K859">
        <f>-982998.8125/(1000)</f>
        <v>-982.99881249999999</v>
      </c>
      <c r="L859">
        <v>0</v>
      </c>
      <c r="M859">
        <v>0</v>
      </c>
      <c r="N859">
        <v>98.642280035789398</v>
      </c>
      <c r="O859">
        <v>0</v>
      </c>
      <c r="P859">
        <v>0</v>
      </c>
      <c r="Q859">
        <v>0</v>
      </c>
      <c r="R859">
        <v>3.9930556034870501</v>
      </c>
      <c r="S859">
        <v>1.06660784413828</v>
      </c>
      <c r="T859">
        <v>0</v>
      </c>
      <c r="U859">
        <v>0</v>
      </c>
      <c r="V859">
        <v>0</v>
      </c>
      <c r="W859">
        <v>0</v>
      </c>
    </row>
    <row r="860" spans="1:23" x14ac:dyDescent="0.55000000000000004">
      <c r="A860" t="s">
        <v>1728</v>
      </c>
      <c r="B860" t="s">
        <v>1729</v>
      </c>
      <c r="C860" t="s">
        <v>31</v>
      </c>
      <c r="D860">
        <v>6.34</v>
      </c>
      <c r="E860">
        <f>204066208/(1000)</f>
        <v>204066.20800000001</v>
      </c>
      <c r="F860">
        <f>402475008/(1000)</f>
        <v>402475.00799999997</v>
      </c>
      <c r="G860">
        <f>-4267000/(1000)</f>
        <v>-4267</v>
      </c>
      <c r="H860">
        <f>233511208/(1000)</f>
        <v>233511.20800000001</v>
      </c>
      <c r="I860">
        <f>20724000/(1000)</f>
        <v>20724</v>
      </c>
      <c r="J860">
        <f t="shared" si="14"/>
        <v>1.1267670719938236E-2</v>
      </c>
      <c r="K860">
        <f>30093001/(1000)</f>
        <v>30093.001</v>
      </c>
      <c r="L860">
        <v>140.11470031738301</v>
      </c>
      <c r="M860">
        <v>-6.2506752014160201</v>
      </c>
      <c r="N860">
        <v>88.2465350384674</v>
      </c>
      <c r="O860">
        <v>53.363597869872997</v>
      </c>
      <c r="P860">
        <v>0</v>
      </c>
      <c r="Q860">
        <v>0</v>
      </c>
      <c r="R860">
        <v>14.0888887847647</v>
      </c>
      <c r="S860">
        <v>34.658807127117903</v>
      </c>
      <c r="T860">
        <v>0</v>
      </c>
      <c r="U860">
        <v>0</v>
      </c>
      <c r="V860">
        <v>0</v>
      </c>
      <c r="W860">
        <v>0</v>
      </c>
    </row>
    <row r="861" spans="1:23" x14ac:dyDescent="0.55000000000000004">
      <c r="A861" t="s">
        <v>1730</v>
      </c>
      <c r="B861" t="s">
        <v>1731</v>
      </c>
      <c r="C861" t="s">
        <v>184</v>
      </c>
      <c r="D861">
        <v>3.61</v>
      </c>
      <c r="E861">
        <f>55598332/(1000)</f>
        <v>55598.332000000002</v>
      </c>
      <c r="F861">
        <f>401776000/(1000)</f>
        <v>401776</v>
      </c>
      <c r="G861">
        <f>0/(1000)</f>
        <v>0</v>
      </c>
      <c r="H861">
        <f>94445332/(1000)</f>
        <v>94445.331999999995</v>
      </c>
      <c r="I861">
        <f>0/(1000)</f>
        <v>0</v>
      </c>
      <c r="J861">
        <f t="shared" si="14"/>
        <v>1</v>
      </c>
      <c r="K861">
        <f>0/(1000)</f>
        <v>0</v>
      </c>
      <c r="L861">
        <v>63.382198333740199</v>
      </c>
      <c r="M861">
        <v>-1.0255479812622099</v>
      </c>
      <c r="N861">
        <v>39.6300280711353</v>
      </c>
      <c r="O861">
        <v>22.726396560668899</v>
      </c>
      <c r="P861">
        <v>4.5454546809196E-2</v>
      </c>
      <c r="Q861">
        <v>0</v>
      </c>
      <c r="R861">
        <v>6.2241378093313298</v>
      </c>
      <c r="S861">
        <v>138.89926149674801</v>
      </c>
      <c r="T861">
        <v>0</v>
      </c>
      <c r="U861">
        <v>0</v>
      </c>
      <c r="V861">
        <v>0</v>
      </c>
      <c r="W861">
        <v>0</v>
      </c>
    </row>
    <row r="862" spans="1:23" x14ac:dyDescent="0.55000000000000004">
      <c r="A862" t="s">
        <v>1732</v>
      </c>
      <c r="B862" t="s">
        <v>1733</v>
      </c>
      <c r="C862" t="s">
        <v>31</v>
      </c>
      <c r="D862">
        <v>6.06</v>
      </c>
      <c r="E862">
        <f>248766624/(1000)</f>
        <v>248766.62400000001</v>
      </c>
      <c r="F862">
        <f>401159008/(1000)</f>
        <v>401159.00799999997</v>
      </c>
      <c r="G862">
        <f>61403000/(1000)</f>
        <v>61403</v>
      </c>
      <c r="H862">
        <f>597040608/(1000)</f>
        <v>597040.60800000001</v>
      </c>
      <c r="I862">
        <f>88484000/(1000)</f>
        <v>88484</v>
      </c>
      <c r="J862">
        <f t="shared" si="14"/>
        <v>6.7474414357397948E-3</v>
      </c>
      <c r="K862">
        <f>34670001/(1000)</f>
        <v>34670.000999999997</v>
      </c>
      <c r="L862">
        <v>20.8989868164063</v>
      </c>
      <c r="M862">
        <v>17.975337982177699</v>
      </c>
      <c r="N862">
        <v>75.010356466881703</v>
      </c>
      <c r="O862">
        <v>63.338657379150398</v>
      </c>
      <c r="P862">
        <v>0</v>
      </c>
      <c r="Q862">
        <v>0.64743591507040799</v>
      </c>
      <c r="R862">
        <v>4.4233576070710399</v>
      </c>
      <c r="S862">
        <v>246.36120219994601</v>
      </c>
      <c r="T862">
        <v>0</v>
      </c>
      <c r="U862">
        <v>0</v>
      </c>
      <c r="V862">
        <v>0</v>
      </c>
      <c r="W862">
        <v>0</v>
      </c>
    </row>
    <row r="863" spans="1:23" x14ac:dyDescent="0.55000000000000004">
      <c r="A863" t="s">
        <v>1734</v>
      </c>
      <c r="B863" t="s">
        <v>1735</v>
      </c>
      <c r="C863" t="s">
        <v>2</v>
      </c>
      <c r="D863">
        <v>18.61</v>
      </c>
      <c r="E863">
        <f>829596544/(1000)</f>
        <v>829596.54399999999</v>
      </c>
      <c r="F863">
        <f>400656992/(1000)</f>
        <v>400656.99200000003</v>
      </c>
      <c r="G863">
        <f>41160000/(1000)</f>
        <v>41160</v>
      </c>
      <c r="H863">
        <f>708558544/(1000)</f>
        <v>708558.54399999999</v>
      </c>
      <c r="I863">
        <f>66353000/(1000)</f>
        <v>66353</v>
      </c>
      <c r="J863">
        <f t="shared" si="14"/>
        <v>1.0678621072144439E-2</v>
      </c>
      <c r="K863">
        <f>24991001/(1000)</f>
        <v>24991.001</v>
      </c>
      <c r="L863">
        <v>0</v>
      </c>
      <c r="M863">
        <v>19.032169342041001</v>
      </c>
      <c r="N863">
        <v>93.105793943190307</v>
      </c>
      <c r="O863">
        <v>9.4064035415649396</v>
      </c>
      <c r="P863">
        <v>0</v>
      </c>
      <c r="Q863">
        <v>0</v>
      </c>
      <c r="R863">
        <v>20.910113031335001</v>
      </c>
      <c r="S863">
        <v>0</v>
      </c>
      <c r="T863">
        <v>0</v>
      </c>
      <c r="U863">
        <v>0</v>
      </c>
      <c r="V863">
        <v>0</v>
      </c>
      <c r="W863">
        <v>0</v>
      </c>
    </row>
    <row r="864" spans="1:23" x14ac:dyDescent="0.55000000000000004">
      <c r="A864" t="s">
        <v>1736</v>
      </c>
      <c r="B864" t="s">
        <v>1737</v>
      </c>
      <c r="C864" t="s">
        <v>184</v>
      </c>
      <c r="D864">
        <v>69.77</v>
      </c>
      <c r="E864">
        <f>1861240320/(1000)</f>
        <v>1861240.32</v>
      </c>
      <c r="F864">
        <f>400422432/(1000)</f>
        <v>400422.43199999997</v>
      </c>
      <c r="G864">
        <f>180224848/(1000)</f>
        <v>180224.848</v>
      </c>
      <c r="H864">
        <f>1874347682/(1000)</f>
        <v>1874347.682</v>
      </c>
      <c r="I864">
        <f>184453552/(1000)</f>
        <v>184453.552</v>
      </c>
      <c r="J864">
        <f t="shared" si="14"/>
        <v>1.0161624222882951E-2</v>
      </c>
      <c r="K864">
        <f>140903217/(1000)</f>
        <v>140903.217</v>
      </c>
      <c r="L864">
        <v>0</v>
      </c>
      <c r="M864">
        <v>77.183341979980497</v>
      </c>
      <c r="N864">
        <v>59.4494097277584</v>
      </c>
      <c r="O864">
        <v>59.456882476806598</v>
      </c>
      <c r="P864">
        <v>1.79999995231628</v>
      </c>
      <c r="Q864">
        <v>13.600388905774899</v>
      </c>
      <c r="R864">
        <v>30.073274894146799</v>
      </c>
      <c r="S864">
        <v>255.58968456948</v>
      </c>
      <c r="T864">
        <v>0</v>
      </c>
      <c r="U864">
        <v>0</v>
      </c>
      <c r="V864">
        <v>0</v>
      </c>
      <c r="W864">
        <v>0</v>
      </c>
    </row>
    <row r="865" spans="1:23" x14ac:dyDescent="0.55000000000000004">
      <c r="A865" t="s">
        <v>1738</v>
      </c>
      <c r="B865" t="s">
        <v>1739</v>
      </c>
      <c r="C865" t="s">
        <v>8</v>
      </c>
      <c r="D865">
        <v>11.05</v>
      </c>
      <c r="E865">
        <f>803817856/(1000)</f>
        <v>803817.85600000003</v>
      </c>
      <c r="F865">
        <f>398792000/(1000)</f>
        <v>398792</v>
      </c>
      <c r="G865">
        <f>263212000/(1000)</f>
        <v>263212</v>
      </c>
      <c r="H865">
        <f>3111288960/(1000)</f>
        <v>3111288.96</v>
      </c>
      <c r="I865">
        <f>283848000/(1000)</f>
        <v>283848</v>
      </c>
      <c r="J865">
        <f t="shared" si="14"/>
        <v>1.0961109326118204E-2</v>
      </c>
      <c r="K865">
        <f>-279249983/(1000)</f>
        <v>-279249.98300000001</v>
      </c>
      <c r="L865">
        <v>0</v>
      </c>
      <c r="M865">
        <v>27.605930328369102</v>
      </c>
      <c r="N865">
        <v>58.0106608414645</v>
      </c>
      <c r="O865">
        <v>369.41888427734398</v>
      </c>
      <c r="P865">
        <v>2.4000000953674299</v>
      </c>
      <c r="Q865">
        <v>1.15949637989022</v>
      </c>
      <c r="R865">
        <v>3.5191082902295898</v>
      </c>
      <c r="S865">
        <v>9.2060175497262104</v>
      </c>
      <c r="T865">
        <v>0</v>
      </c>
      <c r="U865">
        <v>0</v>
      </c>
      <c r="V865">
        <v>0</v>
      </c>
      <c r="W865">
        <v>0</v>
      </c>
    </row>
    <row r="866" spans="1:23" x14ac:dyDescent="0.55000000000000004">
      <c r="A866" t="s">
        <v>1740</v>
      </c>
      <c r="B866" t="s">
        <v>1741</v>
      </c>
      <c r="C866" t="s">
        <v>5</v>
      </c>
      <c r="D866">
        <v>18.89</v>
      </c>
      <c r="E866">
        <f>397847968/(1000)</f>
        <v>397847.96799999999</v>
      </c>
      <c r="F866">
        <f>398017984/(1000)</f>
        <v>398017.984</v>
      </c>
      <c r="G866">
        <f>35774000/(1000)</f>
        <v>35774</v>
      </c>
      <c r="H866">
        <f>328575968/(1000)</f>
        <v>328575.96799999999</v>
      </c>
      <c r="I866">
        <f>52631000/(1000)</f>
        <v>52631</v>
      </c>
      <c r="J866">
        <f t="shared" si="14"/>
        <v>6.2430120651327161E-3</v>
      </c>
      <c r="K866">
        <f>20409001/(1000)</f>
        <v>20409.001</v>
      </c>
      <c r="L866">
        <v>52.105545043945298</v>
      </c>
      <c r="M866">
        <v>9.3085594177246094</v>
      </c>
      <c r="N866">
        <v>99.583120336578304</v>
      </c>
      <c r="O866">
        <v>0</v>
      </c>
      <c r="P866">
        <v>0</v>
      </c>
      <c r="Q866">
        <v>0</v>
      </c>
      <c r="R866">
        <v>17.172726345653398</v>
      </c>
      <c r="S866">
        <v>115.607547682651</v>
      </c>
      <c r="T866">
        <v>0</v>
      </c>
      <c r="U866">
        <v>0</v>
      </c>
      <c r="V866">
        <v>0</v>
      </c>
      <c r="W866">
        <v>0</v>
      </c>
    </row>
    <row r="867" spans="1:23" x14ac:dyDescent="0.55000000000000004">
      <c r="A867" t="s">
        <v>1742</v>
      </c>
      <c r="B867" t="s">
        <v>1743</v>
      </c>
      <c r="C867" t="s">
        <v>38</v>
      </c>
      <c r="D867">
        <v>15.99</v>
      </c>
      <c r="E867">
        <f>194067424/(1000)</f>
        <v>194067.424</v>
      </c>
      <c r="F867">
        <f>396348992/(1000)</f>
        <v>396348.99200000003</v>
      </c>
      <c r="G867">
        <f>48980000/(1000)</f>
        <v>48980</v>
      </c>
      <c r="H867">
        <f>292376424/(1000)</f>
        <v>292376.424</v>
      </c>
      <c r="I867">
        <f>63398000/(1000)</f>
        <v>63398</v>
      </c>
      <c r="J867">
        <f t="shared" si="14"/>
        <v>4.6117610019243511E-3</v>
      </c>
      <c r="K867">
        <f>1821000.125/(1000)</f>
        <v>1821.000125</v>
      </c>
      <c r="L867">
        <v>20.3934001922607</v>
      </c>
      <c r="M867">
        <v>22.088443756103501</v>
      </c>
      <c r="N867">
        <v>87.953992527476601</v>
      </c>
      <c r="O867">
        <v>84.005065917968807</v>
      </c>
      <c r="P867">
        <v>0</v>
      </c>
      <c r="Q867">
        <v>1.2337962750040601</v>
      </c>
      <c r="R867">
        <v>11.104166353746599</v>
      </c>
      <c r="S867">
        <v>203.32521504882601</v>
      </c>
      <c r="T867">
        <v>0</v>
      </c>
      <c r="U867">
        <v>0</v>
      </c>
      <c r="V867">
        <v>0</v>
      </c>
      <c r="W867">
        <v>0</v>
      </c>
    </row>
    <row r="868" spans="1:23" x14ac:dyDescent="0.55000000000000004">
      <c r="A868" t="s">
        <v>1744</v>
      </c>
      <c r="B868" t="s">
        <v>1745</v>
      </c>
      <c r="C868" t="s">
        <v>81</v>
      </c>
      <c r="D868">
        <v>1.0900000000000001</v>
      </c>
      <c r="E868">
        <f>55990500/(1000)</f>
        <v>55990.5</v>
      </c>
      <c r="F868">
        <f>395910016/(1000)</f>
        <v>395910.016</v>
      </c>
      <c r="G868">
        <f>85310000/(1000)</f>
        <v>85310</v>
      </c>
      <c r="H868">
        <f>807578532/(1000)</f>
        <v>807578.53200000001</v>
      </c>
      <c r="I868">
        <f>118206000/(1000)</f>
        <v>118206</v>
      </c>
      <c r="J868">
        <f t="shared" si="14"/>
        <v>6.8319588853357699E-3</v>
      </c>
      <c r="K868">
        <f>17426001/(1000)</f>
        <v>17426.001</v>
      </c>
      <c r="L868">
        <v>69.958099365234403</v>
      </c>
      <c r="M868">
        <v>8.6248683929443395</v>
      </c>
      <c r="N868">
        <v>95.657179676788999</v>
      </c>
      <c r="O868">
        <v>125.202362060547</v>
      </c>
      <c r="P868">
        <v>0</v>
      </c>
      <c r="Q868">
        <v>0</v>
      </c>
      <c r="R868">
        <v>1.93846704941843</v>
      </c>
      <c r="S868">
        <v>13.2485208898789</v>
      </c>
      <c r="T868">
        <v>0</v>
      </c>
      <c r="U868">
        <v>0</v>
      </c>
      <c r="V868">
        <v>0</v>
      </c>
      <c r="W868">
        <v>0</v>
      </c>
    </row>
    <row r="869" spans="1:23" x14ac:dyDescent="0.55000000000000004">
      <c r="A869" t="s">
        <v>1746</v>
      </c>
      <c r="B869" t="s">
        <v>1747</v>
      </c>
      <c r="C869" t="s">
        <v>184</v>
      </c>
      <c r="D869">
        <v>10.039999999999999</v>
      </c>
      <c r="E869">
        <f>288434144/(1000)</f>
        <v>288434.14399999997</v>
      </c>
      <c r="F869">
        <f>395680992/(1000)</f>
        <v>395680.99200000003</v>
      </c>
      <c r="G869">
        <f>0/(1000)</f>
        <v>0</v>
      </c>
      <c r="H869">
        <f>0/(1000)</f>
        <v>0</v>
      </c>
      <c r="I869">
        <f>0/(1000)</f>
        <v>0</v>
      </c>
      <c r="J869">
        <f t="shared" si="14"/>
        <v>1</v>
      </c>
      <c r="K869">
        <f>67372001/(1000)</f>
        <v>67372.001000000004</v>
      </c>
      <c r="L869">
        <v>14.1688079833984</v>
      </c>
      <c r="M869">
        <v>0.82206398248672496</v>
      </c>
      <c r="N869">
        <v>96.361799770654798</v>
      </c>
      <c r="O869">
        <v>135.565017700195</v>
      </c>
      <c r="P869">
        <v>4.7603597640991202</v>
      </c>
      <c r="Q869">
        <v>0.56723485144417796</v>
      </c>
      <c r="R869">
        <v>0</v>
      </c>
      <c r="S869">
        <v>198.96787433225799</v>
      </c>
      <c r="T869">
        <v>0</v>
      </c>
      <c r="U869">
        <v>0</v>
      </c>
      <c r="V869">
        <v>0</v>
      </c>
      <c r="W869">
        <v>0</v>
      </c>
    </row>
    <row r="870" spans="1:23" x14ac:dyDescent="0.55000000000000004">
      <c r="A870" t="s">
        <v>1748</v>
      </c>
      <c r="B870" t="s">
        <v>1749</v>
      </c>
      <c r="C870" t="s">
        <v>2</v>
      </c>
      <c r="D870">
        <v>26.93</v>
      </c>
      <c r="E870">
        <f>293747040/(1000)</f>
        <v>293747.03999999998</v>
      </c>
      <c r="F870">
        <f>394644992/(1000)</f>
        <v>394644.99200000003</v>
      </c>
      <c r="G870">
        <f>48770000/(1000)</f>
        <v>48770</v>
      </c>
      <c r="H870">
        <f>270286042/(1000)</f>
        <v>270286.04200000002</v>
      </c>
      <c r="I870">
        <f>58932000/(1000)</f>
        <v>58932</v>
      </c>
      <c r="J870">
        <f t="shared" si="14"/>
        <v>4.5864053824747168E-3</v>
      </c>
      <c r="K870">
        <f>19785001/(1000)</f>
        <v>19785.001</v>
      </c>
      <c r="L870">
        <v>23.71435546875</v>
      </c>
      <c r="M870">
        <v>13.0445051193237</v>
      </c>
      <c r="N870">
        <v>94.105138183458394</v>
      </c>
      <c r="O870">
        <v>35.844863891601598</v>
      </c>
      <c r="P870">
        <v>0</v>
      </c>
      <c r="Q870">
        <v>0</v>
      </c>
      <c r="R870">
        <v>18.8321674117269</v>
      </c>
      <c r="S870">
        <v>201.97030530262501</v>
      </c>
      <c r="T870">
        <v>0</v>
      </c>
      <c r="U870">
        <v>0</v>
      </c>
      <c r="V870">
        <v>0</v>
      </c>
      <c r="W870">
        <v>0</v>
      </c>
    </row>
    <row r="871" spans="1:23" x14ac:dyDescent="0.55000000000000004">
      <c r="A871" t="s">
        <v>1750</v>
      </c>
      <c r="B871" t="s">
        <v>1751</v>
      </c>
      <c r="C871" t="s">
        <v>184</v>
      </c>
      <c r="D871">
        <v>29.59</v>
      </c>
      <c r="E871">
        <f>1363436160/(1000)</f>
        <v>1363436.16</v>
      </c>
      <c r="F871">
        <f>393531008/(1000)</f>
        <v>393531.00799999997</v>
      </c>
      <c r="G871">
        <f>0/(1000)</f>
        <v>0</v>
      </c>
      <c r="H871">
        <f>0/(1000)</f>
        <v>0</v>
      </c>
      <c r="I871">
        <f>0/(1000)</f>
        <v>0</v>
      </c>
      <c r="J871">
        <f t="shared" si="14"/>
        <v>1</v>
      </c>
      <c r="K871">
        <f>228900993/(1000)</f>
        <v>228900.99299999999</v>
      </c>
      <c r="L871">
        <v>16.607862472534201</v>
      </c>
      <c r="M871">
        <v>9.3926811218261701</v>
      </c>
      <c r="N871">
        <v>89.804159250054994</v>
      </c>
      <c r="O871">
        <v>20.3056335449219</v>
      </c>
      <c r="P871">
        <v>0.55000001192092896</v>
      </c>
      <c r="Q871">
        <v>1.1053417873217299</v>
      </c>
      <c r="R871">
        <v>13.092920822057801</v>
      </c>
      <c r="S871">
        <v>326.49941259347599</v>
      </c>
      <c r="T871">
        <v>0</v>
      </c>
      <c r="U871">
        <v>0</v>
      </c>
      <c r="V871">
        <v>0</v>
      </c>
      <c r="W871">
        <v>0</v>
      </c>
    </row>
    <row r="872" spans="1:23" x14ac:dyDescent="0.55000000000000004">
      <c r="A872" t="s">
        <v>1752</v>
      </c>
      <c r="B872" t="s">
        <v>1753</v>
      </c>
      <c r="C872" t="s">
        <v>2</v>
      </c>
      <c r="D872">
        <v>24.27</v>
      </c>
      <c r="E872">
        <f>702521856/(1000)</f>
        <v>702521.85600000003</v>
      </c>
      <c r="F872">
        <f>392736992/(1000)</f>
        <v>392736.99200000003</v>
      </c>
      <c r="G872">
        <f>71048000/(1000)</f>
        <v>71048</v>
      </c>
      <c r="H872">
        <f>741911856/(1000)</f>
        <v>741911.85600000003</v>
      </c>
      <c r="I872">
        <f>81872000/(1000)</f>
        <v>81872</v>
      </c>
      <c r="J872">
        <f t="shared" si="14"/>
        <v>9.0618508891928858E-3</v>
      </c>
      <c r="K872">
        <f>62393001/(1000)</f>
        <v>62393.000999999997</v>
      </c>
      <c r="L872">
        <v>23.460323333740199</v>
      </c>
      <c r="M872">
        <v>25.1708869934082</v>
      </c>
      <c r="N872">
        <v>99.2157830134541</v>
      </c>
      <c r="O872">
        <v>18.817583084106399</v>
      </c>
      <c r="P872">
        <v>0.28000000119209301</v>
      </c>
      <c r="Q872">
        <v>3.64414429636876</v>
      </c>
      <c r="R872">
        <v>15.0745348699584</v>
      </c>
      <c r="S872">
        <v>73.722084999469203</v>
      </c>
      <c r="T872">
        <v>0</v>
      </c>
      <c r="U872">
        <v>0</v>
      </c>
      <c r="V872">
        <v>0</v>
      </c>
      <c r="W872">
        <v>0</v>
      </c>
    </row>
    <row r="873" spans="1:23" x14ac:dyDescent="0.55000000000000004">
      <c r="A873" t="s">
        <v>1754</v>
      </c>
      <c r="B873" t="s">
        <v>1755</v>
      </c>
      <c r="C873" t="s">
        <v>31</v>
      </c>
      <c r="D873">
        <v>13.73</v>
      </c>
      <c r="E873">
        <f>1203860096/(1000)</f>
        <v>1203860.0959999999</v>
      </c>
      <c r="F873">
        <f>391256000/(1000)</f>
        <v>391256</v>
      </c>
      <c r="G873">
        <f>50417000/(1000)</f>
        <v>50417</v>
      </c>
      <c r="H873">
        <f>982579104/(1000)</f>
        <v>982579.10400000005</v>
      </c>
      <c r="I873">
        <f>65159000/(1000)</f>
        <v>65159</v>
      </c>
      <c r="J873">
        <f t="shared" si="14"/>
        <v>1.5079714298868922E-2</v>
      </c>
      <c r="K873">
        <f>76079001/(1000)</f>
        <v>76079.001000000004</v>
      </c>
      <c r="L873">
        <v>0</v>
      </c>
      <c r="M873">
        <v>20.239204406738299</v>
      </c>
      <c r="N873">
        <v>99.609835931602106</v>
      </c>
      <c r="O873">
        <v>73.590110778808594</v>
      </c>
      <c r="P873">
        <v>0</v>
      </c>
      <c r="Q873">
        <v>3.8033240834406898</v>
      </c>
      <c r="R873">
        <v>21.453124764259002</v>
      </c>
      <c r="S873">
        <v>100.191370293495</v>
      </c>
      <c r="T873">
        <v>0</v>
      </c>
      <c r="U873">
        <v>0</v>
      </c>
      <c r="V873">
        <v>0</v>
      </c>
      <c r="W873">
        <v>0</v>
      </c>
    </row>
    <row r="874" spans="1:23" x14ac:dyDescent="0.55000000000000004">
      <c r="A874" t="s">
        <v>1756</v>
      </c>
      <c r="B874" t="s">
        <v>1757</v>
      </c>
      <c r="C874" t="s">
        <v>8</v>
      </c>
      <c r="D874">
        <v>21.13</v>
      </c>
      <c r="E874">
        <f>953670848/(1000)</f>
        <v>953670.848</v>
      </c>
      <c r="F874">
        <f>390270016/(1000)</f>
        <v>390270.016</v>
      </c>
      <c r="G874">
        <f>54361000/(1000)</f>
        <v>54361</v>
      </c>
      <c r="H874">
        <f>1212766848/(1000)</f>
        <v>1212766.848</v>
      </c>
      <c r="I874">
        <f>226415008/(1000)</f>
        <v>226415.008</v>
      </c>
      <c r="J874">
        <f t="shared" si="14"/>
        <v>5.3563889545696543E-3</v>
      </c>
      <c r="K874">
        <f>-168111999/(1000)</f>
        <v>-168111.99900000001</v>
      </c>
      <c r="L874">
        <v>0</v>
      </c>
      <c r="M874">
        <v>3.49746489524841</v>
      </c>
      <c r="N874">
        <v>93.804603679202799</v>
      </c>
      <c r="O874">
        <v>35.422897338867202</v>
      </c>
      <c r="P874">
        <v>0</v>
      </c>
      <c r="Q874">
        <v>0</v>
      </c>
      <c r="R874">
        <v>8.9156114563151494</v>
      </c>
      <c r="S874">
        <v>2338.1209220965802</v>
      </c>
      <c r="T874">
        <v>0</v>
      </c>
      <c r="U874">
        <v>0</v>
      </c>
      <c r="V874">
        <v>0</v>
      </c>
      <c r="W874">
        <v>0</v>
      </c>
    </row>
    <row r="875" spans="1:23" x14ac:dyDescent="0.55000000000000004">
      <c r="A875" t="s">
        <v>1758</v>
      </c>
      <c r="B875" t="s">
        <v>1759</v>
      </c>
      <c r="C875" t="s">
        <v>17</v>
      </c>
      <c r="D875">
        <v>7.68</v>
      </c>
      <c r="E875">
        <f>90270736/(1000)</f>
        <v>90270.736000000004</v>
      </c>
      <c r="F875">
        <f>389560000/(1000)</f>
        <v>389560</v>
      </c>
      <c r="G875">
        <f>48199000/(1000)</f>
        <v>48199</v>
      </c>
      <c r="H875">
        <f>180327736/(1000)</f>
        <v>180327.736</v>
      </c>
      <c r="I875">
        <f>56230000/(1000)</f>
        <v>56230</v>
      </c>
      <c r="J875">
        <f t="shared" si="14"/>
        <v>3.2069666725947003E-3</v>
      </c>
      <c r="K875">
        <f>36137001/(1000)</f>
        <v>36137.000999999997</v>
      </c>
      <c r="L875">
        <v>23.1722621917725</v>
      </c>
      <c r="M875">
        <v>13.6906061172485</v>
      </c>
      <c r="N875">
        <v>126.98739106743</v>
      </c>
      <c r="O875">
        <v>27.150880813598601</v>
      </c>
      <c r="P875">
        <v>0.13199999928474401</v>
      </c>
      <c r="Q875">
        <v>1.11304343799863</v>
      </c>
      <c r="R875">
        <v>8.5970148297720108</v>
      </c>
      <c r="S875">
        <v>198.85231994278101</v>
      </c>
      <c r="T875">
        <v>0</v>
      </c>
      <c r="U875">
        <v>0</v>
      </c>
      <c r="V875">
        <v>0</v>
      </c>
      <c r="W875">
        <v>0</v>
      </c>
    </row>
    <row r="876" spans="1:23" x14ac:dyDescent="0.55000000000000004">
      <c r="A876" t="s">
        <v>1760</v>
      </c>
      <c r="B876" t="s">
        <v>1761</v>
      </c>
      <c r="C876" t="s">
        <v>5</v>
      </c>
      <c r="D876">
        <v>6.74</v>
      </c>
      <c r="E876">
        <f>580761536/(1000)</f>
        <v>580761.53599999996</v>
      </c>
      <c r="F876">
        <f>389507008/(1000)</f>
        <v>389507.00799999997</v>
      </c>
      <c r="G876">
        <f>10077000/(1000)</f>
        <v>10077</v>
      </c>
      <c r="H876">
        <f>1041361536/(1000)</f>
        <v>1041361.536</v>
      </c>
      <c r="I876">
        <f>49314000/(1000)</f>
        <v>49314</v>
      </c>
      <c r="J876">
        <f t="shared" si="14"/>
        <v>2.1116955347365858E-2</v>
      </c>
      <c r="K876">
        <f>27963001/(1000)</f>
        <v>27963.001</v>
      </c>
      <c r="L876">
        <v>0</v>
      </c>
      <c r="M876">
        <v>1.64197301864624</v>
      </c>
      <c r="N876">
        <v>93.119246835621198</v>
      </c>
      <c r="O876">
        <v>23.877195358276399</v>
      </c>
      <c r="P876">
        <v>0</v>
      </c>
      <c r="Q876">
        <v>0.41980689149817901</v>
      </c>
      <c r="R876">
        <v>168.49999804422299</v>
      </c>
      <c r="S876">
        <v>1105.8294598371299</v>
      </c>
      <c r="T876">
        <v>0</v>
      </c>
      <c r="U876">
        <v>0</v>
      </c>
      <c r="V876">
        <v>0</v>
      </c>
      <c r="W876">
        <v>0</v>
      </c>
    </row>
    <row r="877" spans="1:23" x14ac:dyDescent="0.55000000000000004">
      <c r="A877" t="s">
        <v>1762</v>
      </c>
      <c r="B877" t="s">
        <v>1763</v>
      </c>
      <c r="C877" t="s">
        <v>184</v>
      </c>
      <c r="D877">
        <v>19.059999999999999</v>
      </c>
      <c r="E877">
        <f>557377280/(1000)</f>
        <v>557377.28000000003</v>
      </c>
      <c r="F877">
        <f>388450016/(1000)</f>
        <v>388450.016</v>
      </c>
      <c r="G877">
        <f>53790000/(1000)</f>
        <v>53790</v>
      </c>
      <c r="H877">
        <f>620068280/(1000)</f>
        <v>620068.28</v>
      </c>
      <c r="I877">
        <f>64864000/(1000)</f>
        <v>64864</v>
      </c>
      <c r="J877">
        <f t="shared" si="14"/>
        <v>9.5595134435125812E-3</v>
      </c>
      <c r="K877">
        <f>-8265999.5/(1000)</f>
        <v>-8265.9994999999999</v>
      </c>
      <c r="L877">
        <v>20.3409938812256</v>
      </c>
      <c r="M877">
        <v>18.105461120605501</v>
      </c>
      <c r="N877">
        <v>78.418305746752594</v>
      </c>
      <c r="O877">
        <v>30.410169601440401</v>
      </c>
      <c r="P877">
        <v>0</v>
      </c>
      <c r="Q877">
        <v>3.6235738852798698</v>
      </c>
      <c r="R877">
        <v>19.183734504097199</v>
      </c>
      <c r="S877">
        <v>226.99739546942999</v>
      </c>
      <c r="T877">
        <v>0</v>
      </c>
      <c r="U877">
        <v>0</v>
      </c>
      <c r="V877">
        <v>0</v>
      </c>
      <c r="W877">
        <v>0</v>
      </c>
    </row>
    <row r="878" spans="1:23" x14ac:dyDescent="0.55000000000000004">
      <c r="A878" t="s">
        <v>1764</v>
      </c>
      <c r="B878" t="s">
        <v>1765</v>
      </c>
      <c r="C878" t="s">
        <v>20</v>
      </c>
      <c r="D878">
        <v>1.99</v>
      </c>
      <c r="E878">
        <f>140866720/(1000)</f>
        <v>140866.72</v>
      </c>
      <c r="F878">
        <f>387044000/(1000)</f>
        <v>387044</v>
      </c>
      <c r="G878">
        <f>31122000/(1000)</f>
        <v>31122</v>
      </c>
      <c r="H878">
        <f>243735720/(1000)</f>
        <v>243735.72</v>
      </c>
      <c r="I878">
        <f>44428000/(1000)</f>
        <v>44428</v>
      </c>
      <c r="J878">
        <f t="shared" si="14"/>
        <v>5.4860835509138381E-3</v>
      </c>
      <c r="K878">
        <f>-27632999/(1000)</f>
        <v>-27632.999</v>
      </c>
      <c r="L878">
        <v>0</v>
      </c>
      <c r="M878">
        <v>41.388347625732401</v>
      </c>
      <c r="N878">
        <v>42.312957202087901</v>
      </c>
      <c r="O878">
        <v>188.990798950195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</row>
    <row r="879" spans="1:23" x14ac:dyDescent="0.55000000000000004">
      <c r="A879" t="s">
        <v>1766</v>
      </c>
      <c r="B879" t="s">
        <v>1767</v>
      </c>
      <c r="C879" t="s">
        <v>184</v>
      </c>
      <c r="D879">
        <v>5.89</v>
      </c>
      <c r="E879">
        <f>1217583104/(1000)</f>
        <v>1217583.1040000001</v>
      </c>
      <c r="F879">
        <f>386880992/(1000)</f>
        <v>386880.99200000003</v>
      </c>
      <c r="G879">
        <f>351257984/(1000)</f>
        <v>351257.984</v>
      </c>
      <c r="H879">
        <f>10263874560/(1000)</f>
        <v>10263874.560000001</v>
      </c>
      <c r="I879">
        <f>351689984/(1000)</f>
        <v>351689.984</v>
      </c>
      <c r="J879">
        <f t="shared" si="14"/>
        <v>2.9184438076007308E-2</v>
      </c>
      <c r="K879">
        <f>68447001/(1000)</f>
        <v>68447.001000000004</v>
      </c>
      <c r="L879">
        <v>0</v>
      </c>
      <c r="M879">
        <v>3.1084361076354998</v>
      </c>
      <c r="N879">
        <v>99.296732222053905</v>
      </c>
      <c r="O879">
        <v>812.65789794921898</v>
      </c>
      <c r="P879">
        <v>0.83999997377395597</v>
      </c>
      <c r="Q879">
        <v>1.02057614902784</v>
      </c>
      <c r="R879">
        <v>7.1307504004642004</v>
      </c>
      <c r="S879">
        <v>200.65588946137299</v>
      </c>
      <c r="T879">
        <v>0</v>
      </c>
      <c r="U879">
        <v>0</v>
      </c>
      <c r="V879">
        <v>0</v>
      </c>
      <c r="W879">
        <v>0</v>
      </c>
    </row>
    <row r="880" spans="1:23" x14ac:dyDescent="0.55000000000000004">
      <c r="A880" t="s">
        <v>1768</v>
      </c>
      <c r="B880" t="s">
        <v>1769</v>
      </c>
      <c r="C880" t="s">
        <v>38</v>
      </c>
      <c r="D880">
        <v>20.43</v>
      </c>
      <c r="E880">
        <f>776166336/(1000)</f>
        <v>776166.33600000001</v>
      </c>
      <c r="F880">
        <f>386849984/(1000)</f>
        <v>386849.984</v>
      </c>
      <c r="G880">
        <f>18188000/(1000)</f>
        <v>18188</v>
      </c>
      <c r="H880">
        <f>802939336/(1000)</f>
        <v>802939.33600000001</v>
      </c>
      <c r="I880">
        <f>45492000/(1000)</f>
        <v>45492</v>
      </c>
      <c r="J880">
        <f t="shared" si="14"/>
        <v>1.7650121691726018E-2</v>
      </c>
      <c r="K880">
        <f>-10617999/(1000)</f>
        <v>-10617.999</v>
      </c>
      <c r="L880">
        <v>49.672111511230497</v>
      </c>
      <c r="M880">
        <v>0.26524800062179599</v>
      </c>
      <c r="N880">
        <v>99.4527700937943</v>
      </c>
      <c r="O880">
        <v>51.7015991210938</v>
      </c>
      <c r="P880">
        <v>0</v>
      </c>
      <c r="Q880">
        <v>2.5410448261329499</v>
      </c>
      <c r="R880">
        <v>26.881579159173398</v>
      </c>
      <c r="S880">
        <v>92.584353593191594</v>
      </c>
      <c r="T880">
        <v>0</v>
      </c>
      <c r="U880">
        <v>0</v>
      </c>
      <c r="V880">
        <v>0</v>
      </c>
      <c r="W880">
        <v>0</v>
      </c>
    </row>
    <row r="881" spans="1:23" x14ac:dyDescent="0.55000000000000004">
      <c r="A881" t="s">
        <v>1770</v>
      </c>
      <c r="B881" t="s">
        <v>1771</v>
      </c>
      <c r="C881" t="s">
        <v>81</v>
      </c>
      <c r="D881">
        <v>9.3800000000000008</v>
      </c>
      <c r="E881">
        <f>409250336/(1000)</f>
        <v>409250.33600000001</v>
      </c>
      <c r="F881">
        <f>385784992/(1000)</f>
        <v>385784.99200000003</v>
      </c>
      <c r="G881">
        <f>60687000/(1000)</f>
        <v>60687</v>
      </c>
      <c r="H881">
        <f>939726336/(1000)</f>
        <v>939726.33600000001</v>
      </c>
      <c r="I881">
        <f>132024000/(1000)</f>
        <v>132024</v>
      </c>
      <c r="J881">
        <f t="shared" si="14"/>
        <v>7.1178447554990001E-3</v>
      </c>
      <c r="K881">
        <f>41638001/(1000)</f>
        <v>41638.000999999997</v>
      </c>
      <c r="L881">
        <v>0</v>
      </c>
      <c r="M881">
        <v>0</v>
      </c>
      <c r="N881">
        <v>98.194136053492699</v>
      </c>
      <c r="O881">
        <v>585.04278564453102</v>
      </c>
      <c r="P881">
        <v>0.86000001430511497</v>
      </c>
      <c r="Q881">
        <v>0</v>
      </c>
      <c r="R881">
        <v>22.3333342040461</v>
      </c>
      <c r="S881">
        <v>13.418138200291599</v>
      </c>
      <c r="T881">
        <v>0</v>
      </c>
      <c r="U881">
        <v>0</v>
      </c>
      <c r="V881">
        <v>0</v>
      </c>
      <c r="W881">
        <v>0</v>
      </c>
    </row>
    <row r="882" spans="1:23" x14ac:dyDescent="0.55000000000000004">
      <c r="A882" t="s">
        <v>1772</v>
      </c>
      <c r="B882" t="s">
        <v>1773</v>
      </c>
      <c r="C882" t="s">
        <v>5</v>
      </c>
      <c r="D882">
        <v>8.6</v>
      </c>
      <c r="E882">
        <f>141261008/(1000)</f>
        <v>141261.008</v>
      </c>
      <c r="F882">
        <f>385192992/(1000)</f>
        <v>385192.99200000003</v>
      </c>
      <c r="G882">
        <f>46187000/(1000)</f>
        <v>46187</v>
      </c>
      <c r="H882">
        <f>1146954960/(1000)</f>
        <v>1146954.96</v>
      </c>
      <c r="I882">
        <f>125190000/(1000)</f>
        <v>125190</v>
      </c>
      <c r="J882">
        <f t="shared" si="14"/>
        <v>9.1617138749101358E-3</v>
      </c>
      <c r="K882">
        <f>104770001/(1000)</f>
        <v>104770.001</v>
      </c>
      <c r="L882">
        <v>0</v>
      </c>
      <c r="M882">
        <v>-174.84294128418</v>
      </c>
      <c r="N882">
        <v>30.228850104107199</v>
      </c>
      <c r="O882">
        <v>2352.35131835938</v>
      </c>
      <c r="P882">
        <v>0</v>
      </c>
      <c r="Q882">
        <v>9.7472515632561998E-2</v>
      </c>
      <c r="R882">
        <v>0</v>
      </c>
      <c r="S882">
        <v>638.17215131654598</v>
      </c>
      <c r="T882">
        <v>0</v>
      </c>
      <c r="U882">
        <v>0</v>
      </c>
      <c r="V882">
        <v>0</v>
      </c>
      <c r="W882">
        <v>0</v>
      </c>
    </row>
    <row r="883" spans="1:23" x14ac:dyDescent="0.55000000000000004">
      <c r="A883" t="s">
        <v>1774</v>
      </c>
      <c r="B883" t="s">
        <v>1775</v>
      </c>
      <c r="C883" t="s">
        <v>31</v>
      </c>
      <c r="D883">
        <v>9.9499999999999993</v>
      </c>
      <c r="E883">
        <f>416188576/(1000)</f>
        <v>416188.576</v>
      </c>
      <c r="F883">
        <f>384699008/(1000)</f>
        <v>384699.00799999997</v>
      </c>
      <c r="G883">
        <f>49227000/(1000)</f>
        <v>49227</v>
      </c>
      <c r="H883">
        <f>281476576/(1000)</f>
        <v>281476.576</v>
      </c>
      <c r="I883">
        <f>61445000/(1000)</f>
        <v>61445</v>
      </c>
      <c r="J883">
        <f t="shared" si="14"/>
        <v>4.5809516803645535E-3</v>
      </c>
      <c r="K883">
        <f>52940001/(1000)</f>
        <v>52940.000999999997</v>
      </c>
      <c r="L883">
        <v>0</v>
      </c>
      <c r="M883">
        <v>9.0085735321044904</v>
      </c>
      <c r="N883">
        <v>77.377117444762007</v>
      </c>
      <c r="O883">
        <v>5.9696000069380001E-2</v>
      </c>
      <c r="P883">
        <v>0</v>
      </c>
      <c r="Q883">
        <v>1.1542923365850799</v>
      </c>
      <c r="R883">
        <v>19.134614623025001</v>
      </c>
      <c r="S883">
        <v>61.030652412326603</v>
      </c>
      <c r="T883">
        <v>0</v>
      </c>
      <c r="U883">
        <v>0</v>
      </c>
      <c r="V883">
        <v>0</v>
      </c>
      <c r="W883">
        <v>0</v>
      </c>
    </row>
    <row r="884" spans="1:23" x14ac:dyDescent="0.55000000000000004">
      <c r="A884" t="s">
        <v>1776</v>
      </c>
      <c r="B884" t="s">
        <v>1777</v>
      </c>
      <c r="C884" t="s">
        <v>184</v>
      </c>
      <c r="D884">
        <v>26.9</v>
      </c>
      <c r="E884">
        <f>731685376/(1000)</f>
        <v>731685.37600000005</v>
      </c>
      <c r="F884">
        <f>383895008/(1000)</f>
        <v>383895.00799999997</v>
      </c>
      <c r="G884">
        <f>0/(1000)</f>
        <v>0</v>
      </c>
      <c r="H884">
        <f>0/(1000)</f>
        <v>0</v>
      </c>
      <c r="I884">
        <f>0/(1000)</f>
        <v>0</v>
      </c>
      <c r="J884">
        <f t="shared" si="14"/>
        <v>1</v>
      </c>
      <c r="K884">
        <f>180420993/(1000)</f>
        <v>180420.99299999999</v>
      </c>
      <c r="L884">
        <v>16.693313598632798</v>
      </c>
      <c r="M884">
        <v>7.8316888809204102</v>
      </c>
      <c r="N884">
        <v>92.933143179546505</v>
      </c>
      <c r="O884">
        <v>65.927589416503906</v>
      </c>
      <c r="P884">
        <v>1.2799999713897701</v>
      </c>
      <c r="Q884">
        <v>1.80618127054164</v>
      </c>
      <c r="R884">
        <v>17.0253162335278</v>
      </c>
      <c r="S884">
        <v>297.46032902978698</v>
      </c>
      <c r="T884">
        <v>0</v>
      </c>
      <c r="U884">
        <v>0</v>
      </c>
      <c r="V884">
        <v>0</v>
      </c>
      <c r="W884">
        <v>0</v>
      </c>
    </row>
    <row r="885" spans="1:23" x14ac:dyDescent="0.55000000000000004">
      <c r="A885" t="s">
        <v>1778</v>
      </c>
      <c r="B885" t="s">
        <v>1779</v>
      </c>
      <c r="C885" t="s">
        <v>2</v>
      </c>
      <c r="D885">
        <v>42.61</v>
      </c>
      <c r="E885">
        <f>391219456/(1000)</f>
        <v>391219.45600000001</v>
      </c>
      <c r="F885">
        <f>382824000/(1000)</f>
        <v>382824</v>
      </c>
      <c r="G885">
        <f>39512000/(1000)</f>
        <v>39512</v>
      </c>
      <c r="H885">
        <f>506923456/(1000)</f>
        <v>506923.45600000001</v>
      </c>
      <c r="I885">
        <f>44645000/(1000)</f>
        <v>44645</v>
      </c>
      <c r="J885">
        <f t="shared" si="14"/>
        <v>1.1354540396460971E-2</v>
      </c>
      <c r="K885">
        <f>-4009999/(1000)</f>
        <v>-4009.9989999999998</v>
      </c>
      <c r="L885">
        <v>17.403785705566399</v>
      </c>
      <c r="M885">
        <v>8.5533390045165998</v>
      </c>
      <c r="N885">
        <v>96.896984231250102</v>
      </c>
      <c r="O885">
        <v>38.7022895812988</v>
      </c>
      <c r="P885">
        <v>0</v>
      </c>
      <c r="Q885">
        <v>0</v>
      </c>
      <c r="R885">
        <v>13.6134184868506</v>
      </c>
      <c r="S885">
        <v>43.864176199688899</v>
      </c>
      <c r="T885">
        <v>0</v>
      </c>
      <c r="U885">
        <v>0</v>
      </c>
      <c r="V885">
        <v>0</v>
      </c>
      <c r="W885">
        <v>0</v>
      </c>
    </row>
    <row r="886" spans="1:23" x14ac:dyDescent="0.55000000000000004">
      <c r="A886" t="s">
        <v>1780</v>
      </c>
      <c r="B886" t="s">
        <v>1781</v>
      </c>
      <c r="C886" t="s">
        <v>20</v>
      </c>
      <c r="D886">
        <v>7.45</v>
      </c>
      <c r="E886">
        <f>220363552/(1000)</f>
        <v>220363.552</v>
      </c>
      <c r="F886">
        <f>381416000/(1000)</f>
        <v>381416</v>
      </c>
      <c r="G886">
        <f>38945000/(1000)</f>
        <v>38945</v>
      </c>
      <c r="H886">
        <f>157119552/(1000)</f>
        <v>157119.552</v>
      </c>
      <c r="I886">
        <f>53707000/(1000)</f>
        <v>53707</v>
      </c>
      <c r="J886">
        <f t="shared" si="14"/>
        <v>2.92549485169531E-3</v>
      </c>
      <c r="K886">
        <f>3564001/(1000)</f>
        <v>3564.0010000000002</v>
      </c>
      <c r="L886">
        <v>0</v>
      </c>
      <c r="M886">
        <v>19.5255451202393</v>
      </c>
      <c r="N886">
        <v>62.047735577606701</v>
      </c>
      <c r="O886">
        <v>4.7761349678039604</v>
      </c>
      <c r="P886">
        <v>0</v>
      </c>
      <c r="Q886">
        <v>1.29116114972133</v>
      </c>
      <c r="R886">
        <v>9.3518007826224991</v>
      </c>
      <c r="S886">
        <v>0</v>
      </c>
      <c r="T886">
        <v>0</v>
      </c>
      <c r="U886">
        <v>0</v>
      </c>
      <c r="V886">
        <v>0</v>
      </c>
      <c r="W886">
        <v>0</v>
      </c>
    </row>
    <row r="887" spans="1:23" x14ac:dyDescent="0.55000000000000004">
      <c r="A887" t="s">
        <v>1782</v>
      </c>
      <c r="B887" t="s">
        <v>1783</v>
      </c>
      <c r="C887" t="s">
        <v>184</v>
      </c>
      <c r="D887">
        <v>12.38</v>
      </c>
      <c r="E887">
        <f>1033850048/(1000)</f>
        <v>1033850.048</v>
      </c>
      <c r="F887">
        <f>379964992/(1000)</f>
        <v>379964.99200000003</v>
      </c>
      <c r="G887">
        <f>0/(1000)</f>
        <v>0</v>
      </c>
      <c r="H887">
        <f>0/(1000)</f>
        <v>0</v>
      </c>
      <c r="I887">
        <f>0/(1000)</f>
        <v>0</v>
      </c>
      <c r="J887">
        <f t="shared" si="14"/>
        <v>1</v>
      </c>
      <c r="K887">
        <f>59936001/(1000)</f>
        <v>59936.000999999997</v>
      </c>
      <c r="L887">
        <v>17.2333889007568</v>
      </c>
      <c r="M887">
        <v>8.11297512054443</v>
      </c>
      <c r="N887">
        <v>95.099255404570002</v>
      </c>
      <c r="O887">
        <v>158.60865783691401</v>
      </c>
      <c r="P887">
        <v>0.68000000715255704</v>
      </c>
      <c r="Q887">
        <v>1.5475000143051201</v>
      </c>
      <c r="R887">
        <v>17.194444631858701</v>
      </c>
      <c r="S887">
        <v>21.4822879897837</v>
      </c>
      <c r="T887">
        <v>0</v>
      </c>
      <c r="U887">
        <v>0</v>
      </c>
      <c r="V887">
        <v>0</v>
      </c>
      <c r="W887">
        <v>0</v>
      </c>
    </row>
    <row r="888" spans="1:23" x14ac:dyDescent="0.55000000000000004">
      <c r="A888" t="s">
        <v>1784</v>
      </c>
      <c r="B888" t="s">
        <v>1785</v>
      </c>
      <c r="C888" t="s">
        <v>17</v>
      </c>
      <c r="D888">
        <v>13.62</v>
      </c>
      <c r="E888">
        <f>899112000/(1000)</f>
        <v>899112</v>
      </c>
      <c r="F888">
        <f>379160992/(1000)</f>
        <v>379160.99200000003</v>
      </c>
      <c r="G888">
        <f>125384000/(1000)</f>
        <v>125384</v>
      </c>
      <c r="H888">
        <f>937318000/(1000)</f>
        <v>937318</v>
      </c>
      <c r="I888">
        <f>135586000/(1000)</f>
        <v>135586</v>
      </c>
      <c r="J888">
        <f t="shared" si="14"/>
        <v>6.9130883719558068E-3</v>
      </c>
      <c r="K888">
        <f>104009001/(1000)</f>
        <v>104009.001</v>
      </c>
      <c r="L888">
        <v>66.928634643554702</v>
      </c>
      <c r="M888">
        <v>80.294540405273395</v>
      </c>
      <c r="N888">
        <v>76.371867027251895</v>
      </c>
      <c r="O888">
        <v>295.28021240234398</v>
      </c>
      <c r="P888">
        <v>0.98226118087768599</v>
      </c>
      <c r="Q888">
        <v>0</v>
      </c>
      <c r="R888">
        <v>16.745901427343</v>
      </c>
      <c r="S888">
        <v>-24.682668468196798</v>
      </c>
      <c r="T888">
        <v>0</v>
      </c>
      <c r="U888">
        <v>0</v>
      </c>
      <c r="V888">
        <v>0</v>
      </c>
      <c r="W888">
        <v>0</v>
      </c>
    </row>
    <row r="889" spans="1:23" x14ac:dyDescent="0.55000000000000004">
      <c r="A889" t="s">
        <v>1786</v>
      </c>
      <c r="B889" t="s">
        <v>1787</v>
      </c>
      <c r="C889" t="s">
        <v>31</v>
      </c>
      <c r="D889">
        <v>1.29</v>
      </c>
      <c r="E889">
        <f>52404960/(1000)</f>
        <v>52404.959999999999</v>
      </c>
      <c r="F889">
        <f>378297984/(1000)</f>
        <v>378297.984</v>
      </c>
      <c r="G889">
        <f>9919000/(1000)</f>
        <v>9919</v>
      </c>
      <c r="H889">
        <f>414095968/(1000)</f>
        <v>414095.96799999999</v>
      </c>
      <c r="I889">
        <f>55648000/(1000)</f>
        <v>55648</v>
      </c>
      <c r="J889">
        <f t="shared" si="14"/>
        <v>7.4413450258769406E-3</v>
      </c>
      <c r="K889">
        <f>-13405999/(1000)</f>
        <v>-13405.999</v>
      </c>
      <c r="L889">
        <v>0</v>
      </c>
      <c r="M889">
        <v>0</v>
      </c>
      <c r="N889">
        <v>67.145528828176893</v>
      </c>
      <c r="O889">
        <v>305.23941040039102</v>
      </c>
      <c r="P889">
        <v>0</v>
      </c>
      <c r="Q889">
        <v>0.49049426073019498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</row>
    <row r="890" spans="1:23" x14ac:dyDescent="0.55000000000000004">
      <c r="A890" t="s">
        <v>1788</v>
      </c>
      <c r="B890" t="s">
        <v>1789</v>
      </c>
      <c r="C890" t="s">
        <v>5</v>
      </c>
      <c r="D890">
        <v>16.34</v>
      </c>
      <c r="E890">
        <f>363620576/(1000)</f>
        <v>363620.576</v>
      </c>
      <c r="F890">
        <f>377848992/(1000)</f>
        <v>377848.99200000003</v>
      </c>
      <c r="G890">
        <f>37648000/(1000)</f>
        <v>37648</v>
      </c>
      <c r="H890">
        <f>266510576/(1000)</f>
        <v>266510.576</v>
      </c>
      <c r="I890">
        <f>58018000/(1000)</f>
        <v>58018</v>
      </c>
      <c r="J890">
        <f t="shared" si="14"/>
        <v>4.593584335895756E-3</v>
      </c>
      <c r="K890">
        <f>48074001/(1000)</f>
        <v>48074.000999999997</v>
      </c>
      <c r="L890">
        <v>29.367731094360401</v>
      </c>
      <c r="M890">
        <v>7.9480118751525897</v>
      </c>
      <c r="N890">
        <v>98.951167937509595</v>
      </c>
      <c r="O890">
        <v>0</v>
      </c>
      <c r="P890">
        <v>0</v>
      </c>
      <c r="Q890">
        <v>0</v>
      </c>
      <c r="R890">
        <v>10.0864199103651</v>
      </c>
      <c r="S890">
        <v>142.96315607750401</v>
      </c>
      <c r="T890">
        <v>0</v>
      </c>
      <c r="U890">
        <v>0</v>
      </c>
      <c r="V890">
        <v>0</v>
      </c>
      <c r="W890">
        <v>0</v>
      </c>
    </row>
    <row r="891" spans="1:23" x14ac:dyDescent="0.55000000000000004">
      <c r="A891" t="s">
        <v>1790</v>
      </c>
      <c r="B891" t="s">
        <v>1791</v>
      </c>
      <c r="C891" t="s">
        <v>5</v>
      </c>
      <c r="D891">
        <v>44.85</v>
      </c>
      <c r="E891">
        <f>805761664/(1000)</f>
        <v>805761.66399999999</v>
      </c>
      <c r="F891">
        <f>377537984/(1000)</f>
        <v>377537.984</v>
      </c>
      <c r="G891">
        <f>79294000/(1000)</f>
        <v>79294</v>
      </c>
      <c r="H891">
        <f>765001664/(1000)</f>
        <v>765001.66399999999</v>
      </c>
      <c r="I891">
        <f>88061000/(1000)</f>
        <v>88061</v>
      </c>
      <c r="J891">
        <f t="shared" si="14"/>
        <v>8.6871789327852278E-3</v>
      </c>
      <c r="K891">
        <f>56844001/(1000)</f>
        <v>56844.000999999997</v>
      </c>
      <c r="L891">
        <v>26.628004074096701</v>
      </c>
      <c r="M891">
        <v>27.610946655273398</v>
      </c>
      <c r="N891">
        <v>98.713659096987101</v>
      </c>
      <c r="O891">
        <v>11.082649230956999</v>
      </c>
      <c r="P891">
        <v>0</v>
      </c>
      <c r="Q891">
        <v>0</v>
      </c>
      <c r="R891">
        <v>15.5190306906999</v>
      </c>
      <c r="S891">
        <v>75.673423660188206</v>
      </c>
      <c r="T891">
        <v>0</v>
      </c>
      <c r="U891">
        <v>0</v>
      </c>
      <c r="V891">
        <v>0</v>
      </c>
      <c r="W891">
        <v>0</v>
      </c>
    </row>
    <row r="892" spans="1:23" x14ac:dyDescent="0.55000000000000004">
      <c r="A892" t="s">
        <v>1792</v>
      </c>
      <c r="B892" t="s">
        <v>1793</v>
      </c>
      <c r="C892" t="s">
        <v>5</v>
      </c>
      <c r="D892">
        <v>11.94</v>
      </c>
      <c r="E892">
        <f>817084096/(1000)</f>
        <v>817084.09600000002</v>
      </c>
      <c r="F892">
        <f>377524000/(1000)</f>
        <v>377524</v>
      </c>
      <c r="G892">
        <f>109563000/(1000)</f>
        <v>109563</v>
      </c>
      <c r="H892">
        <f>1208866112/(1000)</f>
        <v>1208866.112</v>
      </c>
      <c r="I892">
        <f>153667008/(1000)</f>
        <v>153667.008</v>
      </c>
      <c r="J892">
        <f t="shared" si="14"/>
        <v>7.8667901961102793E-3</v>
      </c>
      <c r="K892">
        <f>93597001/(1000)</f>
        <v>93597.001000000004</v>
      </c>
      <c r="L892">
        <v>0</v>
      </c>
      <c r="M892">
        <v>11.8382625579834</v>
      </c>
      <c r="N892">
        <v>96.029368154714007</v>
      </c>
      <c r="O892">
        <v>111.07559967041</v>
      </c>
      <c r="P892">
        <v>0</v>
      </c>
      <c r="Q892">
        <v>1.4841515807522101</v>
      </c>
      <c r="R892">
        <v>7.9325003928731004</v>
      </c>
      <c r="S892">
        <v>0</v>
      </c>
      <c r="T892">
        <v>0</v>
      </c>
      <c r="U892">
        <v>0</v>
      </c>
      <c r="V892">
        <v>0</v>
      </c>
      <c r="W892">
        <v>0</v>
      </c>
    </row>
    <row r="893" spans="1:23" x14ac:dyDescent="0.55000000000000004">
      <c r="A893" t="s">
        <v>1794</v>
      </c>
      <c r="B893" t="s">
        <v>1795</v>
      </c>
      <c r="C893" t="s">
        <v>31</v>
      </c>
      <c r="D893">
        <v>26.07</v>
      </c>
      <c r="E893">
        <f>605426240/(1000)</f>
        <v>605426.24</v>
      </c>
      <c r="F893">
        <f>375068992/(1000)</f>
        <v>375068.99200000003</v>
      </c>
      <c r="G893">
        <f>49442000/(1000)</f>
        <v>49442</v>
      </c>
      <c r="H893">
        <f>382656240/(1000)</f>
        <v>382656.24</v>
      </c>
      <c r="I893">
        <f>75393000/(1000)</f>
        <v>75393</v>
      </c>
      <c r="J893">
        <f t="shared" si="14"/>
        <v>5.0754876447415545E-3</v>
      </c>
      <c r="K893">
        <f>51607001/(1000)</f>
        <v>51607.000999999997</v>
      </c>
      <c r="L893">
        <v>22.387983322143601</v>
      </c>
      <c r="M893">
        <v>9.0479879379272496</v>
      </c>
      <c r="N893">
        <v>98.1458089146048</v>
      </c>
      <c r="O893">
        <v>0.83987200260162398</v>
      </c>
      <c r="P893">
        <v>0</v>
      </c>
      <c r="Q893">
        <v>1.32908488396776</v>
      </c>
      <c r="R893">
        <v>15.896341127119101</v>
      </c>
      <c r="S893">
        <v>49.035028280771002</v>
      </c>
      <c r="T893">
        <v>0</v>
      </c>
      <c r="U893">
        <v>0</v>
      </c>
      <c r="V893">
        <v>0</v>
      </c>
      <c r="W893">
        <v>0</v>
      </c>
    </row>
    <row r="894" spans="1:23" x14ac:dyDescent="0.55000000000000004">
      <c r="A894" t="s">
        <v>1796</v>
      </c>
      <c r="B894" t="s">
        <v>1797</v>
      </c>
      <c r="C894" t="s">
        <v>5</v>
      </c>
      <c r="D894">
        <v>13.13</v>
      </c>
      <c r="E894">
        <f>408018688/(1000)</f>
        <v>408018.68800000002</v>
      </c>
      <c r="F894">
        <f>373575008/(1000)</f>
        <v>373575.00799999997</v>
      </c>
      <c r="G894">
        <f>50857000/(1000)</f>
        <v>50857</v>
      </c>
      <c r="H894">
        <f>407692688/(1000)</f>
        <v>407692.68800000002</v>
      </c>
      <c r="I894">
        <f>82503000/(1000)</f>
        <v>82503</v>
      </c>
      <c r="J894">
        <f t="shared" si="14"/>
        <v>4.9415498587930141E-3</v>
      </c>
      <c r="K894">
        <f>72299001/(1000)</f>
        <v>72299.001000000004</v>
      </c>
      <c r="L894">
        <v>44.443267822265597</v>
      </c>
      <c r="M894">
        <v>8.4714803695678693</v>
      </c>
      <c r="N894">
        <v>95.185564721038503</v>
      </c>
      <c r="O894">
        <v>25.8071613311768</v>
      </c>
      <c r="P894">
        <v>0</v>
      </c>
      <c r="Q894">
        <v>0</v>
      </c>
      <c r="R894">
        <v>10.257812579853599</v>
      </c>
      <c r="S894">
        <v>70.228518093330607</v>
      </c>
      <c r="T894">
        <v>0</v>
      </c>
      <c r="U894">
        <v>0</v>
      </c>
      <c r="V894">
        <v>0</v>
      </c>
      <c r="W894">
        <v>0</v>
      </c>
    </row>
    <row r="895" spans="1:23" x14ac:dyDescent="0.55000000000000004">
      <c r="A895" t="s">
        <v>1798</v>
      </c>
      <c r="B895" t="s">
        <v>1799</v>
      </c>
      <c r="C895" t="s">
        <v>5</v>
      </c>
      <c r="D895">
        <v>30.93</v>
      </c>
      <c r="E895">
        <f>1044753536/(1000)</f>
        <v>1044753.536</v>
      </c>
      <c r="F895">
        <f>373208000/(1000)</f>
        <v>373208</v>
      </c>
      <c r="G895">
        <f>79071000/(1000)</f>
        <v>79071</v>
      </c>
      <c r="H895">
        <f>1098270536/(1000)</f>
        <v>1098270.5360000001</v>
      </c>
      <c r="I895">
        <f>92685000/(1000)</f>
        <v>92685</v>
      </c>
      <c r="J895">
        <f t="shared" si="14"/>
        <v>1.1849495991800183E-2</v>
      </c>
      <c r="K895">
        <f>70595001/(1000)</f>
        <v>70595.001000000004</v>
      </c>
      <c r="L895">
        <v>29.908638000488299</v>
      </c>
      <c r="M895">
        <v>21.946628570556602</v>
      </c>
      <c r="N895">
        <v>92.302386502083607</v>
      </c>
      <c r="O895">
        <v>106.656455993652</v>
      </c>
      <c r="P895">
        <v>0.80000001192092896</v>
      </c>
      <c r="Q895">
        <v>0</v>
      </c>
      <c r="R895">
        <v>22.911110932542499</v>
      </c>
      <c r="S895">
        <v>-2.3996819950625499</v>
      </c>
      <c r="T895">
        <v>0</v>
      </c>
      <c r="U895">
        <v>0</v>
      </c>
      <c r="V895">
        <v>0</v>
      </c>
      <c r="W895">
        <v>0</v>
      </c>
    </row>
    <row r="896" spans="1:23" x14ac:dyDescent="0.55000000000000004">
      <c r="A896" t="s">
        <v>1800</v>
      </c>
      <c r="B896" t="s">
        <v>1801</v>
      </c>
      <c r="C896" t="s">
        <v>184</v>
      </c>
      <c r="D896">
        <v>11.9</v>
      </c>
      <c r="E896">
        <f>990916608/(1000)</f>
        <v>990916.60800000001</v>
      </c>
      <c r="F896">
        <f>372601984/(1000)</f>
        <v>372601.984</v>
      </c>
      <c r="G896">
        <f>0/(1000)</f>
        <v>0</v>
      </c>
      <c r="H896">
        <f>0/(1000)</f>
        <v>0</v>
      </c>
      <c r="I896">
        <f>0/(1000)</f>
        <v>0</v>
      </c>
      <c r="J896">
        <f t="shared" si="14"/>
        <v>1</v>
      </c>
      <c r="K896">
        <f>63601001/(1000)</f>
        <v>63601.000999999997</v>
      </c>
      <c r="L896">
        <v>0</v>
      </c>
      <c r="M896">
        <v>14.917152404785201</v>
      </c>
      <c r="N896">
        <v>74.612555308328794</v>
      </c>
      <c r="O896">
        <v>577.81280517578102</v>
      </c>
      <c r="P896">
        <v>0.34000000357627902</v>
      </c>
      <c r="Q896">
        <v>2.1136766210726798</v>
      </c>
      <c r="R896">
        <v>15.4545453419511</v>
      </c>
      <c r="S896">
        <v>103.228956020921</v>
      </c>
      <c r="T896">
        <v>0</v>
      </c>
      <c r="U896">
        <v>0</v>
      </c>
      <c r="V896">
        <v>0</v>
      </c>
      <c r="W896">
        <v>0</v>
      </c>
    </row>
    <row r="897" spans="1:23" x14ac:dyDescent="0.55000000000000004">
      <c r="A897" t="s">
        <v>1802</v>
      </c>
      <c r="B897" t="s">
        <v>1803</v>
      </c>
      <c r="C897" t="s">
        <v>8</v>
      </c>
      <c r="D897">
        <v>45.44</v>
      </c>
      <c r="E897">
        <f>550455616/(1000)</f>
        <v>550455.61600000004</v>
      </c>
      <c r="F897">
        <f>372203008/(1000)</f>
        <v>372203.00799999997</v>
      </c>
      <c r="G897">
        <f>74290000/(1000)</f>
        <v>74290</v>
      </c>
      <c r="H897">
        <f>913786624/(1000)</f>
        <v>913786.62399999995</v>
      </c>
      <c r="I897">
        <f>158766000/(1000)</f>
        <v>158766</v>
      </c>
      <c r="J897">
        <f t="shared" si="14"/>
        <v>5.755556126626607E-3</v>
      </c>
      <c r="K897">
        <f>-27888999/(1000)</f>
        <v>-27888.999</v>
      </c>
      <c r="L897">
        <v>0</v>
      </c>
      <c r="M897">
        <v>3.9177730083465598</v>
      </c>
      <c r="N897">
        <v>73.357877021920004</v>
      </c>
      <c r="O897">
        <v>281.50381469726602</v>
      </c>
      <c r="P897">
        <v>0</v>
      </c>
      <c r="Q897">
        <v>0</v>
      </c>
      <c r="R897">
        <v>10.4220185693632</v>
      </c>
      <c r="S897">
        <v>305.140968760205</v>
      </c>
      <c r="T897">
        <v>0</v>
      </c>
      <c r="U897">
        <v>0</v>
      </c>
      <c r="V897">
        <v>0</v>
      </c>
      <c r="W897">
        <v>0</v>
      </c>
    </row>
    <row r="898" spans="1:23" x14ac:dyDescent="0.55000000000000004">
      <c r="A898" t="s">
        <v>1804</v>
      </c>
      <c r="B898" t="s">
        <v>1805</v>
      </c>
      <c r="C898" t="s">
        <v>38</v>
      </c>
      <c r="D898">
        <v>2.99</v>
      </c>
      <c r="E898">
        <f>209905776/(1000)</f>
        <v>209905.77600000001</v>
      </c>
      <c r="F898">
        <f>371320000/(1000)</f>
        <v>371320</v>
      </c>
      <c r="G898">
        <f>21376000/(1000)</f>
        <v>21376</v>
      </c>
      <c r="H898">
        <f>74594768/(1000)</f>
        <v>74594.767999999996</v>
      </c>
      <c r="I898">
        <f>53482996/(1000)</f>
        <v>53482.995999999999</v>
      </c>
      <c r="J898">
        <f t="shared" ref="J898:J961" si="15">(IF(I898=0,1000,H898/I898))/(1000)</f>
        <v>1.3947380210338255E-3</v>
      </c>
      <c r="K898">
        <f>4916999/(1000)</f>
        <v>4916.9989999999998</v>
      </c>
      <c r="L898">
        <v>0</v>
      </c>
      <c r="M898">
        <v>2.1874809265136701</v>
      </c>
      <c r="N898">
        <v>98.808450700123203</v>
      </c>
      <c r="O898">
        <v>72.901893615722699</v>
      </c>
      <c r="P898">
        <v>0</v>
      </c>
      <c r="Q898">
        <v>0.30355328870460402</v>
      </c>
      <c r="R898">
        <v>4.0405406234003598</v>
      </c>
      <c r="S898">
        <v>28.097042334092301</v>
      </c>
      <c r="T898">
        <v>0</v>
      </c>
      <c r="U898">
        <v>0</v>
      </c>
      <c r="V898">
        <v>0</v>
      </c>
      <c r="W898">
        <v>0</v>
      </c>
    </row>
    <row r="899" spans="1:23" x14ac:dyDescent="0.55000000000000004">
      <c r="A899" t="s">
        <v>1806</v>
      </c>
      <c r="B899" t="s">
        <v>1807</v>
      </c>
      <c r="C899" t="s">
        <v>81</v>
      </c>
      <c r="D899">
        <v>16.23</v>
      </c>
      <c r="E899">
        <f>482328032/(1000)</f>
        <v>482328.03200000001</v>
      </c>
      <c r="F899">
        <f>371075008/(1000)</f>
        <v>371075.00799999997</v>
      </c>
      <c r="G899">
        <f>47698000/(1000)</f>
        <v>47698</v>
      </c>
      <c r="H899">
        <f>737854032/(1000)</f>
        <v>737854.03200000001</v>
      </c>
      <c r="I899">
        <f>79291000/(1000)</f>
        <v>79291</v>
      </c>
      <c r="J899">
        <f t="shared" si="15"/>
        <v>9.3056466938240146E-3</v>
      </c>
      <c r="K899">
        <f>-7166995/(1000)</f>
        <v>-7166.9949999999999</v>
      </c>
      <c r="L899">
        <v>27.883586883544901</v>
      </c>
      <c r="M899">
        <v>6.4320049285888699</v>
      </c>
      <c r="N899">
        <v>96.181573462794603</v>
      </c>
      <c r="O899">
        <v>89.810165405273395</v>
      </c>
      <c r="P899">
        <v>0.34000000357627902</v>
      </c>
      <c r="Q899">
        <v>1.47679707736564</v>
      </c>
      <c r="R899">
        <v>22.374417140532099</v>
      </c>
      <c r="S899">
        <v>-6.5102098633670202</v>
      </c>
      <c r="T899">
        <v>0</v>
      </c>
      <c r="U899">
        <v>0</v>
      </c>
      <c r="V899">
        <v>0</v>
      </c>
      <c r="W899">
        <v>0</v>
      </c>
    </row>
    <row r="900" spans="1:23" x14ac:dyDescent="0.55000000000000004">
      <c r="A900" t="s">
        <v>1808</v>
      </c>
      <c r="B900" t="s">
        <v>1809</v>
      </c>
      <c r="C900" t="s">
        <v>2</v>
      </c>
      <c r="D900">
        <v>4.78</v>
      </c>
      <c r="E900">
        <f>375813152/(1000)</f>
        <v>375813.152</v>
      </c>
      <c r="F900">
        <f>370691008/(1000)</f>
        <v>370691.00799999997</v>
      </c>
      <c r="G900">
        <f>204320992/(1000)</f>
        <v>204320.992</v>
      </c>
      <c r="H900">
        <f>2977888032/(1000)</f>
        <v>2977888.0320000001</v>
      </c>
      <c r="I900">
        <f>331484992/(1000)</f>
        <v>331484.99200000003</v>
      </c>
      <c r="J900">
        <f t="shared" si="15"/>
        <v>8.983477695424593E-3</v>
      </c>
      <c r="K900">
        <f>-1940701951/(1000)</f>
        <v>-1940701.9509999999</v>
      </c>
      <c r="L900">
        <v>0</v>
      </c>
      <c r="M900">
        <v>13.184150695800801</v>
      </c>
      <c r="N900">
        <v>63.907047578087898</v>
      </c>
      <c r="O900">
        <v>191.25335693359401</v>
      </c>
      <c r="P900">
        <v>0.40000000596046398</v>
      </c>
      <c r="Q900">
        <v>0</v>
      </c>
      <c r="R900">
        <v>3.0998704430036002</v>
      </c>
      <c r="S900">
        <v>0</v>
      </c>
      <c r="T900">
        <v>0</v>
      </c>
      <c r="U900">
        <v>0</v>
      </c>
      <c r="V900">
        <v>0</v>
      </c>
      <c r="W900">
        <v>0</v>
      </c>
    </row>
    <row r="901" spans="1:23" x14ac:dyDescent="0.55000000000000004">
      <c r="A901" t="s">
        <v>1810</v>
      </c>
      <c r="B901" t="s">
        <v>1811</v>
      </c>
      <c r="C901" t="s">
        <v>5</v>
      </c>
      <c r="D901">
        <v>6.71</v>
      </c>
      <c r="E901">
        <f>171476736/(1000)</f>
        <v>171476.736</v>
      </c>
      <c r="F901">
        <f>370428992/(1000)</f>
        <v>370428.99200000003</v>
      </c>
      <c r="G901">
        <f>21929000/(1000)</f>
        <v>21929</v>
      </c>
      <c r="H901">
        <f>159171736/(1000)</f>
        <v>159171.736</v>
      </c>
      <c r="I901">
        <f>29228000/(1000)</f>
        <v>29228</v>
      </c>
      <c r="J901">
        <f t="shared" si="15"/>
        <v>5.4458647871903658E-3</v>
      </c>
      <c r="K901">
        <f>13397001/(1000)</f>
        <v>13397.001</v>
      </c>
      <c r="L901">
        <v>24.9270343780518</v>
      </c>
      <c r="M901">
        <v>4.6883640289306596</v>
      </c>
      <c r="N901">
        <v>94.418397673153294</v>
      </c>
      <c r="O901">
        <v>0</v>
      </c>
      <c r="P901">
        <v>0</v>
      </c>
      <c r="Q901">
        <v>0.60233391663842295</v>
      </c>
      <c r="R901">
        <v>13.693877570570001</v>
      </c>
      <c r="S901">
        <v>177.05155729381701</v>
      </c>
      <c r="T901">
        <v>0</v>
      </c>
      <c r="U901">
        <v>0</v>
      </c>
      <c r="V901">
        <v>0</v>
      </c>
      <c r="W901">
        <v>0</v>
      </c>
    </row>
    <row r="902" spans="1:23" x14ac:dyDescent="0.55000000000000004">
      <c r="A902" t="s">
        <v>1812</v>
      </c>
      <c r="B902" t="s">
        <v>1813</v>
      </c>
      <c r="C902" t="s">
        <v>5</v>
      </c>
      <c r="D902">
        <v>8.66</v>
      </c>
      <c r="E902">
        <f>141680192/(1000)</f>
        <v>141680.19200000001</v>
      </c>
      <c r="F902">
        <f>370014016/(1000)</f>
        <v>370014.016</v>
      </c>
      <c r="G902">
        <f>51146000/(1000)</f>
        <v>51146</v>
      </c>
      <c r="H902">
        <f>338670192/(1000)</f>
        <v>338670.19199999998</v>
      </c>
      <c r="I902">
        <f>62109000/(1000)</f>
        <v>62109</v>
      </c>
      <c r="J902">
        <f t="shared" si="15"/>
        <v>5.452836014104236E-3</v>
      </c>
      <c r="K902">
        <f>29619001/(1000)</f>
        <v>29619.001</v>
      </c>
      <c r="L902">
        <v>0</v>
      </c>
      <c r="M902">
        <v>15.160264968872101</v>
      </c>
      <c r="N902">
        <v>98.045267734490295</v>
      </c>
      <c r="O902">
        <v>156.855392456055</v>
      </c>
      <c r="P902">
        <v>0</v>
      </c>
      <c r="Q902">
        <v>0.86340977846135503</v>
      </c>
      <c r="R902">
        <v>7.2773107195984803</v>
      </c>
      <c r="S902">
        <v>0</v>
      </c>
      <c r="T902">
        <v>0</v>
      </c>
      <c r="U902">
        <v>0</v>
      </c>
      <c r="V902">
        <v>0</v>
      </c>
      <c r="W902">
        <v>0</v>
      </c>
    </row>
    <row r="903" spans="1:23" x14ac:dyDescent="0.55000000000000004">
      <c r="A903" t="s">
        <v>1814</v>
      </c>
      <c r="B903" t="s">
        <v>1815</v>
      </c>
      <c r="C903" t="s">
        <v>184</v>
      </c>
      <c r="D903">
        <v>19.02</v>
      </c>
      <c r="E903">
        <f>1138575232/(1000)</f>
        <v>1138575.2320000001</v>
      </c>
      <c r="F903">
        <f>369577984/(1000)</f>
        <v>369577.984</v>
      </c>
      <c r="G903">
        <f>0/(1000)</f>
        <v>0</v>
      </c>
      <c r="H903">
        <f>0/(1000)</f>
        <v>0</v>
      </c>
      <c r="I903">
        <f>0/(1000)</f>
        <v>0</v>
      </c>
      <c r="J903">
        <f t="shared" si="15"/>
        <v>1</v>
      </c>
      <c r="K903">
        <f>70427001/(1000)</f>
        <v>70427.001000000004</v>
      </c>
      <c r="L903">
        <v>17.806259155273398</v>
      </c>
      <c r="M903">
        <v>13.933518409729</v>
      </c>
      <c r="N903">
        <v>95.488958715470005</v>
      </c>
      <c r="O903">
        <v>200.3740234375</v>
      </c>
      <c r="P903">
        <v>0.519999980926514</v>
      </c>
      <c r="Q903">
        <v>1.77029036559082</v>
      </c>
      <c r="R903">
        <v>14.630769448731799</v>
      </c>
      <c r="S903">
        <v>131.122024189211</v>
      </c>
      <c r="T903">
        <v>0</v>
      </c>
      <c r="U903">
        <v>0</v>
      </c>
      <c r="V903">
        <v>0</v>
      </c>
      <c r="W903">
        <v>0</v>
      </c>
    </row>
    <row r="904" spans="1:23" x14ac:dyDescent="0.55000000000000004">
      <c r="A904" t="s">
        <v>1816</v>
      </c>
      <c r="B904" t="s">
        <v>1817</v>
      </c>
      <c r="C904" t="s">
        <v>2</v>
      </c>
      <c r="D904">
        <v>16.7</v>
      </c>
      <c r="E904">
        <f>176696016/(1000)</f>
        <v>176696.016</v>
      </c>
      <c r="F904">
        <f>367296992/(1000)</f>
        <v>367296.99200000003</v>
      </c>
      <c r="G904">
        <f>29650000/(1000)</f>
        <v>29650</v>
      </c>
      <c r="H904">
        <f>180419016/(1000)</f>
        <v>180419.016</v>
      </c>
      <c r="I904">
        <f>39643000/(1000)</f>
        <v>39643</v>
      </c>
      <c r="J904">
        <f t="shared" si="15"/>
        <v>4.5510939131750876E-3</v>
      </c>
      <c r="K904">
        <f>31333001/(1000)</f>
        <v>31333.001</v>
      </c>
      <c r="L904">
        <v>16.910108566284201</v>
      </c>
      <c r="M904">
        <v>9.78418064117432</v>
      </c>
      <c r="N904">
        <v>93.730036119493803</v>
      </c>
      <c r="O904">
        <v>12.030310630798301</v>
      </c>
      <c r="P904">
        <v>0.30000001192092901</v>
      </c>
      <c r="Q904">
        <v>0</v>
      </c>
      <c r="R904">
        <v>8.1067964774812307</v>
      </c>
      <c r="S904">
        <v>72.889577586775005</v>
      </c>
      <c r="T904">
        <v>0</v>
      </c>
      <c r="U904">
        <v>0</v>
      </c>
      <c r="V904">
        <v>0</v>
      </c>
      <c r="W904">
        <v>0</v>
      </c>
    </row>
    <row r="905" spans="1:23" x14ac:dyDescent="0.55000000000000004">
      <c r="A905" t="s">
        <v>1818</v>
      </c>
      <c r="B905" t="s">
        <v>1819</v>
      </c>
      <c r="C905" t="s">
        <v>94</v>
      </c>
      <c r="D905">
        <v>46.43</v>
      </c>
      <c r="E905">
        <f>961876352/(1000)</f>
        <v>961876.35199999996</v>
      </c>
      <c r="F905">
        <f>367081984/(1000)</f>
        <v>367081.984</v>
      </c>
      <c r="G905">
        <f>62057000/(1000)</f>
        <v>62057</v>
      </c>
      <c r="H905">
        <f>1283831360/(1000)</f>
        <v>1283831.3600000001</v>
      </c>
      <c r="I905">
        <f>95620000/(1000)</f>
        <v>95620</v>
      </c>
      <c r="J905">
        <f t="shared" si="15"/>
        <v>1.3426389458272328E-2</v>
      </c>
      <c r="K905">
        <f>-51288999/(1000)</f>
        <v>-51288.999000000003</v>
      </c>
      <c r="L905">
        <v>27.127283096313501</v>
      </c>
      <c r="M905">
        <v>8.11663722991943</v>
      </c>
      <c r="N905">
        <v>94.235570224674902</v>
      </c>
      <c r="O905">
        <v>75.008476257324205</v>
      </c>
      <c r="P905">
        <v>0.58499997854232799</v>
      </c>
      <c r="Q905">
        <v>2.2759804496761502</v>
      </c>
      <c r="R905">
        <v>24.962366638395501</v>
      </c>
      <c r="S905">
        <v>39.494804443234401</v>
      </c>
      <c r="T905">
        <v>0</v>
      </c>
      <c r="U905">
        <v>0</v>
      </c>
      <c r="V905">
        <v>0</v>
      </c>
      <c r="W905">
        <v>0</v>
      </c>
    </row>
    <row r="906" spans="1:23" x14ac:dyDescent="0.55000000000000004">
      <c r="A906" t="s">
        <v>1820</v>
      </c>
      <c r="B906" t="s">
        <v>1821</v>
      </c>
      <c r="C906" t="s">
        <v>2</v>
      </c>
      <c r="D906">
        <v>13.48</v>
      </c>
      <c r="E906">
        <f>173763936/(1000)</f>
        <v>173763.93599999999</v>
      </c>
      <c r="F906">
        <f>366496000/(1000)</f>
        <v>366496</v>
      </c>
      <c r="G906">
        <f>37207000/(1000)</f>
        <v>37207</v>
      </c>
      <c r="H906">
        <f>176775935.25/(1000)</f>
        <v>176775.93525000001</v>
      </c>
      <c r="I906">
        <f>44570000/(1000)</f>
        <v>44570</v>
      </c>
      <c r="J906">
        <f t="shared" si="15"/>
        <v>3.9662538759255104E-3</v>
      </c>
      <c r="K906">
        <f>26735001/(1000)</f>
        <v>26735.001</v>
      </c>
      <c r="L906">
        <v>22.337415695190401</v>
      </c>
      <c r="M906">
        <v>8.7738723754882795</v>
      </c>
      <c r="N906">
        <v>97.142856625400796</v>
      </c>
      <c r="O906">
        <v>14.524664878845201</v>
      </c>
      <c r="P906">
        <v>0</v>
      </c>
      <c r="Q906">
        <v>0.66981364185025205</v>
      </c>
      <c r="R906">
        <v>7.3260868121579401</v>
      </c>
      <c r="S906">
        <v>97.386817755851695</v>
      </c>
      <c r="T906">
        <v>0</v>
      </c>
      <c r="U906">
        <v>0</v>
      </c>
      <c r="V906">
        <v>0</v>
      </c>
      <c r="W906">
        <v>0</v>
      </c>
    </row>
    <row r="907" spans="1:23" x14ac:dyDescent="0.55000000000000004">
      <c r="A907" t="s">
        <v>1822</v>
      </c>
      <c r="B907" t="s">
        <v>1823</v>
      </c>
      <c r="C907" t="s">
        <v>31</v>
      </c>
      <c r="D907">
        <v>15.9</v>
      </c>
      <c r="E907">
        <f>555048320/(1000)</f>
        <v>555048.31999999995</v>
      </c>
      <c r="F907">
        <f>366217984/(1000)</f>
        <v>366217.984</v>
      </c>
      <c r="G907">
        <f>2419000/(1000)</f>
        <v>2419</v>
      </c>
      <c r="H907">
        <f>535707320/(1000)</f>
        <v>535707.31999999995</v>
      </c>
      <c r="I907">
        <f>22922000/(1000)</f>
        <v>22922</v>
      </c>
      <c r="J907">
        <f t="shared" si="15"/>
        <v>2.3370880376930459E-2</v>
      </c>
      <c r="K907">
        <f>17091001/(1000)</f>
        <v>17091.001</v>
      </c>
      <c r="L907">
        <v>61.3180961608887</v>
      </c>
      <c r="M907">
        <v>-3.7100989818572998</v>
      </c>
      <c r="N907">
        <v>98.274931314313307</v>
      </c>
      <c r="O907">
        <v>33.331554412841797</v>
      </c>
      <c r="P907">
        <v>0</v>
      </c>
      <c r="Q907">
        <v>2.1721310444889701</v>
      </c>
      <c r="R907">
        <v>0</v>
      </c>
      <c r="S907">
        <v>28.647849490166401</v>
      </c>
      <c r="T907">
        <v>0</v>
      </c>
      <c r="U907">
        <v>0</v>
      </c>
      <c r="V907">
        <v>0</v>
      </c>
      <c r="W907">
        <v>0</v>
      </c>
    </row>
    <row r="908" spans="1:23" x14ac:dyDescent="0.55000000000000004">
      <c r="A908" t="s">
        <v>1824</v>
      </c>
      <c r="B908" t="s">
        <v>1825</v>
      </c>
      <c r="C908" t="s">
        <v>184</v>
      </c>
      <c r="D908">
        <v>27.96</v>
      </c>
      <c r="E908">
        <f>909659072/(1000)</f>
        <v>909659.07200000004</v>
      </c>
      <c r="F908">
        <f>365816000/(1000)</f>
        <v>365816</v>
      </c>
      <c r="G908">
        <f>0/(1000)</f>
        <v>0</v>
      </c>
      <c r="H908">
        <f>0/(1000)</f>
        <v>0</v>
      </c>
      <c r="I908">
        <f>0/(1000)</f>
        <v>0</v>
      </c>
      <c r="J908">
        <f t="shared" si="15"/>
        <v>1</v>
      </c>
      <c r="K908">
        <f>83485001/(1000)</f>
        <v>83485.001000000004</v>
      </c>
      <c r="L908">
        <v>15.149553298950201</v>
      </c>
      <c r="M908">
        <v>12.564456939697299</v>
      </c>
      <c r="N908">
        <v>93.436153098630101</v>
      </c>
      <c r="O908">
        <v>218.67002868652301</v>
      </c>
      <c r="P908">
        <v>0.80000001192092896</v>
      </c>
      <c r="Q908">
        <v>2.1149771951371301</v>
      </c>
      <c r="R908">
        <v>16.843372978740501</v>
      </c>
      <c r="S908">
        <v>41.381984706616699</v>
      </c>
      <c r="T908">
        <v>0</v>
      </c>
      <c r="U908">
        <v>0</v>
      </c>
      <c r="V908">
        <v>0</v>
      </c>
      <c r="W908">
        <v>0</v>
      </c>
    </row>
    <row r="909" spans="1:23" x14ac:dyDescent="0.55000000000000004">
      <c r="A909" t="s">
        <v>1826</v>
      </c>
      <c r="B909" t="s">
        <v>1827</v>
      </c>
      <c r="C909" t="s">
        <v>5</v>
      </c>
      <c r="D909">
        <v>9.89</v>
      </c>
      <c r="E909">
        <f>292489824/(1000)</f>
        <v>292489.82400000002</v>
      </c>
      <c r="F909">
        <f>364124992/(1000)</f>
        <v>364124.99200000003</v>
      </c>
      <c r="G909">
        <f>0/(1000)</f>
        <v>0</v>
      </c>
      <c r="H909">
        <f>368599824/(1000)</f>
        <v>368599.82400000002</v>
      </c>
      <c r="I909">
        <f>0/(1000)</f>
        <v>0</v>
      </c>
      <c r="J909">
        <f t="shared" si="15"/>
        <v>1</v>
      </c>
      <c r="K909">
        <f>0/(1000)</f>
        <v>0</v>
      </c>
      <c r="L909">
        <v>11.9753303527832</v>
      </c>
      <c r="M909">
        <v>9.7856235504150408</v>
      </c>
      <c r="N909">
        <v>91.194379246369493</v>
      </c>
      <c r="O909">
        <v>13.6255493164063</v>
      </c>
      <c r="P909">
        <v>0.25</v>
      </c>
      <c r="Q909">
        <v>0</v>
      </c>
      <c r="R909">
        <v>5.3750002631998601</v>
      </c>
      <c r="S909">
        <v>77.847510012699004</v>
      </c>
      <c r="T909">
        <v>0</v>
      </c>
      <c r="U909">
        <v>0</v>
      </c>
      <c r="V909">
        <v>0</v>
      </c>
      <c r="W909">
        <v>0</v>
      </c>
    </row>
    <row r="910" spans="1:23" x14ac:dyDescent="0.55000000000000004">
      <c r="A910" t="s">
        <v>1828</v>
      </c>
      <c r="B910" t="s">
        <v>1829</v>
      </c>
      <c r="C910" t="s">
        <v>5</v>
      </c>
      <c r="D910">
        <v>15.43</v>
      </c>
      <c r="E910">
        <f>496055968/(1000)</f>
        <v>496055.96799999999</v>
      </c>
      <c r="F910">
        <f>364088000/(1000)</f>
        <v>364088</v>
      </c>
      <c r="G910">
        <f>52502000/(1000)</f>
        <v>52502</v>
      </c>
      <c r="H910">
        <f>401781968/(1000)</f>
        <v>401781.96799999999</v>
      </c>
      <c r="I910">
        <f>74297000/(1000)</f>
        <v>74297</v>
      </c>
      <c r="J910">
        <f t="shared" si="15"/>
        <v>5.4077818485268585E-3</v>
      </c>
      <c r="K910">
        <f>29673001/(1000)</f>
        <v>29673.001</v>
      </c>
      <c r="L910">
        <v>0</v>
      </c>
      <c r="M910">
        <v>9.3206071853637695</v>
      </c>
      <c r="N910">
        <v>97.7122010818007</v>
      </c>
      <c r="O910">
        <v>1.7495999112725001E-2</v>
      </c>
      <c r="P910">
        <v>0</v>
      </c>
      <c r="Q910">
        <v>1.23637827493148</v>
      </c>
      <c r="R910">
        <v>12.544715652711499</v>
      </c>
      <c r="S910">
        <v>71.226756506756004</v>
      </c>
      <c r="T910">
        <v>0</v>
      </c>
      <c r="U910">
        <v>0</v>
      </c>
      <c r="V910">
        <v>0</v>
      </c>
      <c r="W910">
        <v>0</v>
      </c>
    </row>
    <row r="911" spans="1:23" x14ac:dyDescent="0.55000000000000004">
      <c r="A911" t="s">
        <v>1830</v>
      </c>
      <c r="B911" t="s">
        <v>1831</v>
      </c>
      <c r="C911" t="s">
        <v>8</v>
      </c>
      <c r="D911">
        <v>7.08</v>
      </c>
      <c r="E911">
        <f>366353184/(1000)</f>
        <v>366353.18400000001</v>
      </c>
      <c r="F911">
        <f>363488992/(1000)</f>
        <v>363488.99200000003</v>
      </c>
      <c r="G911">
        <f>106599000/(1000)</f>
        <v>106599</v>
      </c>
      <c r="H911">
        <f>476170184/(1000)</f>
        <v>476170.18400000001</v>
      </c>
      <c r="I911">
        <f>259480992/(1000)</f>
        <v>259480.992</v>
      </c>
      <c r="J911">
        <f t="shared" si="15"/>
        <v>1.8350869569667748E-3</v>
      </c>
      <c r="K911">
        <f>-65889999/(1000)</f>
        <v>-65889.998999999996</v>
      </c>
      <c r="L911">
        <v>0</v>
      </c>
      <c r="M911">
        <v>6.7488808631896999</v>
      </c>
      <c r="N911">
        <v>97.783544327070999</v>
      </c>
      <c r="O911">
        <v>28.065593719482401</v>
      </c>
      <c r="P911">
        <v>0</v>
      </c>
      <c r="Q911">
        <v>0</v>
      </c>
      <c r="R911">
        <v>3.1748878734389701</v>
      </c>
      <c r="S911">
        <v>0</v>
      </c>
      <c r="T911">
        <v>0</v>
      </c>
      <c r="U911">
        <v>0</v>
      </c>
      <c r="V911">
        <v>0</v>
      </c>
      <c r="W911">
        <v>0</v>
      </c>
    </row>
    <row r="912" spans="1:23" x14ac:dyDescent="0.55000000000000004">
      <c r="A912" t="s">
        <v>1832</v>
      </c>
      <c r="B912" t="s">
        <v>1833</v>
      </c>
      <c r="C912" t="s">
        <v>8</v>
      </c>
      <c r="D912">
        <v>3.25</v>
      </c>
      <c r="E912">
        <f>88707448/(1000)</f>
        <v>88707.448000000004</v>
      </c>
      <c r="F912">
        <f>363226976/(1000)</f>
        <v>363226.97600000002</v>
      </c>
      <c r="G912">
        <f>22843000/(1000)</f>
        <v>22843</v>
      </c>
      <c r="H912">
        <f>121812448/(1000)</f>
        <v>121812.448</v>
      </c>
      <c r="I912">
        <f>27393000/(1000)</f>
        <v>27393</v>
      </c>
      <c r="J912">
        <f t="shared" si="15"/>
        <v>4.4468458365275803E-3</v>
      </c>
      <c r="K912">
        <f>-4174999/(1000)</f>
        <v>-4174.9989999999998</v>
      </c>
      <c r="L912">
        <v>0</v>
      </c>
      <c r="M912">
        <v>25.789617538452099</v>
      </c>
      <c r="N912">
        <v>61.956212178545499</v>
      </c>
      <c r="O912">
        <v>56.915248870849602</v>
      </c>
      <c r="P912">
        <v>0</v>
      </c>
      <c r="Q912">
        <v>0</v>
      </c>
      <c r="R912">
        <v>5.3278688576650097</v>
      </c>
      <c r="S912">
        <v>307.56151791925703</v>
      </c>
      <c r="T912">
        <v>0</v>
      </c>
      <c r="U912">
        <v>0</v>
      </c>
      <c r="V912">
        <v>0</v>
      </c>
      <c r="W912">
        <v>0</v>
      </c>
    </row>
    <row r="913" spans="1:23" x14ac:dyDescent="0.55000000000000004">
      <c r="A913" t="s">
        <v>1834</v>
      </c>
      <c r="B913" t="s">
        <v>1835</v>
      </c>
      <c r="C913" t="s">
        <v>17</v>
      </c>
      <c r="D913">
        <v>11.02</v>
      </c>
      <c r="E913">
        <f>595087744/(1000)</f>
        <v>595087.74399999995</v>
      </c>
      <c r="F913">
        <f>362089984/(1000)</f>
        <v>362089.984</v>
      </c>
      <c r="G913">
        <f>59672000/(1000)</f>
        <v>59672</v>
      </c>
      <c r="H913">
        <f>626865744/(1000)</f>
        <v>626865.74399999995</v>
      </c>
      <c r="I913">
        <f>64318000/(1000)</f>
        <v>64318</v>
      </c>
      <c r="J913">
        <f t="shared" si="15"/>
        <v>9.7463500730744102E-3</v>
      </c>
      <c r="K913">
        <f>1776002/(1000)</f>
        <v>1776.002</v>
      </c>
      <c r="L913">
        <v>0</v>
      </c>
      <c r="M913">
        <v>42.681808471679702</v>
      </c>
      <c r="N913">
        <v>33.329937140257499</v>
      </c>
      <c r="O913">
        <v>33.403438568115199</v>
      </c>
      <c r="P913">
        <v>0</v>
      </c>
      <c r="Q913">
        <v>3.9640289824372101</v>
      </c>
      <c r="R913">
        <v>28.5703942313387</v>
      </c>
      <c r="S913">
        <v>0</v>
      </c>
      <c r="T913">
        <v>0</v>
      </c>
      <c r="U913">
        <v>0</v>
      </c>
      <c r="V913">
        <v>0</v>
      </c>
      <c r="W913">
        <v>0</v>
      </c>
    </row>
    <row r="914" spans="1:23" x14ac:dyDescent="0.55000000000000004">
      <c r="A914" t="s">
        <v>1836</v>
      </c>
      <c r="B914" t="s">
        <v>1837</v>
      </c>
      <c r="C914" t="s">
        <v>81</v>
      </c>
      <c r="D914">
        <v>5.38</v>
      </c>
      <c r="E914">
        <f>628528192/(1000)</f>
        <v>628528.19200000004</v>
      </c>
      <c r="F914">
        <f>362016992/(1000)</f>
        <v>362016.99200000003</v>
      </c>
      <c r="G914">
        <f>30609000/(1000)</f>
        <v>30609</v>
      </c>
      <c r="H914">
        <f>666143192/(1000)</f>
        <v>666143.19200000004</v>
      </c>
      <c r="I914">
        <f>87085000/(1000)</f>
        <v>87085</v>
      </c>
      <c r="J914">
        <f t="shared" si="15"/>
        <v>7.6493448010564397E-3</v>
      </c>
      <c r="K914">
        <f>-424999/(1000)</f>
        <v>-424.99900000000002</v>
      </c>
      <c r="L914">
        <v>0</v>
      </c>
      <c r="M914">
        <v>21.3060398101807</v>
      </c>
      <c r="N914">
        <v>11.7033936513704</v>
      </c>
      <c r="O914">
        <v>115.04856872558599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</row>
    <row r="915" spans="1:23" x14ac:dyDescent="0.55000000000000004">
      <c r="A915" t="s">
        <v>1838</v>
      </c>
      <c r="B915" t="s">
        <v>1839</v>
      </c>
      <c r="C915" t="s">
        <v>31</v>
      </c>
      <c r="D915">
        <v>2.34</v>
      </c>
      <c r="E915">
        <f>206981424/(1000)</f>
        <v>206981.424</v>
      </c>
      <c r="F915">
        <f>361835008/(1000)</f>
        <v>361835.00799999997</v>
      </c>
      <c r="G915">
        <f>2065000/(1000)</f>
        <v>2065</v>
      </c>
      <c r="H915">
        <f>64400432/(1000)</f>
        <v>64400.432000000001</v>
      </c>
      <c r="I915">
        <f>9258000/(1000)</f>
        <v>9258</v>
      </c>
      <c r="J915">
        <f t="shared" si="15"/>
        <v>6.9561926982069557E-3</v>
      </c>
      <c r="K915">
        <f>8483001/(1000)</f>
        <v>8483.0010000000002</v>
      </c>
      <c r="L915">
        <v>0</v>
      </c>
      <c r="M915">
        <v>3.7391889095306401</v>
      </c>
      <c r="N915">
        <v>91.171305410913902</v>
      </c>
      <c r="O915">
        <v>0</v>
      </c>
      <c r="P915">
        <v>0</v>
      </c>
      <c r="Q915">
        <v>1.0985914499744101</v>
      </c>
      <c r="R915">
        <v>25.883237246244601</v>
      </c>
      <c r="S915">
        <v>-0.39666589590283702</v>
      </c>
      <c r="T915">
        <v>0</v>
      </c>
      <c r="U915">
        <v>0</v>
      </c>
      <c r="V915">
        <v>0</v>
      </c>
      <c r="W915">
        <v>0</v>
      </c>
    </row>
    <row r="916" spans="1:23" x14ac:dyDescent="0.55000000000000004">
      <c r="A916" t="s">
        <v>1840</v>
      </c>
      <c r="B916" t="s">
        <v>1841</v>
      </c>
      <c r="C916" t="s">
        <v>31</v>
      </c>
      <c r="D916">
        <v>16.559999999999999</v>
      </c>
      <c r="E916">
        <f>559358656/(1000)</f>
        <v>559358.65599999996</v>
      </c>
      <c r="F916">
        <f>361056992/(1000)</f>
        <v>361056.99200000003</v>
      </c>
      <c r="G916">
        <f>49232000/(1000)</f>
        <v>49232</v>
      </c>
      <c r="H916">
        <f>531868656/(1000)</f>
        <v>531868.65599999996</v>
      </c>
      <c r="I916">
        <f>53029000/(1000)</f>
        <v>53029</v>
      </c>
      <c r="J916">
        <f t="shared" si="15"/>
        <v>1.0029769673197684E-2</v>
      </c>
      <c r="K916">
        <f>69321001/(1000)</f>
        <v>69321.001000000004</v>
      </c>
      <c r="L916">
        <v>31.687219619751001</v>
      </c>
      <c r="M916">
        <v>19.3249320983887</v>
      </c>
      <c r="N916">
        <v>95.550026843610794</v>
      </c>
      <c r="O916">
        <v>109.86402893066401</v>
      </c>
      <c r="P916">
        <v>0</v>
      </c>
      <c r="Q916">
        <v>3.5460383716062398</v>
      </c>
      <c r="R916">
        <v>14.1136361044439</v>
      </c>
      <c r="S916">
        <v>258.54360135450497</v>
      </c>
      <c r="T916">
        <v>0</v>
      </c>
      <c r="U916">
        <v>0</v>
      </c>
      <c r="V916">
        <v>0</v>
      </c>
      <c r="W916">
        <v>0</v>
      </c>
    </row>
    <row r="917" spans="1:23" x14ac:dyDescent="0.55000000000000004">
      <c r="A917" t="s">
        <v>1842</v>
      </c>
      <c r="B917" t="s">
        <v>1843</v>
      </c>
      <c r="C917" t="s">
        <v>5</v>
      </c>
      <c r="D917">
        <v>18.59</v>
      </c>
      <c r="E917">
        <f>274332640/(1000)</f>
        <v>274332.64</v>
      </c>
      <c r="F917">
        <f>360604000/(1000)</f>
        <v>360604</v>
      </c>
      <c r="G917">
        <f>45009000/(1000)</f>
        <v>45009</v>
      </c>
      <c r="H917">
        <f>591074656/(1000)</f>
        <v>591074.65599999996</v>
      </c>
      <c r="I917">
        <f>60995000/(1000)</f>
        <v>60995</v>
      </c>
      <c r="J917">
        <f t="shared" si="15"/>
        <v>9.690542765800475E-3</v>
      </c>
      <c r="K917">
        <f>-23645999/(1000)</f>
        <v>-23645.999</v>
      </c>
      <c r="L917">
        <v>22.614606857299801</v>
      </c>
      <c r="M917">
        <v>6.23539018630981</v>
      </c>
      <c r="N917">
        <v>94.958325059151505</v>
      </c>
      <c r="O917">
        <v>143.03338623046901</v>
      </c>
      <c r="P917">
        <v>0</v>
      </c>
      <c r="Q917">
        <v>1.3307086469041101</v>
      </c>
      <c r="R917">
        <v>13.471014358952999</v>
      </c>
      <c r="S917">
        <v>31.059626918450299</v>
      </c>
      <c r="T917">
        <v>0</v>
      </c>
      <c r="U917">
        <v>0</v>
      </c>
      <c r="V917">
        <v>0</v>
      </c>
      <c r="W917">
        <v>0</v>
      </c>
    </row>
    <row r="918" spans="1:23" x14ac:dyDescent="0.55000000000000004">
      <c r="A918" t="s">
        <v>1844</v>
      </c>
      <c r="B918" t="s">
        <v>1845</v>
      </c>
      <c r="C918" t="s">
        <v>2</v>
      </c>
      <c r="D918">
        <v>48.57</v>
      </c>
      <c r="E918">
        <f>987792384/(1000)</f>
        <v>987792.38399999996</v>
      </c>
      <c r="F918">
        <f>360572992/(1000)</f>
        <v>360572.99200000003</v>
      </c>
      <c r="G918">
        <f>44060000/(1000)</f>
        <v>44060</v>
      </c>
      <c r="H918">
        <f>919308384/(1000)</f>
        <v>919308.38399999996</v>
      </c>
      <c r="I918">
        <f>60052000/(1000)</f>
        <v>60052</v>
      </c>
      <c r="J918">
        <f t="shared" si="15"/>
        <v>1.5308538999533737E-2</v>
      </c>
      <c r="K918">
        <f>31815001/(1000)</f>
        <v>31815.001</v>
      </c>
      <c r="L918">
        <v>0</v>
      </c>
      <c r="M918">
        <v>17.322059631347699</v>
      </c>
      <c r="N918">
        <v>74.593732192022202</v>
      </c>
      <c r="O918">
        <v>34.301174163818402</v>
      </c>
      <c r="P918">
        <v>0</v>
      </c>
      <c r="Q918">
        <v>4.3815967097591004</v>
      </c>
      <c r="R918">
        <v>44.972222634610297</v>
      </c>
      <c r="S918">
        <v>0</v>
      </c>
      <c r="T918">
        <v>0</v>
      </c>
      <c r="U918">
        <v>0</v>
      </c>
      <c r="V918">
        <v>0</v>
      </c>
      <c r="W918">
        <v>0</v>
      </c>
    </row>
    <row r="919" spans="1:23" x14ac:dyDescent="0.55000000000000004">
      <c r="A919" t="s">
        <v>1846</v>
      </c>
      <c r="B919" t="s">
        <v>1847</v>
      </c>
      <c r="C919" t="s">
        <v>38</v>
      </c>
      <c r="D919">
        <v>10.01</v>
      </c>
      <c r="E919">
        <f>245540288/(1000)</f>
        <v>245540.288</v>
      </c>
      <c r="F919">
        <f>359591008/(1000)</f>
        <v>359591.00799999997</v>
      </c>
      <c r="G919">
        <f>21377000/(1000)</f>
        <v>21377</v>
      </c>
      <c r="H919">
        <f>211563288/(1000)</f>
        <v>211563.288</v>
      </c>
      <c r="I919">
        <f>23755000/(1000)</f>
        <v>23755</v>
      </c>
      <c r="J919">
        <f t="shared" si="15"/>
        <v>8.9060529572721533E-3</v>
      </c>
      <c r="K919">
        <f>14221001/(1000)</f>
        <v>14221.001</v>
      </c>
      <c r="L919">
        <v>18.808679580688501</v>
      </c>
      <c r="M919">
        <v>10.159254074096699</v>
      </c>
      <c r="N919">
        <v>98.138979304261497</v>
      </c>
      <c r="O919">
        <v>5.3477377891540501</v>
      </c>
      <c r="P919">
        <v>0.20000000298023199</v>
      </c>
      <c r="Q919">
        <v>0</v>
      </c>
      <c r="R919">
        <v>15.1666670956395</v>
      </c>
      <c r="S919">
        <v>32.555407776581802</v>
      </c>
      <c r="T919">
        <v>0</v>
      </c>
      <c r="U919">
        <v>0</v>
      </c>
      <c r="V919">
        <v>0</v>
      </c>
      <c r="W919">
        <v>0</v>
      </c>
    </row>
    <row r="920" spans="1:23" x14ac:dyDescent="0.55000000000000004">
      <c r="A920" t="s">
        <v>1848</v>
      </c>
      <c r="B920" t="s">
        <v>1849</v>
      </c>
      <c r="C920" t="s">
        <v>2</v>
      </c>
      <c r="D920">
        <v>9.31</v>
      </c>
      <c r="E920">
        <f>164252592/(1000)</f>
        <v>164252.592</v>
      </c>
      <c r="F920">
        <f>359115008/(1000)</f>
        <v>359115.00799999997</v>
      </c>
      <c r="G920">
        <f>49708000/(1000)</f>
        <v>49708</v>
      </c>
      <c r="H920">
        <f>208558592/(1000)</f>
        <v>208558.592</v>
      </c>
      <c r="I920">
        <f>51993000/(1000)</f>
        <v>51993</v>
      </c>
      <c r="J920">
        <f t="shared" si="15"/>
        <v>4.011282134133441E-3</v>
      </c>
      <c r="K920">
        <f>20084001/(1000)</f>
        <v>20084.001</v>
      </c>
      <c r="L920">
        <v>0</v>
      </c>
      <c r="M920">
        <v>39.550128936767599</v>
      </c>
      <c r="N920">
        <v>91.076716665209005</v>
      </c>
      <c r="O920">
        <v>53.900520324707003</v>
      </c>
      <c r="P920">
        <v>0.34000000357627902</v>
      </c>
      <c r="Q920">
        <v>2.1600929334612999</v>
      </c>
      <c r="R920">
        <v>6.2066669464111301</v>
      </c>
      <c r="S920">
        <v>0</v>
      </c>
      <c r="T920">
        <v>0</v>
      </c>
      <c r="U920">
        <v>0</v>
      </c>
      <c r="V920">
        <v>0</v>
      </c>
      <c r="W920">
        <v>0</v>
      </c>
    </row>
    <row r="921" spans="1:23" x14ac:dyDescent="0.55000000000000004">
      <c r="A921" t="s">
        <v>1850</v>
      </c>
      <c r="B921" t="s">
        <v>1851</v>
      </c>
      <c r="C921" t="s">
        <v>5</v>
      </c>
      <c r="D921">
        <v>2.4700000000000002</v>
      </c>
      <c r="E921">
        <f>25857934/(1000)</f>
        <v>25857.934000000001</v>
      </c>
      <c r="F921">
        <f>357676992/(1000)</f>
        <v>357676.99200000003</v>
      </c>
      <c r="G921">
        <f>-1192000/(1000)</f>
        <v>-1192</v>
      </c>
      <c r="H921">
        <f>199896926/(1000)</f>
        <v>199896.92600000001</v>
      </c>
      <c r="I921">
        <f>31160002/(1000)</f>
        <v>31160.002</v>
      </c>
      <c r="J921">
        <f t="shared" si="15"/>
        <v>6.4151769309899274E-3</v>
      </c>
      <c r="K921">
        <f>-53113999/(1000)</f>
        <v>-53113.999000000003</v>
      </c>
      <c r="L921">
        <v>0</v>
      </c>
      <c r="M921">
        <v>-26.074203491210898</v>
      </c>
      <c r="N921">
        <v>86.816066359293899</v>
      </c>
      <c r="O921">
        <v>41.644477844238303</v>
      </c>
      <c r="P921">
        <v>0</v>
      </c>
      <c r="Q921">
        <v>0.21293102994685201</v>
      </c>
      <c r="R921">
        <v>0</v>
      </c>
      <c r="S921">
        <v>1475.3271601670399</v>
      </c>
      <c r="T921">
        <v>0</v>
      </c>
      <c r="U921">
        <v>0</v>
      </c>
      <c r="V921">
        <v>0</v>
      </c>
      <c r="W921">
        <v>0</v>
      </c>
    </row>
    <row r="922" spans="1:23" x14ac:dyDescent="0.55000000000000004">
      <c r="A922" t="s">
        <v>1852</v>
      </c>
      <c r="B922" t="s">
        <v>1853</v>
      </c>
      <c r="C922" t="s">
        <v>5</v>
      </c>
      <c r="D922">
        <v>2.71</v>
      </c>
      <c r="E922">
        <f>139676384/(1000)</f>
        <v>139676.38399999999</v>
      </c>
      <c r="F922">
        <f>356774016/(1000)</f>
        <v>356774.016</v>
      </c>
      <c r="G922">
        <f>100808000/(1000)</f>
        <v>100808</v>
      </c>
      <c r="H922">
        <f>890419360/(1000)</f>
        <v>890419.36</v>
      </c>
      <c r="I922">
        <f>199622000/(1000)</f>
        <v>199622</v>
      </c>
      <c r="J922">
        <f t="shared" si="15"/>
        <v>4.460527196401198E-3</v>
      </c>
      <c r="K922">
        <f>-283241983/(1000)</f>
        <v>-283241.98300000001</v>
      </c>
      <c r="L922">
        <v>0</v>
      </c>
      <c r="M922">
        <v>-33.663211822509801</v>
      </c>
      <c r="N922">
        <v>46.337971462173201</v>
      </c>
      <c r="O922">
        <v>283.11862182617199</v>
      </c>
      <c r="P922">
        <v>0</v>
      </c>
      <c r="Q922">
        <v>0.50654207223450298</v>
      </c>
      <c r="R922">
        <v>2.4414414771190902</v>
      </c>
      <c r="S922">
        <v>0</v>
      </c>
      <c r="T922">
        <v>0</v>
      </c>
      <c r="U922">
        <v>0</v>
      </c>
      <c r="V922">
        <v>0</v>
      </c>
      <c r="W922">
        <v>0</v>
      </c>
    </row>
    <row r="923" spans="1:23" x14ac:dyDescent="0.55000000000000004">
      <c r="A923" t="s">
        <v>1854</v>
      </c>
      <c r="B923" t="s">
        <v>1855</v>
      </c>
      <c r="C923" t="s">
        <v>5</v>
      </c>
      <c r="D923">
        <v>19.12</v>
      </c>
      <c r="E923">
        <f>681173568/(1000)</f>
        <v>681173.56799999997</v>
      </c>
      <c r="F923">
        <f>355996992/(1000)</f>
        <v>355996.99200000003</v>
      </c>
      <c r="G923">
        <f>2052000/(1000)</f>
        <v>2052</v>
      </c>
      <c r="H923">
        <f>799519568/(1000)</f>
        <v>799519.56799999997</v>
      </c>
      <c r="I923">
        <f>12427000/(1000)</f>
        <v>12427</v>
      </c>
      <c r="J923">
        <f t="shared" si="15"/>
        <v>6.4337295244226281E-2</v>
      </c>
      <c r="K923">
        <f>61935001/(1000)</f>
        <v>61935.000999999997</v>
      </c>
      <c r="L923">
        <v>0</v>
      </c>
      <c r="M923">
        <v>1.5262269973754901</v>
      </c>
      <c r="N923">
        <v>98.215494420806394</v>
      </c>
      <c r="O923">
        <v>23.793413162231399</v>
      </c>
      <c r="P923">
        <v>0</v>
      </c>
      <c r="Q923">
        <v>3.3514462918367101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</row>
    <row r="924" spans="1:23" x14ac:dyDescent="0.55000000000000004">
      <c r="A924" t="s">
        <v>1856</v>
      </c>
      <c r="B924" t="s">
        <v>1857</v>
      </c>
      <c r="C924" t="s">
        <v>5</v>
      </c>
      <c r="D924">
        <v>10.029999999999999</v>
      </c>
      <c r="E924">
        <f>299846848/(1000)</f>
        <v>299846.848</v>
      </c>
      <c r="F924">
        <f>355605056/(1000)</f>
        <v>355605.05599999998</v>
      </c>
      <c r="G924">
        <f>102439912/(1000)</f>
        <v>102439.912</v>
      </c>
      <c r="H924">
        <f>545394848/(1000)</f>
        <v>545394.848</v>
      </c>
      <c r="I924">
        <f>138462384/(1000)</f>
        <v>138462.38399999999</v>
      </c>
      <c r="J924">
        <f t="shared" si="15"/>
        <v>3.938938737325222E-3</v>
      </c>
      <c r="K924">
        <f>-57171951/(1000)</f>
        <v>-57171.951000000001</v>
      </c>
      <c r="L924">
        <v>0</v>
      </c>
      <c r="M924">
        <v>36.176235198974602</v>
      </c>
      <c r="N924">
        <v>70.225372883972895</v>
      </c>
      <c r="O924">
        <v>56.378944396972699</v>
      </c>
      <c r="P924">
        <v>0</v>
      </c>
      <c r="Q924">
        <v>0</v>
      </c>
      <c r="R924">
        <v>1.48813049575375</v>
      </c>
      <c r="S924">
        <v>0</v>
      </c>
      <c r="T924">
        <v>0</v>
      </c>
      <c r="U924">
        <v>0</v>
      </c>
      <c r="V924">
        <v>0</v>
      </c>
      <c r="W924">
        <v>0</v>
      </c>
    </row>
    <row r="925" spans="1:23" x14ac:dyDescent="0.55000000000000004">
      <c r="A925" t="s">
        <v>1858</v>
      </c>
      <c r="B925" t="s">
        <v>1859</v>
      </c>
      <c r="C925" t="s">
        <v>5</v>
      </c>
      <c r="D925">
        <v>7.8</v>
      </c>
      <c r="E925">
        <f>135230928/(1000)</f>
        <v>135230.92800000001</v>
      </c>
      <c r="F925">
        <f>354820000/(1000)</f>
        <v>354820</v>
      </c>
      <c r="G925">
        <f>0/(1000)</f>
        <v>0</v>
      </c>
      <c r="H925">
        <f>0/(1000)</f>
        <v>0</v>
      </c>
      <c r="I925">
        <f>0/(1000)</f>
        <v>0</v>
      </c>
      <c r="J925">
        <f t="shared" si="15"/>
        <v>1</v>
      </c>
      <c r="K925">
        <f>29724001/(1000)</f>
        <v>29724.001</v>
      </c>
      <c r="L925">
        <v>17.108070373535199</v>
      </c>
      <c r="M925">
        <v>5.8418908119201696</v>
      </c>
      <c r="N925">
        <v>81.591138948119294</v>
      </c>
      <c r="O925">
        <v>87.378768920898395</v>
      </c>
      <c r="P925">
        <v>0.20000000298023199</v>
      </c>
      <c r="Q925">
        <v>0.394238071816569</v>
      </c>
      <c r="R925">
        <v>0</v>
      </c>
      <c r="S925">
        <v>106.969364660865</v>
      </c>
      <c r="T925">
        <v>0</v>
      </c>
      <c r="U925">
        <v>0</v>
      </c>
      <c r="V925">
        <v>0</v>
      </c>
      <c r="W925">
        <v>0</v>
      </c>
    </row>
    <row r="926" spans="1:23" x14ac:dyDescent="0.55000000000000004">
      <c r="A926" t="s">
        <v>1860</v>
      </c>
      <c r="B926" t="s">
        <v>1861</v>
      </c>
      <c r="C926" t="s">
        <v>2</v>
      </c>
      <c r="D926">
        <v>11.29</v>
      </c>
      <c r="E926">
        <f>197658544/(1000)</f>
        <v>197658.54399999999</v>
      </c>
      <c r="F926">
        <f>353861984/(1000)</f>
        <v>353861.984</v>
      </c>
      <c r="G926">
        <f>68132000/(1000)</f>
        <v>68132</v>
      </c>
      <c r="H926">
        <f>171165544/(1000)</f>
        <v>171165.54399999999</v>
      </c>
      <c r="I926">
        <f>75403000/(1000)</f>
        <v>75403</v>
      </c>
      <c r="J926">
        <f t="shared" si="15"/>
        <v>2.2700097343607019E-3</v>
      </c>
      <c r="K926">
        <f>27293001/(1000)</f>
        <v>27293.001</v>
      </c>
      <c r="L926">
        <v>7.4767198562622097</v>
      </c>
      <c r="M926">
        <v>27.894432067871101</v>
      </c>
      <c r="N926">
        <v>84.034177371629795</v>
      </c>
      <c r="O926">
        <v>0</v>
      </c>
      <c r="P926">
        <v>0.119999997317791</v>
      </c>
      <c r="Q926">
        <v>1.08976837220032</v>
      </c>
      <c r="R926">
        <v>4.5524193317979202</v>
      </c>
      <c r="S926">
        <v>0</v>
      </c>
      <c r="T926">
        <v>0</v>
      </c>
      <c r="U926">
        <v>0</v>
      </c>
      <c r="V926">
        <v>0</v>
      </c>
      <c r="W926">
        <v>0</v>
      </c>
    </row>
    <row r="927" spans="1:23" x14ac:dyDescent="0.55000000000000004">
      <c r="A927" t="s">
        <v>1862</v>
      </c>
      <c r="B927" t="s">
        <v>1863</v>
      </c>
      <c r="C927" t="s">
        <v>31</v>
      </c>
      <c r="D927">
        <v>3.94</v>
      </c>
      <c r="E927">
        <f>117766992/(1000)</f>
        <v>117766.992</v>
      </c>
      <c r="F927">
        <f>353155008/(1000)</f>
        <v>353155.00799999997</v>
      </c>
      <c r="G927">
        <f>-47706000/(1000)</f>
        <v>-47706</v>
      </c>
      <c r="H927">
        <f>-58130000/(1000)</f>
        <v>-58130</v>
      </c>
      <c r="I927">
        <f>-40233000/(1000)</f>
        <v>-40233</v>
      </c>
      <c r="J927">
        <f t="shared" si="15"/>
        <v>1.4448338428653096E-3</v>
      </c>
      <c r="K927">
        <f>41575001/(1000)</f>
        <v>41575.000999999997</v>
      </c>
      <c r="L927">
        <v>0</v>
      </c>
      <c r="M927">
        <v>-23.506650924682599</v>
      </c>
      <c r="N927">
        <v>83.806677122058602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</row>
    <row r="928" spans="1:23" x14ac:dyDescent="0.55000000000000004">
      <c r="A928" t="s">
        <v>1864</v>
      </c>
      <c r="B928" t="s">
        <v>1865</v>
      </c>
      <c r="C928" t="s">
        <v>401</v>
      </c>
      <c r="D928">
        <v>37.159999999999997</v>
      </c>
      <c r="E928">
        <f>1047585024/(1000)</f>
        <v>1047585.024</v>
      </c>
      <c r="F928">
        <f>352956992/(1000)</f>
        <v>352956.99200000003</v>
      </c>
      <c r="G928">
        <f>93052000/(1000)</f>
        <v>93052</v>
      </c>
      <c r="H928">
        <f>2546724992/(1000)</f>
        <v>2546724.9920000001</v>
      </c>
      <c r="I928">
        <f>181632000/(1000)</f>
        <v>181632</v>
      </c>
      <c r="J928">
        <f t="shared" si="15"/>
        <v>1.4021345313601127E-2</v>
      </c>
      <c r="K928">
        <f>-29162999/(1000)</f>
        <v>-29162.999</v>
      </c>
      <c r="L928">
        <v>0</v>
      </c>
      <c r="M928">
        <v>10.0097875595093</v>
      </c>
      <c r="N928">
        <v>97.792927400430401</v>
      </c>
      <c r="O928">
        <v>294.21810913085898</v>
      </c>
      <c r="P928">
        <v>2.46000003814697</v>
      </c>
      <c r="Q928">
        <v>0</v>
      </c>
      <c r="R928">
        <v>58.062498355633601</v>
      </c>
      <c r="S928">
        <v>51.455086593089703</v>
      </c>
      <c r="T928">
        <v>0</v>
      </c>
      <c r="U928">
        <v>0</v>
      </c>
      <c r="V928">
        <v>0</v>
      </c>
      <c r="W928">
        <v>0</v>
      </c>
    </row>
    <row r="929" spans="1:23" x14ac:dyDescent="0.55000000000000004">
      <c r="A929" t="s">
        <v>1866</v>
      </c>
      <c r="B929" t="s">
        <v>1867</v>
      </c>
      <c r="C929" t="s">
        <v>5</v>
      </c>
      <c r="D929">
        <v>30.31</v>
      </c>
      <c r="E929">
        <f>1004791680/(1000)</f>
        <v>1004791.68</v>
      </c>
      <c r="F929">
        <f>352361984/(1000)</f>
        <v>352361.984</v>
      </c>
      <c r="G929">
        <f>56184000/(1000)</f>
        <v>56184</v>
      </c>
      <c r="H929">
        <f>903463680/(1000)</f>
        <v>903463.68</v>
      </c>
      <c r="I929">
        <f>84817000/(1000)</f>
        <v>84817</v>
      </c>
      <c r="J929">
        <f t="shared" si="15"/>
        <v>1.0651917422214887E-2</v>
      </c>
      <c r="K929">
        <f>96763001/(1000)</f>
        <v>96763.001000000004</v>
      </c>
      <c r="L929">
        <v>49.151863098144503</v>
      </c>
      <c r="M929">
        <v>6.7243890762329102</v>
      </c>
      <c r="N929">
        <v>96.540923340703699</v>
      </c>
      <c r="O929">
        <v>0.19827300310134899</v>
      </c>
      <c r="P929">
        <v>0</v>
      </c>
      <c r="Q929">
        <v>0</v>
      </c>
      <c r="R929">
        <v>27.807338868344601</v>
      </c>
      <c r="S929">
        <v>207.104058847625</v>
      </c>
      <c r="T929">
        <v>0</v>
      </c>
      <c r="U929">
        <v>0</v>
      </c>
      <c r="V929">
        <v>0</v>
      </c>
      <c r="W929">
        <v>0</v>
      </c>
    </row>
    <row r="930" spans="1:23" x14ac:dyDescent="0.55000000000000004">
      <c r="A930" t="s">
        <v>1868</v>
      </c>
      <c r="B930" t="s">
        <v>1869</v>
      </c>
      <c r="C930" t="s">
        <v>121</v>
      </c>
      <c r="D930">
        <v>15.36</v>
      </c>
      <c r="E930">
        <f>830356992/(1000)</f>
        <v>830356.99199999997</v>
      </c>
      <c r="F930">
        <f>351124000/(1000)</f>
        <v>351124</v>
      </c>
      <c r="G930">
        <f>26556000/(1000)</f>
        <v>26556</v>
      </c>
      <c r="H930">
        <f>827618992/(1000)</f>
        <v>827618.99199999997</v>
      </c>
      <c r="I930">
        <f>43804000/(1000)</f>
        <v>43804</v>
      </c>
      <c r="J930">
        <f t="shared" si="15"/>
        <v>1.8893685325541046E-2</v>
      </c>
      <c r="K930">
        <f>17624001/(1000)</f>
        <v>17624.001</v>
      </c>
      <c r="L930">
        <v>0</v>
      </c>
      <c r="M930">
        <v>9.5507335662841797</v>
      </c>
      <c r="N930">
        <v>93.610397372854393</v>
      </c>
      <c r="O930">
        <v>44.665569305419901</v>
      </c>
      <c r="P930">
        <v>0</v>
      </c>
      <c r="Q930">
        <v>0</v>
      </c>
      <c r="R930">
        <v>31.3469384180313</v>
      </c>
      <c r="S930">
        <v>36.045006857966499</v>
      </c>
      <c r="T930">
        <v>0</v>
      </c>
      <c r="U930">
        <v>0</v>
      </c>
      <c r="V930">
        <v>0</v>
      </c>
      <c r="W930">
        <v>0</v>
      </c>
    </row>
    <row r="931" spans="1:23" x14ac:dyDescent="0.55000000000000004">
      <c r="A931" t="s">
        <v>1870</v>
      </c>
      <c r="B931" t="s">
        <v>1871</v>
      </c>
      <c r="C931" t="s">
        <v>5</v>
      </c>
      <c r="D931">
        <v>10</v>
      </c>
      <c r="E931">
        <f>235872000/(1000)</f>
        <v>235872</v>
      </c>
      <c r="F931">
        <f>350769984/(1000)</f>
        <v>350769.984</v>
      </c>
      <c r="G931">
        <f>61841000/(1000)</f>
        <v>61841</v>
      </c>
      <c r="H931">
        <f>281070000/(1000)</f>
        <v>281070</v>
      </c>
      <c r="I931">
        <f>87118000/(1000)</f>
        <v>87118</v>
      </c>
      <c r="J931">
        <f t="shared" si="15"/>
        <v>3.2263137353933744E-3</v>
      </c>
      <c r="K931">
        <f>-48899999/(1000)</f>
        <v>-48899.999000000003</v>
      </c>
      <c r="L931">
        <v>0</v>
      </c>
      <c r="M931">
        <v>16.151769638061499</v>
      </c>
      <c r="N931">
        <v>53.463742673545298</v>
      </c>
      <c r="O931">
        <v>3.7677590847015399</v>
      </c>
      <c r="P931">
        <v>0</v>
      </c>
      <c r="Q931">
        <v>0</v>
      </c>
      <c r="R931">
        <v>6.8965517453999903</v>
      </c>
      <c r="S931">
        <v>0</v>
      </c>
      <c r="T931">
        <v>0</v>
      </c>
      <c r="U931">
        <v>0</v>
      </c>
      <c r="V931">
        <v>0</v>
      </c>
      <c r="W931">
        <v>0</v>
      </c>
    </row>
    <row r="932" spans="1:23" x14ac:dyDescent="0.55000000000000004">
      <c r="A932" t="s">
        <v>1872</v>
      </c>
      <c r="B932" t="s">
        <v>1873</v>
      </c>
      <c r="C932" t="s">
        <v>31</v>
      </c>
      <c r="D932">
        <v>37.130000000000003</v>
      </c>
      <c r="E932">
        <f>441427424/(1000)</f>
        <v>441427.424</v>
      </c>
      <c r="F932">
        <f>350673984/(1000)</f>
        <v>350673.984</v>
      </c>
      <c r="G932">
        <f>88222000/(1000)</f>
        <v>88222</v>
      </c>
      <c r="H932">
        <f>314140424/(1000)</f>
        <v>314140.424</v>
      </c>
      <c r="I932">
        <f>95818000/(1000)</f>
        <v>95818</v>
      </c>
      <c r="J932">
        <f t="shared" si="15"/>
        <v>3.278511594898662E-3</v>
      </c>
      <c r="K932">
        <f>86920001/(1000)</f>
        <v>86920.001000000004</v>
      </c>
      <c r="L932">
        <v>21.6573486328125</v>
      </c>
      <c r="M932">
        <v>49.448577880859403</v>
      </c>
      <c r="N932">
        <v>68.280969092521602</v>
      </c>
      <c r="O932">
        <v>0</v>
      </c>
      <c r="P932">
        <v>0</v>
      </c>
      <c r="Q932">
        <v>0</v>
      </c>
      <c r="R932">
        <v>10.062331081806899</v>
      </c>
      <c r="S932">
        <v>137.21918389572599</v>
      </c>
      <c r="T932">
        <v>0</v>
      </c>
      <c r="U932">
        <v>0</v>
      </c>
      <c r="V932">
        <v>0</v>
      </c>
      <c r="W932">
        <v>0</v>
      </c>
    </row>
    <row r="933" spans="1:23" x14ac:dyDescent="0.55000000000000004">
      <c r="A933" t="s">
        <v>1874</v>
      </c>
      <c r="B933" t="s">
        <v>1875</v>
      </c>
      <c r="C933" t="s">
        <v>5</v>
      </c>
      <c r="D933">
        <v>5.92</v>
      </c>
      <c r="E933">
        <f>205649536/(1000)</f>
        <v>205649.53599999999</v>
      </c>
      <c r="F933">
        <f>350366688/(1000)</f>
        <v>350366.68800000002</v>
      </c>
      <c r="G933">
        <f>40706064/(1000)</f>
        <v>40706.063999999998</v>
      </c>
      <c r="H933">
        <f>216274539/(1000)</f>
        <v>216274.53899999999</v>
      </c>
      <c r="I933">
        <f>43214992/(1000)</f>
        <v>43214.991999999998</v>
      </c>
      <c r="J933">
        <f t="shared" si="15"/>
        <v>5.0046182815445157E-3</v>
      </c>
      <c r="K933">
        <f>22685617/(1000)</f>
        <v>22685.616999999998</v>
      </c>
      <c r="L933">
        <v>0</v>
      </c>
      <c r="M933">
        <v>66.612319946289105</v>
      </c>
      <c r="N933">
        <v>27.600532303491701</v>
      </c>
      <c r="O933">
        <v>0</v>
      </c>
      <c r="P933">
        <v>0</v>
      </c>
      <c r="Q933">
        <v>0</v>
      </c>
      <c r="R933">
        <v>5.8613862694975101</v>
      </c>
      <c r="S933">
        <v>0</v>
      </c>
      <c r="T933">
        <v>0</v>
      </c>
      <c r="U933">
        <v>0</v>
      </c>
      <c r="V933">
        <v>0</v>
      </c>
      <c r="W933">
        <v>0</v>
      </c>
    </row>
    <row r="934" spans="1:23" x14ac:dyDescent="0.55000000000000004">
      <c r="A934" t="s">
        <v>1876</v>
      </c>
      <c r="B934" t="s">
        <v>1877</v>
      </c>
      <c r="C934" t="s">
        <v>81</v>
      </c>
      <c r="D934">
        <v>24.8</v>
      </c>
      <c r="E934">
        <f>919846848/(1000)</f>
        <v>919846.848</v>
      </c>
      <c r="F934">
        <f>349275008/(1000)</f>
        <v>349275.00799999997</v>
      </c>
      <c r="G934">
        <f>73914000/(1000)</f>
        <v>73914</v>
      </c>
      <c r="H934">
        <f>619690848/(1000)</f>
        <v>619690.848</v>
      </c>
      <c r="I934">
        <f>94206000/(1000)</f>
        <v>94206</v>
      </c>
      <c r="J934">
        <f t="shared" si="15"/>
        <v>6.5780401248328128E-3</v>
      </c>
      <c r="K934">
        <f>127666001/(1000)</f>
        <v>127666.001</v>
      </c>
      <c r="L934">
        <v>28.4970703125</v>
      </c>
      <c r="M934">
        <v>11.0643501281738</v>
      </c>
      <c r="N934">
        <v>98.414155945267495</v>
      </c>
      <c r="O934">
        <v>28.834211349487301</v>
      </c>
      <c r="P934">
        <v>0</v>
      </c>
      <c r="Q934">
        <v>1.7123168669508</v>
      </c>
      <c r="R934">
        <v>14.252873290748999</v>
      </c>
      <c r="S934">
        <v>349.03771775323702</v>
      </c>
      <c r="T934">
        <v>0</v>
      </c>
      <c r="U934">
        <v>0</v>
      </c>
      <c r="V934">
        <v>0</v>
      </c>
      <c r="W934">
        <v>0</v>
      </c>
    </row>
    <row r="935" spans="1:23" x14ac:dyDescent="0.55000000000000004">
      <c r="A935" t="s">
        <v>1878</v>
      </c>
      <c r="B935" t="s">
        <v>1879</v>
      </c>
      <c r="C935" t="s">
        <v>5</v>
      </c>
      <c r="D935">
        <v>2.76</v>
      </c>
      <c r="E935">
        <f>59380572/(1000)</f>
        <v>59380.572</v>
      </c>
      <c r="F935">
        <f>348262016/(1000)</f>
        <v>348262.016</v>
      </c>
      <c r="G935">
        <f>0/(1000)</f>
        <v>0</v>
      </c>
      <c r="H935">
        <f>0/(1000)</f>
        <v>0</v>
      </c>
      <c r="I935">
        <f>0/(1000)</f>
        <v>0</v>
      </c>
      <c r="J935">
        <f t="shared" si="15"/>
        <v>1</v>
      </c>
      <c r="K935">
        <f>12678001/(1000)</f>
        <v>12678.001</v>
      </c>
      <c r="L935">
        <v>14.2100982666016</v>
      </c>
      <c r="M935">
        <v>9.1298599243164098</v>
      </c>
      <c r="N935">
        <v>82.196823811986306</v>
      </c>
      <c r="O935">
        <v>343.61370849609398</v>
      </c>
      <c r="P935">
        <v>3.9999999105930002E-2</v>
      </c>
      <c r="Q935">
        <v>0</v>
      </c>
      <c r="R935">
        <v>0</v>
      </c>
      <c r="S935">
        <v>43.697346900040401</v>
      </c>
      <c r="T935">
        <v>0</v>
      </c>
      <c r="U935">
        <v>0</v>
      </c>
      <c r="V935">
        <v>0</v>
      </c>
      <c r="W935">
        <v>0</v>
      </c>
    </row>
    <row r="936" spans="1:23" x14ac:dyDescent="0.55000000000000004">
      <c r="A936" t="s">
        <v>1880</v>
      </c>
      <c r="B936" t="s">
        <v>1881</v>
      </c>
      <c r="C936" t="s">
        <v>5</v>
      </c>
      <c r="D936">
        <v>4.78</v>
      </c>
      <c r="E936">
        <f>121012872/(1000)</f>
        <v>121012.872</v>
      </c>
      <c r="F936">
        <f>347871008/(1000)</f>
        <v>347871.00799999997</v>
      </c>
      <c r="G936">
        <f>15360000/(1000)</f>
        <v>15360</v>
      </c>
      <c r="H936">
        <f>611450856/(1000)</f>
        <v>611450.85600000003</v>
      </c>
      <c r="I936">
        <f>103068000/(1000)</f>
        <v>103068</v>
      </c>
      <c r="J936">
        <f t="shared" si="15"/>
        <v>5.9324994760740482E-3</v>
      </c>
      <c r="K936">
        <f>49600001/(1000)</f>
        <v>49600.000999999997</v>
      </c>
      <c r="L936">
        <v>0</v>
      </c>
      <c r="M936">
        <v>0</v>
      </c>
      <c r="N936">
        <v>98.901508054953396</v>
      </c>
      <c r="O936">
        <v>0</v>
      </c>
      <c r="P936">
        <v>0</v>
      </c>
      <c r="Q936">
        <v>0</v>
      </c>
      <c r="R936">
        <v>0</v>
      </c>
      <c r="S936">
        <v>19.716087824351298</v>
      </c>
      <c r="T936">
        <v>0</v>
      </c>
      <c r="U936">
        <v>0</v>
      </c>
      <c r="V936">
        <v>0</v>
      </c>
      <c r="W936">
        <v>0</v>
      </c>
    </row>
    <row r="937" spans="1:23" x14ac:dyDescent="0.55000000000000004">
      <c r="A937" t="s">
        <v>1882</v>
      </c>
      <c r="B937" t="s">
        <v>1883</v>
      </c>
      <c r="C937" t="s">
        <v>5</v>
      </c>
      <c r="D937">
        <v>5.16</v>
      </c>
      <c r="E937">
        <f>183849248/(1000)</f>
        <v>183849.24799999999</v>
      </c>
      <c r="F937">
        <f>347652000/(1000)</f>
        <v>347652</v>
      </c>
      <c r="G937">
        <f>16289000/(1000)</f>
        <v>16289</v>
      </c>
      <c r="H937">
        <f>750030240/(1000)</f>
        <v>750030.24</v>
      </c>
      <c r="I937">
        <f>102065000/(1000)</f>
        <v>102065</v>
      </c>
      <c r="J937">
        <f t="shared" si="15"/>
        <v>7.3485547445255473E-3</v>
      </c>
      <c r="K937">
        <f>11715001/(1000)</f>
        <v>11715.001</v>
      </c>
      <c r="L937">
        <v>0</v>
      </c>
      <c r="M937">
        <v>0</v>
      </c>
      <c r="N937">
        <v>81.742198894403003</v>
      </c>
      <c r="O937">
        <v>0</v>
      </c>
      <c r="P937">
        <v>0</v>
      </c>
      <c r="Q937">
        <v>0</v>
      </c>
      <c r="R937">
        <v>0</v>
      </c>
      <c r="S937">
        <v>145.05660270959899</v>
      </c>
      <c r="T937">
        <v>0</v>
      </c>
      <c r="U937">
        <v>0</v>
      </c>
      <c r="V937">
        <v>0</v>
      </c>
      <c r="W937">
        <v>0</v>
      </c>
    </row>
    <row r="938" spans="1:23" x14ac:dyDescent="0.55000000000000004">
      <c r="A938" t="s">
        <v>1884</v>
      </c>
      <c r="B938" t="s">
        <v>1885</v>
      </c>
      <c r="C938" t="s">
        <v>121</v>
      </c>
      <c r="D938">
        <v>21.7</v>
      </c>
      <c r="E938">
        <f>220851744/(1000)</f>
        <v>220851.74400000001</v>
      </c>
      <c r="F938">
        <f>346834016/(1000)</f>
        <v>346834.016</v>
      </c>
      <c r="G938">
        <f>57396000/(1000)</f>
        <v>57396</v>
      </c>
      <c r="H938">
        <f>153710112/(1000)</f>
        <v>153710.11199999999</v>
      </c>
      <c r="I938">
        <f>64055000/(1000)</f>
        <v>64055</v>
      </c>
      <c r="J938">
        <f t="shared" si="15"/>
        <v>2.399658293653891E-3</v>
      </c>
      <c r="K938">
        <f>15398000/(1000)</f>
        <v>15398</v>
      </c>
      <c r="L938">
        <v>0</v>
      </c>
      <c r="M938">
        <v>23.926155090331999</v>
      </c>
      <c r="N938">
        <v>82.388604161852598</v>
      </c>
      <c r="O938">
        <v>17.7441005706787</v>
      </c>
      <c r="P938">
        <v>0.72000002861022905</v>
      </c>
      <c r="Q938">
        <v>0</v>
      </c>
      <c r="R938">
        <v>5.0231484023775002</v>
      </c>
      <c r="S938">
        <v>84.725929397729004</v>
      </c>
      <c r="T938">
        <v>0</v>
      </c>
      <c r="U938">
        <v>0</v>
      </c>
      <c r="V938">
        <v>0</v>
      </c>
      <c r="W938">
        <v>0</v>
      </c>
    </row>
    <row r="939" spans="1:23" x14ac:dyDescent="0.55000000000000004">
      <c r="A939" t="s">
        <v>1886</v>
      </c>
      <c r="B939" t="s">
        <v>1887</v>
      </c>
      <c r="C939" t="s">
        <v>184</v>
      </c>
      <c r="D939">
        <v>19.760000000000002</v>
      </c>
      <c r="E939">
        <f>320074432/(1000)</f>
        <v>320074.43199999997</v>
      </c>
      <c r="F939">
        <f>346046848/(1000)</f>
        <v>346046.848</v>
      </c>
      <c r="G939">
        <f>99286304/(1000)</f>
        <v>99286.304000000004</v>
      </c>
      <c r="H939">
        <f>568704352/(1000)</f>
        <v>568704.35199999996</v>
      </c>
      <c r="I939">
        <f>173094032/(1000)</f>
        <v>173094.03200000001</v>
      </c>
      <c r="J939">
        <f t="shared" si="15"/>
        <v>3.2855225880924648E-3</v>
      </c>
      <c r="K939">
        <f>128046601/(1000)</f>
        <v>128046.601</v>
      </c>
      <c r="L939">
        <v>13.440020561218301</v>
      </c>
      <c r="M939">
        <v>23.564430236816399</v>
      </c>
      <c r="N939">
        <v>92.963377203967397</v>
      </c>
      <c r="O939">
        <v>91.717956542968807</v>
      </c>
      <c r="P939">
        <v>0</v>
      </c>
      <c r="Q939">
        <v>1.1435184863246499</v>
      </c>
      <c r="R939">
        <v>6.0799999589186502</v>
      </c>
      <c r="S939">
        <v>122.293702883969</v>
      </c>
      <c r="T939">
        <v>0</v>
      </c>
      <c r="U939">
        <v>0</v>
      </c>
      <c r="V939">
        <v>0</v>
      </c>
      <c r="W939">
        <v>0</v>
      </c>
    </row>
    <row r="940" spans="1:23" x14ac:dyDescent="0.55000000000000004">
      <c r="A940" t="s">
        <v>1888</v>
      </c>
      <c r="B940" t="s">
        <v>1889</v>
      </c>
      <c r="C940" t="s">
        <v>121</v>
      </c>
      <c r="D940">
        <v>10.119999999999999</v>
      </c>
      <c r="E940">
        <f>113878336/(1000)</f>
        <v>113878.336</v>
      </c>
      <c r="F940">
        <f>345576000/(1000)</f>
        <v>345576</v>
      </c>
      <c r="G940">
        <f>9402000/(1000)</f>
        <v>9402</v>
      </c>
      <c r="H940">
        <f>183210336/(1000)</f>
        <v>183210.33600000001</v>
      </c>
      <c r="I940">
        <f>26569000/(1000)</f>
        <v>26569</v>
      </c>
      <c r="J940">
        <f t="shared" si="15"/>
        <v>6.8956428920922885E-3</v>
      </c>
      <c r="K940">
        <f>-32187999/(1000)</f>
        <v>-32187.999</v>
      </c>
      <c r="L940">
        <v>30.801755905151399</v>
      </c>
      <c r="M940">
        <v>-8.8799390792846697</v>
      </c>
      <c r="N940">
        <v>96.297810427227901</v>
      </c>
      <c r="O940">
        <v>43.567676544189503</v>
      </c>
      <c r="P940">
        <v>0.239999994635582</v>
      </c>
      <c r="Q940">
        <v>0.68470907093343203</v>
      </c>
      <c r="R940">
        <v>14.4571429398595</v>
      </c>
      <c r="S940">
        <v>31.6645481019847</v>
      </c>
      <c r="T940">
        <v>0</v>
      </c>
      <c r="U940">
        <v>0</v>
      </c>
      <c r="V940">
        <v>0</v>
      </c>
      <c r="W940">
        <v>0</v>
      </c>
    </row>
    <row r="941" spans="1:23" x14ac:dyDescent="0.55000000000000004">
      <c r="A941" t="s">
        <v>1890</v>
      </c>
      <c r="B941" t="s">
        <v>1891</v>
      </c>
      <c r="C941" t="s">
        <v>20</v>
      </c>
      <c r="D941">
        <v>17.170000000000002</v>
      </c>
      <c r="E941">
        <f>430786720/(1000)</f>
        <v>430786.72</v>
      </c>
      <c r="F941">
        <f>343460000/(1000)</f>
        <v>343460</v>
      </c>
      <c r="G941">
        <f>10697000/(1000)</f>
        <v>10697</v>
      </c>
      <c r="H941">
        <f>349908720/(1000)</f>
        <v>349908.72</v>
      </c>
      <c r="I941">
        <f>28302000/(1000)</f>
        <v>28302</v>
      </c>
      <c r="J941">
        <f t="shared" si="15"/>
        <v>1.2363391986432052E-2</v>
      </c>
      <c r="K941">
        <f>3389001/(1000)</f>
        <v>3389.0010000000002</v>
      </c>
      <c r="L941">
        <v>31.101505279541001</v>
      </c>
      <c r="M941">
        <v>7.0616950988769496</v>
      </c>
      <c r="N941">
        <v>82.641342581231598</v>
      </c>
      <c r="O941">
        <v>0</v>
      </c>
      <c r="P941">
        <v>0</v>
      </c>
      <c r="Q941">
        <v>2.9300340759543002</v>
      </c>
      <c r="R941">
        <v>57.233334511559903</v>
      </c>
      <c r="S941">
        <v>74.793258853131505</v>
      </c>
      <c r="T941">
        <v>0</v>
      </c>
      <c r="U941">
        <v>0</v>
      </c>
      <c r="V941">
        <v>0</v>
      </c>
      <c r="W941">
        <v>0</v>
      </c>
    </row>
    <row r="942" spans="1:23" x14ac:dyDescent="0.55000000000000004">
      <c r="A942" t="s">
        <v>1892</v>
      </c>
      <c r="B942" t="s">
        <v>1893</v>
      </c>
      <c r="C942" t="s">
        <v>17</v>
      </c>
      <c r="D942">
        <v>28.4</v>
      </c>
      <c r="E942">
        <f>402626816/(1000)</f>
        <v>402626.81599999999</v>
      </c>
      <c r="F942">
        <f>341647008/(1000)</f>
        <v>341647.00799999997</v>
      </c>
      <c r="G942">
        <f>40328000/(1000)</f>
        <v>40328</v>
      </c>
      <c r="H942">
        <f>392057816/(1000)</f>
        <v>392057.81599999999</v>
      </c>
      <c r="I942">
        <f>46982000/(1000)</f>
        <v>46982</v>
      </c>
      <c r="J942">
        <f t="shared" si="15"/>
        <v>8.3448515601719803E-3</v>
      </c>
      <c r="K942">
        <f>28187001/(1000)</f>
        <v>28187.001</v>
      </c>
      <c r="L942">
        <v>24.450025558471701</v>
      </c>
      <c r="M942">
        <v>18.574018478393601</v>
      </c>
      <c r="N942">
        <v>95.310636963251596</v>
      </c>
      <c r="O942">
        <v>0</v>
      </c>
      <c r="P942">
        <v>0</v>
      </c>
      <c r="Q942">
        <v>2.59479218002723</v>
      </c>
      <c r="R942">
        <v>15.0264545829368</v>
      </c>
      <c r="S942">
        <v>58.643632749882499</v>
      </c>
      <c r="T942">
        <v>0</v>
      </c>
      <c r="U942">
        <v>0</v>
      </c>
      <c r="V942">
        <v>0</v>
      </c>
      <c r="W942">
        <v>0</v>
      </c>
    </row>
    <row r="943" spans="1:23" x14ac:dyDescent="0.55000000000000004">
      <c r="A943" t="s">
        <v>1894</v>
      </c>
      <c r="B943" t="s">
        <v>1895</v>
      </c>
      <c r="C943" t="s">
        <v>5</v>
      </c>
      <c r="D943">
        <v>39.049999999999997</v>
      </c>
      <c r="E943">
        <f>2251084032/(1000)</f>
        <v>2251084.0320000001</v>
      </c>
      <c r="F943">
        <f>341030016/(1000)</f>
        <v>341030.016</v>
      </c>
      <c r="G943">
        <f>97437000/(1000)</f>
        <v>97437</v>
      </c>
      <c r="H943">
        <f>2179787032/(1000)</f>
        <v>2179787.0320000001</v>
      </c>
      <c r="I943">
        <f>107330000/(1000)</f>
        <v>107330</v>
      </c>
      <c r="J943">
        <f t="shared" si="15"/>
        <v>2.0309205552967485E-2</v>
      </c>
      <c r="K943">
        <f>71477001/(1000)</f>
        <v>71477.001000000004</v>
      </c>
      <c r="L943">
        <v>0</v>
      </c>
      <c r="M943">
        <v>78.997268676757798</v>
      </c>
      <c r="N943">
        <v>98.686993599951805</v>
      </c>
      <c r="O943">
        <v>190.70785522460901</v>
      </c>
      <c r="P943">
        <v>0</v>
      </c>
      <c r="Q943">
        <v>6.1302982635192302</v>
      </c>
      <c r="R943">
        <v>19.524999618530298</v>
      </c>
      <c r="S943">
        <v>1463.21056105611</v>
      </c>
      <c r="T943">
        <v>0</v>
      </c>
      <c r="U943">
        <v>0</v>
      </c>
      <c r="V943">
        <v>0</v>
      </c>
      <c r="W943">
        <v>0</v>
      </c>
    </row>
    <row r="944" spans="1:23" x14ac:dyDescent="0.55000000000000004">
      <c r="A944" t="s">
        <v>1896</v>
      </c>
      <c r="B944" t="s">
        <v>1897</v>
      </c>
      <c r="C944" t="s">
        <v>5</v>
      </c>
      <c r="D944">
        <v>18.86</v>
      </c>
      <c r="E944">
        <f>408426528/(1000)</f>
        <v>408426.52799999999</v>
      </c>
      <c r="F944">
        <f>340933984/(1000)</f>
        <v>340933.984</v>
      </c>
      <c r="G944">
        <f>31914000/(1000)</f>
        <v>31914</v>
      </c>
      <c r="H944">
        <f>393146528/(1000)</f>
        <v>393146.52799999999</v>
      </c>
      <c r="I944">
        <f>40232000/(1000)</f>
        <v>40232</v>
      </c>
      <c r="J944">
        <f t="shared" si="15"/>
        <v>9.7719856830383763E-3</v>
      </c>
      <c r="K944">
        <f>1611001/(1000)</f>
        <v>1611.001</v>
      </c>
      <c r="L944">
        <v>28.518394470214801</v>
      </c>
      <c r="M944">
        <v>7.1474409103393599</v>
      </c>
      <c r="N944">
        <v>54.3441201554648</v>
      </c>
      <c r="O944">
        <v>3.4194998443126998E-2</v>
      </c>
      <c r="P944">
        <v>0</v>
      </c>
      <c r="Q944">
        <v>1.2035737408121401</v>
      </c>
      <c r="R944">
        <v>20.500000955617999</v>
      </c>
      <c r="S944">
        <v>541.05820280916805</v>
      </c>
      <c r="T944">
        <v>0</v>
      </c>
      <c r="U944">
        <v>0</v>
      </c>
      <c r="V944">
        <v>0</v>
      </c>
      <c r="W944">
        <v>0</v>
      </c>
    </row>
    <row r="945" spans="1:23" x14ac:dyDescent="0.55000000000000004">
      <c r="A945" t="s">
        <v>1898</v>
      </c>
      <c r="B945" t="s">
        <v>1899</v>
      </c>
      <c r="C945" t="s">
        <v>184</v>
      </c>
      <c r="D945">
        <v>6.44</v>
      </c>
      <c r="E945">
        <f>371227360/(1000)</f>
        <v>371227.36</v>
      </c>
      <c r="F945">
        <f>340735008/(1000)</f>
        <v>340735.00799999997</v>
      </c>
      <c r="G945">
        <f>0/(1000)</f>
        <v>0</v>
      </c>
      <c r="H945">
        <f>412575360/(1000)</f>
        <v>412575.36</v>
      </c>
      <c r="I945">
        <f>0/(1000)</f>
        <v>0</v>
      </c>
      <c r="J945">
        <f t="shared" si="15"/>
        <v>1</v>
      </c>
      <c r="K945">
        <f>85498001/(1000)</f>
        <v>85498.001000000004</v>
      </c>
      <c r="L945">
        <v>11.547156333923301</v>
      </c>
      <c r="M945">
        <v>11.1170463562012</v>
      </c>
      <c r="N945">
        <v>91.608318432847994</v>
      </c>
      <c r="O945">
        <v>18.526369094848601</v>
      </c>
      <c r="P945">
        <v>7.9999998211861004E-2</v>
      </c>
      <c r="Q945">
        <v>0.85448877017385605</v>
      </c>
      <c r="R945">
        <v>7.5764705758606299</v>
      </c>
      <c r="S945">
        <v>72.447217442354798</v>
      </c>
      <c r="T945">
        <v>0</v>
      </c>
      <c r="U945">
        <v>0</v>
      </c>
      <c r="V945">
        <v>0</v>
      </c>
      <c r="W945">
        <v>0</v>
      </c>
    </row>
    <row r="946" spans="1:23" x14ac:dyDescent="0.55000000000000004">
      <c r="A946" t="s">
        <v>1900</v>
      </c>
      <c r="B946" t="s">
        <v>1901</v>
      </c>
      <c r="C946" t="s">
        <v>184</v>
      </c>
      <c r="D946">
        <v>16.77</v>
      </c>
      <c r="E946">
        <f>429442208/(1000)</f>
        <v>429442.20799999998</v>
      </c>
      <c r="F946">
        <f>340618304/(1000)</f>
        <v>340618.304</v>
      </c>
      <c r="G946">
        <f>0/(1000)</f>
        <v>0</v>
      </c>
      <c r="H946">
        <f>438440631/(1000)</f>
        <v>438440.63099999999</v>
      </c>
      <c r="I946">
        <f>0/(1000)</f>
        <v>0</v>
      </c>
      <c r="J946">
        <f t="shared" si="15"/>
        <v>1</v>
      </c>
      <c r="K946">
        <f>25288745/(1000)</f>
        <v>25288.744999999999</v>
      </c>
      <c r="L946">
        <v>12.344557762146</v>
      </c>
      <c r="M946">
        <v>11.367582321166999</v>
      </c>
      <c r="N946">
        <v>97.301216049587694</v>
      </c>
      <c r="O946">
        <v>8.7694530487060494</v>
      </c>
      <c r="P946">
        <v>0.41999998688697798</v>
      </c>
      <c r="Q946">
        <v>1.1757447803760199</v>
      </c>
      <c r="R946">
        <v>13.0000004389489</v>
      </c>
      <c r="S946">
        <v>67.130333065101794</v>
      </c>
      <c r="T946">
        <v>0</v>
      </c>
      <c r="U946">
        <v>0</v>
      </c>
      <c r="V946">
        <v>0</v>
      </c>
      <c r="W946">
        <v>0</v>
      </c>
    </row>
    <row r="947" spans="1:23" x14ac:dyDescent="0.55000000000000004">
      <c r="A947" t="s">
        <v>1902</v>
      </c>
      <c r="B947" t="s">
        <v>1903</v>
      </c>
      <c r="C947" t="s">
        <v>8</v>
      </c>
      <c r="D947">
        <v>35.53</v>
      </c>
      <c r="E947">
        <f>868953664/(1000)</f>
        <v>868953.66399999999</v>
      </c>
      <c r="F947">
        <f>340351008/(1000)</f>
        <v>340351.00799999997</v>
      </c>
      <c r="G947">
        <f>78319000/(1000)</f>
        <v>78319</v>
      </c>
      <c r="H947">
        <f>837022664/(1000)</f>
        <v>837022.66399999999</v>
      </c>
      <c r="I947">
        <f>103081000/(1000)</f>
        <v>103081</v>
      </c>
      <c r="J947">
        <f t="shared" si="15"/>
        <v>8.1200479622820891E-3</v>
      </c>
      <c r="K947">
        <f>-5296999/(1000)</f>
        <v>-5296.9989999999998</v>
      </c>
      <c r="L947">
        <v>23.1001796722412</v>
      </c>
      <c r="M947">
        <v>14.7125902175903</v>
      </c>
      <c r="N947">
        <v>76.489253638479198</v>
      </c>
      <c r="O947">
        <v>0</v>
      </c>
      <c r="P947">
        <v>0.68000000715255704</v>
      </c>
      <c r="Q947">
        <v>1.9827008162962501</v>
      </c>
      <c r="R947">
        <v>15.1837599455061</v>
      </c>
      <c r="S947">
        <v>169.46116477182801</v>
      </c>
      <c r="T947">
        <v>0</v>
      </c>
      <c r="U947">
        <v>0</v>
      </c>
      <c r="V947">
        <v>0</v>
      </c>
      <c r="W947">
        <v>0</v>
      </c>
    </row>
    <row r="948" spans="1:23" x14ac:dyDescent="0.55000000000000004">
      <c r="A948" t="s">
        <v>1904</v>
      </c>
      <c r="B948" t="s">
        <v>1905</v>
      </c>
      <c r="C948" t="s">
        <v>184</v>
      </c>
      <c r="D948">
        <v>12.49</v>
      </c>
      <c r="E948">
        <f>148781504/(1000)</f>
        <v>148781.50399999999</v>
      </c>
      <c r="F948">
        <f>340049984/(1000)</f>
        <v>340049.984</v>
      </c>
      <c r="G948">
        <f>-36484000/(1000)</f>
        <v>-36484</v>
      </c>
      <c r="H948">
        <f>360447504/(1000)</f>
        <v>360447.50400000002</v>
      </c>
      <c r="I948">
        <f>-19063002/(1000)</f>
        <v>-19063.002</v>
      </c>
      <c r="J948">
        <f t="shared" si="15"/>
        <v>-1.890822358409237E-2</v>
      </c>
      <c r="K948">
        <f>139448001/(1000)</f>
        <v>139448.00099999999</v>
      </c>
      <c r="L948">
        <v>0</v>
      </c>
      <c r="M948">
        <v>-24.168601989746101</v>
      </c>
      <c r="N948">
        <v>76.973641949565902</v>
      </c>
      <c r="O948">
        <v>130.34403991699199</v>
      </c>
      <c r="P948">
        <v>0.479999989271164</v>
      </c>
      <c r="Q948">
        <v>2.2145390189345799</v>
      </c>
      <c r="R948">
        <v>12.6161614058562</v>
      </c>
      <c r="S948">
        <v>0</v>
      </c>
      <c r="T948">
        <v>0</v>
      </c>
      <c r="U948">
        <v>0</v>
      </c>
      <c r="V948">
        <v>0</v>
      </c>
      <c r="W948">
        <v>0</v>
      </c>
    </row>
    <row r="949" spans="1:23" x14ac:dyDescent="0.55000000000000004">
      <c r="A949" t="s">
        <v>1906</v>
      </c>
      <c r="B949" t="s">
        <v>1907</v>
      </c>
      <c r="C949" t="s">
        <v>5</v>
      </c>
      <c r="D949">
        <v>2.16</v>
      </c>
      <c r="E949">
        <f>77015784/(1000)</f>
        <v>77015.784</v>
      </c>
      <c r="F949">
        <f>339840000/(1000)</f>
        <v>339840</v>
      </c>
      <c r="G949">
        <f>11996000/(1000)</f>
        <v>11996</v>
      </c>
      <c r="H949">
        <f>164099784/(1000)</f>
        <v>164099.78400000001</v>
      </c>
      <c r="I949">
        <f>53194004/(1000)</f>
        <v>53194.004000000001</v>
      </c>
      <c r="J949">
        <f t="shared" si="15"/>
        <v>3.084930098512607E-3</v>
      </c>
      <c r="K949">
        <f>15736001/(1000)</f>
        <v>15736.001</v>
      </c>
      <c r="L949">
        <v>67.156455993652301</v>
      </c>
      <c r="M949">
        <v>2.9407820701599099</v>
      </c>
      <c r="N949">
        <v>70.125630326252093</v>
      </c>
      <c r="O949">
        <v>67.127021789550795</v>
      </c>
      <c r="P949">
        <v>0</v>
      </c>
      <c r="Q949">
        <v>0.42023349064939902</v>
      </c>
      <c r="R949">
        <v>0</v>
      </c>
      <c r="S949">
        <v>22.411041060951</v>
      </c>
      <c r="T949">
        <v>0</v>
      </c>
      <c r="U949">
        <v>0</v>
      </c>
      <c r="V949">
        <v>0</v>
      </c>
      <c r="W949">
        <v>0</v>
      </c>
    </row>
    <row r="950" spans="1:23" x14ac:dyDescent="0.55000000000000004">
      <c r="A950" t="s">
        <v>1908</v>
      </c>
      <c r="B950" t="s">
        <v>1909</v>
      </c>
      <c r="C950" t="s">
        <v>5</v>
      </c>
      <c r="D950">
        <v>1.44</v>
      </c>
      <c r="E950">
        <f>31844304/(1000)</f>
        <v>31844.304</v>
      </c>
      <c r="F950">
        <f>339037984/(1000)</f>
        <v>339037.984</v>
      </c>
      <c r="G950">
        <f>52845000/(1000)</f>
        <v>52845</v>
      </c>
      <c r="H950">
        <f>387189296/(1000)</f>
        <v>387189.29599999997</v>
      </c>
      <c r="I950">
        <f>79772000/(1000)</f>
        <v>79772</v>
      </c>
      <c r="J950">
        <f t="shared" si="15"/>
        <v>4.8536992428421001E-3</v>
      </c>
      <c r="K950">
        <f>37631001/(1000)</f>
        <v>37631.000999999997</v>
      </c>
      <c r="L950">
        <v>0</v>
      </c>
      <c r="M950">
        <v>6.7243118286132804</v>
      </c>
      <c r="N950">
        <v>91.520344283762896</v>
      </c>
      <c r="O950">
        <v>270.21902465820301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</row>
    <row r="951" spans="1:23" x14ac:dyDescent="0.55000000000000004">
      <c r="A951" t="s">
        <v>1910</v>
      </c>
      <c r="B951" t="s">
        <v>1911</v>
      </c>
      <c r="C951" t="s">
        <v>8</v>
      </c>
      <c r="D951">
        <v>16.34</v>
      </c>
      <c r="E951">
        <f>422730496/(1000)</f>
        <v>422730.49599999998</v>
      </c>
      <c r="F951">
        <f>338969984/(1000)</f>
        <v>338969.984</v>
      </c>
      <c r="G951">
        <f>144068000/(1000)</f>
        <v>144068</v>
      </c>
      <c r="H951">
        <f>1060982528/(1000)</f>
        <v>1060982.5279999999</v>
      </c>
      <c r="I951">
        <f>179236992/(1000)</f>
        <v>179236.992</v>
      </c>
      <c r="J951">
        <f t="shared" si="15"/>
        <v>5.9194394871344407E-3</v>
      </c>
      <c r="K951">
        <f>-309364991/(1000)</f>
        <v>-309364.99099999998</v>
      </c>
      <c r="L951">
        <v>0</v>
      </c>
      <c r="M951">
        <v>18.637870788574201</v>
      </c>
      <c r="N951">
        <v>78.2740477751002</v>
      </c>
      <c r="O951">
        <v>97.729560852050795</v>
      </c>
      <c r="P951">
        <v>0</v>
      </c>
      <c r="Q951">
        <v>16.340000152587901</v>
      </c>
      <c r="R951">
        <v>4.2887138810329501</v>
      </c>
      <c r="S951">
        <v>266.11760436355797</v>
      </c>
      <c r="T951">
        <v>0</v>
      </c>
      <c r="U951">
        <v>0</v>
      </c>
      <c r="V951">
        <v>0</v>
      </c>
      <c r="W951">
        <v>0</v>
      </c>
    </row>
    <row r="952" spans="1:23" x14ac:dyDescent="0.55000000000000004">
      <c r="A952" t="s">
        <v>1912</v>
      </c>
      <c r="B952" t="s">
        <v>1913</v>
      </c>
      <c r="C952" t="s">
        <v>2</v>
      </c>
      <c r="D952">
        <v>5.75</v>
      </c>
      <c r="E952">
        <f>95759344/(1000)</f>
        <v>95759.343999999997</v>
      </c>
      <c r="F952">
        <f>338894016/(1000)</f>
        <v>338894.016</v>
      </c>
      <c r="G952">
        <f>16030001/(1000)</f>
        <v>16030.001</v>
      </c>
      <c r="H952">
        <f>75983344/(1000)</f>
        <v>75983.343999999997</v>
      </c>
      <c r="I952">
        <f>31257000/(1000)</f>
        <v>31257</v>
      </c>
      <c r="J952">
        <f t="shared" si="15"/>
        <v>2.4309224813641745E-3</v>
      </c>
      <c r="K952">
        <f>7523001/(1000)</f>
        <v>7523.0010000000002</v>
      </c>
      <c r="L952">
        <v>19.32057762146</v>
      </c>
      <c r="M952">
        <v>5.3308749198913601</v>
      </c>
      <c r="N952">
        <v>95.513942167492999</v>
      </c>
      <c r="O952">
        <v>5.4468479156494096</v>
      </c>
      <c r="P952">
        <v>0</v>
      </c>
      <c r="Q952">
        <v>0.50130774770151598</v>
      </c>
      <c r="R952">
        <v>8.8461538664335304</v>
      </c>
      <c r="S952">
        <v>33.674401432617302</v>
      </c>
      <c r="T952">
        <v>0</v>
      </c>
      <c r="U952">
        <v>0</v>
      </c>
      <c r="V952">
        <v>0</v>
      </c>
      <c r="W952">
        <v>0</v>
      </c>
    </row>
    <row r="953" spans="1:23" x14ac:dyDescent="0.55000000000000004">
      <c r="A953" t="s">
        <v>1914</v>
      </c>
      <c r="B953" t="s">
        <v>1915</v>
      </c>
      <c r="C953" t="s">
        <v>184</v>
      </c>
      <c r="D953">
        <v>48</v>
      </c>
      <c r="E953">
        <f>745180800/(1000)</f>
        <v>745180.8</v>
      </c>
      <c r="F953">
        <f>338840000/(1000)</f>
        <v>338840</v>
      </c>
      <c r="G953">
        <f>0/(1000)</f>
        <v>0</v>
      </c>
      <c r="H953">
        <f>0/(1000)</f>
        <v>0</v>
      </c>
      <c r="I953">
        <f>0/(1000)</f>
        <v>0</v>
      </c>
      <c r="J953">
        <f t="shared" si="15"/>
        <v>1</v>
      </c>
      <c r="K953">
        <f>39055001/(1000)</f>
        <v>39055.000999999997</v>
      </c>
      <c r="L953">
        <v>16.029720306396499</v>
      </c>
      <c r="M953">
        <v>10.1050615310669</v>
      </c>
      <c r="N953">
        <v>86.727516166962204</v>
      </c>
      <c r="O953">
        <v>179.45062255859401</v>
      </c>
      <c r="P953">
        <v>1.3600000143051201</v>
      </c>
      <c r="Q953">
        <v>1.1957729610113299</v>
      </c>
      <c r="R953">
        <v>15.384615655011199</v>
      </c>
      <c r="S953">
        <v>222.59415819338099</v>
      </c>
      <c r="T953">
        <v>0</v>
      </c>
      <c r="U953">
        <v>0</v>
      </c>
      <c r="V953">
        <v>0</v>
      </c>
      <c r="W953">
        <v>0</v>
      </c>
    </row>
    <row r="954" spans="1:23" x14ac:dyDescent="0.55000000000000004">
      <c r="A954" t="s">
        <v>1916</v>
      </c>
      <c r="B954" t="s">
        <v>1917</v>
      </c>
      <c r="C954" t="s">
        <v>5</v>
      </c>
      <c r="D954">
        <v>13.28</v>
      </c>
      <c r="E954">
        <f>350390144/(1000)</f>
        <v>350390.14399999997</v>
      </c>
      <c r="F954">
        <f>338468992/(1000)</f>
        <v>338468.99200000003</v>
      </c>
      <c r="G954">
        <f>59282000/(1000)</f>
        <v>59282</v>
      </c>
      <c r="H954">
        <f>411899144/(1000)</f>
        <v>411899.14399999997</v>
      </c>
      <c r="I954">
        <f>71832000/(1000)</f>
        <v>71832</v>
      </c>
      <c r="J954">
        <f t="shared" si="15"/>
        <v>5.734201247354939E-3</v>
      </c>
      <c r="K954">
        <f>39729001/(1000)</f>
        <v>39729.000999999997</v>
      </c>
      <c r="L954">
        <v>24.317213058471701</v>
      </c>
      <c r="M954">
        <v>58.462345123291001</v>
      </c>
      <c r="N954">
        <v>98.509748196264198</v>
      </c>
      <c r="O954">
        <v>24.896266937255898</v>
      </c>
      <c r="P954">
        <v>0.40000000596046398</v>
      </c>
      <c r="Q954">
        <v>0</v>
      </c>
      <c r="R954">
        <v>9.6934306127921293</v>
      </c>
      <c r="S954">
        <v>35.519317239738903</v>
      </c>
      <c r="T954">
        <v>0</v>
      </c>
      <c r="U954">
        <v>0</v>
      </c>
      <c r="V954">
        <v>0</v>
      </c>
      <c r="W954">
        <v>0</v>
      </c>
    </row>
    <row r="955" spans="1:23" x14ac:dyDescent="0.55000000000000004">
      <c r="A955" t="s">
        <v>1918</v>
      </c>
      <c r="B955" t="s">
        <v>1919</v>
      </c>
      <c r="C955" t="s">
        <v>184</v>
      </c>
      <c r="D955">
        <v>20.53</v>
      </c>
      <c r="E955">
        <f>386811872/(1000)</f>
        <v>386811.87199999997</v>
      </c>
      <c r="F955">
        <f>338319008/(1000)</f>
        <v>338319.00799999997</v>
      </c>
      <c r="G955">
        <f>0/(1000)</f>
        <v>0</v>
      </c>
      <c r="H955">
        <f>376720872/(1000)</f>
        <v>376720.87199999997</v>
      </c>
      <c r="I955">
        <f>0/(1000)</f>
        <v>0</v>
      </c>
      <c r="J955">
        <f t="shared" si="15"/>
        <v>1</v>
      </c>
      <c r="K955">
        <f>98980001/(1000)</f>
        <v>98980.001000000004</v>
      </c>
      <c r="L955">
        <v>0</v>
      </c>
      <c r="M955">
        <v>27.3409309387207</v>
      </c>
      <c r="N955">
        <v>98.387589645025798</v>
      </c>
      <c r="O955">
        <v>29.2899265289307</v>
      </c>
      <c r="P955">
        <v>0</v>
      </c>
      <c r="Q955">
        <v>1.4920058390372399</v>
      </c>
      <c r="R955">
        <v>6.9829934364946498</v>
      </c>
      <c r="S955">
        <v>0</v>
      </c>
      <c r="T955">
        <v>0</v>
      </c>
      <c r="U955">
        <v>0</v>
      </c>
      <c r="V955">
        <v>0</v>
      </c>
      <c r="W955">
        <v>0</v>
      </c>
    </row>
    <row r="956" spans="1:23" x14ac:dyDescent="0.55000000000000004">
      <c r="A956" t="s">
        <v>1920</v>
      </c>
      <c r="B956" t="s">
        <v>1921</v>
      </c>
      <c r="C956" t="s">
        <v>31</v>
      </c>
      <c r="D956">
        <v>23.12</v>
      </c>
      <c r="E956">
        <f>959412992/(1000)</f>
        <v>959412.99199999997</v>
      </c>
      <c r="F956">
        <f>337672992/(1000)</f>
        <v>337672.99200000003</v>
      </c>
      <c r="G956">
        <f>63338000/(1000)</f>
        <v>63338</v>
      </c>
      <c r="H956">
        <f>840745992/(1000)</f>
        <v>840745.99199999997</v>
      </c>
      <c r="I956">
        <f>74100000/(1000)</f>
        <v>74100</v>
      </c>
      <c r="J956">
        <f t="shared" si="15"/>
        <v>1.134609975708502E-2</v>
      </c>
      <c r="K956">
        <f>30786001/(1000)</f>
        <v>30786.001</v>
      </c>
      <c r="L956">
        <v>22.06667137146</v>
      </c>
      <c r="M956">
        <v>35.167221069335902</v>
      </c>
      <c r="N956">
        <v>30.6257539581858</v>
      </c>
      <c r="O956">
        <v>0</v>
      </c>
      <c r="P956">
        <v>0.239999994635582</v>
      </c>
      <c r="Q956">
        <v>3.12432439746954</v>
      </c>
      <c r="R956">
        <v>13.062147507556</v>
      </c>
      <c r="S956">
        <v>109.076371472376</v>
      </c>
      <c r="T956">
        <v>0</v>
      </c>
      <c r="U956">
        <v>0</v>
      </c>
      <c r="V956">
        <v>0</v>
      </c>
      <c r="W956">
        <v>0</v>
      </c>
    </row>
    <row r="957" spans="1:23" x14ac:dyDescent="0.55000000000000004">
      <c r="A957" t="s">
        <v>1922</v>
      </c>
      <c r="B957" t="s">
        <v>1923</v>
      </c>
      <c r="C957" t="s">
        <v>5</v>
      </c>
      <c r="D957">
        <v>4.43</v>
      </c>
      <c r="E957">
        <f>123657256/(1000)</f>
        <v>123657.25599999999</v>
      </c>
      <c r="F957">
        <f>337526016/(1000)</f>
        <v>337526.016</v>
      </c>
      <c r="G957">
        <f>83847000/(1000)</f>
        <v>83847</v>
      </c>
      <c r="H957">
        <f>150056254/(1000)</f>
        <v>150056.25399999999</v>
      </c>
      <c r="I957">
        <f>85843000/(1000)</f>
        <v>85843</v>
      </c>
      <c r="J957">
        <f t="shared" si="15"/>
        <v>1.7480313362766911E-3</v>
      </c>
      <c r="K957">
        <f>-45045999/(1000)</f>
        <v>-45045.999000000003</v>
      </c>
      <c r="L957">
        <v>0</v>
      </c>
      <c r="M957">
        <v>20.233982086181602</v>
      </c>
      <c r="N957">
        <v>89.980866569373205</v>
      </c>
      <c r="O957">
        <v>40.957263946533203</v>
      </c>
      <c r="P957">
        <v>0</v>
      </c>
      <c r="Q957">
        <v>0.53245192197476598</v>
      </c>
      <c r="R957">
        <v>2.5314284733363599</v>
      </c>
      <c r="S957">
        <v>0</v>
      </c>
      <c r="T957">
        <v>0</v>
      </c>
      <c r="U957">
        <v>0</v>
      </c>
      <c r="V957">
        <v>0</v>
      </c>
      <c r="W957">
        <v>0</v>
      </c>
    </row>
    <row r="958" spans="1:23" x14ac:dyDescent="0.55000000000000004">
      <c r="A958" t="s">
        <v>1924</v>
      </c>
      <c r="B958" t="s">
        <v>1925</v>
      </c>
      <c r="C958" t="s">
        <v>31</v>
      </c>
      <c r="D958">
        <v>15.81</v>
      </c>
      <c r="E958">
        <f>380001248/(1000)</f>
        <v>380001.24800000002</v>
      </c>
      <c r="F958">
        <f>337400992/(1000)</f>
        <v>337400.99200000003</v>
      </c>
      <c r="G958">
        <f>43058000/(1000)</f>
        <v>43058</v>
      </c>
      <c r="H958">
        <f>300199248/(1000)</f>
        <v>300199.24800000002</v>
      </c>
      <c r="I958">
        <f>56675000/(1000)</f>
        <v>56675</v>
      </c>
      <c r="J958">
        <f t="shared" si="15"/>
        <v>5.2968548389942657E-3</v>
      </c>
      <c r="K958">
        <f>28872999/(1000)</f>
        <v>28872.999</v>
      </c>
      <c r="L958">
        <v>29.059963226318398</v>
      </c>
      <c r="M958">
        <v>14.5448093414307</v>
      </c>
      <c r="N958">
        <v>98.668637729849195</v>
      </c>
      <c r="O958">
        <v>0</v>
      </c>
      <c r="P958">
        <v>0</v>
      </c>
      <c r="Q958">
        <v>0</v>
      </c>
      <c r="R958">
        <v>10.993672648352</v>
      </c>
      <c r="S958">
        <v>92.009496509102306</v>
      </c>
      <c r="T958">
        <v>0</v>
      </c>
      <c r="U958">
        <v>0</v>
      </c>
      <c r="V958">
        <v>0</v>
      </c>
      <c r="W958">
        <v>0</v>
      </c>
    </row>
    <row r="959" spans="1:23" x14ac:dyDescent="0.55000000000000004">
      <c r="A959" t="s">
        <v>1926</v>
      </c>
      <c r="B959" t="s">
        <v>1927</v>
      </c>
      <c r="C959" t="s">
        <v>31</v>
      </c>
      <c r="D959">
        <v>12.6</v>
      </c>
      <c r="E959">
        <f>488358336/(1000)</f>
        <v>488358.33600000001</v>
      </c>
      <c r="F959">
        <f>336128000/(1000)</f>
        <v>336128</v>
      </c>
      <c r="G959">
        <f>152092000/(1000)</f>
        <v>152092</v>
      </c>
      <c r="H959">
        <f>670869344/(1000)</f>
        <v>670869.34400000004</v>
      </c>
      <c r="I959">
        <f>167811008/(1000)</f>
        <v>167811.008</v>
      </c>
      <c r="J959">
        <f t="shared" si="15"/>
        <v>3.9977672024948448E-3</v>
      </c>
      <c r="K959">
        <f>-108712999/(1000)</f>
        <v>-108712.999</v>
      </c>
      <c r="L959">
        <v>0</v>
      </c>
      <c r="M959">
        <v>26.628221511840799</v>
      </c>
      <c r="N959">
        <v>98.915083760041696</v>
      </c>
      <c r="O959">
        <v>96.880409240722699</v>
      </c>
      <c r="P959">
        <v>0</v>
      </c>
      <c r="Q959">
        <v>1.96567873344906</v>
      </c>
      <c r="R959">
        <v>6.1764707102632599</v>
      </c>
      <c r="S959">
        <v>165.501852276048</v>
      </c>
      <c r="T959">
        <v>0</v>
      </c>
      <c r="U959">
        <v>0</v>
      </c>
      <c r="V959">
        <v>0</v>
      </c>
      <c r="W959">
        <v>0</v>
      </c>
    </row>
    <row r="960" spans="1:23" x14ac:dyDescent="0.55000000000000004">
      <c r="A960" t="s">
        <v>1928</v>
      </c>
      <c r="B960" t="s">
        <v>1929</v>
      </c>
      <c r="C960" t="s">
        <v>2</v>
      </c>
      <c r="D960">
        <v>1.55</v>
      </c>
      <c r="E960">
        <f>55983984/(1000)</f>
        <v>55983.983999999997</v>
      </c>
      <c r="F960">
        <f>334213024/(1000)</f>
        <v>334213.02399999998</v>
      </c>
      <c r="G960">
        <f>29363000/(1000)</f>
        <v>29363</v>
      </c>
      <c r="H960">
        <f>224106976/(1000)</f>
        <v>224106.976</v>
      </c>
      <c r="I960">
        <f>35677000/(1000)</f>
        <v>35677</v>
      </c>
      <c r="J960">
        <f t="shared" si="15"/>
        <v>6.2815532696134761E-3</v>
      </c>
      <c r="K960">
        <f>-19653999/(1000)</f>
        <v>-19653.999</v>
      </c>
      <c r="L960">
        <v>0</v>
      </c>
      <c r="M960">
        <v>18.0281791687012</v>
      </c>
      <c r="N960">
        <v>67.123128080014396</v>
      </c>
      <c r="O960">
        <v>72.162528991699205</v>
      </c>
      <c r="P960">
        <v>0</v>
      </c>
      <c r="Q960">
        <v>0</v>
      </c>
      <c r="R960">
        <v>1.93749992054654</v>
      </c>
      <c r="S960">
        <v>0</v>
      </c>
      <c r="T960">
        <v>0</v>
      </c>
      <c r="U960">
        <v>0</v>
      </c>
      <c r="V960">
        <v>0</v>
      </c>
      <c r="W960">
        <v>0</v>
      </c>
    </row>
    <row r="961" spans="1:23" x14ac:dyDescent="0.55000000000000004">
      <c r="A961" t="s">
        <v>1930</v>
      </c>
      <c r="B961" t="s">
        <v>1931</v>
      </c>
      <c r="C961" t="s">
        <v>184</v>
      </c>
      <c r="D961">
        <v>32.46</v>
      </c>
      <c r="E961">
        <f>1090191872/(1000)</f>
        <v>1090191.872</v>
      </c>
      <c r="F961">
        <f>334198016/(1000)</f>
        <v>334198.016</v>
      </c>
      <c r="G961">
        <f t="shared" ref="G961:I962" si="16">0/(1000)</f>
        <v>0</v>
      </c>
      <c r="H961">
        <f t="shared" si="16"/>
        <v>0</v>
      </c>
      <c r="I961">
        <f t="shared" si="16"/>
        <v>0</v>
      </c>
      <c r="J961">
        <f t="shared" si="15"/>
        <v>1</v>
      </c>
      <c r="K961">
        <f>36457001/(1000)</f>
        <v>36457.000999999997</v>
      </c>
      <c r="L961">
        <v>0</v>
      </c>
      <c r="M961">
        <v>3.0914878845214799</v>
      </c>
      <c r="N961">
        <v>88.900332942236105</v>
      </c>
      <c r="O961">
        <v>132.15879821777301</v>
      </c>
      <c r="P961">
        <v>0.30000001192092901</v>
      </c>
      <c r="Q961">
        <v>1.8698155497251101</v>
      </c>
      <c r="R961">
        <v>0</v>
      </c>
      <c r="S961">
        <v>328.50843815311998</v>
      </c>
      <c r="T961">
        <v>0</v>
      </c>
      <c r="U961">
        <v>0</v>
      </c>
      <c r="V961">
        <v>0</v>
      </c>
      <c r="W961">
        <v>0</v>
      </c>
    </row>
    <row r="962" spans="1:23" x14ac:dyDescent="0.55000000000000004">
      <c r="A962" t="s">
        <v>1932</v>
      </c>
      <c r="B962" t="s">
        <v>1933</v>
      </c>
      <c r="C962" t="s">
        <v>184</v>
      </c>
      <c r="D962">
        <v>9.41</v>
      </c>
      <c r="E962">
        <f>160124320/(1000)</f>
        <v>160124.32</v>
      </c>
      <c r="F962">
        <f>333892000/(1000)</f>
        <v>333892</v>
      </c>
      <c r="G962">
        <f t="shared" si="16"/>
        <v>0</v>
      </c>
      <c r="H962">
        <f t="shared" si="16"/>
        <v>0</v>
      </c>
      <c r="I962">
        <f t="shared" si="16"/>
        <v>0</v>
      </c>
      <c r="J962">
        <f t="shared" ref="J962:J1025" si="17">(IF(I962=0,1000,H962/I962))/(1000)</f>
        <v>1</v>
      </c>
      <c r="K962">
        <f>63577001/(1000)</f>
        <v>63577.000999999997</v>
      </c>
      <c r="L962">
        <v>16.982398986816399</v>
      </c>
      <c r="M962">
        <v>10.726367950439499</v>
      </c>
      <c r="N962">
        <v>82.309422130418994</v>
      </c>
      <c r="O962">
        <v>84.970283508300795</v>
      </c>
      <c r="P962">
        <v>1.4000004529953001</v>
      </c>
      <c r="Q962">
        <v>0.45924841154347101</v>
      </c>
      <c r="R962">
        <v>0</v>
      </c>
      <c r="S962">
        <v>108.483148413487</v>
      </c>
      <c r="T962">
        <v>0</v>
      </c>
      <c r="U962">
        <v>0</v>
      </c>
      <c r="V962">
        <v>0</v>
      </c>
      <c r="W962">
        <v>0</v>
      </c>
    </row>
    <row r="963" spans="1:23" x14ac:dyDescent="0.55000000000000004">
      <c r="A963" t="s">
        <v>1934</v>
      </c>
      <c r="B963" t="s">
        <v>1935</v>
      </c>
      <c r="C963" t="s">
        <v>38</v>
      </c>
      <c r="D963">
        <v>66.260000000000005</v>
      </c>
      <c r="E963">
        <f>3081070080/(1000)</f>
        <v>3081070.08</v>
      </c>
      <c r="F963">
        <f>333628992/(1000)</f>
        <v>333628.99200000003</v>
      </c>
      <c r="G963">
        <f>38081000/(1000)</f>
        <v>38081</v>
      </c>
      <c r="H963">
        <f>2638445088/(1000)</f>
        <v>2638445.088</v>
      </c>
      <c r="I963">
        <f>46862000/(1000)</f>
        <v>46862</v>
      </c>
      <c r="J963">
        <f t="shared" si="17"/>
        <v>5.6302443088216463E-2</v>
      </c>
      <c r="K963">
        <f>90061001/(1000)</f>
        <v>90061.001000000004</v>
      </c>
      <c r="L963">
        <v>0</v>
      </c>
      <c r="M963">
        <v>12.491873741149901</v>
      </c>
      <c r="N963">
        <v>98.124076790927901</v>
      </c>
      <c r="O963">
        <v>0</v>
      </c>
      <c r="P963">
        <v>0</v>
      </c>
      <c r="Q963">
        <v>6.0236365578391302</v>
      </c>
      <c r="R963">
        <v>36.071446902122098</v>
      </c>
      <c r="S963">
        <v>418.69372677663603</v>
      </c>
      <c r="T963">
        <v>0</v>
      </c>
      <c r="U963">
        <v>0</v>
      </c>
      <c r="V963">
        <v>0</v>
      </c>
      <c r="W963">
        <v>0</v>
      </c>
    </row>
    <row r="964" spans="1:23" x14ac:dyDescent="0.55000000000000004">
      <c r="A964" t="s">
        <v>1936</v>
      </c>
      <c r="B964" t="s">
        <v>1937</v>
      </c>
      <c r="C964" t="s">
        <v>184</v>
      </c>
      <c r="D964">
        <v>15.3</v>
      </c>
      <c r="E964">
        <f>918760448/(1000)</f>
        <v>918760.44799999997</v>
      </c>
      <c r="F964">
        <f>333169984/(1000)</f>
        <v>333169.984</v>
      </c>
      <c r="G964">
        <f>0/(1000)</f>
        <v>0</v>
      </c>
      <c r="H964">
        <f>0/(1000)</f>
        <v>0</v>
      </c>
      <c r="I964">
        <f>0/(1000)</f>
        <v>0</v>
      </c>
      <c r="J964">
        <f t="shared" si="17"/>
        <v>1</v>
      </c>
      <c r="K964">
        <f>61341001/(1000)</f>
        <v>61341.000999999997</v>
      </c>
      <c r="L964">
        <v>24.007848739623999</v>
      </c>
      <c r="M964">
        <v>3.70108199119568</v>
      </c>
      <c r="N964">
        <v>86.987442950299595</v>
      </c>
      <c r="O964">
        <v>107.425102233887</v>
      </c>
      <c r="P964">
        <v>0.43999999761581399</v>
      </c>
      <c r="Q964">
        <v>0.89526038935804397</v>
      </c>
      <c r="R964">
        <v>20.958904251078799</v>
      </c>
      <c r="S964">
        <v>65.382660061354002</v>
      </c>
      <c r="T964">
        <v>0</v>
      </c>
      <c r="U964">
        <v>0</v>
      </c>
      <c r="V964">
        <v>0</v>
      </c>
      <c r="W964">
        <v>0</v>
      </c>
    </row>
    <row r="965" spans="1:23" x14ac:dyDescent="0.55000000000000004">
      <c r="A965" t="s">
        <v>1938</v>
      </c>
      <c r="B965" t="s">
        <v>1939</v>
      </c>
      <c r="C965" t="s">
        <v>184</v>
      </c>
      <c r="D965">
        <v>2.9</v>
      </c>
      <c r="E965">
        <f>139460128/(1000)</f>
        <v>139460.128</v>
      </c>
      <c r="F965">
        <f>332399008/(1000)</f>
        <v>332399.00799999997</v>
      </c>
      <c r="G965">
        <f>0/(1000)</f>
        <v>0</v>
      </c>
      <c r="H965">
        <f>154232128/(1000)</f>
        <v>154232.128</v>
      </c>
      <c r="I965">
        <f>0/(1000)</f>
        <v>0</v>
      </c>
      <c r="J965">
        <f t="shared" si="17"/>
        <v>1</v>
      </c>
      <c r="K965">
        <f>15946001/(1000)</f>
        <v>15946.001</v>
      </c>
      <c r="L965">
        <v>0</v>
      </c>
      <c r="M965">
        <v>-7.6762099266052202</v>
      </c>
      <c r="N965">
        <v>34.775638900351296</v>
      </c>
      <c r="O965">
        <v>20.120731353759801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</row>
    <row r="966" spans="1:23" x14ac:dyDescent="0.55000000000000004">
      <c r="A966" t="s">
        <v>1940</v>
      </c>
      <c r="B966" t="s">
        <v>1941</v>
      </c>
      <c r="C966" t="s">
        <v>81</v>
      </c>
      <c r="D966">
        <v>10.14</v>
      </c>
      <c r="E966">
        <f>426567488/(1000)</f>
        <v>426567.48800000001</v>
      </c>
      <c r="F966">
        <f>331900000/(1000)</f>
        <v>331900</v>
      </c>
      <c r="G966">
        <f>157400000/(1000)</f>
        <v>157400</v>
      </c>
      <c r="H966">
        <f>1170567488/(1000)</f>
        <v>1170567.4879999999</v>
      </c>
      <c r="I966">
        <f>163100000/(1000)</f>
        <v>163100</v>
      </c>
      <c r="J966">
        <f t="shared" si="17"/>
        <v>7.1769925689760877E-3</v>
      </c>
      <c r="K966">
        <f>26200001/(1000)</f>
        <v>26200.001</v>
      </c>
      <c r="L966">
        <v>0</v>
      </c>
      <c r="M966">
        <v>0</v>
      </c>
      <c r="N966">
        <v>99.156127427168101</v>
      </c>
      <c r="O966">
        <v>0</v>
      </c>
      <c r="P966">
        <v>0.63999998569488503</v>
      </c>
      <c r="Q966">
        <v>0</v>
      </c>
      <c r="R966">
        <v>18.777778768505701</v>
      </c>
      <c r="S966">
        <v>0</v>
      </c>
      <c r="T966">
        <v>0</v>
      </c>
      <c r="U966">
        <v>0</v>
      </c>
      <c r="V966">
        <v>0</v>
      </c>
      <c r="W966">
        <v>0</v>
      </c>
    </row>
    <row r="967" spans="1:23" x14ac:dyDescent="0.55000000000000004">
      <c r="A967" t="s">
        <v>1942</v>
      </c>
      <c r="B967" t="s">
        <v>1943</v>
      </c>
      <c r="C967" t="s">
        <v>184</v>
      </c>
      <c r="D967">
        <v>6.05</v>
      </c>
      <c r="E967">
        <f>146976880/(1000)</f>
        <v>146976.88</v>
      </c>
      <c r="F967">
        <f>331865984/(1000)</f>
        <v>331865.984</v>
      </c>
      <c r="G967">
        <f t="shared" ref="G967:I968" si="18">0/(1000)</f>
        <v>0</v>
      </c>
      <c r="H967">
        <f t="shared" si="18"/>
        <v>0</v>
      </c>
      <c r="I967">
        <f t="shared" si="18"/>
        <v>0</v>
      </c>
      <c r="J967">
        <f t="shared" si="17"/>
        <v>1</v>
      </c>
      <c r="K967">
        <f>-45891999/(1000)</f>
        <v>-45891.999000000003</v>
      </c>
      <c r="L967">
        <v>14.8190317153931</v>
      </c>
      <c r="M967">
        <v>13.025128364563001</v>
      </c>
      <c r="N967">
        <v>96.831280176212502</v>
      </c>
      <c r="O967">
        <v>1184.23193359375</v>
      </c>
      <c r="P967">
        <v>0.56000000238418601</v>
      </c>
      <c r="Q967">
        <v>0.79991221485194297</v>
      </c>
      <c r="R967">
        <v>2.8271029117649</v>
      </c>
      <c r="S967">
        <v>91.891045505054393</v>
      </c>
      <c r="T967">
        <v>0</v>
      </c>
      <c r="U967">
        <v>0</v>
      </c>
      <c r="V967">
        <v>0</v>
      </c>
      <c r="W967">
        <v>0</v>
      </c>
    </row>
    <row r="968" spans="1:23" x14ac:dyDescent="0.55000000000000004">
      <c r="A968" t="s">
        <v>1944</v>
      </c>
      <c r="B968" t="s">
        <v>1945</v>
      </c>
      <c r="C968" t="s">
        <v>184</v>
      </c>
      <c r="D968">
        <v>28.69</v>
      </c>
      <c r="E968">
        <f>1009397376/(1000)</f>
        <v>1009397.376</v>
      </c>
      <c r="F968">
        <f>331755008/(1000)</f>
        <v>331755.00799999997</v>
      </c>
      <c r="G968">
        <f t="shared" si="18"/>
        <v>0</v>
      </c>
      <c r="H968">
        <f t="shared" si="18"/>
        <v>0</v>
      </c>
      <c r="I968">
        <f t="shared" si="18"/>
        <v>0</v>
      </c>
      <c r="J968">
        <f t="shared" si="17"/>
        <v>1</v>
      </c>
      <c r="K968">
        <f>-31628999/(1000)</f>
        <v>-31628.999</v>
      </c>
      <c r="L968">
        <v>0</v>
      </c>
      <c r="M968">
        <v>6.6667971611022896</v>
      </c>
      <c r="N968">
        <v>97.210009721363605</v>
      </c>
      <c r="O968">
        <v>191.87797546386699</v>
      </c>
      <c r="P968">
        <v>0</v>
      </c>
      <c r="Q968">
        <v>1.7184786498050699</v>
      </c>
      <c r="R968">
        <v>18.629870217080502</v>
      </c>
      <c r="S968">
        <v>873.48809530796098</v>
      </c>
      <c r="T968">
        <v>0</v>
      </c>
      <c r="U968">
        <v>0</v>
      </c>
      <c r="V968">
        <v>0</v>
      </c>
      <c r="W968">
        <v>0</v>
      </c>
    </row>
    <row r="969" spans="1:23" x14ac:dyDescent="0.55000000000000004">
      <c r="A969" t="s">
        <v>1946</v>
      </c>
      <c r="B969" t="s">
        <v>1947</v>
      </c>
      <c r="C969" t="s">
        <v>2</v>
      </c>
      <c r="D969">
        <v>6.89</v>
      </c>
      <c r="E969">
        <f>75954672/(1000)</f>
        <v>75954.672000000006</v>
      </c>
      <c r="F969">
        <f>331694016/(1000)</f>
        <v>331694.016</v>
      </c>
      <c r="G969">
        <f>38519000/(1000)</f>
        <v>38519</v>
      </c>
      <c r="H969">
        <f>116699672/(1000)</f>
        <v>116699.67200000001</v>
      </c>
      <c r="I969">
        <f>46400000/(1000)</f>
        <v>46400</v>
      </c>
      <c r="J969">
        <f t="shared" si="17"/>
        <v>2.5150791379310346E-3</v>
      </c>
      <c r="K969">
        <f>4709001.5/(1000)</f>
        <v>4709.0015000000003</v>
      </c>
      <c r="L969">
        <v>12.575920104980501</v>
      </c>
      <c r="M969">
        <v>19.790847778320298</v>
      </c>
      <c r="N969">
        <v>89.604404714190593</v>
      </c>
      <c r="O969">
        <v>38.332630157470703</v>
      </c>
      <c r="P969">
        <v>0.28000000119209301</v>
      </c>
      <c r="Q969">
        <v>0.51037036048041495</v>
      </c>
      <c r="R969">
        <v>3.8926553337469501</v>
      </c>
      <c r="S969">
        <v>84.694111188462202</v>
      </c>
      <c r="T969">
        <v>0</v>
      </c>
      <c r="U969">
        <v>0</v>
      </c>
      <c r="V969">
        <v>0</v>
      </c>
      <c r="W969">
        <v>0</v>
      </c>
    </row>
    <row r="970" spans="1:23" x14ac:dyDescent="0.55000000000000004">
      <c r="A970" t="s">
        <v>1948</v>
      </c>
      <c r="B970" t="s">
        <v>1949</v>
      </c>
      <c r="C970" t="s">
        <v>20</v>
      </c>
      <c r="D970">
        <v>2.97</v>
      </c>
      <c r="E970">
        <f>63262488/(1000)</f>
        <v>63262.487999999998</v>
      </c>
      <c r="F970">
        <f>331172992/(1000)</f>
        <v>331172.99200000003</v>
      </c>
      <c r="G970">
        <f>15229000/(1000)</f>
        <v>15229</v>
      </c>
      <c r="H970">
        <f>173458488/(1000)</f>
        <v>173458.48800000001</v>
      </c>
      <c r="I970">
        <f>21706000/(1000)</f>
        <v>21706</v>
      </c>
      <c r="J970">
        <f t="shared" si="17"/>
        <v>7.9912691421726717E-3</v>
      </c>
      <c r="K970">
        <f>23055001/(1000)</f>
        <v>23055.001</v>
      </c>
      <c r="L970">
        <v>0</v>
      </c>
      <c r="M970">
        <v>4.5069231986999503</v>
      </c>
      <c r="N970">
        <v>99.188277915114597</v>
      </c>
      <c r="O970">
        <v>32.664352416992202</v>
      </c>
      <c r="P970">
        <v>0</v>
      </c>
      <c r="Q970">
        <v>0</v>
      </c>
      <c r="R970">
        <v>8.4857146022879402</v>
      </c>
      <c r="S970">
        <v>3.0551831325435601</v>
      </c>
      <c r="T970">
        <v>0</v>
      </c>
      <c r="U970">
        <v>0</v>
      </c>
      <c r="V970">
        <v>0</v>
      </c>
      <c r="W970">
        <v>0</v>
      </c>
    </row>
    <row r="971" spans="1:23" x14ac:dyDescent="0.55000000000000004">
      <c r="A971" t="s">
        <v>1950</v>
      </c>
      <c r="B971" t="s">
        <v>1951</v>
      </c>
      <c r="C971" t="s">
        <v>184</v>
      </c>
      <c r="D971">
        <v>27.32</v>
      </c>
      <c r="E971">
        <f>763902720/(1000)</f>
        <v>763902.72</v>
      </c>
      <c r="F971">
        <f>331012992/(1000)</f>
        <v>331012.99200000003</v>
      </c>
      <c r="G971">
        <f>141811008/(1000)</f>
        <v>141811.008</v>
      </c>
      <c r="H971">
        <f>763956720/(1000)</f>
        <v>763956.72</v>
      </c>
      <c r="I971">
        <f>142772992/(1000)</f>
        <v>142772.992</v>
      </c>
      <c r="J971">
        <f t="shared" si="17"/>
        <v>5.350848989702478E-3</v>
      </c>
      <c r="K971">
        <f>175263009/(1000)</f>
        <v>175263.00899999999</v>
      </c>
      <c r="L971">
        <v>21.246242523193398</v>
      </c>
      <c r="M971">
        <v>16.700546264648398</v>
      </c>
      <c r="N971">
        <v>68.036864858954104</v>
      </c>
      <c r="O971">
        <v>31.506095886230501</v>
      </c>
      <c r="P971">
        <v>0.119999997317791</v>
      </c>
      <c r="Q971">
        <v>0</v>
      </c>
      <c r="R971">
        <v>12.706976743154501</v>
      </c>
      <c r="S971">
        <v>51.792771946759203</v>
      </c>
      <c r="T971">
        <v>0</v>
      </c>
      <c r="U971">
        <v>0</v>
      </c>
      <c r="V971">
        <v>0</v>
      </c>
      <c r="W971">
        <v>0</v>
      </c>
    </row>
    <row r="972" spans="1:23" x14ac:dyDescent="0.55000000000000004">
      <c r="A972" t="s">
        <v>1952</v>
      </c>
      <c r="B972" t="s">
        <v>1953</v>
      </c>
      <c r="C972" t="s">
        <v>2</v>
      </c>
      <c r="D972">
        <v>20.28</v>
      </c>
      <c r="E972">
        <f>442032992/(1000)</f>
        <v>442032.99200000003</v>
      </c>
      <c r="F972">
        <f>330600000/(1000)</f>
        <v>330600</v>
      </c>
      <c r="G972">
        <f>62850000/(1000)</f>
        <v>62850</v>
      </c>
      <c r="H972">
        <f>483960992/(1000)</f>
        <v>483960.99200000003</v>
      </c>
      <c r="I972">
        <f>73315000/(1000)</f>
        <v>73315</v>
      </c>
      <c r="J972">
        <f t="shared" si="17"/>
        <v>6.6011183523153518E-3</v>
      </c>
      <c r="K972">
        <f>9319001/(1000)</f>
        <v>9319.0010000000002</v>
      </c>
      <c r="L972">
        <v>0</v>
      </c>
      <c r="M972">
        <v>20.502906799316399</v>
      </c>
      <c r="N972">
        <v>97.768911205924098</v>
      </c>
      <c r="O972">
        <v>25.791612625122099</v>
      </c>
      <c r="P972">
        <v>0</v>
      </c>
      <c r="Q972">
        <v>2028.00011399389</v>
      </c>
      <c r="R972">
        <v>9.3233153572912499</v>
      </c>
      <c r="S972">
        <v>0</v>
      </c>
      <c r="T972">
        <v>0</v>
      </c>
      <c r="U972">
        <v>0</v>
      </c>
      <c r="V972">
        <v>0</v>
      </c>
      <c r="W972">
        <v>0</v>
      </c>
    </row>
    <row r="973" spans="1:23" x14ac:dyDescent="0.55000000000000004">
      <c r="A973" t="s">
        <v>1954</v>
      </c>
      <c r="B973" t="s">
        <v>1955</v>
      </c>
      <c r="C973" t="s">
        <v>20</v>
      </c>
      <c r="D973">
        <v>25.65</v>
      </c>
      <c r="E973">
        <f>457236896/(1000)</f>
        <v>457236.89600000001</v>
      </c>
      <c r="F973">
        <f>329652000/(1000)</f>
        <v>329652</v>
      </c>
      <c r="G973">
        <f>26596000/(1000)</f>
        <v>26596</v>
      </c>
      <c r="H973">
        <f>412280896/(1000)</f>
        <v>412280.89600000001</v>
      </c>
      <c r="I973">
        <f>43529000/(1000)</f>
        <v>43529</v>
      </c>
      <c r="J973">
        <f t="shared" si="17"/>
        <v>9.4714074754761197E-3</v>
      </c>
      <c r="K973">
        <f>2219998.5/(1000)</f>
        <v>2219.9985000000001</v>
      </c>
      <c r="L973">
        <v>28.164577484130898</v>
      </c>
      <c r="M973">
        <v>15.242689132690399</v>
      </c>
      <c r="N973">
        <v>91.185346152850201</v>
      </c>
      <c r="O973">
        <v>0</v>
      </c>
      <c r="P973">
        <v>0</v>
      </c>
      <c r="Q973">
        <v>2.1801953990666898</v>
      </c>
      <c r="R973">
        <v>18.999999801317799</v>
      </c>
      <c r="S973">
        <v>243.005192129606</v>
      </c>
      <c r="T973">
        <v>0</v>
      </c>
      <c r="U973">
        <v>0</v>
      </c>
      <c r="V973">
        <v>0</v>
      </c>
      <c r="W973">
        <v>0</v>
      </c>
    </row>
    <row r="974" spans="1:23" x14ac:dyDescent="0.55000000000000004">
      <c r="A974" t="s">
        <v>1956</v>
      </c>
      <c r="B974" t="s">
        <v>1957</v>
      </c>
      <c r="C974" t="s">
        <v>5</v>
      </c>
      <c r="D974">
        <v>1.28</v>
      </c>
      <c r="E974">
        <f>79974912/(1000)</f>
        <v>79974.911999999997</v>
      </c>
      <c r="F974">
        <f>329380000/(1000)</f>
        <v>329380</v>
      </c>
      <c r="G974">
        <f>771000/(1000)</f>
        <v>771</v>
      </c>
      <c r="H974">
        <f>-20112088/(1000)</f>
        <v>-20112.088</v>
      </c>
      <c r="I974">
        <f>19139000/(1000)</f>
        <v>19139</v>
      </c>
      <c r="J974">
        <f t="shared" si="17"/>
        <v>-1.0508431997492032E-3</v>
      </c>
      <c r="K974">
        <f>26722001/(1000)</f>
        <v>26722.001</v>
      </c>
      <c r="L974">
        <v>0</v>
      </c>
      <c r="M974">
        <v>-2.4850759506225599</v>
      </c>
      <c r="N974">
        <v>92.324152728071098</v>
      </c>
      <c r="O974">
        <v>2.5322999805212E-2</v>
      </c>
      <c r="P974">
        <v>0</v>
      </c>
      <c r="Q974">
        <v>0.46460977067854897</v>
      </c>
      <c r="R974">
        <v>0</v>
      </c>
      <c r="S974">
        <v>985.02157657212501</v>
      </c>
      <c r="T974">
        <v>0</v>
      </c>
      <c r="U974">
        <v>0</v>
      </c>
      <c r="V974">
        <v>0</v>
      </c>
      <c r="W974">
        <v>0</v>
      </c>
    </row>
    <row r="975" spans="1:23" x14ac:dyDescent="0.55000000000000004">
      <c r="A975" t="s">
        <v>1958</v>
      </c>
      <c r="B975" t="s">
        <v>1959</v>
      </c>
      <c r="C975" t="s">
        <v>81</v>
      </c>
      <c r="D975">
        <v>11.88</v>
      </c>
      <c r="E975">
        <f>350565728/(1000)</f>
        <v>350565.728</v>
      </c>
      <c r="F975">
        <f>329248000/(1000)</f>
        <v>329248</v>
      </c>
      <c r="G975">
        <f>66637000/(1000)</f>
        <v>66637</v>
      </c>
      <c r="H975">
        <f>1227384736/(1000)</f>
        <v>1227384.736</v>
      </c>
      <c r="I975">
        <f>145747008/(1000)</f>
        <v>145747.008</v>
      </c>
      <c r="J975">
        <f t="shared" si="17"/>
        <v>8.4213374452256334E-3</v>
      </c>
      <c r="K975">
        <f>48574001/(1000)</f>
        <v>48574.000999999997</v>
      </c>
      <c r="L975">
        <v>0</v>
      </c>
      <c r="M975">
        <v>8.4513397216796893</v>
      </c>
      <c r="N975">
        <v>78.288246067102094</v>
      </c>
      <c r="O975">
        <v>558.99377441406295</v>
      </c>
      <c r="P975">
        <v>1.5495200157165501</v>
      </c>
      <c r="Q975">
        <v>0</v>
      </c>
      <c r="R975">
        <v>17.217391529696201</v>
      </c>
      <c r="S975">
        <v>0</v>
      </c>
      <c r="T975">
        <v>0</v>
      </c>
      <c r="U975">
        <v>0</v>
      </c>
      <c r="V975">
        <v>0</v>
      </c>
      <c r="W975">
        <v>0</v>
      </c>
    </row>
    <row r="976" spans="1:23" x14ac:dyDescent="0.55000000000000004">
      <c r="A976" t="s">
        <v>1960</v>
      </c>
      <c r="B976" t="s">
        <v>1961</v>
      </c>
      <c r="C976" t="s">
        <v>5</v>
      </c>
      <c r="D976">
        <v>23.86</v>
      </c>
      <c r="E976">
        <f>274075040/(1000)</f>
        <v>274075.03999999998</v>
      </c>
      <c r="F976">
        <f>329107008/(1000)</f>
        <v>329107.00799999997</v>
      </c>
      <c r="G976">
        <f>23266000/(1000)</f>
        <v>23266</v>
      </c>
      <c r="H976">
        <f>464356032/(1000)</f>
        <v>464356.03200000001</v>
      </c>
      <c r="I976">
        <f>34259000/(1000)</f>
        <v>34259</v>
      </c>
      <c r="J976">
        <f t="shared" si="17"/>
        <v>1.3554278642108643E-2</v>
      </c>
      <c r="K976">
        <f>10429001/(1000)</f>
        <v>10429.001</v>
      </c>
      <c r="L976">
        <v>63.390571594238303</v>
      </c>
      <c r="M976">
        <v>8.3855066299438494</v>
      </c>
      <c r="N976">
        <v>89.955425581349203</v>
      </c>
      <c r="O976">
        <v>93.351135253906307</v>
      </c>
      <c r="P976">
        <v>0.92000001668930098</v>
      </c>
      <c r="Q976">
        <v>0</v>
      </c>
      <c r="R976">
        <v>11.6390246202944</v>
      </c>
      <c r="S976">
        <v>11.792856453392799</v>
      </c>
      <c r="T976">
        <v>0</v>
      </c>
      <c r="U976">
        <v>0</v>
      </c>
      <c r="V976">
        <v>0</v>
      </c>
      <c r="W976">
        <v>0</v>
      </c>
    </row>
    <row r="977" spans="1:23" x14ac:dyDescent="0.55000000000000004">
      <c r="A977" t="s">
        <v>1962</v>
      </c>
      <c r="B977" t="s">
        <v>1963</v>
      </c>
      <c r="C977" t="s">
        <v>2</v>
      </c>
      <c r="D977">
        <v>16.46</v>
      </c>
      <c r="E977">
        <f>252140864/(1000)</f>
        <v>252140.864</v>
      </c>
      <c r="F977">
        <f>328952000/(1000)</f>
        <v>328952</v>
      </c>
      <c r="G977">
        <f>-80016000/(1000)</f>
        <v>-80016</v>
      </c>
      <c r="H977">
        <f>341420872/(1000)</f>
        <v>341420.87199999997</v>
      </c>
      <c r="I977">
        <f>-57525000/(1000)</f>
        <v>-57525</v>
      </c>
      <c r="J977">
        <f t="shared" si="17"/>
        <v>-5.9351737853107333E-3</v>
      </c>
      <c r="K977">
        <f>-25197999/(1000)</f>
        <v>-25197.999</v>
      </c>
      <c r="L977">
        <v>78.450614929199205</v>
      </c>
      <c r="M977">
        <v>-57.630901336669901</v>
      </c>
      <c r="N977">
        <v>68.312615797770505</v>
      </c>
      <c r="O977">
        <v>141.372146606445</v>
      </c>
      <c r="P977">
        <v>0</v>
      </c>
      <c r="Q977">
        <v>2.5245397442675501</v>
      </c>
      <c r="R977">
        <v>164.600000655651</v>
      </c>
      <c r="S977">
        <v>96.884118142153994</v>
      </c>
      <c r="T977">
        <v>0</v>
      </c>
      <c r="U977">
        <v>0</v>
      </c>
      <c r="V977">
        <v>0</v>
      </c>
      <c r="W977">
        <v>0</v>
      </c>
    </row>
    <row r="978" spans="1:23" x14ac:dyDescent="0.55000000000000004">
      <c r="A978" t="s">
        <v>1964</v>
      </c>
      <c r="B978" t="s">
        <v>1965</v>
      </c>
      <c r="C978" t="s">
        <v>5</v>
      </c>
      <c r="D978">
        <v>9.0299999999999994</v>
      </c>
      <c r="E978">
        <f>688504064/(1000)</f>
        <v>688504.06400000001</v>
      </c>
      <c r="F978">
        <f>328631008/(1000)</f>
        <v>328631.00799999997</v>
      </c>
      <c r="G978">
        <f>-6994000/(1000)</f>
        <v>-6994</v>
      </c>
      <c r="H978">
        <f>607845064/(1000)</f>
        <v>607845.06400000001</v>
      </c>
      <c r="I978">
        <f>5566000/(1000)</f>
        <v>5566</v>
      </c>
      <c r="J978">
        <f t="shared" si="17"/>
        <v>0.10920680273086597</v>
      </c>
      <c r="K978">
        <f>31235001/(1000)</f>
        <v>31235.001</v>
      </c>
      <c r="L978">
        <v>0</v>
      </c>
      <c r="M978">
        <v>-0.68374997377395597</v>
      </c>
      <c r="N978">
        <v>86.726438164633805</v>
      </c>
      <c r="O978">
        <v>0</v>
      </c>
      <c r="P978">
        <v>0</v>
      </c>
      <c r="Q978">
        <v>0</v>
      </c>
      <c r="R978">
        <v>44.527723970784201</v>
      </c>
      <c r="S978">
        <v>31.916216395527801</v>
      </c>
      <c r="T978">
        <v>0</v>
      </c>
      <c r="U978">
        <v>0</v>
      </c>
      <c r="V978">
        <v>0</v>
      </c>
      <c r="W978">
        <v>0</v>
      </c>
    </row>
    <row r="979" spans="1:23" x14ac:dyDescent="0.55000000000000004">
      <c r="A979" t="s">
        <v>1966</v>
      </c>
      <c r="B979" t="s">
        <v>1967</v>
      </c>
      <c r="C979" t="s">
        <v>184</v>
      </c>
      <c r="D979">
        <v>10.09</v>
      </c>
      <c r="E979">
        <f>389007840/(1000)</f>
        <v>389007.84</v>
      </c>
      <c r="F979">
        <f>328360000/(1000)</f>
        <v>328360</v>
      </c>
      <c r="G979">
        <f>0/(1000)</f>
        <v>0</v>
      </c>
      <c r="H979">
        <f>0/(1000)</f>
        <v>0</v>
      </c>
      <c r="I979">
        <f>0/(1000)</f>
        <v>0</v>
      </c>
      <c r="J979">
        <f t="shared" si="17"/>
        <v>1</v>
      </c>
      <c r="K979">
        <f>18882001/(1000)</f>
        <v>18882.001</v>
      </c>
      <c r="L979">
        <v>0</v>
      </c>
      <c r="M979">
        <v>7.22450494766235</v>
      </c>
      <c r="N979">
        <v>61.1148597789158</v>
      </c>
      <c r="O979">
        <v>187.77958679199199</v>
      </c>
      <c r="P979">
        <v>0</v>
      </c>
      <c r="Q979">
        <v>0.92272517287581202</v>
      </c>
      <c r="R979">
        <v>17.3965520408541</v>
      </c>
      <c r="S979">
        <v>0</v>
      </c>
      <c r="T979">
        <v>0</v>
      </c>
      <c r="U979">
        <v>0</v>
      </c>
      <c r="V979">
        <v>0</v>
      </c>
      <c r="W979">
        <v>0</v>
      </c>
    </row>
    <row r="980" spans="1:23" x14ac:dyDescent="0.55000000000000004">
      <c r="A980" t="s">
        <v>1968</v>
      </c>
      <c r="B980" t="s">
        <v>1969</v>
      </c>
      <c r="C980" t="s">
        <v>81</v>
      </c>
      <c r="D980">
        <v>2.4900000000000002</v>
      </c>
      <c r="E980">
        <f>105792632/(1000)</f>
        <v>105792.632</v>
      </c>
      <c r="F980">
        <f>328327008/(1000)</f>
        <v>328327.00799999997</v>
      </c>
      <c r="G980">
        <f>73669000/(1000)</f>
        <v>73669</v>
      </c>
      <c r="H980">
        <f>769161656/(1000)</f>
        <v>769161.65599999996</v>
      </c>
      <c r="I980">
        <f>88236000/(1000)</f>
        <v>88236</v>
      </c>
      <c r="J980">
        <f t="shared" si="17"/>
        <v>8.7170956979010835E-3</v>
      </c>
      <c r="K980">
        <f>41268001/(1000)</f>
        <v>41268.000999999997</v>
      </c>
      <c r="L980">
        <v>0</v>
      </c>
      <c r="M980">
        <v>-98.098335266113295</v>
      </c>
      <c r="N980">
        <v>61.141897880848497</v>
      </c>
      <c r="O980">
        <v>617.29742431640602</v>
      </c>
      <c r="P980">
        <v>0</v>
      </c>
      <c r="Q980">
        <v>0.64341087420394705</v>
      </c>
      <c r="R980">
        <v>0</v>
      </c>
      <c r="S980">
        <v>29.980560973232102</v>
      </c>
      <c r="T980">
        <v>0</v>
      </c>
      <c r="U980">
        <v>0</v>
      </c>
      <c r="V980">
        <v>0</v>
      </c>
      <c r="W980">
        <v>0</v>
      </c>
    </row>
    <row r="981" spans="1:23" x14ac:dyDescent="0.55000000000000004">
      <c r="A981" t="s">
        <v>1970</v>
      </c>
      <c r="B981" t="s">
        <v>1971</v>
      </c>
      <c r="C981" t="s">
        <v>5</v>
      </c>
      <c r="D981">
        <v>7.21</v>
      </c>
      <c r="E981">
        <f>627011904/(1000)</f>
        <v>627011.90399999998</v>
      </c>
      <c r="F981">
        <f>328060000/(1000)</f>
        <v>328060</v>
      </c>
      <c r="G981">
        <f>-32670000/(1000)</f>
        <v>-32670</v>
      </c>
      <c r="H981">
        <f>540207904/(1000)</f>
        <v>540207.90399999998</v>
      </c>
      <c r="I981">
        <f>-9771000/(1000)</f>
        <v>-9771</v>
      </c>
      <c r="J981">
        <f t="shared" si="17"/>
        <v>-5.5286859482141022E-2</v>
      </c>
      <c r="K981">
        <f>13934001/(1000)</f>
        <v>13934.001</v>
      </c>
      <c r="L981">
        <v>0</v>
      </c>
      <c r="M981">
        <v>-11.065508842468301</v>
      </c>
      <c r="N981">
        <v>97.6513291524587</v>
      </c>
      <c r="O981">
        <v>0</v>
      </c>
      <c r="P981">
        <v>0</v>
      </c>
      <c r="Q981">
        <v>1.3772683580251801</v>
      </c>
      <c r="R981">
        <v>0</v>
      </c>
      <c r="S981">
        <v>38.598551741037099</v>
      </c>
      <c r="T981">
        <v>0</v>
      </c>
      <c r="U981">
        <v>0</v>
      </c>
      <c r="V981">
        <v>0</v>
      </c>
      <c r="W981">
        <v>0</v>
      </c>
    </row>
    <row r="982" spans="1:23" x14ac:dyDescent="0.55000000000000004">
      <c r="A982" t="s">
        <v>1972</v>
      </c>
      <c r="B982" t="s">
        <v>1973</v>
      </c>
      <c r="C982" t="s">
        <v>31</v>
      </c>
      <c r="D982">
        <v>1.7</v>
      </c>
      <c r="E982">
        <f>103498216/(1000)</f>
        <v>103498.216</v>
      </c>
      <c r="F982">
        <f>328049984/(1000)</f>
        <v>328049.984</v>
      </c>
      <c r="G982">
        <f>-24632000/(1000)</f>
        <v>-24632</v>
      </c>
      <c r="H982">
        <f>199829216/(1000)</f>
        <v>199829.21599999999</v>
      </c>
      <c r="I982">
        <f>-15555000/(1000)</f>
        <v>-15555</v>
      </c>
      <c r="J982">
        <f t="shared" si="17"/>
        <v>-1.2846622693667631E-2</v>
      </c>
      <c r="K982">
        <f>20212001/(1000)</f>
        <v>20212.001</v>
      </c>
      <c r="L982">
        <v>0</v>
      </c>
      <c r="M982">
        <v>4.1158289909362802</v>
      </c>
      <c r="N982">
        <v>98.070668918676802</v>
      </c>
      <c r="O982">
        <v>241.45529174804699</v>
      </c>
      <c r="P982">
        <v>0</v>
      </c>
      <c r="Q982">
        <v>0</v>
      </c>
      <c r="R982">
        <v>84.999925121733099</v>
      </c>
      <c r="S982">
        <v>-33.636242581419602</v>
      </c>
      <c r="T982">
        <v>0</v>
      </c>
      <c r="U982">
        <v>0</v>
      </c>
      <c r="V982">
        <v>0</v>
      </c>
      <c r="W982">
        <v>0</v>
      </c>
    </row>
    <row r="983" spans="1:23" x14ac:dyDescent="0.55000000000000004">
      <c r="A983" t="s">
        <v>1974</v>
      </c>
      <c r="B983" t="s">
        <v>1975</v>
      </c>
      <c r="C983" t="s">
        <v>81</v>
      </c>
      <c r="D983">
        <v>2.6</v>
      </c>
      <c r="E983">
        <f>142907184/(1000)</f>
        <v>142907.18400000001</v>
      </c>
      <c r="F983">
        <f>327889984/(1000)</f>
        <v>327889.984</v>
      </c>
      <c r="G983">
        <f>7714000/(1000)</f>
        <v>7714</v>
      </c>
      <c r="H983">
        <f>92458184/(1000)</f>
        <v>92458.183999999994</v>
      </c>
      <c r="I983">
        <f>15276000/(1000)</f>
        <v>15276</v>
      </c>
      <c r="J983">
        <f t="shared" si="17"/>
        <v>6.0525126996595962E-3</v>
      </c>
      <c r="K983">
        <f>6703001/(1000)</f>
        <v>6703.0010000000002</v>
      </c>
      <c r="L983">
        <v>0</v>
      </c>
      <c r="M983">
        <v>7.1828989982604998</v>
      </c>
      <c r="N983">
        <v>86.211810134820794</v>
      </c>
      <c r="O983">
        <v>0</v>
      </c>
      <c r="P983">
        <v>0</v>
      </c>
      <c r="Q983">
        <v>0</v>
      </c>
      <c r="R983">
        <v>4.6428569991198598</v>
      </c>
      <c r="S983">
        <v>11.1306790833512</v>
      </c>
      <c r="T983">
        <v>0</v>
      </c>
      <c r="U983">
        <v>0</v>
      </c>
      <c r="V983">
        <v>0</v>
      </c>
      <c r="W983">
        <v>0</v>
      </c>
    </row>
    <row r="984" spans="1:23" x14ac:dyDescent="0.55000000000000004">
      <c r="A984" t="s">
        <v>1976</v>
      </c>
      <c r="B984" t="s">
        <v>1977</v>
      </c>
      <c r="C984" t="s">
        <v>20</v>
      </c>
      <c r="D984">
        <v>13.25</v>
      </c>
      <c r="E984">
        <f>337329088/(1000)</f>
        <v>337329.08799999999</v>
      </c>
      <c r="F984">
        <f>327774016/(1000)</f>
        <v>327774.016</v>
      </c>
      <c r="G984">
        <f>25878000/(1000)</f>
        <v>25878</v>
      </c>
      <c r="H984">
        <f>341406087.75/(1000)</f>
        <v>341406.08775000001</v>
      </c>
      <c r="I984">
        <f>41619000/(1000)</f>
        <v>41619</v>
      </c>
      <c r="J984">
        <f t="shared" si="17"/>
        <v>8.2031304872774453E-3</v>
      </c>
      <c r="K984">
        <f>-9030999/(1000)</f>
        <v>-9030.9989999999998</v>
      </c>
      <c r="L984">
        <v>0</v>
      </c>
      <c r="M984">
        <v>5.3078761100768999</v>
      </c>
      <c r="N984">
        <v>24.851132647669299</v>
      </c>
      <c r="O984">
        <v>9.4653072357177699</v>
      </c>
      <c r="P984">
        <v>0</v>
      </c>
      <c r="Q984">
        <v>2.00909786528059</v>
      </c>
      <c r="R984">
        <v>19.485294126186901</v>
      </c>
      <c r="S984">
        <v>135.46813396638601</v>
      </c>
      <c r="T984">
        <v>0</v>
      </c>
      <c r="U984">
        <v>0</v>
      </c>
      <c r="V984">
        <v>0</v>
      </c>
      <c r="W984">
        <v>0</v>
      </c>
    </row>
    <row r="985" spans="1:23" x14ac:dyDescent="0.55000000000000004">
      <c r="A985" t="s">
        <v>1978</v>
      </c>
      <c r="B985" t="s">
        <v>1979</v>
      </c>
      <c r="C985" t="s">
        <v>20</v>
      </c>
      <c r="D985">
        <v>13.2</v>
      </c>
      <c r="E985">
        <f>232953616/(1000)</f>
        <v>232953.61600000001</v>
      </c>
      <c r="F985">
        <f>327724992/(1000)</f>
        <v>327724.99200000003</v>
      </c>
      <c r="G985">
        <f>34386000/(1000)</f>
        <v>34386</v>
      </c>
      <c r="H985">
        <f>246816616/(1000)</f>
        <v>246816.61600000001</v>
      </c>
      <c r="I985">
        <f>42130000/(1000)</f>
        <v>42130</v>
      </c>
      <c r="J985">
        <f t="shared" si="17"/>
        <v>5.8584527889864709E-3</v>
      </c>
      <c r="K985">
        <f>17702001/(1000)</f>
        <v>17702.001</v>
      </c>
      <c r="L985">
        <v>11.9981031417847</v>
      </c>
      <c r="M985">
        <v>11.713726997375501</v>
      </c>
      <c r="N985">
        <v>55.649363105753103</v>
      </c>
      <c r="O985">
        <v>10.120903968811</v>
      </c>
      <c r="P985">
        <v>0</v>
      </c>
      <c r="Q985">
        <v>0</v>
      </c>
      <c r="R985">
        <v>14.193548300263799</v>
      </c>
      <c r="S985">
        <v>52.059627698075403</v>
      </c>
      <c r="T985">
        <v>0</v>
      </c>
      <c r="U985">
        <v>0</v>
      </c>
      <c r="V985">
        <v>0</v>
      </c>
      <c r="W985">
        <v>0</v>
      </c>
    </row>
    <row r="986" spans="1:23" x14ac:dyDescent="0.55000000000000004">
      <c r="A986" t="s">
        <v>1980</v>
      </c>
      <c r="B986" t="s">
        <v>1981</v>
      </c>
      <c r="C986" t="s">
        <v>401</v>
      </c>
      <c r="D986">
        <v>1.28</v>
      </c>
      <c r="E986">
        <f>66099840/(1000)</f>
        <v>66099.839999999997</v>
      </c>
      <c r="F986">
        <f>327284992/(1000)</f>
        <v>327284.99200000003</v>
      </c>
      <c r="G986">
        <f>67190000/(1000)</f>
        <v>67190</v>
      </c>
      <c r="H986">
        <f>6435576960/(1000)</f>
        <v>6435576.96</v>
      </c>
      <c r="I986">
        <f>94523000/(1000)</f>
        <v>94523</v>
      </c>
      <c r="J986">
        <f t="shared" si="17"/>
        <v>6.8084772595029777E-2</v>
      </c>
      <c r="K986">
        <f>-16717999/(1000)</f>
        <v>-16717.999</v>
      </c>
      <c r="L986">
        <v>0</v>
      </c>
      <c r="M986">
        <v>28.233730316162099</v>
      </c>
      <c r="N986">
        <v>81.860169294391994</v>
      </c>
      <c r="O986">
        <v>432.59176635742199</v>
      </c>
      <c r="P986">
        <v>0</v>
      </c>
      <c r="Q986">
        <v>6.6375578298745005E-2</v>
      </c>
      <c r="R986">
        <v>0.870748254083199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55000000000000004">
      <c r="A987" t="s">
        <v>1982</v>
      </c>
      <c r="B987" t="s">
        <v>1983</v>
      </c>
      <c r="C987" t="s">
        <v>38</v>
      </c>
      <c r="D987">
        <v>10.55</v>
      </c>
      <c r="E987">
        <f>526829024/(1000)</f>
        <v>526829.02399999998</v>
      </c>
      <c r="F987">
        <f>326603008/(1000)</f>
        <v>326603.00799999997</v>
      </c>
      <c r="G987">
        <f>91414000/(1000)</f>
        <v>91414</v>
      </c>
      <c r="H987">
        <f>899424032/(1000)</f>
        <v>899424.03200000001</v>
      </c>
      <c r="I987">
        <f>102428000/(1000)</f>
        <v>102428</v>
      </c>
      <c r="J987">
        <f t="shared" si="17"/>
        <v>8.7810367477642835E-3</v>
      </c>
      <c r="K987">
        <f>44501001/(1000)</f>
        <v>44501.000999999997</v>
      </c>
      <c r="L987">
        <v>0</v>
      </c>
      <c r="M987">
        <v>7.3385419845581099</v>
      </c>
      <c r="N987">
        <v>96.154906411720006</v>
      </c>
      <c r="O987">
        <v>85.837646484375</v>
      </c>
      <c r="P987">
        <v>0</v>
      </c>
      <c r="Q987">
        <v>1.0183398204975</v>
      </c>
      <c r="R987">
        <v>14.8591553354353</v>
      </c>
      <c r="S987">
        <v>0</v>
      </c>
      <c r="T987">
        <v>0</v>
      </c>
      <c r="U987">
        <v>0</v>
      </c>
      <c r="V987">
        <v>0</v>
      </c>
      <c r="W987">
        <v>0</v>
      </c>
    </row>
    <row r="988" spans="1:23" x14ac:dyDescent="0.55000000000000004">
      <c r="A988" t="s">
        <v>1984</v>
      </c>
      <c r="B988" t="s">
        <v>1985</v>
      </c>
      <c r="C988" t="s">
        <v>5</v>
      </c>
      <c r="D988">
        <v>2.23</v>
      </c>
      <c r="E988">
        <f>171484336/(1000)</f>
        <v>171484.33600000001</v>
      </c>
      <c r="F988">
        <f>326436000/(1000)</f>
        <v>326436</v>
      </c>
      <c r="G988">
        <f>298915008/(1000)</f>
        <v>298915.00799999997</v>
      </c>
      <c r="H988">
        <f>3264078256/(1000)</f>
        <v>3264078.2560000001</v>
      </c>
      <c r="I988">
        <f>298915008/(1000)</f>
        <v>298915.00799999997</v>
      </c>
      <c r="J988">
        <f t="shared" si="17"/>
        <v>1.0919753671250927E-2</v>
      </c>
      <c r="K988">
        <f>218368001/(1000)</f>
        <v>218368.00099999999</v>
      </c>
      <c r="L988">
        <v>13.643343925476101</v>
      </c>
      <c r="M988">
        <v>15.9606275558472</v>
      </c>
      <c r="N988">
        <v>99.374237715392397</v>
      </c>
      <c r="O988">
        <v>950.487060546875</v>
      </c>
      <c r="P988">
        <v>1.2400000095367401</v>
      </c>
      <c r="Q988">
        <v>0.23061013458938301</v>
      </c>
      <c r="R988">
        <v>1.3937499781721301</v>
      </c>
      <c r="S988">
        <v>100.951696835153</v>
      </c>
      <c r="T988">
        <v>0</v>
      </c>
      <c r="U988">
        <v>0</v>
      </c>
      <c r="V988">
        <v>0</v>
      </c>
      <c r="W988">
        <v>0</v>
      </c>
    </row>
    <row r="989" spans="1:23" x14ac:dyDescent="0.55000000000000004">
      <c r="A989" t="s">
        <v>1986</v>
      </c>
      <c r="B989" t="s">
        <v>1987</v>
      </c>
      <c r="C989" t="s">
        <v>5</v>
      </c>
      <c r="D989">
        <v>9.39</v>
      </c>
      <c r="E989">
        <f>234939680/(1000)</f>
        <v>234939.68</v>
      </c>
      <c r="F989">
        <f>325564000/(1000)</f>
        <v>325564</v>
      </c>
      <c r="G989">
        <f>10322000/(1000)</f>
        <v>10322</v>
      </c>
      <c r="H989">
        <f>392423680/(1000)</f>
        <v>392423.67999999999</v>
      </c>
      <c r="I989">
        <f>59092000/(1000)</f>
        <v>59092</v>
      </c>
      <c r="J989">
        <f t="shared" si="17"/>
        <v>6.6408935219657485E-3</v>
      </c>
      <c r="K989">
        <f>22436001/(1000)</f>
        <v>22436.001</v>
      </c>
      <c r="L989">
        <v>0</v>
      </c>
      <c r="M989">
        <v>-2.07338190078735</v>
      </c>
      <c r="N989">
        <v>91.161538817015796</v>
      </c>
      <c r="O989">
        <v>222.71112060546901</v>
      </c>
      <c r="P989">
        <v>0</v>
      </c>
      <c r="Q989">
        <v>0</v>
      </c>
      <c r="R989">
        <v>55.235296766599198</v>
      </c>
      <c r="S989">
        <v>61.026807795034102</v>
      </c>
      <c r="T989">
        <v>0</v>
      </c>
      <c r="U989">
        <v>0</v>
      </c>
      <c r="V989">
        <v>0</v>
      </c>
      <c r="W989">
        <v>0</v>
      </c>
    </row>
    <row r="990" spans="1:23" x14ac:dyDescent="0.55000000000000004">
      <c r="A990" t="s">
        <v>1988</v>
      </c>
      <c r="B990" t="s">
        <v>1989</v>
      </c>
      <c r="C990" t="s">
        <v>31</v>
      </c>
      <c r="D990">
        <v>5.53</v>
      </c>
      <c r="E990">
        <f>126432944/(1000)</f>
        <v>126432.944</v>
      </c>
      <c r="F990">
        <f>325232000/(1000)</f>
        <v>325232</v>
      </c>
      <c r="G990">
        <f>-26706000/(1000)</f>
        <v>-26706</v>
      </c>
      <c r="H990">
        <f>154379944/(1000)</f>
        <v>154379.94399999999</v>
      </c>
      <c r="I990">
        <f>539000/(1000)</f>
        <v>539</v>
      </c>
      <c r="J990">
        <f t="shared" si="17"/>
        <v>0.28641919109461961</v>
      </c>
      <c r="K990">
        <f>14314001/(1000)</f>
        <v>14314.001</v>
      </c>
      <c r="L990">
        <v>0</v>
      </c>
      <c r="M990">
        <v>-7.9164509773254403</v>
      </c>
      <c r="N990">
        <v>98.402666081803503</v>
      </c>
      <c r="O990">
        <v>44.344837188720703</v>
      </c>
      <c r="P990">
        <v>0</v>
      </c>
      <c r="Q990">
        <v>0.62134836481280198</v>
      </c>
      <c r="R990">
        <v>552.99951832040199</v>
      </c>
      <c r="S990">
        <v>62.545286298648598</v>
      </c>
      <c r="T990">
        <v>0</v>
      </c>
      <c r="U990">
        <v>0</v>
      </c>
      <c r="V990">
        <v>0</v>
      </c>
      <c r="W990">
        <v>0</v>
      </c>
    </row>
    <row r="991" spans="1:23" x14ac:dyDescent="0.55000000000000004">
      <c r="A991" t="s">
        <v>1990</v>
      </c>
      <c r="B991" t="s">
        <v>1991</v>
      </c>
      <c r="C991" t="s">
        <v>8</v>
      </c>
      <c r="D991">
        <v>17.809999999999999</v>
      </c>
      <c r="E991">
        <f>138823616/(1000)</f>
        <v>138823.61600000001</v>
      </c>
      <c r="F991">
        <f>324926016/(1000)</f>
        <v>324926.016</v>
      </c>
      <c r="G991">
        <f>56427000/(1000)</f>
        <v>56427</v>
      </c>
      <c r="H991">
        <f>130512616/(1000)</f>
        <v>130512.61599999999</v>
      </c>
      <c r="I991">
        <f>80680000/(1000)</f>
        <v>80680</v>
      </c>
      <c r="J991">
        <f t="shared" si="17"/>
        <v>1.6176576103123449E-3</v>
      </c>
      <c r="K991">
        <f>-2338999/(1000)</f>
        <v>-2338.9989999999998</v>
      </c>
      <c r="L991">
        <v>16.105047225952099</v>
      </c>
      <c r="M991">
        <v>20.892528533935501</v>
      </c>
      <c r="N991">
        <v>96.197414394649499</v>
      </c>
      <c r="O991">
        <v>0</v>
      </c>
      <c r="P991">
        <v>0</v>
      </c>
      <c r="Q991">
        <v>0.56006288972441698</v>
      </c>
      <c r="R991">
        <v>3.9315671323942798</v>
      </c>
      <c r="S991">
        <v>529.79922468599796</v>
      </c>
      <c r="T991">
        <v>0</v>
      </c>
      <c r="U991">
        <v>0</v>
      </c>
      <c r="V991">
        <v>0</v>
      </c>
      <c r="W991">
        <v>0</v>
      </c>
    </row>
    <row r="992" spans="1:23" x14ac:dyDescent="0.55000000000000004">
      <c r="A992" t="s">
        <v>1992</v>
      </c>
      <c r="B992" t="s">
        <v>1993</v>
      </c>
      <c r="C992" t="s">
        <v>5</v>
      </c>
      <c r="D992">
        <v>6.08</v>
      </c>
      <c r="E992">
        <f>445187936/(1000)</f>
        <v>445187.93599999999</v>
      </c>
      <c r="F992">
        <f>324468992/(1000)</f>
        <v>324468.99200000003</v>
      </c>
      <c r="G992">
        <f t="shared" ref="G992:I993" si="19">0/(1000)</f>
        <v>0</v>
      </c>
      <c r="H992">
        <f t="shared" si="19"/>
        <v>0</v>
      </c>
      <c r="I992">
        <f t="shared" si="19"/>
        <v>0</v>
      </c>
      <c r="J992">
        <f t="shared" si="17"/>
        <v>1</v>
      </c>
      <c r="K992">
        <f>61386001/(1000)</f>
        <v>61386.000999999997</v>
      </c>
      <c r="L992">
        <v>20.4603481292725</v>
      </c>
      <c r="M992">
        <v>11.9076738357544</v>
      </c>
      <c r="N992">
        <v>91.684429122103396</v>
      </c>
      <c r="O992">
        <v>68.416206359863295</v>
      </c>
      <c r="P992">
        <v>0.21999999880790699</v>
      </c>
      <c r="Q992">
        <v>0.86180015189849102</v>
      </c>
      <c r="R992">
        <v>10.305084423853099</v>
      </c>
      <c r="S992">
        <v>55.6437669157051</v>
      </c>
      <c r="T992">
        <v>0</v>
      </c>
      <c r="U992">
        <v>0</v>
      </c>
      <c r="V992">
        <v>0</v>
      </c>
      <c r="W992">
        <v>0</v>
      </c>
    </row>
    <row r="993" spans="1:23" x14ac:dyDescent="0.55000000000000004">
      <c r="A993" t="s">
        <v>1994</v>
      </c>
      <c r="B993" t="s">
        <v>1995</v>
      </c>
      <c r="C993" t="s">
        <v>184</v>
      </c>
      <c r="D993">
        <v>23.63</v>
      </c>
      <c r="E993">
        <f>569740608/(1000)</f>
        <v>569740.60800000001</v>
      </c>
      <c r="F993">
        <f>324206016/(1000)</f>
        <v>324206.016</v>
      </c>
      <c r="G993">
        <f t="shared" si="19"/>
        <v>0</v>
      </c>
      <c r="H993">
        <f t="shared" si="19"/>
        <v>0</v>
      </c>
      <c r="I993">
        <f t="shared" si="19"/>
        <v>0</v>
      </c>
      <c r="J993">
        <f t="shared" si="17"/>
        <v>1</v>
      </c>
      <c r="K993">
        <f>47160001/(1000)</f>
        <v>47160.000999999997</v>
      </c>
      <c r="L993">
        <v>18.5798244476318</v>
      </c>
      <c r="M993">
        <v>7.6404042243957502</v>
      </c>
      <c r="N993">
        <v>77.544593185885702</v>
      </c>
      <c r="O993">
        <v>109.76344299316401</v>
      </c>
      <c r="P993">
        <v>0.58181816339492798</v>
      </c>
      <c r="Q993">
        <v>0</v>
      </c>
      <c r="R993">
        <v>16.758864695532601</v>
      </c>
      <c r="S993">
        <v>18.922315310688901</v>
      </c>
      <c r="T993">
        <v>0</v>
      </c>
      <c r="U993">
        <v>0</v>
      </c>
      <c r="V993">
        <v>0</v>
      </c>
      <c r="W993">
        <v>0</v>
      </c>
    </row>
    <row r="994" spans="1:23" x14ac:dyDescent="0.55000000000000004">
      <c r="A994" t="s">
        <v>1996</v>
      </c>
      <c r="B994" t="s">
        <v>1997</v>
      </c>
      <c r="C994" t="s">
        <v>20</v>
      </c>
      <c r="D994">
        <v>4.66</v>
      </c>
      <c r="E994">
        <f>136993744/(1000)</f>
        <v>136993.74400000001</v>
      </c>
      <c r="F994">
        <f>322984992/(1000)</f>
        <v>322984.99200000003</v>
      </c>
      <c r="G994">
        <f>49927000/(1000)</f>
        <v>49927</v>
      </c>
      <c r="H994">
        <f>826410768/(1000)</f>
        <v>826410.76800000004</v>
      </c>
      <c r="I994">
        <f>71029000/(1000)</f>
        <v>71029</v>
      </c>
      <c r="J994">
        <f t="shared" si="17"/>
        <v>1.1634836024722296E-2</v>
      </c>
      <c r="K994">
        <f>-21947997/(1000)</f>
        <v>-21947.996999999999</v>
      </c>
      <c r="L994">
        <v>0</v>
      </c>
      <c r="M994">
        <v>-11.722761154174799</v>
      </c>
      <c r="N994">
        <v>66.760436844064699</v>
      </c>
      <c r="O994">
        <v>486.719970703125</v>
      </c>
      <c r="P994">
        <v>0</v>
      </c>
      <c r="Q994">
        <v>1.38690475979292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</row>
    <row r="995" spans="1:23" x14ac:dyDescent="0.55000000000000004">
      <c r="A995" t="s">
        <v>1998</v>
      </c>
      <c r="B995" t="s">
        <v>1999</v>
      </c>
      <c r="C995" t="s">
        <v>184</v>
      </c>
      <c r="D995">
        <v>2.06</v>
      </c>
      <c r="E995">
        <f>94565328/(1000)</f>
        <v>94565.327999999994</v>
      </c>
      <c r="F995">
        <f>321976000/(1000)</f>
        <v>321976</v>
      </c>
      <c r="G995">
        <f>0/(1000)</f>
        <v>0</v>
      </c>
      <c r="H995">
        <f>0/(1000)</f>
        <v>0</v>
      </c>
      <c r="I995">
        <f>0/(1000)</f>
        <v>0</v>
      </c>
      <c r="J995">
        <f t="shared" si="17"/>
        <v>1</v>
      </c>
      <c r="K995">
        <f>89968001/(1000)</f>
        <v>89968.001000000004</v>
      </c>
      <c r="L995">
        <v>15.4229736328125</v>
      </c>
      <c r="M995">
        <v>-14.0963497161865</v>
      </c>
      <c r="N995">
        <v>77.929880222050301</v>
      </c>
      <c r="O995">
        <v>153.29771423339801</v>
      </c>
      <c r="P995">
        <v>0</v>
      </c>
      <c r="Q995">
        <v>0.35149383126976702</v>
      </c>
      <c r="R995">
        <v>6.2424241733233599</v>
      </c>
      <c r="S995">
        <v>255.695978789218</v>
      </c>
      <c r="T995">
        <v>0</v>
      </c>
      <c r="U995">
        <v>0</v>
      </c>
      <c r="V995">
        <v>0</v>
      </c>
      <c r="W995">
        <v>0</v>
      </c>
    </row>
    <row r="996" spans="1:23" x14ac:dyDescent="0.55000000000000004">
      <c r="A996" t="s">
        <v>2000</v>
      </c>
      <c r="B996" t="s">
        <v>2001</v>
      </c>
      <c r="C996" t="s">
        <v>31</v>
      </c>
      <c r="D996">
        <v>4.2</v>
      </c>
      <c r="E996">
        <f>311065856/(1000)</f>
        <v>311065.85600000003</v>
      </c>
      <c r="F996">
        <f>320503008/(1000)</f>
        <v>320503.00799999997</v>
      </c>
      <c r="G996">
        <f>28155000/(1000)</f>
        <v>28155</v>
      </c>
      <c r="H996">
        <f>110526848/(1000)</f>
        <v>110526.848</v>
      </c>
      <c r="I996">
        <f>41168000/(1000)</f>
        <v>41168</v>
      </c>
      <c r="J996">
        <f t="shared" si="17"/>
        <v>2.6847757481539059E-3</v>
      </c>
      <c r="K996">
        <f>53755001/(1000)</f>
        <v>53755.000999999997</v>
      </c>
      <c r="L996">
        <v>0</v>
      </c>
      <c r="M996">
        <v>6.1385731697082502</v>
      </c>
      <c r="N996">
        <v>95.643184898469002</v>
      </c>
      <c r="O996">
        <v>0</v>
      </c>
      <c r="P996">
        <v>0</v>
      </c>
      <c r="Q996">
        <v>1.3249210435904399</v>
      </c>
      <c r="R996">
        <v>21.319796019176501</v>
      </c>
      <c r="S996">
        <v>293.06713106611602</v>
      </c>
      <c r="T996">
        <v>0</v>
      </c>
      <c r="U996">
        <v>0</v>
      </c>
      <c r="V996">
        <v>0</v>
      </c>
      <c r="W996">
        <v>0</v>
      </c>
    </row>
    <row r="997" spans="1:23" x14ac:dyDescent="0.55000000000000004">
      <c r="A997" t="s">
        <v>2002</v>
      </c>
      <c r="B997" t="s">
        <v>2003</v>
      </c>
      <c r="C997" t="s">
        <v>31</v>
      </c>
      <c r="D997">
        <v>0</v>
      </c>
      <c r="E997">
        <f>430336544/(1000)</f>
        <v>430336.54399999999</v>
      </c>
      <c r="F997">
        <f>320310016/(1000)</f>
        <v>320310.016</v>
      </c>
      <c r="G997">
        <f>-27097000/(1000)</f>
        <v>-27097</v>
      </c>
      <c r="H997">
        <f>115790560/(1000)</f>
        <v>115790.56</v>
      </c>
      <c r="I997">
        <f>-13410000/(1000)</f>
        <v>-13410</v>
      </c>
      <c r="J997">
        <f t="shared" si="17"/>
        <v>-8.6346428038777037E-3</v>
      </c>
      <c r="K997">
        <f>20579001/(1000)</f>
        <v>20579.001</v>
      </c>
      <c r="L997">
        <v>0</v>
      </c>
      <c r="M997">
        <v>-5.1045279502868697</v>
      </c>
      <c r="N997">
        <v>71.479475124128101</v>
      </c>
      <c r="O997">
        <v>0.636161029338837</v>
      </c>
      <c r="P997">
        <v>0</v>
      </c>
      <c r="Q997">
        <v>0.89265540109683295</v>
      </c>
      <c r="R997">
        <v>39.500000116415301</v>
      </c>
      <c r="S997">
        <v>241.05648178710999</v>
      </c>
      <c r="T997">
        <v>0</v>
      </c>
      <c r="U997">
        <v>0</v>
      </c>
      <c r="V997">
        <v>0</v>
      </c>
      <c r="W997">
        <v>0</v>
      </c>
    </row>
    <row r="998" spans="1:23" x14ac:dyDescent="0.55000000000000004">
      <c r="A998" t="s">
        <v>2004</v>
      </c>
      <c r="B998" t="s">
        <v>2005</v>
      </c>
      <c r="C998" t="s">
        <v>2</v>
      </c>
      <c r="D998">
        <v>25.1</v>
      </c>
      <c r="E998">
        <f>304819424/(1000)</f>
        <v>304819.424</v>
      </c>
      <c r="F998">
        <f>320193120/(1000)</f>
        <v>320193.12</v>
      </c>
      <c r="G998">
        <f>44280404/(1000)</f>
        <v>44280.404000000002</v>
      </c>
      <c r="H998">
        <f>392302472/(1000)</f>
        <v>392302.47200000001</v>
      </c>
      <c r="I998">
        <f>52479284/(1000)</f>
        <v>52479.284</v>
      </c>
      <c r="J998">
        <f t="shared" si="17"/>
        <v>7.4753777509616939E-3</v>
      </c>
      <c r="K998">
        <f>28999993/(1000)</f>
        <v>28999.992999999999</v>
      </c>
      <c r="L998">
        <v>18.724716186523398</v>
      </c>
      <c r="M998">
        <v>21.521232604980501</v>
      </c>
      <c r="N998">
        <v>94.095944518178996</v>
      </c>
      <c r="O998">
        <v>0</v>
      </c>
      <c r="P998">
        <v>0</v>
      </c>
      <c r="Q998">
        <v>1.48345155249949</v>
      </c>
      <c r="R998">
        <v>8.5382863278417194</v>
      </c>
      <c r="S998">
        <v>74.615869553362103</v>
      </c>
      <c r="T998">
        <v>0</v>
      </c>
      <c r="U998">
        <v>0</v>
      </c>
      <c r="V998">
        <v>0</v>
      </c>
      <c r="W998">
        <v>0</v>
      </c>
    </row>
    <row r="999" spans="1:23" x14ac:dyDescent="0.55000000000000004">
      <c r="A999" t="s">
        <v>2006</v>
      </c>
      <c r="B999" t="s">
        <v>2007</v>
      </c>
      <c r="C999" t="s">
        <v>184</v>
      </c>
      <c r="D999">
        <v>13.43</v>
      </c>
      <c r="E999">
        <f>1465237120/(1000)</f>
        <v>1465237.12</v>
      </c>
      <c r="F999">
        <f>320180000/(1000)</f>
        <v>320180</v>
      </c>
      <c r="G999">
        <f>0/(1000)</f>
        <v>0</v>
      </c>
      <c r="H999">
        <f>0/(1000)</f>
        <v>0</v>
      </c>
      <c r="I999">
        <f>0/(1000)</f>
        <v>0</v>
      </c>
      <c r="J999">
        <f t="shared" si="17"/>
        <v>1</v>
      </c>
      <c r="K999">
        <f>0/(1000)</f>
        <v>0</v>
      </c>
      <c r="L999">
        <v>0</v>
      </c>
      <c r="M999">
        <v>1.8998490571975699</v>
      </c>
      <c r="N999">
        <v>34.970825729530503</v>
      </c>
      <c r="O999">
        <v>188.71591186523401</v>
      </c>
      <c r="P999">
        <v>0</v>
      </c>
      <c r="Q999">
        <v>0</v>
      </c>
      <c r="R999">
        <v>67.150001150649004</v>
      </c>
      <c r="S999">
        <v>28.909395432730999</v>
      </c>
      <c r="T999">
        <v>0</v>
      </c>
      <c r="U999">
        <v>0</v>
      </c>
      <c r="V999">
        <v>0</v>
      </c>
      <c r="W999">
        <v>0</v>
      </c>
    </row>
    <row r="1000" spans="1:23" x14ac:dyDescent="0.55000000000000004">
      <c r="A1000" t="s">
        <v>2008</v>
      </c>
      <c r="B1000" t="s">
        <v>2009</v>
      </c>
      <c r="C1000" t="s">
        <v>20</v>
      </c>
      <c r="D1000">
        <v>24.49</v>
      </c>
      <c r="E1000">
        <f>354869888/(1000)</f>
        <v>354869.88799999998</v>
      </c>
      <c r="F1000">
        <f>319264000/(1000)</f>
        <v>319264</v>
      </c>
      <c r="G1000">
        <f>22412000/(1000)</f>
        <v>22412</v>
      </c>
      <c r="H1000">
        <f>329168888/(1000)</f>
        <v>329168.88799999998</v>
      </c>
      <c r="I1000">
        <f>24184000/(1000)</f>
        <v>24184</v>
      </c>
      <c r="J1000">
        <f t="shared" si="17"/>
        <v>1.3611019186238835E-2</v>
      </c>
      <c r="K1000">
        <f>36558001/(1000)</f>
        <v>36558.000999999997</v>
      </c>
      <c r="L1000">
        <v>0</v>
      </c>
      <c r="M1000">
        <v>31.5201301574707</v>
      </c>
      <c r="N1000">
        <v>94.194085076455707</v>
      </c>
      <c r="O1000">
        <v>1.4461929798126201</v>
      </c>
      <c r="P1000">
        <v>0</v>
      </c>
      <c r="Q1000">
        <v>13.406909344570501</v>
      </c>
      <c r="R1000">
        <v>25.510416602476599</v>
      </c>
      <c r="S1000">
        <v>342.68441486411501</v>
      </c>
      <c r="T1000">
        <v>0</v>
      </c>
      <c r="U1000">
        <v>0</v>
      </c>
      <c r="V1000">
        <v>0</v>
      </c>
      <c r="W1000">
        <v>0</v>
      </c>
    </row>
    <row r="1001" spans="1:23" x14ac:dyDescent="0.55000000000000004">
      <c r="A1001" t="s">
        <v>2010</v>
      </c>
      <c r="B1001" t="s">
        <v>2011</v>
      </c>
      <c r="C1001" t="s">
        <v>5</v>
      </c>
      <c r="D1001">
        <v>4.7699999999999996</v>
      </c>
      <c r="E1001">
        <f>127013176/(1000)</f>
        <v>127013.17600000001</v>
      </c>
      <c r="F1001">
        <f>319242016/(1000)</f>
        <v>319242.016</v>
      </c>
      <c r="G1001">
        <f>53175000/(1000)</f>
        <v>53175</v>
      </c>
      <c r="H1001">
        <f>153845176/(1000)</f>
        <v>153845.17600000001</v>
      </c>
      <c r="I1001">
        <f>74378000/(1000)</f>
        <v>74378</v>
      </c>
      <c r="J1001">
        <f t="shared" si="17"/>
        <v>2.068423135873511E-3</v>
      </c>
      <c r="K1001">
        <f>32514003/(1000)</f>
        <v>32514.003000000001</v>
      </c>
      <c r="L1001">
        <v>47.8137016296387</v>
      </c>
      <c r="M1001">
        <v>13.02552318573</v>
      </c>
      <c r="N1001">
        <v>98.906767333699705</v>
      </c>
      <c r="O1001">
        <v>17.6209907531738</v>
      </c>
      <c r="P1001">
        <v>0</v>
      </c>
      <c r="Q1001">
        <v>0</v>
      </c>
      <c r="R1001">
        <v>2.9812499991850898</v>
      </c>
      <c r="S1001">
        <v>259.55941297712502</v>
      </c>
      <c r="T1001">
        <v>0</v>
      </c>
      <c r="U1001">
        <v>0</v>
      </c>
      <c r="V1001">
        <v>0</v>
      </c>
      <c r="W1001">
        <v>0</v>
      </c>
    </row>
    <row r="1002" spans="1:23" x14ac:dyDescent="0.55000000000000004">
      <c r="A1002" t="s">
        <v>2012</v>
      </c>
      <c r="B1002" t="s">
        <v>2013</v>
      </c>
      <c r="C1002" t="s">
        <v>20</v>
      </c>
      <c r="D1002">
        <v>1.38</v>
      </c>
      <c r="E1002">
        <f>32183532/(1000)</f>
        <v>32183.531999999999</v>
      </c>
      <c r="F1002">
        <f>319171008/(1000)</f>
        <v>319171.00799999997</v>
      </c>
      <c r="G1002">
        <f>33152000/(1000)</f>
        <v>33152</v>
      </c>
      <c r="H1002">
        <f>197358540/(1000)</f>
        <v>197358.54</v>
      </c>
      <c r="I1002">
        <f>45162000/(1000)</f>
        <v>45162</v>
      </c>
      <c r="J1002">
        <f t="shared" si="17"/>
        <v>4.3700132855055132E-3</v>
      </c>
      <c r="K1002">
        <f>-6534999/(1000)</f>
        <v>-6534.9989999999998</v>
      </c>
      <c r="L1002">
        <v>0</v>
      </c>
      <c r="M1002">
        <v>23.2573947906494</v>
      </c>
      <c r="N1002">
        <v>75.8890985799611</v>
      </c>
      <c r="O1002">
        <v>109.859535217285</v>
      </c>
      <c r="P1002">
        <v>0</v>
      </c>
      <c r="Q1002">
        <v>0.33306944871544603</v>
      </c>
      <c r="R1002">
        <v>2.66924563397599</v>
      </c>
      <c r="S1002">
        <v>0</v>
      </c>
      <c r="T1002">
        <v>0</v>
      </c>
      <c r="U1002">
        <v>0</v>
      </c>
      <c r="V1002">
        <v>0</v>
      </c>
      <c r="W1002">
        <v>0</v>
      </c>
    </row>
    <row r="1003" spans="1:23" x14ac:dyDescent="0.55000000000000004">
      <c r="A1003" t="s">
        <v>2014</v>
      </c>
      <c r="B1003" t="s">
        <v>2015</v>
      </c>
      <c r="C1003" t="s">
        <v>38</v>
      </c>
      <c r="D1003">
        <v>26.46</v>
      </c>
      <c r="E1003">
        <f>606251520/(1000)</f>
        <v>606251.52000000002</v>
      </c>
      <c r="F1003">
        <f>318746016/(1000)</f>
        <v>318746.016</v>
      </c>
      <c r="G1003">
        <f>36113000/(1000)</f>
        <v>36113</v>
      </c>
      <c r="H1003">
        <f>938551520/(1000)</f>
        <v>938551.52</v>
      </c>
      <c r="I1003">
        <f>61955000/(1000)</f>
        <v>61955</v>
      </c>
      <c r="J1003">
        <f t="shared" si="17"/>
        <v>1.5148922927931564E-2</v>
      </c>
      <c r="K1003">
        <f>22972001/(1000)</f>
        <v>22972.001</v>
      </c>
      <c r="L1003">
        <v>26.145183563232401</v>
      </c>
      <c r="M1003">
        <v>4.8363981246948198</v>
      </c>
      <c r="N1003">
        <v>96.975381301141098</v>
      </c>
      <c r="O1003">
        <v>74.750442504882798</v>
      </c>
      <c r="P1003">
        <v>0</v>
      </c>
      <c r="Q1003">
        <v>0</v>
      </c>
      <c r="R1003">
        <v>21.1679990152359</v>
      </c>
      <c r="S1003">
        <v>90.528175210405493</v>
      </c>
      <c r="T1003">
        <v>0</v>
      </c>
      <c r="U1003">
        <v>0</v>
      </c>
      <c r="V1003">
        <v>0</v>
      </c>
      <c r="W1003">
        <v>0</v>
      </c>
    </row>
    <row r="1004" spans="1:23" x14ac:dyDescent="0.55000000000000004">
      <c r="A1004" t="s">
        <v>2016</v>
      </c>
      <c r="B1004" t="s">
        <v>2017</v>
      </c>
      <c r="C1004" t="s">
        <v>2</v>
      </c>
      <c r="D1004">
        <v>14.42</v>
      </c>
      <c r="E1004">
        <f>502786432/(1000)</f>
        <v>502786.43199999997</v>
      </c>
      <c r="F1004">
        <f>318302016/(1000)</f>
        <v>318302.016</v>
      </c>
      <c r="G1004">
        <f>108508000/(1000)</f>
        <v>108508</v>
      </c>
      <c r="H1004">
        <f>1592963456/(1000)</f>
        <v>1592963.456</v>
      </c>
      <c r="I1004">
        <f>129657000/(1000)</f>
        <v>129657</v>
      </c>
      <c r="J1004">
        <f t="shared" si="17"/>
        <v>1.2285981134840387E-2</v>
      </c>
      <c r="K1004">
        <f>72777001/(1000)</f>
        <v>72777.001000000004</v>
      </c>
      <c r="L1004">
        <v>19.165481567382798</v>
      </c>
      <c r="M1004">
        <v>9.8180446624755895</v>
      </c>
      <c r="N1004">
        <v>93.645627148395107</v>
      </c>
      <c r="O1004">
        <v>84.734107971191406</v>
      </c>
      <c r="P1004">
        <v>0</v>
      </c>
      <c r="Q1004">
        <v>0.90977916272812198</v>
      </c>
      <c r="R1004">
        <v>9.9448275161838406</v>
      </c>
      <c r="S1004">
        <v>139.151254193498</v>
      </c>
      <c r="T1004">
        <v>0</v>
      </c>
      <c r="U1004">
        <v>0</v>
      </c>
      <c r="V1004">
        <v>0</v>
      </c>
      <c r="W1004">
        <v>0</v>
      </c>
    </row>
    <row r="1005" spans="1:23" x14ac:dyDescent="0.55000000000000004">
      <c r="A1005" t="s">
        <v>2018</v>
      </c>
      <c r="B1005" t="s">
        <v>2019</v>
      </c>
      <c r="C1005" t="s">
        <v>5</v>
      </c>
      <c r="D1005">
        <v>5.62</v>
      </c>
      <c r="E1005">
        <f>373728896/(1000)</f>
        <v>373728.89600000001</v>
      </c>
      <c r="F1005">
        <f>318008992/(1000)</f>
        <v>318008.99200000003</v>
      </c>
      <c r="G1005">
        <f>34064000/(1000)</f>
        <v>34064</v>
      </c>
      <c r="H1005">
        <f>398071896/(1000)</f>
        <v>398071.89600000001</v>
      </c>
      <c r="I1005">
        <f>54837000/(1000)</f>
        <v>54837</v>
      </c>
      <c r="J1005">
        <f t="shared" si="17"/>
        <v>7.2591844192789537E-3</v>
      </c>
      <c r="K1005">
        <f>49372001/(1000)</f>
        <v>49372.000999999997</v>
      </c>
      <c r="L1005">
        <v>0</v>
      </c>
      <c r="M1005">
        <v>0</v>
      </c>
      <c r="N1005">
        <v>82.7594949853504</v>
      </c>
      <c r="O1005">
        <v>72.912689208984403</v>
      </c>
      <c r="P1005">
        <v>0</v>
      </c>
      <c r="Q1005">
        <v>0</v>
      </c>
      <c r="R1005">
        <v>5.5643562927817296</v>
      </c>
      <c r="S1005">
        <v>466.43687791671101</v>
      </c>
      <c r="T1005">
        <v>0</v>
      </c>
      <c r="U1005">
        <v>0</v>
      </c>
      <c r="V1005">
        <v>0</v>
      </c>
      <c r="W1005">
        <v>0</v>
      </c>
    </row>
    <row r="1006" spans="1:23" x14ac:dyDescent="0.55000000000000004">
      <c r="A1006" t="s">
        <v>2020</v>
      </c>
      <c r="B1006" t="s">
        <v>2021</v>
      </c>
      <c r="C1006" t="s">
        <v>20</v>
      </c>
      <c r="D1006">
        <v>4.1900000000000004</v>
      </c>
      <c r="E1006">
        <f>117150728/(1000)</f>
        <v>117150.728</v>
      </c>
      <c r="F1006">
        <f>317661984/(1000)</f>
        <v>317661.984</v>
      </c>
      <c r="G1006">
        <f>-1663000/(1000)</f>
        <v>-1663</v>
      </c>
      <c r="H1006">
        <f>114797728/(1000)</f>
        <v>114797.728</v>
      </c>
      <c r="I1006">
        <f>16101999/(1000)</f>
        <v>16101.999</v>
      </c>
      <c r="J1006">
        <f t="shared" si="17"/>
        <v>7.1294084666133689E-3</v>
      </c>
      <c r="K1006">
        <f>-22626999/(1000)</f>
        <v>-22626.999</v>
      </c>
      <c r="L1006">
        <v>29.2402667999268</v>
      </c>
      <c r="M1006">
        <v>1.2369849681854299</v>
      </c>
      <c r="N1006">
        <v>68.925877662029194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</row>
    <row r="1007" spans="1:23" x14ac:dyDescent="0.55000000000000004">
      <c r="A1007" t="s">
        <v>2022</v>
      </c>
      <c r="B1007" t="s">
        <v>2023</v>
      </c>
      <c r="C1007" t="s">
        <v>17</v>
      </c>
      <c r="D1007">
        <v>28.29</v>
      </c>
      <c r="E1007">
        <f>466793472/(1000)</f>
        <v>466793.47200000001</v>
      </c>
      <c r="F1007">
        <f>317118016/(1000)</f>
        <v>317118.016</v>
      </c>
      <c r="G1007">
        <f>42696000/(1000)</f>
        <v>42696</v>
      </c>
      <c r="H1007">
        <f>467667472/(1000)</f>
        <v>467667.47200000001</v>
      </c>
      <c r="I1007">
        <f>46523000/(1000)</f>
        <v>46523</v>
      </c>
      <c r="J1007">
        <f t="shared" si="17"/>
        <v>1.0052392837951122E-2</v>
      </c>
      <c r="K1007">
        <f>23610001/(1000)</f>
        <v>23610.001</v>
      </c>
      <c r="L1007">
        <v>19.422164916992202</v>
      </c>
      <c r="M1007">
        <v>16.626537322998001</v>
      </c>
      <c r="N1007">
        <v>94.320106393443695</v>
      </c>
      <c r="O1007">
        <v>26.133592605590799</v>
      </c>
      <c r="P1007">
        <v>1</v>
      </c>
      <c r="Q1007">
        <v>2.63407835367039</v>
      </c>
      <c r="R1007">
        <v>16.739645240566499</v>
      </c>
      <c r="S1007">
        <v>33.164531788023901</v>
      </c>
      <c r="T1007">
        <v>0</v>
      </c>
      <c r="U1007">
        <v>0</v>
      </c>
      <c r="V1007">
        <v>0</v>
      </c>
      <c r="W1007">
        <v>0</v>
      </c>
    </row>
    <row r="1008" spans="1:23" x14ac:dyDescent="0.55000000000000004">
      <c r="A1008" t="s">
        <v>2024</v>
      </c>
      <c r="B1008" t="s">
        <v>2025</v>
      </c>
      <c r="C1008" t="s">
        <v>20</v>
      </c>
      <c r="D1008">
        <v>7.66</v>
      </c>
      <c r="E1008">
        <f>82432328/(1000)</f>
        <v>82432.327999999994</v>
      </c>
      <c r="F1008">
        <f>316800992/(1000)</f>
        <v>316800.99200000003</v>
      </c>
      <c r="G1008">
        <f>30006000/(1000)</f>
        <v>30006</v>
      </c>
      <c r="H1008">
        <f>75923328/(1000)</f>
        <v>75923.327999999994</v>
      </c>
      <c r="I1008">
        <f>33358000/(1000)</f>
        <v>33358</v>
      </c>
      <c r="J1008">
        <f t="shared" si="17"/>
        <v>2.2760155884645359E-3</v>
      </c>
      <c r="K1008">
        <f>41716001/(1000)</f>
        <v>41716.000999999997</v>
      </c>
      <c r="L1008">
        <v>0</v>
      </c>
      <c r="M1008">
        <v>0</v>
      </c>
      <c r="N1008">
        <v>95.753338661162303</v>
      </c>
      <c r="O1008">
        <v>5.6182808876037598</v>
      </c>
      <c r="P1008">
        <v>0.40000000596046398</v>
      </c>
      <c r="Q1008">
        <v>0.65414174401866598</v>
      </c>
      <c r="R1008">
        <v>7.6364795247410804</v>
      </c>
      <c r="S1008">
        <v>0</v>
      </c>
      <c r="T1008">
        <v>0</v>
      </c>
      <c r="U1008">
        <v>0</v>
      </c>
      <c r="V1008">
        <v>0</v>
      </c>
      <c r="W1008">
        <v>0</v>
      </c>
    </row>
    <row r="1009" spans="1:23" x14ac:dyDescent="0.55000000000000004">
      <c r="A1009" t="s">
        <v>2026</v>
      </c>
      <c r="B1009" t="s">
        <v>2027</v>
      </c>
      <c r="C1009" t="s">
        <v>31</v>
      </c>
      <c r="D1009">
        <v>19.09</v>
      </c>
      <c r="E1009">
        <f>565350336/(1000)</f>
        <v>565350.33600000001</v>
      </c>
      <c r="F1009">
        <f>316191008/(1000)</f>
        <v>316191.00799999997</v>
      </c>
      <c r="G1009">
        <f>61662000/(1000)</f>
        <v>61662</v>
      </c>
      <c r="H1009">
        <f>501713336/(1000)</f>
        <v>501713.33600000001</v>
      </c>
      <c r="I1009">
        <f>77186000/(1000)</f>
        <v>77186</v>
      </c>
      <c r="J1009">
        <f t="shared" si="17"/>
        <v>6.500056175990465E-3</v>
      </c>
      <c r="K1009">
        <f>28061001/(1000)</f>
        <v>28061.001</v>
      </c>
      <c r="L1009">
        <v>22.328029632568398</v>
      </c>
      <c r="M1009">
        <v>25.224601745605501</v>
      </c>
      <c r="N1009">
        <v>84.112781335535601</v>
      </c>
      <c r="O1009">
        <v>1.30667400360107</v>
      </c>
      <c r="P1009">
        <v>0</v>
      </c>
      <c r="Q1009">
        <v>0</v>
      </c>
      <c r="R1009">
        <v>11.120554649532099</v>
      </c>
      <c r="S1009">
        <v>146.619599306163</v>
      </c>
      <c r="T1009">
        <v>0</v>
      </c>
      <c r="U1009">
        <v>0</v>
      </c>
      <c r="V1009">
        <v>0</v>
      </c>
      <c r="W1009">
        <v>0</v>
      </c>
    </row>
    <row r="1010" spans="1:23" x14ac:dyDescent="0.55000000000000004">
      <c r="A1010" t="s">
        <v>2028</v>
      </c>
      <c r="B1010" t="s">
        <v>2029</v>
      </c>
      <c r="C1010" t="s">
        <v>20</v>
      </c>
      <c r="D1010">
        <v>10.77</v>
      </c>
      <c r="E1010">
        <f>287761472/(1000)</f>
        <v>287761.47200000001</v>
      </c>
      <c r="F1010">
        <f>316095008/(1000)</f>
        <v>316095.00799999997</v>
      </c>
      <c r="G1010">
        <f>15415000/(1000)</f>
        <v>15415</v>
      </c>
      <c r="H1010">
        <f>291910472/(1000)</f>
        <v>291910.47200000001</v>
      </c>
      <c r="I1010">
        <f>29836000/(1000)</f>
        <v>29836</v>
      </c>
      <c r="J1010">
        <f t="shared" si="17"/>
        <v>9.7838340260088495E-3</v>
      </c>
      <c r="K1010">
        <f>-37407999/(1000)</f>
        <v>-37407.999000000003</v>
      </c>
      <c r="L1010">
        <v>53.870723724365199</v>
      </c>
      <c r="M1010">
        <v>5.5292458534240696</v>
      </c>
      <c r="N1010">
        <v>67.686424078902704</v>
      </c>
      <c r="O1010">
        <v>0</v>
      </c>
      <c r="P1010">
        <v>0</v>
      </c>
      <c r="Q1010">
        <v>1.2114735705103801</v>
      </c>
      <c r="R1010">
        <v>22.914894649107101</v>
      </c>
      <c r="S1010">
        <v>317.53517997490297</v>
      </c>
      <c r="T1010">
        <v>0</v>
      </c>
      <c r="U1010">
        <v>0</v>
      </c>
      <c r="V1010">
        <v>0</v>
      </c>
      <c r="W1010">
        <v>0</v>
      </c>
    </row>
    <row r="1011" spans="1:23" x14ac:dyDescent="0.55000000000000004">
      <c r="A1011" t="s">
        <v>2030</v>
      </c>
      <c r="B1011" t="s">
        <v>2031</v>
      </c>
      <c r="C1011" t="s">
        <v>5</v>
      </c>
      <c r="D1011">
        <v>2.17</v>
      </c>
      <c r="E1011">
        <f>95889696/(1000)</f>
        <v>95889.695999999996</v>
      </c>
      <c r="F1011">
        <f>314800000/(1000)</f>
        <v>314800</v>
      </c>
      <c r="G1011">
        <f>41513000/(1000)</f>
        <v>41513</v>
      </c>
      <c r="H1011">
        <f>335088704/(1000)</f>
        <v>335088.70400000003</v>
      </c>
      <c r="I1011">
        <f>61205000/(1000)</f>
        <v>61205</v>
      </c>
      <c r="J1011">
        <f t="shared" si="17"/>
        <v>5.4748583285679281E-3</v>
      </c>
      <c r="K1011">
        <f>-65896995/(1000)</f>
        <v>-65896.994999999995</v>
      </c>
      <c r="L1011">
        <v>0</v>
      </c>
      <c r="M1011">
        <v>0</v>
      </c>
      <c r="N1011">
        <v>97.025036236291101</v>
      </c>
      <c r="O1011">
        <v>0</v>
      </c>
      <c r="P1011">
        <v>0.28000000119209301</v>
      </c>
      <c r="Q1011">
        <v>0</v>
      </c>
      <c r="R1011">
        <v>4.5208334880686998</v>
      </c>
      <c r="S1011">
        <v>-77.714095782879397</v>
      </c>
      <c r="T1011">
        <v>0</v>
      </c>
      <c r="U1011">
        <v>0</v>
      </c>
      <c r="V1011">
        <v>0</v>
      </c>
      <c r="W1011">
        <v>0</v>
      </c>
    </row>
    <row r="1012" spans="1:23" x14ac:dyDescent="0.55000000000000004">
      <c r="A1012" t="s">
        <v>2032</v>
      </c>
      <c r="B1012" t="s">
        <v>2033</v>
      </c>
      <c r="C1012" t="s">
        <v>5</v>
      </c>
      <c r="D1012">
        <v>4.3600000000000003</v>
      </c>
      <c r="E1012">
        <f>205024192/(1000)</f>
        <v>205024.19200000001</v>
      </c>
      <c r="F1012">
        <f>312956992/(1000)</f>
        <v>312956.99200000003</v>
      </c>
      <c r="G1012">
        <f>0/(1000)</f>
        <v>0</v>
      </c>
      <c r="H1012">
        <f>0/(1000)</f>
        <v>0</v>
      </c>
      <c r="I1012">
        <f>0/(1000)</f>
        <v>0</v>
      </c>
      <c r="J1012">
        <f t="shared" si="17"/>
        <v>1</v>
      </c>
      <c r="K1012">
        <f>67283001/(1000)</f>
        <v>67283.001000000004</v>
      </c>
      <c r="L1012">
        <v>16.254674911498999</v>
      </c>
      <c r="M1012">
        <v>17.297563552856399</v>
      </c>
      <c r="N1012">
        <v>89.4553638138228</v>
      </c>
      <c r="O1012">
        <v>122.263343811035</v>
      </c>
      <c r="P1012">
        <v>0</v>
      </c>
      <c r="Q1012">
        <v>0.46210916159042698</v>
      </c>
      <c r="R1012">
        <v>8.8979589447335794</v>
      </c>
      <c r="S1012">
        <v>110.035430396907</v>
      </c>
      <c r="T1012">
        <v>0</v>
      </c>
      <c r="U1012">
        <v>0</v>
      </c>
      <c r="V1012">
        <v>0</v>
      </c>
      <c r="W1012">
        <v>0</v>
      </c>
    </row>
    <row r="1013" spans="1:23" x14ac:dyDescent="0.55000000000000004">
      <c r="A1013" t="s">
        <v>2034</v>
      </c>
      <c r="B1013" t="s">
        <v>2035</v>
      </c>
      <c r="C1013" t="s">
        <v>184</v>
      </c>
      <c r="D1013">
        <v>10.77</v>
      </c>
      <c r="E1013">
        <f>633062784/(1000)</f>
        <v>633062.78399999999</v>
      </c>
      <c r="F1013">
        <f>312932000/(1000)</f>
        <v>312932</v>
      </c>
      <c r="G1013">
        <f>298577984/(1000)</f>
        <v>298577.984</v>
      </c>
      <c r="H1013">
        <f>8024787840/(1000)</f>
        <v>8024787.8399999999</v>
      </c>
      <c r="I1013">
        <f>298803008/(1000)</f>
        <v>298803.00799999997</v>
      </c>
      <c r="J1013">
        <f t="shared" si="17"/>
        <v>2.685644931660126E-2</v>
      </c>
      <c r="K1013">
        <f>56849001/(1000)</f>
        <v>56849.000999999997</v>
      </c>
      <c r="L1013">
        <v>0</v>
      </c>
      <c r="M1013">
        <v>1.66867899894714</v>
      </c>
      <c r="N1013">
        <v>97.667580348652294</v>
      </c>
      <c r="O1013">
        <v>1177.26098632813</v>
      </c>
      <c r="P1013">
        <v>1.4400000572204601</v>
      </c>
      <c r="Q1013">
        <v>1.1128332255465301</v>
      </c>
      <c r="R1013">
        <v>5.4948982528935701</v>
      </c>
      <c r="S1013">
        <v>13.6884543694743</v>
      </c>
      <c r="T1013">
        <v>0</v>
      </c>
      <c r="U1013">
        <v>0</v>
      </c>
      <c r="V1013">
        <v>0</v>
      </c>
      <c r="W1013">
        <v>0</v>
      </c>
    </row>
    <row r="1014" spans="1:23" x14ac:dyDescent="0.55000000000000004">
      <c r="A1014" t="s">
        <v>2036</v>
      </c>
      <c r="B1014" t="s">
        <v>2037</v>
      </c>
      <c r="C1014" t="s">
        <v>31</v>
      </c>
      <c r="D1014">
        <v>5.61</v>
      </c>
      <c r="E1014">
        <f>533027968/(1000)</f>
        <v>533027.96799999999</v>
      </c>
      <c r="F1014">
        <f>311204000/(1000)</f>
        <v>311204</v>
      </c>
      <c r="G1014">
        <f>19958000/(1000)</f>
        <v>19958</v>
      </c>
      <c r="H1014">
        <f>239618976/(1000)</f>
        <v>239618.976</v>
      </c>
      <c r="I1014">
        <f>31957000/(1000)</f>
        <v>31957</v>
      </c>
      <c r="J1014">
        <f t="shared" si="17"/>
        <v>7.4981686641424411E-3</v>
      </c>
      <c r="K1014">
        <f>29492001/(1000)</f>
        <v>29492.001</v>
      </c>
      <c r="L1014">
        <v>0</v>
      </c>
      <c r="M1014">
        <v>9.7679691314697301</v>
      </c>
      <c r="N1014">
        <v>98.902054595668304</v>
      </c>
      <c r="O1014">
        <v>0</v>
      </c>
      <c r="P1014">
        <v>0</v>
      </c>
      <c r="Q1014">
        <v>1.29262671342747</v>
      </c>
      <c r="R1014">
        <v>7.5810811638048401</v>
      </c>
      <c r="S1014">
        <v>66.747395944961198</v>
      </c>
      <c r="T1014">
        <v>0</v>
      </c>
      <c r="U1014">
        <v>0</v>
      </c>
      <c r="V1014">
        <v>0</v>
      </c>
      <c r="W1014">
        <v>0</v>
      </c>
    </row>
    <row r="1015" spans="1:23" x14ac:dyDescent="0.55000000000000004">
      <c r="A1015" t="s">
        <v>2038</v>
      </c>
      <c r="B1015" t="s">
        <v>2039</v>
      </c>
      <c r="C1015" t="s">
        <v>184</v>
      </c>
      <c r="D1015">
        <v>13.36</v>
      </c>
      <c r="E1015">
        <f>412149344/(1000)</f>
        <v>412149.34399999998</v>
      </c>
      <c r="F1015">
        <f>309919008/(1000)</f>
        <v>309919.00799999997</v>
      </c>
      <c r="G1015">
        <f>0/(1000)</f>
        <v>0</v>
      </c>
      <c r="H1015">
        <f>0/(1000)</f>
        <v>0</v>
      </c>
      <c r="I1015">
        <f>0/(1000)</f>
        <v>0</v>
      </c>
      <c r="J1015">
        <f t="shared" si="17"/>
        <v>1</v>
      </c>
      <c r="K1015">
        <f>83796001/(1000)</f>
        <v>83796.001000000004</v>
      </c>
      <c r="L1015">
        <v>21.688001632690401</v>
      </c>
      <c r="M1015">
        <v>10.725175857543899</v>
      </c>
      <c r="N1015">
        <v>90.479260300297597</v>
      </c>
      <c r="O1015">
        <v>304.0126953125</v>
      </c>
      <c r="P1015">
        <v>0</v>
      </c>
      <c r="Q1015">
        <v>1.0601996015295201</v>
      </c>
      <c r="R1015">
        <v>12.9708732504211</v>
      </c>
      <c r="S1015">
        <v>293.46300862036099</v>
      </c>
      <c r="T1015">
        <v>0</v>
      </c>
      <c r="U1015">
        <v>0</v>
      </c>
      <c r="V1015">
        <v>0</v>
      </c>
      <c r="W1015">
        <v>0</v>
      </c>
    </row>
    <row r="1016" spans="1:23" x14ac:dyDescent="0.55000000000000004">
      <c r="A1016" t="s">
        <v>2040</v>
      </c>
      <c r="B1016" t="s">
        <v>2041</v>
      </c>
      <c r="C1016" t="s">
        <v>8</v>
      </c>
      <c r="D1016">
        <v>24.07</v>
      </c>
      <c r="E1016">
        <f>357733152/(1000)</f>
        <v>357733.152</v>
      </c>
      <c r="F1016">
        <f>309679008/(1000)</f>
        <v>309679.00799999997</v>
      </c>
      <c r="G1016">
        <f>31960000/(1000)</f>
        <v>31960</v>
      </c>
      <c r="H1016">
        <f>633333152/(1000)</f>
        <v>633333.152</v>
      </c>
      <c r="I1016">
        <f>102804000/(1000)</f>
        <v>102804</v>
      </c>
      <c r="J1016">
        <f t="shared" si="17"/>
        <v>6.1605886152289796E-3</v>
      </c>
      <c r="K1016">
        <f>-434344991/(1000)</f>
        <v>-434344.99099999998</v>
      </c>
      <c r="L1016">
        <v>25.206912994384801</v>
      </c>
      <c r="M1016">
        <v>8.7892856597900408</v>
      </c>
      <c r="N1016">
        <v>96.488408237448496</v>
      </c>
      <c r="O1016">
        <v>59.300754547119098</v>
      </c>
      <c r="P1016">
        <v>0</v>
      </c>
      <c r="Q1016">
        <v>0</v>
      </c>
      <c r="R1016">
        <v>7.2939392092416204</v>
      </c>
      <c r="S1016">
        <v>133.74117504981601</v>
      </c>
      <c r="T1016">
        <v>0</v>
      </c>
      <c r="U1016">
        <v>0</v>
      </c>
      <c r="V1016">
        <v>0</v>
      </c>
      <c r="W1016">
        <v>0</v>
      </c>
    </row>
    <row r="1017" spans="1:23" x14ac:dyDescent="0.55000000000000004">
      <c r="A1017" t="s">
        <v>2042</v>
      </c>
      <c r="B1017" t="s">
        <v>2043</v>
      </c>
      <c r="C1017" t="s">
        <v>184</v>
      </c>
      <c r="D1017">
        <v>24.39</v>
      </c>
      <c r="E1017">
        <f>795852992/(1000)</f>
        <v>795852.99199999997</v>
      </c>
      <c r="F1017">
        <f>309523008/(1000)</f>
        <v>309523.00799999997</v>
      </c>
      <c r="G1017">
        <f>0/(1000)</f>
        <v>0</v>
      </c>
      <c r="H1017">
        <f>0/(1000)</f>
        <v>0</v>
      </c>
      <c r="I1017">
        <f>0/(1000)</f>
        <v>0</v>
      </c>
      <c r="J1017">
        <f t="shared" si="17"/>
        <v>1</v>
      </c>
      <c r="K1017">
        <f>40828001/(1000)</f>
        <v>40828.000999999997</v>
      </c>
      <c r="L1017">
        <v>15.3700199127197</v>
      </c>
      <c r="M1017">
        <v>9.1227169036865199</v>
      </c>
      <c r="N1017">
        <v>95.1238613127653</v>
      </c>
      <c r="O1017">
        <v>194.10173034668</v>
      </c>
      <c r="P1017">
        <v>0.87999999523162797</v>
      </c>
      <c r="Q1017">
        <v>1.47818178119081</v>
      </c>
      <c r="R1017">
        <v>16.259999916156101</v>
      </c>
      <c r="S1017">
        <v>30.6561013543797</v>
      </c>
      <c r="T1017">
        <v>0</v>
      </c>
      <c r="U1017">
        <v>0</v>
      </c>
      <c r="V1017">
        <v>0</v>
      </c>
      <c r="W1017">
        <v>0</v>
      </c>
    </row>
    <row r="1018" spans="1:23" x14ac:dyDescent="0.55000000000000004">
      <c r="A1018" t="s">
        <v>2044</v>
      </c>
      <c r="B1018" t="s">
        <v>2045</v>
      </c>
      <c r="C1018" t="s">
        <v>401</v>
      </c>
      <c r="D1018">
        <v>16.5</v>
      </c>
      <c r="E1018">
        <f>729052544/(1000)</f>
        <v>729052.54399999999</v>
      </c>
      <c r="F1018">
        <f>308364000/(1000)</f>
        <v>308364</v>
      </c>
      <c r="G1018">
        <f>72451000/(1000)</f>
        <v>72451</v>
      </c>
      <c r="H1018">
        <f>1872669568/(1000)</f>
        <v>1872669.568</v>
      </c>
      <c r="I1018">
        <f>139891008/(1000)</f>
        <v>139891.008</v>
      </c>
      <c r="J1018">
        <f t="shared" si="17"/>
        <v>1.3386632884938536E-2</v>
      </c>
      <c r="K1018">
        <f>-200851999/(1000)</f>
        <v>-200851.99900000001</v>
      </c>
      <c r="L1018">
        <v>0</v>
      </c>
      <c r="M1018">
        <v>18.746942520141602</v>
      </c>
      <c r="N1018">
        <v>98.031002950659797</v>
      </c>
      <c r="O1018">
        <v>99.678955078125</v>
      </c>
      <c r="P1018">
        <v>0.80000001192092896</v>
      </c>
      <c r="Q1018">
        <v>0.57371348639385999</v>
      </c>
      <c r="R1018">
        <v>9.0163934697875696</v>
      </c>
      <c r="S1018">
        <v>7.3294735135067697</v>
      </c>
      <c r="T1018">
        <v>0</v>
      </c>
      <c r="U1018">
        <v>0</v>
      </c>
      <c r="V1018">
        <v>0</v>
      </c>
      <c r="W1018">
        <v>0</v>
      </c>
    </row>
    <row r="1019" spans="1:23" x14ac:dyDescent="0.55000000000000004">
      <c r="A1019" t="s">
        <v>2046</v>
      </c>
      <c r="B1019" t="s">
        <v>2047</v>
      </c>
      <c r="C1019" t="s">
        <v>81</v>
      </c>
      <c r="D1019">
        <v>0.4</v>
      </c>
      <c r="E1019">
        <f>20509820/(1000)</f>
        <v>20509.82</v>
      </c>
      <c r="F1019">
        <f>307288000/(1000)</f>
        <v>307288</v>
      </c>
      <c r="G1019">
        <f>53128000/(1000)</f>
        <v>53128</v>
      </c>
      <c r="H1019">
        <f>908017788/(1000)</f>
        <v>908017.78799999994</v>
      </c>
      <c r="I1019">
        <f>92511000/(1000)</f>
        <v>92511</v>
      </c>
      <c r="J1019">
        <f t="shared" si="17"/>
        <v>9.8152413010344705E-3</v>
      </c>
      <c r="K1019">
        <f>3526001/(1000)</f>
        <v>3526.0010000000002</v>
      </c>
      <c r="L1019">
        <v>0</v>
      </c>
      <c r="M1019">
        <v>-6.9055280685424796</v>
      </c>
      <c r="N1019">
        <v>93.620943849376502</v>
      </c>
      <c r="O1019">
        <v>273.794189453125</v>
      </c>
      <c r="P1019">
        <v>0.119999997317791</v>
      </c>
      <c r="Q1019">
        <v>0</v>
      </c>
      <c r="R1019">
        <v>0</v>
      </c>
      <c r="S1019">
        <v>54.695932339911401</v>
      </c>
      <c r="T1019">
        <v>0</v>
      </c>
      <c r="U1019">
        <v>0</v>
      </c>
      <c r="V1019">
        <v>0</v>
      </c>
      <c r="W1019">
        <v>0</v>
      </c>
    </row>
    <row r="1020" spans="1:23" x14ac:dyDescent="0.55000000000000004">
      <c r="A1020" t="s">
        <v>2048</v>
      </c>
      <c r="B1020" t="s">
        <v>2049</v>
      </c>
      <c r="C1020" t="s">
        <v>31</v>
      </c>
      <c r="D1020">
        <v>6.51</v>
      </c>
      <c r="E1020">
        <f>352547104/(1000)</f>
        <v>352547.10399999999</v>
      </c>
      <c r="F1020">
        <f>307257984/(1000)</f>
        <v>307257.984</v>
      </c>
      <c r="G1020">
        <f>17567000/(1000)</f>
        <v>17567</v>
      </c>
      <c r="H1020">
        <f>291187104/(1000)</f>
        <v>291187.10399999999</v>
      </c>
      <c r="I1020">
        <f>28588000/(1000)</f>
        <v>28588</v>
      </c>
      <c r="J1020">
        <f t="shared" si="17"/>
        <v>1.0185640968238423E-2</v>
      </c>
      <c r="K1020">
        <f>28349001/(1000)</f>
        <v>28349.001</v>
      </c>
      <c r="L1020">
        <v>0</v>
      </c>
      <c r="M1020">
        <v>10.773650169372599</v>
      </c>
      <c r="N1020">
        <v>41.462512928341297</v>
      </c>
      <c r="O1020">
        <v>0</v>
      </c>
      <c r="P1020">
        <v>0</v>
      </c>
      <c r="Q1020">
        <v>0</v>
      </c>
      <c r="R1020">
        <v>12.519230951086699</v>
      </c>
      <c r="S1020">
        <v>4.9923402859408004</v>
      </c>
      <c r="T1020">
        <v>0</v>
      </c>
      <c r="U1020">
        <v>0</v>
      </c>
      <c r="V1020">
        <v>0</v>
      </c>
      <c r="W1020">
        <v>0</v>
      </c>
    </row>
    <row r="1021" spans="1:23" x14ac:dyDescent="0.55000000000000004">
      <c r="A1021" t="s">
        <v>2050</v>
      </c>
      <c r="B1021" t="s">
        <v>2051</v>
      </c>
      <c r="C1021" t="s">
        <v>2</v>
      </c>
      <c r="D1021">
        <v>18.54</v>
      </c>
      <c r="E1021">
        <f>243951168/(1000)</f>
        <v>243951.16800000001</v>
      </c>
      <c r="F1021">
        <f>306220000/(1000)</f>
        <v>306220</v>
      </c>
      <c r="G1021">
        <f>21029000/(1000)</f>
        <v>21029</v>
      </c>
      <c r="H1021">
        <f>232606166/(1000)</f>
        <v>232606.166</v>
      </c>
      <c r="I1021">
        <f>30573000/(1000)</f>
        <v>30573</v>
      </c>
      <c r="J1021">
        <f t="shared" si="17"/>
        <v>7.6082218297190331E-3</v>
      </c>
      <c r="K1021">
        <f>3248000.25/(1000)</f>
        <v>3248.0002500000001</v>
      </c>
      <c r="L1021">
        <v>0</v>
      </c>
      <c r="M1021">
        <v>12.5817165374756</v>
      </c>
      <c r="N1021">
        <v>89.523135166953494</v>
      </c>
      <c r="O1021">
        <v>45.286739349365199</v>
      </c>
      <c r="P1021">
        <v>0</v>
      </c>
      <c r="Q1021">
        <v>1.7868853318358999</v>
      </c>
      <c r="R1021">
        <v>12.9580425084281</v>
      </c>
      <c r="S1021">
        <v>127.983041432847</v>
      </c>
      <c r="T1021">
        <v>0</v>
      </c>
      <c r="U1021">
        <v>0</v>
      </c>
      <c r="V1021">
        <v>0</v>
      </c>
      <c r="W1021">
        <v>0</v>
      </c>
    </row>
    <row r="1022" spans="1:23" x14ac:dyDescent="0.55000000000000004">
      <c r="A1022" t="s">
        <v>2052</v>
      </c>
      <c r="B1022" t="s">
        <v>2053</v>
      </c>
      <c r="C1022" t="s">
        <v>8</v>
      </c>
      <c r="D1022">
        <v>23.79</v>
      </c>
      <c r="E1022">
        <f>603076480/(1000)</f>
        <v>603076.48</v>
      </c>
      <c r="F1022">
        <f>306025984/(1000)</f>
        <v>306025.984</v>
      </c>
      <c r="G1022">
        <f>122100000/(1000)</f>
        <v>122100</v>
      </c>
      <c r="H1022">
        <f>0/(1000)</f>
        <v>0</v>
      </c>
      <c r="I1022">
        <f>156938000/(1000)</f>
        <v>156938</v>
      </c>
      <c r="J1022">
        <f t="shared" si="17"/>
        <v>0</v>
      </c>
      <c r="K1022">
        <f>-62580999/(1000)</f>
        <v>-62580.999000000003</v>
      </c>
      <c r="L1022">
        <v>0</v>
      </c>
      <c r="M1022">
        <v>16.258472442626999</v>
      </c>
      <c r="N1022">
        <v>88.975541067397401</v>
      </c>
      <c r="O1022">
        <v>23.6000785827637</v>
      </c>
      <c r="P1022">
        <v>0</v>
      </c>
      <c r="Q1022">
        <v>0.64314679199856195</v>
      </c>
      <c r="R1022">
        <v>0</v>
      </c>
      <c r="S1022">
        <v>128.51571899337799</v>
      </c>
      <c r="T1022">
        <v>0</v>
      </c>
      <c r="U1022">
        <v>0</v>
      </c>
      <c r="V1022">
        <v>0</v>
      </c>
      <c r="W1022">
        <v>0</v>
      </c>
    </row>
    <row r="1023" spans="1:23" x14ac:dyDescent="0.55000000000000004">
      <c r="A1023" t="s">
        <v>2054</v>
      </c>
      <c r="B1023" t="s">
        <v>2055</v>
      </c>
      <c r="C1023" t="s">
        <v>5</v>
      </c>
      <c r="D1023">
        <v>6.12</v>
      </c>
      <c r="E1023">
        <f>391664064/(1000)</f>
        <v>391664.06400000001</v>
      </c>
      <c r="F1023">
        <f>305784992/(1000)</f>
        <v>305784.99200000003</v>
      </c>
      <c r="G1023">
        <f>167735008/(1000)</f>
        <v>167735.008</v>
      </c>
      <c r="H1023">
        <f>153850064/(1000)</f>
        <v>153850.06400000001</v>
      </c>
      <c r="I1023">
        <f>171526000/(1000)</f>
        <v>171526</v>
      </c>
      <c r="J1023">
        <f t="shared" si="17"/>
        <v>8.969489406853772E-4</v>
      </c>
      <c r="K1023">
        <f>88581001/(1000)</f>
        <v>88581.001000000004</v>
      </c>
      <c r="L1023">
        <v>0</v>
      </c>
      <c r="M1023">
        <v>0</v>
      </c>
      <c r="N1023">
        <v>62.809428226354697</v>
      </c>
      <c r="O1023">
        <v>0</v>
      </c>
      <c r="P1023">
        <v>0</v>
      </c>
      <c r="Q1023">
        <v>2.3493281538384698</v>
      </c>
      <c r="R1023">
        <v>4.4347824453180804</v>
      </c>
      <c r="S1023">
        <v>0</v>
      </c>
      <c r="T1023">
        <v>0</v>
      </c>
      <c r="U1023">
        <v>0</v>
      </c>
      <c r="V1023">
        <v>0</v>
      </c>
      <c r="W1023">
        <v>0</v>
      </c>
    </row>
    <row r="1024" spans="1:23" x14ac:dyDescent="0.55000000000000004">
      <c r="A1024" t="s">
        <v>2056</v>
      </c>
      <c r="B1024" t="s">
        <v>2057</v>
      </c>
      <c r="C1024" t="s">
        <v>2</v>
      </c>
      <c r="D1024">
        <v>31.12</v>
      </c>
      <c r="E1024">
        <f>519937408/(1000)</f>
        <v>519937.408</v>
      </c>
      <c r="F1024">
        <f>305561984/(1000)</f>
        <v>305561.984</v>
      </c>
      <c r="G1024">
        <f>32885000/(1000)</f>
        <v>32885</v>
      </c>
      <c r="H1024">
        <f>480723408/(1000)</f>
        <v>480723.408</v>
      </c>
      <c r="I1024">
        <f>40482000/(1000)</f>
        <v>40482</v>
      </c>
      <c r="J1024">
        <f t="shared" si="17"/>
        <v>1.1874991551800801E-2</v>
      </c>
      <c r="K1024">
        <f>22009001/(1000)</f>
        <v>22009.001</v>
      </c>
      <c r="L1024">
        <v>24.500482559204102</v>
      </c>
      <c r="M1024">
        <v>16.470087051391602</v>
      </c>
      <c r="N1024">
        <v>72.651202558307304</v>
      </c>
      <c r="O1024">
        <v>0</v>
      </c>
      <c r="P1024">
        <v>0.31999999284744302</v>
      </c>
      <c r="Q1024">
        <v>0</v>
      </c>
      <c r="R1024">
        <v>18.414201705997801</v>
      </c>
      <c r="S1024">
        <v>57.445302797565802</v>
      </c>
      <c r="T1024">
        <v>0</v>
      </c>
      <c r="U1024">
        <v>0</v>
      </c>
      <c r="V1024">
        <v>0</v>
      </c>
      <c r="W1024">
        <v>0</v>
      </c>
    </row>
    <row r="1025" spans="1:23" x14ac:dyDescent="0.55000000000000004">
      <c r="A1025" t="s">
        <v>2058</v>
      </c>
      <c r="B1025" t="s">
        <v>2059</v>
      </c>
      <c r="C1025" t="s">
        <v>5</v>
      </c>
      <c r="D1025">
        <v>8.4</v>
      </c>
      <c r="E1025">
        <f>328004864/(1000)</f>
        <v>328004.864</v>
      </c>
      <c r="F1025">
        <f>305439008/(1000)</f>
        <v>305439.00799999997</v>
      </c>
      <c r="G1025">
        <f>25121000/(1000)</f>
        <v>25121</v>
      </c>
      <c r="H1025">
        <f>306959864/(1000)</f>
        <v>306959.864</v>
      </c>
      <c r="I1025">
        <f>32523000/(1000)</f>
        <v>32523</v>
      </c>
      <c r="J1025">
        <f t="shared" si="17"/>
        <v>9.4382395227992511E-3</v>
      </c>
      <c r="K1025">
        <f>45660001/(1000)</f>
        <v>45660.000999999997</v>
      </c>
      <c r="L1025">
        <v>84.181755065917997</v>
      </c>
      <c r="M1025">
        <v>17.601945877075199</v>
      </c>
      <c r="N1025">
        <v>95.310670502315702</v>
      </c>
      <c r="O1025">
        <v>0</v>
      </c>
      <c r="P1025">
        <v>0</v>
      </c>
      <c r="Q1025">
        <v>0</v>
      </c>
      <c r="R1025">
        <v>20.6891448122993</v>
      </c>
      <c r="S1025">
        <v>567.80140801958999</v>
      </c>
      <c r="T1025">
        <v>0</v>
      </c>
      <c r="U1025">
        <v>0</v>
      </c>
      <c r="V1025">
        <v>0</v>
      </c>
      <c r="W1025">
        <v>0</v>
      </c>
    </row>
    <row r="1026" spans="1:23" x14ac:dyDescent="0.55000000000000004">
      <c r="A1026" t="s">
        <v>2060</v>
      </c>
      <c r="B1026" t="s">
        <v>2061</v>
      </c>
      <c r="C1026" t="s">
        <v>2</v>
      </c>
      <c r="D1026">
        <v>6.87</v>
      </c>
      <c r="E1026">
        <f>148187280/(1000)</f>
        <v>148187.28</v>
      </c>
      <c r="F1026">
        <f>305286016/(1000)</f>
        <v>305286.016</v>
      </c>
      <c r="G1026">
        <f>16985000/(1000)</f>
        <v>16985</v>
      </c>
      <c r="H1026">
        <f>148286280/(1000)</f>
        <v>148286.28</v>
      </c>
      <c r="I1026">
        <f>25774000/(1000)</f>
        <v>25774</v>
      </c>
      <c r="J1026">
        <f t="shared" ref="J1026:J1089" si="20">(IF(I1026=0,1000,H1026/I1026))/(1000)</f>
        <v>5.7533281601614026E-3</v>
      </c>
      <c r="K1026">
        <f>4221001/(1000)</f>
        <v>4221.0010000000002</v>
      </c>
      <c r="L1026">
        <v>21.331241607666001</v>
      </c>
      <c r="M1026">
        <v>-8.4553127288818395</v>
      </c>
      <c r="N1026">
        <v>89.780808848034894</v>
      </c>
      <c r="O1026">
        <v>0</v>
      </c>
      <c r="P1026">
        <v>0.20000000298023199</v>
      </c>
      <c r="Q1026">
        <v>1</v>
      </c>
      <c r="R1026">
        <v>27.479999951720199</v>
      </c>
      <c r="S1026">
        <v>43.237334180528897</v>
      </c>
      <c r="T1026">
        <v>0</v>
      </c>
      <c r="U1026">
        <v>0</v>
      </c>
      <c r="V1026">
        <v>0</v>
      </c>
      <c r="W1026">
        <v>0</v>
      </c>
    </row>
    <row r="1027" spans="1:23" x14ac:dyDescent="0.55000000000000004">
      <c r="A1027" t="s">
        <v>2062</v>
      </c>
      <c r="B1027" t="s">
        <v>2063</v>
      </c>
      <c r="C1027" t="s">
        <v>31</v>
      </c>
      <c r="D1027">
        <v>8.26</v>
      </c>
      <c r="E1027">
        <f>256874432/(1000)</f>
        <v>256874.432</v>
      </c>
      <c r="F1027">
        <f>304456000/(1000)</f>
        <v>304456</v>
      </c>
      <c r="G1027">
        <f>23907000/(1000)</f>
        <v>23907</v>
      </c>
      <c r="H1027">
        <f>216708432/(1000)</f>
        <v>216708.432</v>
      </c>
      <c r="I1027">
        <f>36775000/(1000)</f>
        <v>36775</v>
      </c>
      <c r="J1027">
        <f t="shared" si="20"/>
        <v>5.8928193609789261E-3</v>
      </c>
      <c r="K1027">
        <f>20719001/(1000)</f>
        <v>20719.001</v>
      </c>
      <c r="L1027">
        <v>64.190635681152301</v>
      </c>
      <c r="M1027">
        <v>12.2143611907959</v>
      </c>
      <c r="N1027">
        <v>76.535920277334796</v>
      </c>
      <c r="O1027">
        <v>16.160495758056602</v>
      </c>
      <c r="P1027">
        <v>0.119999997317791</v>
      </c>
      <c r="Q1027">
        <v>0</v>
      </c>
      <c r="R1027">
        <v>14.000000126281</v>
      </c>
      <c r="S1027">
        <v>123.68215492838399</v>
      </c>
      <c r="T1027">
        <v>0</v>
      </c>
      <c r="U1027">
        <v>0</v>
      </c>
      <c r="V1027">
        <v>0</v>
      </c>
      <c r="W1027">
        <v>0</v>
      </c>
    </row>
    <row r="1028" spans="1:23" x14ac:dyDescent="0.55000000000000004">
      <c r="A1028" t="s">
        <v>2064</v>
      </c>
      <c r="B1028" t="s">
        <v>2065</v>
      </c>
      <c r="C1028" t="s">
        <v>31</v>
      </c>
      <c r="D1028">
        <v>30.13</v>
      </c>
      <c r="E1028">
        <f>402723584/(1000)</f>
        <v>402723.58399999997</v>
      </c>
      <c r="F1028">
        <f>304420000/(1000)</f>
        <v>304420</v>
      </c>
      <c r="G1028">
        <f>22333000/(1000)</f>
        <v>22333</v>
      </c>
      <c r="H1028">
        <f>437633584/(1000)</f>
        <v>437633.58399999997</v>
      </c>
      <c r="I1028">
        <f>25345000/(1000)</f>
        <v>25345</v>
      </c>
      <c r="J1028">
        <f t="shared" si="20"/>
        <v>1.7267057960149931E-2</v>
      </c>
      <c r="K1028">
        <f>17001001/(1000)</f>
        <v>17001.001</v>
      </c>
      <c r="L1028">
        <v>0</v>
      </c>
      <c r="M1028">
        <v>17.1235542297363</v>
      </c>
      <c r="N1028">
        <v>77.130124704524107</v>
      </c>
      <c r="O1028">
        <v>53.516281127929702</v>
      </c>
      <c r="P1028">
        <v>0</v>
      </c>
      <c r="Q1028">
        <v>3.99337294315393</v>
      </c>
      <c r="R1028">
        <v>26.429823465945699</v>
      </c>
      <c r="S1028">
        <v>0</v>
      </c>
      <c r="T1028">
        <v>0</v>
      </c>
      <c r="U1028">
        <v>0</v>
      </c>
      <c r="V1028">
        <v>0</v>
      </c>
      <c r="W1028">
        <v>0</v>
      </c>
    </row>
    <row r="1029" spans="1:23" x14ac:dyDescent="0.55000000000000004">
      <c r="A1029" t="s">
        <v>2066</v>
      </c>
      <c r="B1029" t="s">
        <v>2067</v>
      </c>
      <c r="C1029" t="s">
        <v>17</v>
      </c>
      <c r="D1029">
        <v>11.5</v>
      </c>
      <c r="E1029">
        <f>165666704/(1000)</f>
        <v>165666.704</v>
      </c>
      <c r="F1029">
        <f>302984000/(1000)</f>
        <v>302984</v>
      </c>
      <c r="G1029">
        <f>12013000/(1000)</f>
        <v>12013</v>
      </c>
      <c r="H1029">
        <f>194217704/(1000)</f>
        <v>194217.704</v>
      </c>
      <c r="I1029">
        <f>14404000/(1000)</f>
        <v>14404</v>
      </c>
      <c r="J1029">
        <f t="shared" si="20"/>
        <v>1.3483595112468759E-2</v>
      </c>
      <c r="K1029">
        <f>1679001/(1000)</f>
        <v>1679.001</v>
      </c>
      <c r="L1029">
        <v>30.455064773559599</v>
      </c>
      <c r="M1029">
        <v>11.0270338058472</v>
      </c>
      <c r="N1029">
        <v>74.1715149425616</v>
      </c>
      <c r="O1029">
        <v>28.4353332519531</v>
      </c>
      <c r="P1029">
        <v>0.34999999403953602</v>
      </c>
      <c r="Q1029">
        <v>0</v>
      </c>
      <c r="R1029">
        <v>33.8235294265885</v>
      </c>
      <c r="S1029">
        <v>24.853810307657302</v>
      </c>
      <c r="T1029">
        <v>0</v>
      </c>
      <c r="U1029">
        <v>0</v>
      </c>
      <c r="V1029">
        <v>0</v>
      </c>
      <c r="W1029">
        <v>0</v>
      </c>
    </row>
    <row r="1030" spans="1:23" x14ac:dyDescent="0.55000000000000004">
      <c r="A1030" t="s">
        <v>2068</v>
      </c>
      <c r="B1030" t="s">
        <v>2069</v>
      </c>
      <c r="C1030" t="s">
        <v>401</v>
      </c>
      <c r="D1030">
        <v>2.81</v>
      </c>
      <c r="E1030">
        <f>106233456/(1000)</f>
        <v>106233.45600000001</v>
      </c>
      <c r="F1030">
        <f>302815008/(1000)</f>
        <v>302815.00799999997</v>
      </c>
      <c r="G1030">
        <f>106005000/(1000)</f>
        <v>106005</v>
      </c>
      <c r="H1030">
        <f>1858145392/(1000)</f>
        <v>1858145.392</v>
      </c>
      <c r="I1030">
        <f>182775008/(1000)</f>
        <v>182775.008</v>
      </c>
      <c r="J1030">
        <f t="shared" si="20"/>
        <v>1.0166299059880222E-2</v>
      </c>
      <c r="K1030">
        <f>-22846999/(1000)</f>
        <v>-22846.999</v>
      </c>
      <c r="L1030">
        <v>155.69384765625</v>
      </c>
      <c r="M1030">
        <v>0</v>
      </c>
      <c r="N1030">
        <v>95.402520720227102</v>
      </c>
      <c r="O1030">
        <v>820.88421630859398</v>
      </c>
      <c r="P1030">
        <v>1.2799999713897701</v>
      </c>
      <c r="Q1030">
        <v>0.20495987855295</v>
      </c>
      <c r="R1030">
        <v>18.7333322074679</v>
      </c>
      <c r="S1030">
        <v>12.741217015818499</v>
      </c>
      <c r="T1030">
        <v>0</v>
      </c>
      <c r="U1030">
        <v>0</v>
      </c>
      <c r="V1030">
        <v>0</v>
      </c>
      <c r="W1030">
        <v>0</v>
      </c>
    </row>
    <row r="1031" spans="1:23" x14ac:dyDescent="0.55000000000000004">
      <c r="A1031" t="s">
        <v>2070</v>
      </c>
      <c r="B1031" t="s">
        <v>2071</v>
      </c>
      <c r="C1031" t="s">
        <v>184</v>
      </c>
      <c r="D1031">
        <v>14.36</v>
      </c>
      <c r="E1031">
        <f>522275488/(1000)</f>
        <v>522275.48800000001</v>
      </c>
      <c r="F1031">
        <f>302528992/(1000)</f>
        <v>302528.99200000003</v>
      </c>
      <c r="G1031">
        <f>0/(1000)</f>
        <v>0</v>
      </c>
      <c r="H1031">
        <f>0/(1000)</f>
        <v>0</v>
      </c>
      <c r="I1031">
        <f>0/(1000)</f>
        <v>0</v>
      </c>
      <c r="J1031">
        <f t="shared" si="20"/>
        <v>1</v>
      </c>
      <c r="K1031">
        <f>145159009/(1000)</f>
        <v>145159.00899999999</v>
      </c>
      <c r="L1031">
        <v>8.3018302917480504</v>
      </c>
      <c r="M1031">
        <v>12.0682592391968</v>
      </c>
      <c r="N1031">
        <v>132.73742045597299</v>
      </c>
      <c r="O1031">
        <v>410.78347778320301</v>
      </c>
      <c r="P1031">
        <v>0.87999999523162797</v>
      </c>
      <c r="Q1031">
        <v>0.837806310853771</v>
      </c>
      <c r="R1031">
        <v>6.9038460441815399</v>
      </c>
      <c r="S1031">
        <v>131.199350032137</v>
      </c>
      <c r="T1031">
        <v>0</v>
      </c>
      <c r="U1031">
        <v>0</v>
      </c>
      <c r="V1031">
        <v>0</v>
      </c>
      <c r="W1031">
        <v>0</v>
      </c>
    </row>
    <row r="1032" spans="1:23" x14ac:dyDescent="0.55000000000000004">
      <c r="A1032" t="s">
        <v>2072</v>
      </c>
      <c r="B1032" t="s">
        <v>2073</v>
      </c>
      <c r="C1032" t="s">
        <v>38</v>
      </c>
      <c r="D1032">
        <v>21.98</v>
      </c>
      <c r="E1032">
        <f>294964992/(1000)</f>
        <v>294964.99200000003</v>
      </c>
      <c r="F1032">
        <f>301894016/(1000)</f>
        <v>301894.016</v>
      </c>
      <c r="G1032">
        <f>38345000/(1000)</f>
        <v>38345</v>
      </c>
      <c r="H1032">
        <f>271364992/(1000)</f>
        <v>271364.99200000003</v>
      </c>
      <c r="I1032">
        <f>50113000/(1000)</f>
        <v>50113</v>
      </c>
      <c r="J1032">
        <f t="shared" si="20"/>
        <v>5.4150618003312515E-3</v>
      </c>
      <c r="K1032">
        <f>22509999/(1000)</f>
        <v>22509.999</v>
      </c>
      <c r="L1032">
        <v>22.009086608886701</v>
      </c>
      <c r="M1032">
        <v>26.637050628662099</v>
      </c>
      <c r="N1032">
        <v>58.966297273759302</v>
      </c>
      <c r="O1032">
        <v>0</v>
      </c>
      <c r="P1032">
        <v>0</v>
      </c>
      <c r="Q1032">
        <v>0</v>
      </c>
      <c r="R1032">
        <v>13.484662088749699</v>
      </c>
      <c r="S1032">
        <v>6.7608340170311596</v>
      </c>
      <c r="T1032">
        <v>0</v>
      </c>
      <c r="U1032">
        <v>0</v>
      </c>
      <c r="V1032">
        <v>0</v>
      </c>
      <c r="W1032">
        <v>0</v>
      </c>
    </row>
    <row r="1033" spans="1:23" x14ac:dyDescent="0.55000000000000004">
      <c r="A1033" t="s">
        <v>2074</v>
      </c>
      <c r="B1033" t="s">
        <v>2075</v>
      </c>
      <c r="C1033" t="s">
        <v>20</v>
      </c>
      <c r="D1033">
        <v>19.989999999999998</v>
      </c>
      <c r="E1033">
        <f>167740096/(1000)</f>
        <v>167740.09599999999</v>
      </c>
      <c r="F1033">
        <f>301764992/(1000)</f>
        <v>301764.99200000003</v>
      </c>
      <c r="G1033">
        <f>-13961000/(1000)</f>
        <v>-13961</v>
      </c>
      <c r="H1033">
        <f>61613096/(1000)</f>
        <v>61613.095999999998</v>
      </c>
      <c r="I1033">
        <f>-10780000/(1000)</f>
        <v>-10780</v>
      </c>
      <c r="J1033">
        <f t="shared" si="20"/>
        <v>-5.7155005565862711E-3</v>
      </c>
      <c r="K1033">
        <f>-8619999/(1000)</f>
        <v>-8619.9989999999998</v>
      </c>
      <c r="L1033">
        <v>0</v>
      </c>
      <c r="M1033">
        <v>-3.2299230098724401</v>
      </c>
      <c r="N1033">
        <v>81.313756633708806</v>
      </c>
      <c r="O1033">
        <v>0</v>
      </c>
      <c r="P1033">
        <v>0.72000002861022905</v>
      </c>
      <c r="Q1033">
        <v>0</v>
      </c>
      <c r="R1033">
        <v>0</v>
      </c>
      <c r="S1033">
        <v>-28.375446810572701</v>
      </c>
      <c r="T1033">
        <v>0</v>
      </c>
      <c r="U1033">
        <v>0</v>
      </c>
      <c r="V1033">
        <v>0</v>
      </c>
      <c r="W1033">
        <v>0</v>
      </c>
    </row>
    <row r="1034" spans="1:23" x14ac:dyDescent="0.55000000000000004">
      <c r="A1034" t="s">
        <v>2076</v>
      </c>
      <c r="B1034" t="s">
        <v>2077</v>
      </c>
      <c r="C1034" t="s">
        <v>94</v>
      </c>
      <c r="D1034">
        <v>32.979999999999997</v>
      </c>
      <c r="E1034">
        <f>570187904/(1000)</f>
        <v>570187.90399999998</v>
      </c>
      <c r="F1034">
        <f>301369984/(1000)</f>
        <v>301369.984</v>
      </c>
      <c r="G1034">
        <f>65048000/(1000)</f>
        <v>65048</v>
      </c>
      <c r="H1034">
        <f>902009920/(1000)</f>
        <v>902009.92</v>
      </c>
      <c r="I1034">
        <f>93989000/(1000)</f>
        <v>93989</v>
      </c>
      <c r="J1034">
        <f t="shared" si="20"/>
        <v>9.5969732628286303E-3</v>
      </c>
      <c r="K1034">
        <f>1155001/(1000)</f>
        <v>1155.001</v>
      </c>
      <c r="L1034">
        <v>26.693351745605501</v>
      </c>
      <c r="M1034">
        <v>9.5687904357910192</v>
      </c>
      <c r="N1034">
        <v>98.8015410415492</v>
      </c>
      <c r="O1034">
        <v>100.961837768555</v>
      </c>
      <c r="P1034">
        <v>1</v>
      </c>
      <c r="Q1034">
        <v>1.82008819065991</v>
      </c>
      <c r="R1034">
        <v>23.225352004782302</v>
      </c>
      <c r="S1034">
        <v>44.054872266145502</v>
      </c>
      <c r="T1034">
        <v>0</v>
      </c>
      <c r="U1034">
        <v>0</v>
      </c>
      <c r="V1034">
        <v>0</v>
      </c>
      <c r="W1034">
        <v>0</v>
      </c>
    </row>
    <row r="1035" spans="1:23" x14ac:dyDescent="0.55000000000000004">
      <c r="A1035" t="s">
        <v>2078</v>
      </c>
      <c r="B1035" t="s">
        <v>2079</v>
      </c>
      <c r="C1035" t="s">
        <v>38</v>
      </c>
      <c r="D1035">
        <v>26.23</v>
      </c>
      <c r="E1035">
        <f>361286784/(1000)</f>
        <v>361286.78399999999</v>
      </c>
      <c r="F1035">
        <f>301071008/(1000)</f>
        <v>301071.00799999997</v>
      </c>
      <c r="G1035">
        <f>28557000/(1000)</f>
        <v>28557</v>
      </c>
      <c r="H1035">
        <f>380313784/(1000)</f>
        <v>380313.78399999999</v>
      </c>
      <c r="I1035">
        <f>31983000/(1000)</f>
        <v>31983</v>
      </c>
      <c r="J1035">
        <f t="shared" si="20"/>
        <v>1.189112290904543E-2</v>
      </c>
      <c r="K1035">
        <f>-1847999/(1000)</f>
        <v>-1847.999</v>
      </c>
      <c r="L1035">
        <v>27.041477203369102</v>
      </c>
      <c r="M1035">
        <v>16.7199306488037</v>
      </c>
      <c r="N1035">
        <v>77.791895342728097</v>
      </c>
      <c r="O1035">
        <v>31.241874694824201</v>
      </c>
      <c r="P1035">
        <v>0</v>
      </c>
      <c r="Q1035">
        <v>0</v>
      </c>
      <c r="R1035">
        <v>23.0087715162474</v>
      </c>
      <c r="S1035">
        <v>176.12580296054401</v>
      </c>
      <c r="T1035">
        <v>0</v>
      </c>
      <c r="U1035">
        <v>0</v>
      </c>
      <c r="V1035">
        <v>0</v>
      </c>
      <c r="W1035">
        <v>0</v>
      </c>
    </row>
    <row r="1036" spans="1:23" x14ac:dyDescent="0.55000000000000004">
      <c r="A1036" t="s">
        <v>2080</v>
      </c>
      <c r="B1036" t="s">
        <v>2081</v>
      </c>
      <c r="C1036" t="s">
        <v>5</v>
      </c>
      <c r="D1036">
        <v>4.72</v>
      </c>
      <c r="E1036">
        <f>145443872/(1000)</f>
        <v>145443.872</v>
      </c>
      <c r="F1036">
        <f>299467008/(1000)</f>
        <v>299467.00799999997</v>
      </c>
      <c r="G1036">
        <f>7645000/(1000)</f>
        <v>7645</v>
      </c>
      <c r="H1036">
        <f>80703872/(1000)</f>
        <v>80703.872000000003</v>
      </c>
      <c r="I1036">
        <f>13887000/(1000)</f>
        <v>13887</v>
      </c>
      <c r="J1036">
        <f t="shared" si="20"/>
        <v>5.8114691438035573E-3</v>
      </c>
      <c r="K1036">
        <f>1359001.25/(1000)</f>
        <v>1359.00125</v>
      </c>
      <c r="L1036">
        <v>0</v>
      </c>
      <c r="M1036">
        <v>7.3979999870060001E-3</v>
      </c>
      <c r="N1036">
        <v>68.950026523893001</v>
      </c>
      <c r="O1036">
        <v>71.678237915039105</v>
      </c>
      <c r="P1036">
        <v>0</v>
      </c>
      <c r="Q1036">
        <v>0.66013982199102295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</row>
    <row r="1037" spans="1:23" x14ac:dyDescent="0.55000000000000004">
      <c r="A1037" t="s">
        <v>2082</v>
      </c>
      <c r="B1037" t="s">
        <v>2083</v>
      </c>
      <c r="C1037" t="s">
        <v>5</v>
      </c>
      <c r="D1037">
        <v>6.46</v>
      </c>
      <c r="E1037">
        <f>173191296/(1000)</f>
        <v>173191.296</v>
      </c>
      <c r="F1037">
        <f>298952000/(1000)</f>
        <v>298952</v>
      </c>
      <c r="G1037">
        <f>63925000/(1000)</f>
        <v>63925</v>
      </c>
      <c r="H1037">
        <f>259216296/(1000)</f>
        <v>259216.296</v>
      </c>
      <c r="I1037">
        <f>108751000/(1000)</f>
        <v>108751</v>
      </c>
      <c r="J1037">
        <f t="shared" si="20"/>
        <v>2.3835762061958049E-3</v>
      </c>
      <c r="K1037">
        <f>-174994.421875/(1000)</f>
        <v>-174.994421875</v>
      </c>
      <c r="L1037">
        <v>0</v>
      </c>
      <c r="M1037">
        <v>10.2094736099243</v>
      </c>
      <c r="N1037">
        <v>85.354611700465597</v>
      </c>
      <c r="O1037">
        <v>17.182899475097699</v>
      </c>
      <c r="P1037">
        <v>0</v>
      </c>
      <c r="Q1037">
        <v>0.40937897005468599</v>
      </c>
      <c r="R1037">
        <v>7.3409091740354002</v>
      </c>
      <c r="S1037">
        <v>0</v>
      </c>
      <c r="T1037">
        <v>0</v>
      </c>
      <c r="U1037">
        <v>0</v>
      </c>
      <c r="V1037">
        <v>0</v>
      </c>
      <c r="W1037">
        <v>0</v>
      </c>
    </row>
    <row r="1038" spans="1:23" x14ac:dyDescent="0.55000000000000004">
      <c r="A1038" t="s">
        <v>2084</v>
      </c>
      <c r="B1038" t="s">
        <v>2085</v>
      </c>
      <c r="C1038" t="s">
        <v>184</v>
      </c>
      <c r="D1038">
        <v>52.92</v>
      </c>
      <c r="E1038">
        <f>807553920/(1000)</f>
        <v>807553.92</v>
      </c>
      <c r="F1038">
        <f>298748000/(1000)</f>
        <v>298748</v>
      </c>
      <c r="G1038">
        <f>0/(1000)</f>
        <v>0</v>
      </c>
      <c r="H1038">
        <f>0/(1000)</f>
        <v>0</v>
      </c>
      <c r="I1038">
        <f>0/(1000)</f>
        <v>0</v>
      </c>
      <c r="J1038">
        <f t="shared" si="20"/>
        <v>1</v>
      </c>
      <c r="K1038">
        <f>46916001/(1000)</f>
        <v>46916.000999999997</v>
      </c>
      <c r="L1038">
        <v>15.3083753585815</v>
      </c>
      <c r="M1038">
        <v>14.741564750671399</v>
      </c>
      <c r="N1038">
        <v>37.079535026355899</v>
      </c>
      <c r="O1038">
        <v>15.5419101715088</v>
      </c>
      <c r="P1038">
        <v>0.43999999761581399</v>
      </c>
      <c r="Q1038">
        <v>0</v>
      </c>
      <c r="R1038">
        <v>19.527674326208</v>
      </c>
      <c r="S1038">
        <v>47.638503485982099</v>
      </c>
      <c r="T1038">
        <v>0</v>
      </c>
      <c r="U1038">
        <v>0</v>
      </c>
      <c r="V1038">
        <v>0</v>
      </c>
      <c r="W1038">
        <v>0</v>
      </c>
    </row>
    <row r="1039" spans="1:23" x14ac:dyDescent="0.55000000000000004">
      <c r="A1039" t="s">
        <v>2086</v>
      </c>
      <c r="B1039" t="s">
        <v>2087</v>
      </c>
      <c r="C1039" t="s">
        <v>38</v>
      </c>
      <c r="D1039">
        <v>36</v>
      </c>
      <c r="E1039">
        <f>655585152/(1000)</f>
        <v>655585.152</v>
      </c>
      <c r="F1039">
        <f>298031008/(1000)</f>
        <v>298031.00799999997</v>
      </c>
      <c r="G1039">
        <f>38659000/(1000)</f>
        <v>38659</v>
      </c>
      <c r="H1039">
        <f>653673152/(1000)</f>
        <v>653673.152</v>
      </c>
      <c r="I1039">
        <f>41685000/(1000)</f>
        <v>41685</v>
      </c>
      <c r="J1039">
        <f t="shared" si="20"/>
        <v>1.5681255895406022E-2</v>
      </c>
      <c r="K1039">
        <f>8769001/(1000)</f>
        <v>8769.0010000000002</v>
      </c>
      <c r="L1039">
        <v>0</v>
      </c>
      <c r="M1039">
        <v>14.624141693115201</v>
      </c>
      <c r="N1039">
        <v>81.432348827999704</v>
      </c>
      <c r="O1039">
        <v>2.33592009544373</v>
      </c>
      <c r="P1039">
        <v>0</v>
      </c>
      <c r="Q1039">
        <v>3.66847962035455</v>
      </c>
      <c r="R1039">
        <v>23.841060223764899</v>
      </c>
      <c r="S1039">
        <v>0</v>
      </c>
      <c r="T1039">
        <v>0</v>
      </c>
      <c r="U1039">
        <v>0</v>
      </c>
      <c r="V1039">
        <v>0</v>
      </c>
      <c r="W1039">
        <v>0</v>
      </c>
    </row>
    <row r="1040" spans="1:23" x14ac:dyDescent="0.55000000000000004">
      <c r="A1040" t="s">
        <v>2088</v>
      </c>
      <c r="B1040" t="s">
        <v>2089</v>
      </c>
      <c r="C1040" t="s">
        <v>401</v>
      </c>
      <c r="D1040">
        <v>23.15</v>
      </c>
      <c r="E1040">
        <f>2413806336/(1000)</f>
        <v>2413806.3360000001</v>
      </c>
      <c r="F1040">
        <f>296512992/(1000)</f>
        <v>296512.99200000003</v>
      </c>
      <c r="G1040">
        <f>193106000/(1000)</f>
        <v>193106</v>
      </c>
      <c r="H1040">
        <f>4109034368/(1000)</f>
        <v>4109034.3679999998</v>
      </c>
      <c r="I1040">
        <f>274155008/(1000)</f>
        <v>274155.00799999997</v>
      </c>
      <c r="J1040">
        <f t="shared" si="20"/>
        <v>1.4987996746716369E-2</v>
      </c>
      <c r="K1040">
        <f>-188191007/(1000)</f>
        <v>-188191.00700000001</v>
      </c>
      <c r="L1040">
        <v>24.516654968261701</v>
      </c>
      <c r="M1040">
        <v>9.5267887115478498</v>
      </c>
      <c r="N1040">
        <v>97.545656821858302</v>
      </c>
      <c r="O1040">
        <v>95.572959899902301</v>
      </c>
      <c r="P1040">
        <v>1.70099997520447</v>
      </c>
      <c r="Q1040">
        <v>1.14888337750841</v>
      </c>
      <c r="R1040">
        <v>25.163043422275901</v>
      </c>
      <c r="S1040">
        <v>120.904120875584</v>
      </c>
      <c r="T1040">
        <v>0</v>
      </c>
      <c r="U1040">
        <v>0</v>
      </c>
      <c r="V1040">
        <v>0</v>
      </c>
      <c r="W1040">
        <v>0</v>
      </c>
    </row>
    <row r="1041" spans="1:23" x14ac:dyDescent="0.55000000000000004">
      <c r="A1041" t="s">
        <v>2090</v>
      </c>
      <c r="B1041" t="s">
        <v>2091</v>
      </c>
      <c r="C1041" t="s">
        <v>94</v>
      </c>
      <c r="D1041">
        <v>31.87</v>
      </c>
      <c r="E1041">
        <f>1445071872/(1000)</f>
        <v>1445071.872</v>
      </c>
      <c r="F1041">
        <f>295919008/(1000)</f>
        <v>295919.00799999997</v>
      </c>
      <c r="G1041">
        <f>43461000/(1000)</f>
        <v>43461</v>
      </c>
      <c r="H1041">
        <f>1873411872/(1000)</f>
        <v>1873411.872</v>
      </c>
      <c r="I1041">
        <f>93943000/(1000)</f>
        <v>93943</v>
      </c>
      <c r="J1041">
        <f t="shared" si="20"/>
        <v>1.9942006024930008E-2</v>
      </c>
      <c r="K1041">
        <f>-157633007/(1000)</f>
        <v>-157633.00700000001</v>
      </c>
      <c r="L1041">
        <v>0</v>
      </c>
      <c r="M1041">
        <v>5.1707611083984402</v>
      </c>
      <c r="N1041">
        <v>43.493659581853699</v>
      </c>
      <c r="O1041">
        <v>51.015338897705099</v>
      </c>
      <c r="P1041">
        <v>0.20000000298023199</v>
      </c>
      <c r="Q1041">
        <v>1.8942050159922501</v>
      </c>
      <c r="R1041">
        <v>27.332762096599001</v>
      </c>
      <c r="S1041">
        <v>245.58269745063001</v>
      </c>
      <c r="T1041">
        <v>0</v>
      </c>
      <c r="U1041">
        <v>0</v>
      </c>
      <c r="V1041">
        <v>0</v>
      </c>
      <c r="W1041">
        <v>0</v>
      </c>
    </row>
    <row r="1042" spans="1:23" x14ac:dyDescent="0.55000000000000004">
      <c r="A1042" t="s">
        <v>2092</v>
      </c>
      <c r="B1042" t="s">
        <v>2093</v>
      </c>
      <c r="C1042" t="s">
        <v>20</v>
      </c>
      <c r="D1042">
        <v>2.27</v>
      </c>
      <c r="E1042">
        <f>107150584/(1000)</f>
        <v>107150.584</v>
      </c>
      <c r="F1042">
        <f>295909664/(1000)</f>
        <v>295909.66399999999</v>
      </c>
      <c r="G1042">
        <f>24139518/(1000)</f>
        <v>24139.518</v>
      </c>
      <c r="H1042">
        <f>194703016/(1000)</f>
        <v>194703.016</v>
      </c>
      <c r="I1042">
        <f>36689260/(1000)</f>
        <v>36689.26</v>
      </c>
      <c r="J1042">
        <f t="shared" si="20"/>
        <v>5.3068122932978202E-3</v>
      </c>
      <c r="K1042">
        <f>-7947043/(1000)</f>
        <v>-7947.0429999999997</v>
      </c>
      <c r="L1042">
        <v>30.488559722900401</v>
      </c>
      <c r="M1042">
        <v>13.3197994232178</v>
      </c>
      <c r="N1042">
        <v>76.025837503718506</v>
      </c>
      <c r="O1042">
        <v>164.02409362793</v>
      </c>
      <c r="P1042">
        <v>0</v>
      </c>
      <c r="Q1042">
        <v>0</v>
      </c>
      <c r="R1042">
        <v>0</v>
      </c>
      <c r="S1042">
        <v>195.99550269578199</v>
      </c>
      <c r="T1042">
        <v>0</v>
      </c>
      <c r="U1042">
        <v>0</v>
      </c>
      <c r="V1042">
        <v>0</v>
      </c>
      <c r="W1042">
        <v>0</v>
      </c>
    </row>
    <row r="1043" spans="1:23" x14ac:dyDescent="0.55000000000000004">
      <c r="A1043" t="s">
        <v>2094</v>
      </c>
      <c r="B1043" t="s">
        <v>2095</v>
      </c>
      <c r="C1043" t="s">
        <v>184</v>
      </c>
      <c r="D1043">
        <v>51.15</v>
      </c>
      <c r="E1043">
        <f>1477580288/(1000)</f>
        <v>1477580.2879999999</v>
      </c>
      <c r="F1043">
        <f>295150016/(1000)</f>
        <v>295150.016</v>
      </c>
      <c r="G1043">
        <f>0/(1000)</f>
        <v>0</v>
      </c>
      <c r="H1043">
        <f>0/(1000)</f>
        <v>0</v>
      </c>
      <c r="I1043">
        <f>0/(1000)</f>
        <v>0</v>
      </c>
      <c r="J1043">
        <f t="shared" si="20"/>
        <v>1</v>
      </c>
      <c r="K1043">
        <f>106795001/(1000)</f>
        <v>106795.001</v>
      </c>
      <c r="L1043">
        <v>16.800947189331101</v>
      </c>
      <c r="M1043">
        <v>21.927658081054702</v>
      </c>
      <c r="N1043">
        <v>95.412156840062707</v>
      </c>
      <c r="O1043">
        <v>211.69935607910199</v>
      </c>
      <c r="P1043">
        <v>1.3999999761581401</v>
      </c>
      <c r="Q1043">
        <v>3.6097389732164902</v>
      </c>
      <c r="R1043">
        <v>16.607143442545599</v>
      </c>
      <c r="S1043">
        <v>7.6466956496367402</v>
      </c>
      <c r="T1043">
        <v>0</v>
      </c>
      <c r="U1043">
        <v>0</v>
      </c>
      <c r="V1043">
        <v>0</v>
      </c>
      <c r="W1043">
        <v>0</v>
      </c>
    </row>
    <row r="1044" spans="1:23" x14ac:dyDescent="0.55000000000000004">
      <c r="A1044" t="s">
        <v>2096</v>
      </c>
      <c r="B1044" t="s">
        <v>2097</v>
      </c>
      <c r="C1044" t="s">
        <v>38</v>
      </c>
      <c r="D1044">
        <v>24.16</v>
      </c>
      <c r="E1044">
        <f>1376673024/(1000)</f>
        <v>1376673.024</v>
      </c>
      <c r="F1044">
        <f>294620000/(1000)</f>
        <v>294620</v>
      </c>
      <c r="G1044">
        <f>41438000/(1000)</f>
        <v>41438</v>
      </c>
      <c r="H1044">
        <f>1330559012/(1000)</f>
        <v>1330559.0120000001</v>
      </c>
      <c r="I1044">
        <f>51107000/(1000)</f>
        <v>51107</v>
      </c>
      <c r="J1044">
        <f t="shared" si="20"/>
        <v>2.603477042283836E-2</v>
      </c>
      <c r="K1044">
        <f>95636001/(1000)</f>
        <v>95636.001000000004</v>
      </c>
      <c r="L1044">
        <v>0</v>
      </c>
      <c r="M1044">
        <v>69.131034851074205</v>
      </c>
      <c r="N1044">
        <v>99.521074867456505</v>
      </c>
      <c r="O1044">
        <v>354.60275268554699</v>
      </c>
      <c r="P1044">
        <v>0</v>
      </c>
      <c r="Q1044">
        <v>0</v>
      </c>
      <c r="R1044">
        <v>18.043315571757802</v>
      </c>
      <c r="S1044">
        <v>2465.03569562946</v>
      </c>
      <c r="T1044">
        <v>0</v>
      </c>
      <c r="U1044">
        <v>0</v>
      </c>
      <c r="V1044">
        <v>0</v>
      </c>
      <c r="W1044">
        <v>0</v>
      </c>
    </row>
    <row r="1045" spans="1:23" x14ac:dyDescent="0.55000000000000004">
      <c r="A1045" t="s">
        <v>2098</v>
      </c>
      <c r="B1045" t="s">
        <v>2099</v>
      </c>
      <c r="C1045" t="s">
        <v>8</v>
      </c>
      <c r="D1045">
        <v>22.82</v>
      </c>
      <c r="E1045">
        <f>1932997760/(1000)</f>
        <v>1932997.76</v>
      </c>
      <c r="F1045">
        <f>294332992/(1000)</f>
        <v>294332.99200000003</v>
      </c>
      <c r="G1045">
        <f>104743000/(1000)</f>
        <v>104743</v>
      </c>
      <c r="H1045">
        <f>2518324736/(1000)</f>
        <v>2518324.736</v>
      </c>
      <c r="I1045">
        <f>181522000/(1000)</f>
        <v>181522</v>
      </c>
      <c r="J1045">
        <f t="shared" si="20"/>
        <v>1.3873385793457543E-2</v>
      </c>
      <c r="K1045">
        <f>4323001/(1000)</f>
        <v>4323.0010000000002</v>
      </c>
      <c r="L1045">
        <v>0</v>
      </c>
      <c r="M1045">
        <v>3.7488319873809801</v>
      </c>
      <c r="N1045">
        <v>79.685573486051595</v>
      </c>
      <c r="O1045">
        <v>42.952781677246101</v>
      </c>
      <c r="P1045">
        <v>0</v>
      </c>
      <c r="Q1045">
        <v>1.5792387540512201</v>
      </c>
      <c r="R1045">
        <v>11.82383399495</v>
      </c>
      <c r="S1045">
        <v>0</v>
      </c>
      <c r="T1045">
        <v>0</v>
      </c>
      <c r="U1045">
        <v>0</v>
      </c>
      <c r="V1045">
        <v>0</v>
      </c>
      <c r="W1045">
        <v>0</v>
      </c>
    </row>
    <row r="1046" spans="1:23" x14ac:dyDescent="0.55000000000000004">
      <c r="A1046" t="s">
        <v>2100</v>
      </c>
      <c r="B1046" t="s">
        <v>2101</v>
      </c>
      <c r="C1046" t="s">
        <v>5</v>
      </c>
      <c r="D1046">
        <v>1.08</v>
      </c>
      <c r="E1046">
        <f>57687120/(1000)</f>
        <v>57687.12</v>
      </c>
      <c r="F1046">
        <f>293802016/(1000)</f>
        <v>293802.016</v>
      </c>
      <c r="G1046">
        <f>-14015000/(1000)</f>
        <v>-14015</v>
      </c>
      <c r="H1046">
        <f>72648119/(1000)</f>
        <v>72648.119000000006</v>
      </c>
      <c r="I1046">
        <f>-4859000/(1000)</f>
        <v>-4859</v>
      </c>
      <c r="J1046">
        <f t="shared" si="20"/>
        <v>-1.4951249022432601E-2</v>
      </c>
      <c r="K1046">
        <f>6331001.5/(1000)</f>
        <v>6331.0015000000003</v>
      </c>
      <c r="L1046">
        <v>0</v>
      </c>
      <c r="M1046">
        <v>-4.2311072349548304</v>
      </c>
      <c r="N1046">
        <v>92.362112268392906</v>
      </c>
      <c r="O1046">
        <v>0</v>
      </c>
      <c r="P1046">
        <v>0</v>
      </c>
      <c r="Q1046">
        <v>0</v>
      </c>
      <c r="R1046">
        <v>0</v>
      </c>
      <c r="S1046">
        <v>19.936327881495799</v>
      </c>
      <c r="T1046">
        <v>0</v>
      </c>
      <c r="U1046">
        <v>0</v>
      </c>
      <c r="V1046">
        <v>0</v>
      </c>
      <c r="W1046">
        <v>0</v>
      </c>
    </row>
    <row r="1047" spans="1:23" x14ac:dyDescent="0.55000000000000004">
      <c r="A1047" t="s">
        <v>2102</v>
      </c>
      <c r="B1047" t="s">
        <v>2103</v>
      </c>
      <c r="C1047" t="s">
        <v>184</v>
      </c>
      <c r="D1047">
        <v>10.99</v>
      </c>
      <c r="E1047">
        <f>456980704/(1000)</f>
        <v>456980.70400000003</v>
      </c>
      <c r="F1047">
        <f>293424000/(1000)</f>
        <v>293424</v>
      </c>
      <c r="G1047">
        <f>121325000/(1000)</f>
        <v>121325</v>
      </c>
      <c r="H1047">
        <f>353133704/(1000)</f>
        <v>353133.70400000003</v>
      </c>
      <c r="I1047">
        <f>139044000/(1000)</f>
        <v>139044</v>
      </c>
      <c r="J1047">
        <f t="shared" si="20"/>
        <v>2.5397263024654069E-3</v>
      </c>
      <c r="K1047">
        <f>111466001/(1000)</f>
        <v>111466.001</v>
      </c>
      <c r="L1047">
        <v>0</v>
      </c>
      <c r="M1047">
        <v>28.852489471435501</v>
      </c>
      <c r="N1047">
        <v>34.993926740456999</v>
      </c>
      <c r="O1047">
        <v>0</v>
      </c>
      <c r="P1047">
        <v>0.40000000596046398</v>
      </c>
      <c r="Q1047">
        <v>1.4811320293957899</v>
      </c>
      <c r="R1047">
        <v>10.6699027552385</v>
      </c>
      <c r="S1047">
        <v>426.12289541159402</v>
      </c>
      <c r="T1047">
        <v>0</v>
      </c>
      <c r="U1047">
        <v>0</v>
      </c>
      <c r="V1047">
        <v>0</v>
      </c>
      <c r="W1047">
        <v>0</v>
      </c>
    </row>
    <row r="1048" spans="1:23" x14ac:dyDescent="0.55000000000000004">
      <c r="A1048" t="s">
        <v>2104</v>
      </c>
      <c r="B1048" t="s">
        <v>2105</v>
      </c>
      <c r="C1048" t="s">
        <v>20</v>
      </c>
      <c r="D1048">
        <v>26.52</v>
      </c>
      <c r="E1048">
        <f>226756608/(1000)</f>
        <v>226756.60800000001</v>
      </c>
      <c r="F1048">
        <f>291416000/(1000)</f>
        <v>291416</v>
      </c>
      <c r="G1048">
        <f>34912000/(1000)</f>
        <v>34912</v>
      </c>
      <c r="H1048">
        <f>184675608/(1000)</f>
        <v>184675.60800000001</v>
      </c>
      <c r="I1048">
        <f>42393000/(1000)</f>
        <v>42393</v>
      </c>
      <c r="J1048">
        <f t="shared" si="20"/>
        <v>4.3562759889604419E-3</v>
      </c>
      <c r="K1048">
        <f>-2454999/(1000)</f>
        <v>-2454.9989999999998</v>
      </c>
      <c r="L1048">
        <v>13.4361419677734</v>
      </c>
      <c r="M1048">
        <v>4.1397438049316397</v>
      </c>
      <c r="N1048">
        <v>61.248598130841103</v>
      </c>
      <c r="O1048">
        <v>24.780227661132798</v>
      </c>
      <c r="P1048">
        <v>0</v>
      </c>
      <c r="Q1048">
        <v>0</v>
      </c>
      <c r="R1048">
        <v>0</v>
      </c>
      <c r="S1048">
        <v>53.174484100499498</v>
      </c>
      <c r="T1048">
        <v>0</v>
      </c>
      <c r="U1048">
        <v>0</v>
      </c>
      <c r="V1048">
        <v>0</v>
      </c>
      <c r="W1048">
        <v>0</v>
      </c>
    </row>
    <row r="1049" spans="1:23" x14ac:dyDescent="0.55000000000000004">
      <c r="A1049" t="s">
        <v>2106</v>
      </c>
      <c r="B1049" t="s">
        <v>2107</v>
      </c>
      <c r="C1049" t="s">
        <v>5</v>
      </c>
      <c r="D1049">
        <v>12</v>
      </c>
      <c r="E1049">
        <f>329659200/(1000)</f>
        <v>329659.2</v>
      </c>
      <c r="F1049">
        <f>291373440/(1000)</f>
        <v>291373.44</v>
      </c>
      <c r="G1049">
        <f>21917308/(1000)</f>
        <v>21917.308000000001</v>
      </c>
      <c r="H1049">
        <f>365145348/(1000)</f>
        <v>365145.348</v>
      </c>
      <c r="I1049">
        <f>24402836/(1000)</f>
        <v>24402.835999999999</v>
      </c>
      <c r="J1049">
        <f t="shared" si="20"/>
        <v>1.4963234109346963E-2</v>
      </c>
      <c r="K1049">
        <f>-6377338/(1000)</f>
        <v>-6377.3379999999997</v>
      </c>
      <c r="L1049">
        <v>0</v>
      </c>
      <c r="M1049">
        <v>18.93186378479</v>
      </c>
      <c r="N1049">
        <v>71.723162473451794</v>
      </c>
      <c r="O1049">
        <v>34.575489044189503</v>
      </c>
      <c r="P1049">
        <v>0</v>
      </c>
      <c r="Q1049">
        <v>2.0547944668601499</v>
      </c>
      <c r="R1049">
        <v>11.538461631042701</v>
      </c>
      <c r="S1049">
        <v>0</v>
      </c>
      <c r="T1049">
        <v>0</v>
      </c>
      <c r="U1049">
        <v>0</v>
      </c>
      <c r="V1049">
        <v>0</v>
      </c>
      <c r="W1049">
        <v>0</v>
      </c>
    </row>
    <row r="1050" spans="1:23" x14ac:dyDescent="0.55000000000000004">
      <c r="A1050" t="s">
        <v>2108</v>
      </c>
      <c r="B1050" t="s">
        <v>2109</v>
      </c>
      <c r="C1050" t="s">
        <v>5</v>
      </c>
      <c r="D1050">
        <v>26.96</v>
      </c>
      <c r="E1050">
        <f>489253888/(1000)</f>
        <v>489253.88799999998</v>
      </c>
      <c r="F1050">
        <f>291000000/(1000)</f>
        <v>291000</v>
      </c>
      <c r="G1050">
        <f>49457000/(1000)</f>
        <v>49457</v>
      </c>
      <c r="H1050">
        <f>332248896/(1000)</f>
        <v>332248.89600000001</v>
      </c>
      <c r="I1050">
        <f>75449000/(1000)</f>
        <v>75449</v>
      </c>
      <c r="J1050">
        <f t="shared" si="20"/>
        <v>4.403622261395115E-3</v>
      </c>
      <c r="K1050">
        <f>79192001/(1000)</f>
        <v>79192.001000000004</v>
      </c>
      <c r="L1050">
        <v>32.704463958740199</v>
      </c>
      <c r="M1050">
        <v>15.837943077087401</v>
      </c>
      <c r="N1050">
        <v>96.411607691195201</v>
      </c>
      <c r="O1050">
        <v>71.649322509765597</v>
      </c>
      <c r="P1050">
        <v>0</v>
      </c>
      <c r="Q1050">
        <v>0</v>
      </c>
      <c r="R1050">
        <v>13.087378370535999</v>
      </c>
      <c r="S1050">
        <v>39.5817344589409</v>
      </c>
      <c r="T1050">
        <v>0</v>
      </c>
      <c r="U1050">
        <v>0</v>
      </c>
      <c r="V1050">
        <v>0</v>
      </c>
      <c r="W1050">
        <v>0</v>
      </c>
    </row>
    <row r="1051" spans="1:23" x14ac:dyDescent="0.55000000000000004">
      <c r="A1051" t="s">
        <v>2110</v>
      </c>
      <c r="B1051" t="s">
        <v>2111</v>
      </c>
      <c r="C1051" t="s">
        <v>38</v>
      </c>
      <c r="D1051">
        <v>7.97</v>
      </c>
      <c r="E1051">
        <f>285569888/(1000)</f>
        <v>285569.88799999998</v>
      </c>
      <c r="F1051">
        <f>290921984/(1000)</f>
        <v>290921.984</v>
      </c>
      <c r="G1051">
        <f>13095000/(1000)</f>
        <v>13095</v>
      </c>
      <c r="H1051">
        <f>422789888/(1000)</f>
        <v>422789.88799999998</v>
      </c>
      <c r="I1051">
        <f>33093000/(1000)</f>
        <v>33093</v>
      </c>
      <c r="J1051">
        <f t="shared" si="20"/>
        <v>1.2775810231771068E-2</v>
      </c>
      <c r="K1051">
        <f>15810001/(1000)</f>
        <v>15810.001</v>
      </c>
      <c r="L1051">
        <v>0</v>
      </c>
      <c r="M1051">
        <v>-6.3385002315044001E-2</v>
      </c>
      <c r="N1051">
        <v>98.374292569705403</v>
      </c>
      <c r="O1051">
        <v>38.911994934082003</v>
      </c>
      <c r="P1051">
        <v>0</v>
      </c>
      <c r="Q1051">
        <v>0</v>
      </c>
      <c r="R1051">
        <v>27.482756569786801</v>
      </c>
      <c r="S1051">
        <v>344.868876511591</v>
      </c>
      <c r="T1051">
        <v>0</v>
      </c>
      <c r="U1051">
        <v>0</v>
      </c>
      <c r="V1051">
        <v>0</v>
      </c>
      <c r="W1051">
        <v>0</v>
      </c>
    </row>
    <row r="1052" spans="1:23" x14ac:dyDescent="0.55000000000000004">
      <c r="A1052" t="s">
        <v>2112</v>
      </c>
      <c r="B1052" t="s">
        <v>2113</v>
      </c>
      <c r="C1052" t="s">
        <v>38</v>
      </c>
      <c r="D1052">
        <v>10</v>
      </c>
      <c r="E1052">
        <f>160282000/(1000)</f>
        <v>160282</v>
      </c>
      <c r="F1052">
        <f>290528448/(1000)</f>
        <v>290528.44799999997</v>
      </c>
      <c r="G1052">
        <f>24780394/(1000)</f>
        <v>24780.394</v>
      </c>
      <c r="H1052">
        <f>215108000/(1000)</f>
        <v>215108</v>
      </c>
      <c r="I1052">
        <f>31023036/(1000)</f>
        <v>31023.036</v>
      </c>
      <c r="J1052">
        <f t="shared" si="20"/>
        <v>6.9338152461931833E-3</v>
      </c>
      <c r="K1052">
        <f>14006756/(1000)</f>
        <v>14006.755999999999</v>
      </c>
      <c r="L1052">
        <v>22.621568679809599</v>
      </c>
      <c r="M1052">
        <v>12.351764678955099</v>
      </c>
      <c r="N1052">
        <v>91.381439359077902</v>
      </c>
      <c r="O1052">
        <v>41.377620697021499</v>
      </c>
      <c r="P1052">
        <v>0</v>
      </c>
      <c r="Q1052">
        <v>1.31061596985739</v>
      </c>
      <c r="R1052">
        <v>15.6512159717964</v>
      </c>
      <c r="S1052">
        <v>177.16361832439799</v>
      </c>
      <c r="T1052">
        <v>0</v>
      </c>
      <c r="U1052">
        <v>0</v>
      </c>
      <c r="V1052">
        <v>0</v>
      </c>
      <c r="W1052">
        <v>0</v>
      </c>
    </row>
    <row r="1053" spans="1:23" x14ac:dyDescent="0.55000000000000004">
      <c r="A1053" t="s">
        <v>2114</v>
      </c>
      <c r="B1053" t="s">
        <v>2115</v>
      </c>
      <c r="C1053" t="s">
        <v>2</v>
      </c>
      <c r="D1053">
        <v>7.04</v>
      </c>
      <c r="E1053">
        <f>288869504/(1000)</f>
        <v>288869.50400000002</v>
      </c>
      <c r="F1053">
        <f>290323008/(1000)</f>
        <v>290323.00799999997</v>
      </c>
      <c r="G1053">
        <f>15391000/(1000)</f>
        <v>15391</v>
      </c>
      <c r="H1053">
        <f>273721505/(1000)</f>
        <v>273721.505</v>
      </c>
      <c r="I1053">
        <f>19131000/(1000)</f>
        <v>19131</v>
      </c>
      <c r="J1053">
        <f t="shared" si="20"/>
        <v>1.430774685066123E-2</v>
      </c>
      <c r="K1053">
        <f>-225999/(1000)</f>
        <v>-225.999</v>
      </c>
      <c r="L1053">
        <v>0</v>
      </c>
      <c r="M1053">
        <v>16.219532012939499</v>
      </c>
      <c r="N1053">
        <v>57.685595764401803</v>
      </c>
      <c r="O1053">
        <v>2.5748269557952899</v>
      </c>
      <c r="P1053">
        <v>0</v>
      </c>
      <c r="Q1053">
        <v>0</v>
      </c>
      <c r="R1053">
        <v>13.2830187660725</v>
      </c>
      <c r="S1053">
        <v>0</v>
      </c>
      <c r="T1053">
        <v>0</v>
      </c>
      <c r="U1053">
        <v>0</v>
      </c>
      <c r="V1053">
        <v>0</v>
      </c>
      <c r="W1053">
        <v>0</v>
      </c>
    </row>
    <row r="1054" spans="1:23" x14ac:dyDescent="0.55000000000000004">
      <c r="A1054" t="s">
        <v>2116</v>
      </c>
      <c r="B1054" t="s">
        <v>2117</v>
      </c>
      <c r="C1054" t="s">
        <v>2</v>
      </c>
      <c r="D1054">
        <v>5.39</v>
      </c>
      <c r="E1054">
        <f>196863824/(1000)</f>
        <v>196863.82399999999</v>
      </c>
      <c r="F1054">
        <f>290286976/(1000)</f>
        <v>290286.97600000002</v>
      </c>
      <c r="G1054">
        <f>20647000/(1000)</f>
        <v>20647</v>
      </c>
      <c r="H1054">
        <f>198944822.125/(1000)</f>
        <v>198944.82212500001</v>
      </c>
      <c r="I1054">
        <f>25419000/(1000)</f>
        <v>25419</v>
      </c>
      <c r="J1054">
        <f t="shared" si="20"/>
        <v>7.8266187546717023E-3</v>
      </c>
      <c r="K1054">
        <f>8557000/(1000)</f>
        <v>8557</v>
      </c>
      <c r="L1054">
        <v>0</v>
      </c>
      <c r="M1054">
        <v>17.9860515594482</v>
      </c>
      <c r="N1054">
        <v>94.526873831077296</v>
      </c>
      <c r="O1054">
        <v>58.407375335693402</v>
      </c>
      <c r="P1054">
        <v>0</v>
      </c>
      <c r="Q1054">
        <v>0</v>
      </c>
      <c r="R1054">
        <v>9.7999996775930605</v>
      </c>
      <c r="S1054">
        <v>0</v>
      </c>
      <c r="T1054">
        <v>0</v>
      </c>
      <c r="U1054">
        <v>0</v>
      </c>
      <c r="V1054">
        <v>0</v>
      </c>
      <c r="W1054">
        <v>0</v>
      </c>
    </row>
    <row r="1055" spans="1:23" x14ac:dyDescent="0.55000000000000004">
      <c r="A1055" t="s">
        <v>2118</v>
      </c>
      <c r="B1055" t="s">
        <v>2119</v>
      </c>
      <c r="C1055" t="s">
        <v>5</v>
      </c>
      <c r="D1055">
        <v>5.19</v>
      </c>
      <c r="E1055">
        <f>114306640/(1000)</f>
        <v>114306.64</v>
      </c>
      <c r="F1055">
        <f>289035008/(1000)</f>
        <v>289035.00799999997</v>
      </c>
      <c r="G1055">
        <f>53291000/(1000)</f>
        <v>53291</v>
      </c>
      <c r="H1055">
        <f>146118640/(1000)</f>
        <v>146118.64000000001</v>
      </c>
      <c r="I1055">
        <f>92363000/(1000)</f>
        <v>92363</v>
      </c>
      <c r="J1055">
        <f t="shared" si="20"/>
        <v>1.582004049240497E-3</v>
      </c>
      <c r="K1055">
        <f>14526002/(1000)</f>
        <v>14526.002</v>
      </c>
      <c r="L1055">
        <v>0</v>
      </c>
      <c r="M1055">
        <v>16.620643615722699</v>
      </c>
      <c r="N1055">
        <v>64.174277363663293</v>
      </c>
      <c r="O1055">
        <v>8.5094556808471697</v>
      </c>
      <c r="P1055">
        <v>0</v>
      </c>
      <c r="Q1055">
        <v>0.51848151234260298</v>
      </c>
      <c r="R1055">
        <v>7.4461979474067697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55000000000000004">
      <c r="A1056" t="s">
        <v>2120</v>
      </c>
      <c r="B1056" t="s">
        <v>2121</v>
      </c>
      <c r="C1056" t="s">
        <v>2</v>
      </c>
      <c r="D1056">
        <v>6.55</v>
      </c>
      <c r="E1056">
        <f>318049664/(1000)</f>
        <v>318049.66399999999</v>
      </c>
      <c r="F1056">
        <f>288431264/(1000)</f>
        <v>288431.26400000002</v>
      </c>
      <c r="G1056">
        <f>23190292/(1000)</f>
        <v>23190.292000000001</v>
      </c>
      <c r="H1056">
        <f>321385202/(1000)</f>
        <v>321385.20199999999</v>
      </c>
      <c r="I1056">
        <f>25405836/(1000)</f>
        <v>25405.835999999999</v>
      </c>
      <c r="J1056">
        <f t="shared" si="20"/>
        <v>1.2650054184400782E-2</v>
      </c>
      <c r="K1056">
        <f>5623802/(1000)</f>
        <v>5623.8019999999997</v>
      </c>
      <c r="L1056">
        <v>0</v>
      </c>
      <c r="M1056">
        <v>19.662834167480501</v>
      </c>
      <c r="N1056">
        <v>61.3266398192659</v>
      </c>
      <c r="O1056">
        <v>0.14580599963665</v>
      </c>
      <c r="P1056">
        <v>0</v>
      </c>
      <c r="Q1056">
        <v>1.9152046914082901</v>
      </c>
      <c r="R1056">
        <v>15.232558857595199</v>
      </c>
      <c r="S1056">
        <v>0</v>
      </c>
      <c r="T1056">
        <v>0</v>
      </c>
      <c r="U1056">
        <v>0</v>
      </c>
      <c r="V1056">
        <v>0</v>
      </c>
      <c r="W1056">
        <v>0</v>
      </c>
    </row>
    <row r="1057" spans="1:23" x14ac:dyDescent="0.55000000000000004">
      <c r="A1057" t="s">
        <v>2122</v>
      </c>
      <c r="B1057" t="s">
        <v>2123</v>
      </c>
      <c r="C1057" t="s">
        <v>5</v>
      </c>
      <c r="D1057">
        <v>25.87</v>
      </c>
      <c r="E1057">
        <f>392817856/(1000)</f>
        <v>392817.85600000003</v>
      </c>
      <c r="F1057">
        <f>287879008/(1000)</f>
        <v>287879.00799999997</v>
      </c>
      <c r="G1057">
        <f>19267000/(1000)</f>
        <v>19267</v>
      </c>
      <c r="H1057">
        <f>307938856/(1000)</f>
        <v>307938.85600000003</v>
      </c>
      <c r="I1057">
        <f>28933000/(1000)</f>
        <v>28933</v>
      </c>
      <c r="J1057">
        <f t="shared" si="20"/>
        <v>1.0643170635606403E-2</v>
      </c>
      <c r="K1057">
        <f>24155001/(1000)</f>
        <v>24155.001</v>
      </c>
      <c r="L1057">
        <v>31.1555881500244</v>
      </c>
      <c r="M1057">
        <v>8.1458635330200195</v>
      </c>
      <c r="N1057">
        <v>98.945618710036598</v>
      </c>
      <c r="O1057">
        <v>5.5518231391906703</v>
      </c>
      <c r="P1057">
        <v>0</v>
      </c>
      <c r="Q1057">
        <v>0</v>
      </c>
      <c r="R1057">
        <v>19.451128694630899</v>
      </c>
      <c r="S1057">
        <v>22.101114118398399</v>
      </c>
      <c r="T1057">
        <v>0</v>
      </c>
      <c r="U1057">
        <v>0</v>
      </c>
      <c r="V1057">
        <v>0</v>
      </c>
      <c r="W1057">
        <v>0</v>
      </c>
    </row>
    <row r="1058" spans="1:23" x14ac:dyDescent="0.55000000000000004">
      <c r="A1058" t="s">
        <v>2124</v>
      </c>
      <c r="B1058" t="s">
        <v>2125</v>
      </c>
      <c r="C1058" t="s">
        <v>184</v>
      </c>
      <c r="D1058">
        <v>27.21</v>
      </c>
      <c r="E1058">
        <f>722722112/(1000)</f>
        <v>722722.11199999996</v>
      </c>
      <c r="F1058">
        <f>287456992/(1000)</f>
        <v>287456.99200000003</v>
      </c>
      <c r="G1058">
        <f>0/(1000)</f>
        <v>0</v>
      </c>
      <c r="H1058">
        <f>0/(1000)</f>
        <v>0</v>
      </c>
      <c r="I1058">
        <f>0/(1000)</f>
        <v>0</v>
      </c>
      <c r="J1058">
        <f t="shared" si="20"/>
        <v>1</v>
      </c>
      <c r="K1058">
        <f>49248001/(1000)</f>
        <v>49248.000999999997</v>
      </c>
      <c r="L1058">
        <v>14.9466409683228</v>
      </c>
      <c r="M1058">
        <v>8.9589385986328107</v>
      </c>
      <c r="N1058">
        <v>92.645204966607807</v>
      </c>
      <c r="O1058">
        <v>145.83996582031301</v>
      </c>
      <c r="P1058">
        <v>1.12000000476837</v>
      </c>
      <c r="Q1058">
        <v>1.2267808255224899</v>
      </c>
      <c r="R1058">
        <v>15.2865163293538</v>
      </c>
      <c r="S1058">
        <v>40.9054496794542</v>
      </c>
      <c r="T1058">
        <v>0</v>
      </c>
      <c r="U1058">
        <v>0</v>
      </c>
      <c r="V1058">
        <v>0</v>
      </c>
      <c r="W1058">
        <v>0</v>
      </c>
    </row>
    <row r="1059" spans="1:23" x14ac:dyDescent="0.55000000000000004">
      <c r="A1059" t="s">
        <v>2126</v>
      </c>
      <c r="B1059" t="s">
        <v>2127</v>
      </c>
      <c r="C1059" t="s">
        <v>81</v>
      </c>
      <c r="D1059">
        <v>1.6</v>
      </c>
      <c r="E1059">
        <f>244930880/(1000)</f>
        <v>244930.88</v>
      </c>
      <c r="F1059">
        <f>286282976/(1000)</f>
        <v>286282.97600000002</v>
      </c>
      <c r="G1059">
        <f>3015000/(1000)</f>
        <v>3015</v>
      </c>
      <c r="H1059">
        <f>301010880/(1000)</f>
        <v>301010.88</v>
      </c>
      <c r="I1059">
        <f>16075001/(1000)</f>
        <v>16075.001</v>
      </c>
      <c r="J1059">
        <f t="shared" si="20"/>
        <v>1.8725403500752504E-2</v>
      </c>
      <c r="K1059">
        <f>5025000.5/(1000)</f>
        <v>5025.0005000000001</v>
      </c>
      <c r="L1059">
        <v>0</v>
      </c>
      <c r="M1059">
        <v>-3.8809480667114298</v>
      </c>
      <c r="N1059">
        <v>93.317558187901597</v>
      </c>
      <c r="O1059">
        <v>1.05365002155304</v>
      </c>
      <c r="P1059">
        <v>0</v>
      </c>
      <c r="Q1059">
        <v>1.3223140276029599</v>
      </c>
      <c r="R1059">
        <v>40.000001490116198</v>
      </c>
      <c r="S1059">
        <v>8.1893056444148904</v>
      </c>
      <c r="T1059">
        <v>0</v>
      </c>
      <c r="U1059">
        <v>0</v>
      </c>
      <c r="V1059">
        <v>0</v>
      </c>
      <c r="W1059">
        <v>0</v>
      </c>
    </row>
    <row r="1060" spans="1:23" x14ac:dyDescent="0.55000000000000004">
      <c r="A1060" t="s">
        <v>2128</v>
      </c>
      <c r="B1060" t="s">
        <v>2129</v>
      </c>
      <c r="C1060" t="s">
        <v>38</v>
      </c>
      <c r="D1060">
        <v>1.45</v>
      </c>
      <c r="E1060">
        <f>17866466/(1000)</f>
        <v>17866.466</v>
      </c>
      <c r="F1060">
        <f>285166624/(1000)</f>
        <v>285166.62400000001</v>
      </c>
      <c r="G1060">
        <f>25712168/(1000)</f>
        <v>25712.168000000001</v>
      </c>
      <c r="H1060">
        <f>227661586/(1000)</f>
        <v>227661.58600000001</v>
      </c>
      <c r="I1060">
        <f>30701262/(1000)</f>
        <v>30701.261999999999</v>
      </c>
      <c r="J1060">
        <f t="shared" si="20"/>
        <v>7.4153820126351818E-3</v>
      </c>
      <c r="K1060">
        <f>16255242/(1000)</f>
        <v>16255.242</v>
      </c>
      <c r="L1060">
        <v>28.287542343139599</v>
      </c>
      <c r="M1060">
        <v>8.4710006713867205</v>
      </c>
      <c r="N1060">
        <v>79.049968137586305</v>
      </c>
      <c r="O1060">
        <v>130.32789611816401</v>
      </c>
      <c r="P1060">
        <v>0</v>
      </c>
      <c r="Q1060">
        <v>0</v>
      </c>
      <c r="R1060">
        <v>0</v>
      </c>
      <c r="S1060">
        <v>751.65036126804705</v>
      </c>
      <c r="T1060">
        <v>0</v>
      </c>
      <c r="U1060">
        <v>0</v>
      </c>
      <c r="V1060">
        <v>0</v>
      </c>
      <c r="W1060">
        <v>0</v>
      </c>
    </row>
    <row r="1061" spans="1:23" x14ac:dyDescent="0.55000000000000004">
      <c r="A1061" t="s">
        <v>2130</v>
      </c>
      <c r="B1061" t="s">
        <v>2131</v>
      </c>
      <c r="C1061" t="s">
        <v>31</v>
      </c>
      <c r="D1061">
        <v>11.27</v>
      </c>
      <c r="E1061">
        <f>680854464/(1000)</f>
        <v>680854.46400000004</v>
      </c>
      <c r="F1061">
        <f>284790016/(1000)</f>
        <v>284790.016</v>
      </c>
      <c r="G1061">
        <f>43187000/(1000)</f>
        <v>43187</v>
      </c>
      <c r="H1061">
        <f>442348464/(1000)</f>
        <v>442348.46399999998</v>
      </c>
      <c r="I1061">
        <f>53413000/(1000)</f>
        <v>53413</v>
      </c>
      <c r="J1061">
        <f t="shared" si="20"/>
        <v>8.2816629659446198E-3</v>
      </c>
      <c r="K1061">
        <f>57584001/(1000)</f>
        <v>57584.000999999997</v>
      </c>
      <c r="L1061">
        <v>31.816961288452099</v>
      </c>
      <c r="M1061">
        <v>11.5154876708984</v>
      </c>
      <c r="N1061">
        <v>97.955906450155496</v>
      </c>
      <c r="O1061">
        <v>0</v>
      </c>
      <c r="P1061">
        <v>0</v>
      </c>
      <c r="Q1061">
        <v>1.8814692635054799</v>
      </c>
      <c r="R1061">
        <v>16.1139276699198</v>
      </c>
      <c r="S1061">
        <v>47.591712186071597</v>
      </c>
      <c r="T1061">
        <v>0</v>
      </c>
      <c r="U1061">
        <v>0</v>
      </c>
      <c r="V1061">
        <v>0</v>
      </c>
      <c r="W1061">
        <v>0</v>
      </c>
    </row>
    <row r="1062" spans="1:23" x14ac:dyDescent="0.55000000000000004">
      <c r="A1062" t="s">
        <v>2132</v>
      </c>
      <c r="B1062" t="s">
        <v>2133</v>
      </c>
      <c r="C1062" t="s">
        <v>184</v>
      </c>
      <c r="D1062">
        <v>3.5</v>
      </c>
      <c r="E1062">
        <f>34746424/(1000)</f>
        <v>34746.423999999999</v>
      </c>
      <c r="F1062">
        <f>284544992/(1000)</f>
        <v>284544.99200000003</v>
      </c>
      <c r="G1062">
        <f>259883008/(1000)</f>
        <v>259883.008</v>
      </c>
      <c r="H1062">
        <f>4387226680/(1000)</f>
        <v>4387226.68</v>
      </c>
      <c r="I1062">
        <f>259740992/(1000)</f>
        <v>259740.992</v>
      </c>
      <c r="J1062">
        <f t="shared" si="20"/>
        <v>1.6890775099526838E-2</v>
      </c>
      <c r="K1062">
        <f>0/(1000)</f>
        <v>0</v>
      </c>
      <c r="L1062">
        <v>11.7340097427368</v>
      </c>
      <c r="M1062">
        <v>2.1990540027618399</v>
      </c>
      <c r="N1062">
        <v>99.770963162898099</v>
      </c>
      <c r="O1062">
        <v>2045.83642578125</v>
      </c>
      <c r="P1062">
        <v>0.40000000596046398</v>
      </c>
      <c r="Q1062">
        <v>0</v>
      </c>
      <c r="R1062">
        <v>0.71868582212238696</v>
      </c>
      <c r="S1062">
        <v>53.444812821535997</v>
      </c>
      <c r="T1062">
        <v>0</v>
      </c>
      <c r="U1062">
        <v>0</v>
      </c>
      <c r="V1062">
        <v>0</v>
      </c>
      <c r="W1062">
        <v>0</v>
      </c>
    </row>
    <row r="1063" spans="1:23" x14ac:dyDescent="0.55000000000000004">
      <c r="A1063" t="s">
        <v>2134</v>
      </c>
      <c r="B1063" t="s">
        <v>2135</v>
      </c>
      <c r="C1063" t="s">
        <v>38</v>
      </c>
      <c r="D1063">
        <v>8.75</v>
      </c>
      <c r="E1063">
        <f>586607040/(1000)</f>
        <v>586607.04</v>
      </c>
      <c r="F1063">
        <f>284332000/(1000)</f>
        <v>284332</v>
      </c>
      <c r="G1063">
        <f>32059000/(1000)</f>
        <v>32059</v>
      </c>
      <c r="H1063">
        <f>472352040/(1000)</f>
        <v>472352.04</v>
      </c>
      <c r="I1063">
        <f>45444000/(1000)</f>
        <v>45444</v>
      </c>
      <c r="J1063">
        <f t="shared" si="20"/>
        <v>1.0394156324267229E-2</v>
      </c>
      <c r="K1063">
        <f>45348001/(1000)</f>
        <v>45348.000999999997</v>
      </c>
      <c r="L1063">
        <v>0</v>
      </c>
      <c r="M1063">
        <v>29.197008132934599</v>
      </c>
      <c r="N1063">
        <v>82.011548725801703</v>
      </c>
      <c r="O1063">
        <v>0</v>
      </c>
      <c r="P1063">
        <v>0</v>
      </c>
      <c r="Q1063">
        <v>3.9149889980754802</v>
      </c>
      <c r="R1063">
        <v>28.225806573721801</v>
      </c>
      <c r="S1063">
        <v>277.12315140261302</v>
      </c>
      <c r="T1063">
        <v>0</v>
      </c>
      <c r="U1063">
        <v>0</v>
      </c>
      <c r="V1063">
        <v>0</v>
      </c>
      <c r="W1063">
        <v>0</v>
      </c>
    </row>
    <row r="1064" spans="1:23" x14ac:dyDescent="0.55000000000000004">
      <c r="A1064" t="s">
        <v>2136</v>
      </c>
      <c r="B1064" t="s">
        <v>2137</v>
      </c>
      <c r="C1064" t="s">
        <v>5</v>
      </c>
      <c r="D1064">
        <v>6.1</v>
      </c>
      <c r="E1064">
        <f>646058944/(1000)</f>
        <v>646058.94400000002</v>
      </c>
      <c r="F1064">
        <f>284183008/(1000)</f>
        <v>284183.00799999997</v>
      </c>
      <c r="G1064">
        <f>-80747000/(1000)</f>
        <v>-80747</v>
      </c>
      <c r="H1064">
        <f>609694944/(1000)</f>
        <v>609694.94400000002</v>
      </c>
      <c r="I1064">
        <f>-52021000/(1000)</f>
        <v>-52021</v>
      </c>
      <c r="J1064">
        <f t="shared" si="20"/>
        <v>-1.1720169623805772E-2</v>
      </c>
      <c r="K1064">
        <f>-62989999/(1000)</f>
        <v>-62989.999000000003</v>
      </c>
      <c r="L1064">
        <v>0</v>
      </c>
      <c r="M1064">
        <v>-26.2312316894531</v>
      </c>
      <c r="N1064">
        <v>91.182904372754194</v>
      </c>
      <c r="O1064">
        <v>1.0433169603347801</v>
      </c>
      <c r="P1064">
        <v>0</v>
      </c>
      <c r="Q1064">
        <v>0.68848760056501401</v>
      </c>
      <c r="R1064">
        <v>0</v>
      </c>
      <c r="S1064">
        <v>666.32242476539795</v>
      </c>
      <c r="T1064">
        <v>0</v>
      </c>
      <c r="U1064">
        <v>0</v>
      </c>
      <c r="V1064">
        <v>0</v>
      </c>
      <c r="W1064">
        <v>0</v>
      </c>
    </row>
    <row r="1065" spans="1:23" x14ac:dyDescent="0.55000000000000004">
      <c r="A1065" t="s">
        <v>2138</v>
      </c>
      <c r="B1065" t="s">
        <v>2139</v>
      </c>
      <c r="C1065" t="s">
        <v>5</v>
      </c>
      <c r="D1065">
        <v>1.75</v>
      </c>
      <c r="E1065">
        <f>113077128/(1000)</f>
        <v>113077.128</v>
      </c>
      <c r="F1065">
        <f>283497984/(1000)</f>
        <v>283497.984</v>
      </c>
      <c r="G1065">
        <f>9258000/(1000)</f>
        <v>9258</v>
      </c>
      <c r="H1065">
        <f>-57089880/(1000)</f>
        <v>-57089.88</v>
      </c>
      <c r="I1065">
        <f>19873000/(1000)</f>
        <v>19873</v>
      </c>
      <c r="J1065">
        <f t="shared" si="20"/>
        <v>-2.8727358727922304E-3</v>
      </c>
      <c r="K1065">
        <f>6454001/(1000)</f>
        <v>6454.0010000000002</v>
      </c>
      <c r="L1065">
        <v>0</v>
      </c>
      <c r="M1065">
        <v>5.5554919242858896</v>
      </c>
      <c r="N1065">
        <v>34.215628633498298</v>
      </c>
      <c r="O1065">
        <v>14.3361663818359</v>
      </c>
      <c r="P1065">
        <v>0</v>
      </c>
      <c r="Q1065">
        <v>0.34516764117318499</v>
      </c>
      <c r="R1065">
        <v>12.5000001130892</v>
      </c>
      <c r="S1065">
        <v>0</v>
      </c>
      <c r="T1065">
        <v>0</v>
      </c>
      <c r="U1065">
        <v>0</v>
      </c>
      <c r="V1065">
        <v>0</v>
      </c>
      <c r="W1065">
        <v>0</v>
      </c>
    </row>
    <row r="1066" spans="1:23" x14ac:dyDescent="0.55000000000000004">
      <c r="A1066" t="s">
        <v>2140</v>
      </c>
      <c r="B1066" t="s">
        <v>2141</v>
      </c>
      <c r="C1066" t="s">
        <v>5</v>
      </c>
      <c r="D1066">
        <v>3.28</v>
      </c>
      <c r="E1066">
        <f>291888192/(1000)</f>
        <v>291888.19199999998</v>
      </c>
      <c r="F1066">
        <f>283462016/(1000)</f>
        <v>283462.016</v>
      </c>
      <c r="G1066">
        <f>14066000/(1000)</f>
        <v>14066</v>
      </c>
      <c r="H1066">
        <f>2603993152/(1000)</f>
        <v>2603993.1519999998</v>
      </c>
      <c r="I1066">
        <f>64902000/(1000)</f>
        <v>64902</v>
      </c>
      <c r="J1066">
        <f t="shared" si="20"/>
        <v>4.012192462481895E-2</v>
      </c>
      <c r="K1066">
        <f>-23323001/(1000)</f>
        <v>-23323.001</v>
      </c>
      <c r="L1066">
        <v>0</v>
      </c>
      <c r="M1066">
        <v>3.1110889911651598</v>
      </c>
      <c r="N1066">
        <v>98.788179158046603</v>
      </c>
      <c r="O1066">
        <v>386.17095947265602</v>
      </c>
      <c r="P1066">
        <v>1.0299999713897701</v>
      </c>
      <c r="Q1066">
        <v>0.80788177773821102</v>
      </c>
      <c r="R1066">
        <v>0</v>
      </c>
      <c r="S1066">
        <v>22.8070506221048</v>
      </c>
      <c r="T1066">
        <v>0</v>
      </c>
      <c r="U1066">
        <v>0</v>
      </c>
      <c r="V1066">
        <v>0</v>
      </c>
      <c r="W1066">
        <v>0</v>
      </c>
    </row>
    <row r="1067" spans="1:23" x14ac:dyDescent="0.55000000000000004">
      <c r="A1067" t="s">
        <v>2142</v>
      </c>
      <c r="B1067" t="s">
        <v>2143</v>
      </c>
      <c r="C1067" t="s">
        <v>184</v>
      </c>
      <c r="D1067">
        <v>17.87</v>
      </c>
      <c r="E1067">
        <f>346574336/(1000)</f>
        <v>346574.33600000001</v>
      </c>
      <c r="F1067">
        <f>283186016/(1000)</f>
        <v>283186.016</v>
      </c>
      <c r="G1067">
        <f>0/(1000)</f>
        <v>0</v>
      </c>
      <c r="H1067">
        <f>296824336/(1000)</f>
        <v>296824.33600000001</v>
      </c>
      <c r="I1067">
        <f>0/(1000)</f>
        <v>0</v>
      </c>
      <c r="J1067">
        <f t="shared" si="20"/>
        <v>1</v>
      </c>
      <c r="K1067">
        <f>91082001/(1000)</f>
        <v>91082.001000000004</v>
      </c>
      <c r="L1067">
        <v>0</v>
      </c>
      <c r="M1067">
        <v>22.558456420898398</v>
      </c>
      <c r="N1067">
        <v>84.445352377906502</v>
      </c>
      <c r="O1067">
        <v>7.2667121887206996</v>
      </c>
      <c r="P1067">
        <v>0.239999994635582</v>
      </c>
      <c r="Q1067">
        <v>1.63794693759526</v>
      </c>
      <c r="R1067">
        <v>11.030864987501401</v>
      </c>
      <c r="S1067">
        <v>198.56195677385301</v>
      </c>
      <c r="T1067">
        <v>0</v>
      </c>
      <c r="U1067">
        <v>0</v>
      </c>
      <c r="V1067">
        <v>0</v>
      </c>
      <c r="W1067">
        <v>0</v>
      </c>
    </row>
    <row r="1068" spans="1:23" x14ac:dyDescent="0.55000000000000004">
      <c r="A1068" t="s">
        <v>2144</v>
      </c>
      <c r="B1068" t="s">
        <v>2145</v>
      </c>
      <c r="C1068" t="s">
        <v>38</v>
      </c>
      <c r="D1068">
        <v>9.92</v>
      </c>
      <c r="E1068">
        <f>1447378688/(1000)</f>
        <v>1447378.6880000001</v>
      </c>
      <c r="F1068">
        <f>281908000/(1000)</f>
        <v>281908</v>
      </c>
      <c r="G1068">
        <f>28111000/(1000)</f>
        <v>28111</v>
      </c>
      <c r="H1068">
        <f>1503143688/(1000)</f>
        <v>1503143.6880000001</v>
      </c>
      <c r="I1068">
        <f>49579000/(1000)</f>
        <v>49579</v>
      </c>
      <c r="J1068">
        <f t="shared" si="20"/>
        <v>3.0318152604933542E-2</v>
      </c>
      <c r="K1068">
        <f>22772001/(1000)</f>
        <v>22772.001</v>
      </c>
      <c r="L1068">
        <v>0</v>
      </c>
      <c r="M1068">
        <v>6.2607131004333496</v>
      </c>
      <c r="N1068">
        <v>41.030983636645601</v>
      </c>
      <c r="O1068">
        <v>39.7607421875</v>
      </c>
      <c r="P1068">
        <v>0</v>
      </c>
      <c r="Q1068">
        <v>2.26484014089122</v>
      </c>
      <c r="R1068">
        <v>0</v>
      </c>
      <c r="S1068">
        <v>257.74218928453598</v>
      </c>
      <c r="T1068">
        <v>0</v>
      </c>
      <c r="U1068">
        <v>0</v>
      </c>
      <c r="V1068">
        <v>0</v>
      </c>
      <c r="W1068">
        <v>0</v>
      </c>
    </row>
    <row r="1069" spans="1:23" x14ac:dyDescent="0.55000000000000004">
      <c r="A1069" t="s">
        <v>2146</v>
      </c>
      <c r="B1069" t="s">
        <v>2147</v>
      </c>
      <c r="C1069" t="s">
        <v>2</v>
      </c>
      <c r="D1069">
        <v>21.36</v>
      </c>
      <c r="E1069">
        <f>505557024/(1000)</f>
        <v>505557.02399999998</v>
      </c>
      <c r="F1069">
        <f>280408992/(1000)</f>
        <v>280408.99200000003</v>
      </c>
      <c r="G1069">
        <f>80530000/(1000)</f>
        <v>80530</v>
      </c>
      <c r="H1069">
        <f>727497024/(1000)</f>
        <v>727497.02399999998</v>
      </c>
      <c r="I1069">
        <f>134532000/(1000)</f>
        <v>134532</v>
      </c>
      <c r="J1069">
        <f t="shared" si="20"/>
        <v>5.4076132369993753E-3</v>
      </c>
      <c r="K1069">
        <f>-19599999/(1000)</f>
        <v>-19599.999</v>
      </c>
      <c r="L1069">
        <v>16.905937194824201</v>
      </c>
      <c r="M1069">
        <v>17.863498687744102</v>
      </c>
      <c r="N1069">
        <v>93.065015700627697</v>
      </c>
      <c r="O1069">
        <v>81.026184082031307</v>
      </c>
      <c r="P1069">
        <v>0.80000001192092896</v>
      </c>
      <c r="Q1069">
        <v>0</v>
      </c>
      <c r="R1069">
        <v>11.8011054883513</v>
      </c>
      <c r="S1069">
        <v>93.270882097514601</v>
      </c>
      <c r="T1069">
        <v>0</v>
      </c>
      <c r="U1069">
        <v>0</v>
      </c>
      <c r="V1069">
        <v>0</v>
      </c>
      <c r="W1069">
        <v>0</v>
      </c>
    </row>
    <row r="1070" spans="1:23" x14ac:dyDescent="0.55000000000000004">
      <c r="A1070" t="s">
        <v>2148</v>
      </c>
      <c r="B1070" t="s">
        <v>2149</v>
      </c>
      <c r="C1070" t="s">
        <v>2</v>
      </c>
      <c r="D1070">
        <v>17.899999999999999</v>
      </c>
      <c r="E1070">
        <f>212625152/(1000)</f>
        <v>212625.152</v>
      </c>
      <c r="F1070">
        <f>280324000/(1000)</f>
        <v>280324</v>
      </c>
      <c r="G1070">
        <f>24845000/(1000)</f>
        <v>24845</v>
      </c>
      <c r="H1070">
        <f>235366152/(1000)</f>
        <v>235366.152</v>
      </c>
      <c r="I1070">
        <f>46218000/(1000)</f>
        <v>46218</v>
      </c>
      <c r="J1070">
        <f t="shared" si="20"/>
        <v>5.0925213553161108E-3</v>
      </c>
      <c r="K1070">
        <f>25873999/(1000)</f>
        <v>25873.999</v>
      </c>
      <c r="L1070">
        <v>17.403745651245099</v>
      </c>
      <c r="M1070">
        <v>-0.19513399899005901</v>
      </c>
      <c r="N1070">
        <v>83.568632510431101</v>
      </c>
      <c r="O1070">
        <v>13.470923423767101</v>
      </c>
      <c r="P1070">
        <v>0.83999997377395597</v>
      </c>
      <c r="Q1070">
        <v>0</v>
      </c>
      <c r="R1070">
        <v>15.5652171806036</v>
      </c>
      <c r="S1070">
        <v>38.772883436797699</v>
      </c>
      <c r="T1070">
        <v>0</v>
      </c>
      <c r="U1070">
        <v>0</v>
      </c>
      <c r="V1070">
        <v>0</v>
      </c>
      <c r="W1070">
        <v>0</v>
      </c>
    </row>
    <row r="1071" spans="1:23" x14ac:dyDescent="0.55000000000000004">
      <c r="A1071" t="s">
        <v>2150</v>
      </c>
      <c r="B1071" t="s">
        <v>2151</v>
      </c>
      <c r="C1071" t="s">
        <v>81</v>
      </c>
      <c r="D1071">
        <v>15.98</v>
      </c>
      <c r="E1071">
        <f>454250688/(1000)</f>
        <v>454250.68800000002</v>
      </c>
      <c r="F1071">
        <f>280033984/(1000)</f>
        <v>280033.984</v>
      </c>
      <c r="G1071">
        <f>11311000/(1000)</f>
        <v>11311</v>
      </c>
      <c r="H1071">
        <f>411523688/(1000)</f>
        <v>411523.68800000002</v>
      </c>
      <c r="I1071">
        <f>42117000/(1000)</f>
        <v>42117</v>
      </c>
      <c r="J1071">
        <f t="shared" si="20"/>
        <v>9.7709639338034518E-3</v>
      </c>
      <c r="K1071">
        <f>6839001/(1000)</f>
        <v>6839.0010000000002</v>
      </c>
      <c r="L1071">
        <v>0</v>
      </c>
      <c r="M1071">
        <v>19.6844692230225</v>
      </c>
      <c r="N1071">
        <v>80.816990310205995</v>
      </c>
      <c r="O1071">
        <v>0</v>
      </c>
      <c r="P1071">
        <v>0</v>
      </c>
      <c r="Q1071">
        <v>3.13333330216751</v>
      </c>
      <c r="R1071">
        <v>26.633332256207002</v>
      </c>
      <c r="S1071">
        <v>0</v>
      </c>
      <c r="T1071">
        <v>0</v>
      </c>
      <c r="U1071">
        <v>0</v>
      </c>
      <c r="V1071">
        <v>0</v>
      </c>
      <c r="W1071">
        <v>0</v>
      </c>
    </row>
    <row r="1072" spans="1:23" x14ac:dyDescent="0.55000000000000004">
      <c r="A1072" t="s">
        <v>2152</v>
      </c>
      <c r="B1072" t="s">
        <v>2153</v>
      </c>
      <c r="C1072" t="s">
        <v>5</v>
      </c>
      <c r="D1072">
        <v>14.35</v>
      </c>
      <c r="E1072">
        <f>222366160/(1000)</f>
        <v>222366.16</v>
      </c>
      <c r="F1072">
        <f>279484992/(1000)</f>
        <v>279484.99200000003</v>
      </c>
      <c r="G1072">
        <f>25430000/(1000)</f>
        <v>25430</v>
      </c>
      <c r="H1072">
        <f>229665160/(1000)</f>
        <v>229665.16</v>
      </c>
      <c r="I1072">
        <f>30720000/(1000)</f>
        <v>30720</v>
      </c>
      <c r="J1072">
        <f t="shared" si="20"/>
        <v>7.4760794270833332E-3</v>
      </c>
      <c r="K1072">
        <f>13207002/(1000)</f>
        <v>13207.002</v>
      </c>
      <c r="L1072">
        <v>19.241064071655298</v>
      </c>
      <c r="M1072">
        <v>17.663911819458001</v>
      </c>
      <c r="N1072">
        <v>61.749236280796403</v>
      </c>
      <c r="O1072">
        <v>17.086662292480501</v>
      </c>
      <c r="P1072">
        <v>0</v>
      </c>
      <c r="Q1072">
        <v>0</v>
      </c>
      <c r="R1072">
        <v>14.4949497406415</v>
      </c>
      <c r="S1072">
        <v>171.605710342951</v>
      </c>
      <c r="T1072">
        <v>0</v>
      </c>
      <c r="U1072">
        <v>0</v>
      </c>
      <c r="V1072">
        <v>0</v>
      </c>
      <c r="W1072">
        <v>0</v>
      </c>
    </row>
    <row r="1073" spans="1:23" x14ac:dyDescent="0.55000000000000004">
      <c r="A1073" t="s">
        <v>2154</v>
      </c>
      <c r="B1073" t="s">
        <v>2155</v>
      </c>
      <c r="C1073" t="s">
        <v>5</v>
      </c>
      <c r="D1073">
        <v>15.69</v>
      </c>
      <c r="E1073">
        <f>451777856/(1000)</f>
        <v>451777.85600000003</v>
      </c>
      <c r="F1073">
        <f>278504992/(1000)</f>
        <v>278504.99200000003</v>
      </c>
      <c r="G1073">
        <f>66720000/(1000)</f>
        <v>66720</v>
      </c>
      <c r="H1073">
        <f>772422848/(1000)</f>
        <v>772422.848</v>
      </c>
      <c r="I1073">
        <f>78855000/(1000)</f>
        <v>78855</v>
      </c>
      <c r="J1073">
        <f t="shared" si="20"/>
        <v>9.7954834569779978E-3</v>
      </c>
      <c r="K1073">
        <f>27508003/(1000)</f>
        <v>27508.003000000001</v>
      </c>
      <c r="L1073">
        <v>0</v>
      </c>
      <c r="M1073">
        <v>12.009843826293899</v>
      </c>
      <c r="N1073">
        <v>98.852536575565395</v>
      </c>
      <c r="O1073">
        <v>97.667396545410199</v>
      </c>
      <c r="P1073">
        <v>0.72000002861022905</v>
      </c>
      <c r="Q1073">
        <v>0</v>
      </c>
      <c r="R1073">
        <v>12.6611286301099</v>
      </c>
      <c r="S1073">
        <v>62.349096741958597</v>
      </c>
      <c r="T1073">
        <v>0</v>
      </c>
      <c r="U1073">
        <v>0</v>
      </c>
      <c r="V1073">
        <v>0</v>
      </c>
      <c r="W1073">
        <v>0</v>
      </c>
    </row>
    <row r="1074" spans="1:23" x14ac:dyDescent="0.55000000000000004">
      <c r="A1074" t="s">
        <v>2156</v>
      </c>
      <c r="B1074" t="s">
        <v>2157</v>
      </c>
      <c r="C1074" t="s">
        <v>5</v>
      </c>
      <c r="D1074">
        <v>4.6399999999999997</v>
      </c>
      <c r="E1074">
        <f>200332464/(1000)</f>
        <v>200332.46400000001</v>
      </c>
      <c r="F1074">
        <f>278246016/(1000)</f>
        <v>278246.016</v>
      </c>
      <c r="G1074">
        <f>56326000/(1000)</f>
        <v>56326</v>
      </c>
      <c r="H1074">
        <f>365485456/(1000)</f>
        <v>365485.45600000001</v>
      </c>
      <c r="I1074">
        <f>66663000/(1000)</f>
        <v>66663</v>
      </c>
      <c r="J1074">
        <f t="shared" si="20"/>
        <v>5.4825833820860157E-3</v>
      </c>
      <c r="K1074">
        <f>10040001/(1000)</f>
        <v>10040.001</v>
      </c>
      <c r="L1074">
        <v>0</v>
      </c>
      <c r="M1074">
        <v>0</v>
      </c>
      <c r="N1074">
        <v>22.702438115679001</v>
      </c>
      <c r="O1074">
        <v>0</v>
      </c>
      <c r="P1074">
        <v>0</v>
      </c>
      <c r="Q1074">
        <v>0</v>
      </c>
      <c r="R1074">
        <v>7.3650789475915603</v>
      </c>
      <c r="S1074">
        <v>0</v>
      </c>
      <c r="T1074">
        <v>0</v>
      </c>
      <c r="U1074">
        <v>0</v>
      </c>
      <c r="V1074">
        <v>0</v>
      </c>
      <c r="W1074">
        <v>0</v>
      </c>
    </row>
    <row r="1075" spans="1:23" x14ac:dyDescent="0.55000000000000004">
      <c r="A1075" t="s">
        <v>2158</v>
      </c>
      <c r="B1075" t="s">
        <v>2159</v>
      </c>
      <c r="C1075" t="s">
        <v>5</v>
      </c>
      <c r="D1075">
        <v>2.13</v>
      </c>
      <c r="E1075">
        <f>45616080/(1000)</f>
        <v>45616.08</v>
      </c>
      <c r="F1075">
        <f>278079008/(1000)</f>
        <v>278079.00799999997</v>
      </c>
      <c r="G1075">
        <f>21916000/(1000)</f>
        <v>21916</v>
      </c>
      <c r="H1075">
        <f>347841072/(1000)</f>
        <v>347841.07199999999</v>
      </c>
      <c r="I1075">
        <f>54061000/(1000)</f>
        <v>54061</v>
      </c>
      <c r="J1075">
        <f t="shared" si="20"/>
        <v>6.4342330330552514E-3</v>
      </c>
      <c r="K1075">
        <f>298001/(1000)</f>
        <v>298.00099999999998</v>
      </c>
      <c r="L1075">
        <v>0</v>
      </c>
      <c r="M1075">
        <v>-3.6507298946380602</v>
      </c>
      <c r="N1075">
        <v>92.109169138429905</v>
      </c>
      <c r="O1075">
        <v>163.57191467285199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</row>
    <row r="1076" spans="1:23" x14ac:dyDescent="0.55000000000000004">
      <c r="A1076" t="s">
        <v>2160</v>
      </c>
      <c r="B1076" t="s">
        <v>2161</v>
      </c>
      <c r="C1076" t="s">
        <v>5</v>
      </c>
      <c r="D1076">
        <v>13.56</v>
      </c>
      <c r="E1076">
        <f>519425280/(1000)</f>
        <v>519425.28000000003</v>
      </c>
      <c r="F1076">
        <f>277087008/(1000)</f>
        <v>277087.00799999997</v>
      </c>
      <c r="G1076">
        <f>0/(1000)</f>
        <v>0</v>
      </c>
      <c r="H1076">
        <f>435936280/(1000)</f>
        <v>435936.28</v>
      </c>
      <c r="I1076">
        <f>0/(1000)</f>
        <v>0</v>
      </c>
      <c r="J1076">
        <f t="shared" si="20"/>
        <v>1</v>
      </c>
      <c r="K1076">
        <f>139186001/(1000)</f>
        <v>139186.00099999999</v>
      </c>
      <c r="L1076">
        <v>0</v>
      </c>
      <c r="M1076">
        <v>9.3340311050415004</v>
      </c>
      <c r="N1076">
        <v>91.362646986155298</v>
      </c>
      <c r="O1076">
        <v>31.773374557495099</v>
      </c>
      <c r="P1076">
        <v>0.20000000298023199</v>
      </c>
      <c r="Q1076">
        <v>1.30761818411396</v>
      </c>
      <c r="R1076">
        <v>11.7913048043819</v>
      </c>
      <c r="S1076">
        <v>0</v>
      </c>
      <c r="T1076">
        <v>0</v>
      </c>
      <c r="U1076">
        <v>0</v>
      </c>
      <c r="V1076">
        <v>0</v>
      </c>
      <c r="W1076">
        <v>0</v>
      </c>
    </row>
    <row r="1077" spans="1:23" x14ac:dyDescent="0.55000000000000004">
      <c r="A1077" t="s">
        <v>2162</v>
      </c>
      <c r="B1077" t="s">
        <v>2163</v>
      </c>
      <c r="C1077" t="s">
        <v>401</v>
      </c>
      <c r="D1077">
        <v>44.66</v>
      </c>
      <c r="E1077">
        <f>913698944/(1000)</f>
        <v>913698.94400000002</v>
      </c>
      <c r="F1077">
        <f>276603008/(1000)</f>
        <v>276603.00799999997</v>
      </c>
      <c r="G1077">
        <f>85805000/(1000)</f>
        <v>85805</v>
      </c>
      <c r="H1077">
        <f>1879795968/(1000)</f>
        <v>1879795.9680000001</v>
      </c>
      <c r="I1077">
        <f>184326000/(1000)</f>
        <v>184326</v>
      </c>
      <c r="J1077">
        <f t="shared" si="20"/>
        <v>1.0198213860225904E-2</v>
      </c>
      <c r="K1077">
        <f>2557001/(1000)</f>
        <v>2557.0010000000002</v>
      </c>
      <c r="L1077">
        <v>66.269760131835895</v>
      </c>
      <c r="M1077">
        <v>3.84563207626343</v>
      </c>
      <c r="N1077">
        <v>72.616942499297096</v>
      </c>
      <c r="O1077">
        <v>4.3226790428161603</v>
      </c>
      <c r="P1077">
        <v>1.7599999904632599</v>
      </c>
      <c r="Q1077">
        <v>0</v>
      </c>
      <c r="R1077">
        <v>53.807228847743303</v>
      </c>
      <c r="S1077">
        <v>43.822863738937798</v>
      </c>
      <c r="T1077">
        <v>0</v>
      </c>
      <c r="U1077">
        <v>0</v>
      </c>
      <c r="V1077">
        <v>0</v>
      </c>
      <c r="W1077">
        <v>0</v>
      </c>
    </row>
    <row r="1078" spans="1:23" x14ac:dyDescent="0.55000000000000004">
      <c r="A1078" t="s">
        <v>2164</v>
      </c>
      <c r="B1078" t="s">
        <v>2165</v>
      </c>
      <c r="C1078" t="s">
        <v>20</v>
      </c>
      <c r="D1078">
        <v>7.93</v>
      </c>
      <c r="E1078">
        <f>400416416/(1000)</f>
        <v>400416.41600000003</v>
      </c>
      <c r="F1078">
        <f>274713344/(1000)</f>
        <v>274713.34399999998</v>
      </c>
      <c r="G1078">
        <f>50124804/(1000)</f>
        <v>50124.803999999996</v>
      </c>
      <c r="H1078">
        <f>348377024/(1000)</f>
        <v>348377.02399999998</v>
      </c>
      <c r="I1078">
        <f>58465536/(1000)</f>
        <v>58465.536</v>
      </c>
      <c r="J1078">
        <f t="shared" si="20"/>
        <v>5.9586732258813122E-3</v>
      </c>
      <c r="K1078">
        <f>8414625/(1000)</f>
        <v>8414.625</v>
      </c>
      <c r="L1078">
        <v>0</v>
      </c>
      <c r="M1078">
        <v>41.284866333007798</v>
      </c>
      <c r="N1078">
        <v>99.9017865122225</v>
      </c>
      <c r="O1078">
        <v>0</v>
      </c>
      <c r="P1078">
        <v>0</v>
      </c>
      <c r="Q1078">
        <v>3.3888889398330302</v>
      </c>
      <c r="R1078">
        <v>12.3906248644853</v>
      </c>
      <c r="S1078">
        <v>0</v>
      </c>
      <c r="T1078">
        <v>0</v>
      </c>
      <c r="U1078">
        <v>0</v>
      </c>
      <c r="V1078">
        <v>0</v>
      </c>
      <c r="W1078">
        <v>0</v>
      </c>
    </row>
    <row r="1079" spans="1:23" x14ac:dyDescent="0.55000000000000004">
      <c r="A1079" t="s">
        <v>2166</v>
      </c>
      <c r="B1079" t="s">
        <v>2167</v>
      </c>
      <c r="C1079" t="s">
        <v>184</v>
      </c>
      <c r="D1079">
        <v>8.77</v>
      </c>
      <c r="E1079">
        <f>182494928/(1000)</f>
        <v>182494.92800000001</v>
      </c>
      <c r="F1079">
        <f>274497984/(1000)</f>
        <v>274497.984</v>
      </c>
      <c r="G1079">
        <f>0/(1000)</f>
        <v>0</v>
      </c>
      <c r="H1079">
        <f>211719928/(1000)</f>
        <v>211719.92800000001</v>
      </c>
      <c r="I1079">
        <f>0/(1000)</f>
        <v>0</v>
      </c>
      <c r="J1079">
        <f t="shared" si="20"/>
        <v>1</v>
      </c>
      <c r="K1079">
        <f>79882001/(1000)</f>
        <v>79882.001000000004</v>
      </c>
      <c r="L1079">
        <v>14.7763614654541</v>
      </c>
      <c r="M1079">
        <v>16.6277675628662</v>
      </c>
      <c r="N1079">
        <v>94.288528932734494</v>
      </c>
      <c r="O1079">
        <v>33.938846588134801</v>
      </c>
      <c r="P1079">
        <v>0</v>
      </c>
      <c r="Q1079">
        <v>0.91116887872869301</v>
      </c>
      <c r="R1079">
        <v>8.0458717332144296</v>
      </c>
      <c r="S1079">
        <v>964.06940341900201</v>
      </c>
      <c r="T1079">
        <v>0</v>
      </c>
      <c r="U1079">
        <v>0</v>
      </c>
      <c r="V1079">
        <v>0</v>
      </c>
      <c r="W1079">
        <v>0</v>
      </c>
    </row>
    <row r="1080" spans="1:23" x14ac:dyDescent="0.55000000000000004">
      <c r="A1080" t="s">
        <v>2168</v>
      </c>
      <c r="B1080" t="s">
        <v>2169</v>
      </c>
      <c r="C1080" t="s">
        <v>20</v>
      </c>
      <c r="D1080">
        <v>2.02</v>
      </c>
      <c r="E1080">
        <f>26750860/(1000)</f>
        <v>26750.86</v>
      </c>
      <c r="F1080">
        <f>274457984/(1000)</f>
        <v>274457.984</v>
      </c>
      <c r="G1080">
        <f>7236000/(1000)</f>
        <v>7236</v>
      </c>
      <c r="H1080">
        <f>5855860/(1000)</f>
        <v>5855.86</v>
      </c>
      <c r="I1080">
        <f>19360000/(1000)</f>
        <v>19360</v>
      </c>
      <c r="J1080">
        <f t="shared" si="20"/>
        <v>3.0247210743801652E-4</v>
      </c>
      <c r="K1080">
        <f>18335001/(1000)</f>
        <v>18335.001</v>
      </c>
      <c r="L1080">
        <v>22.545848846435501</v>
      </c>
      <c r="M1080">
        <v>6.0177087783813503</v>
      </c>
      <c r="N1080">
        <v>85.004152941620404</v>
      </c>
      <c r="O1080">
        <v>5.91837501525879</v>
      </c>
      <c r="P1080">
        <v>0</v>
      </c>
      <c r="Q1080">
        <v>0.31685082110513302</v>
      </c>
      <c r="R1080">
        <v>5.1794872958259699</v>
      </c>
      <c r="S1080">
        <v>37.013190744050497</v>
      </c>
      <c r="T1080">
        <v>0</v>
      </c>
      <c r="U1080">
        <v>0</v>
      </c>
      <c r="V1080">
        <v>0</v>
      </c>
      <c r="W1080">
        <v>0</v>
      </c>
    </row>
    <row r="1081" spans="1:23" x14ac:dyDescent="0.55000000000000004">
      <c r="A1081" t="s">
        <v>2170</v>
      </c>
      <c r="B1081" t="s">
        <v>2171</v>
      </c>
      <c r="C1081" t="s">
        <v>184</v>
      </c>
      <c r="D1081">
        <v>2.95</v>
      </c>
      <c r="E1081">
        <f>74198992/(1000)</f>
        <v>74198.991999999998</v>
      </c>
      <c r="F1081">
        <f>274023872/(1000)</f>
        <v>274023.87199999997</v>
      </c>
      <c r="G1081">
        <f>231544656/(1000)</f>
        <v>231544.65599999999</v>
      </c>
      <c r="H1081">
        <f>2197879888/(1000)</f>
        <v>2197879.8879999998</v>
      </c>
      <c r="I1081">
        <f>234044656/(1000)</f>
        <v>234044.65599999999</v>
      </c>
      <c r="J1081">
        <f t="shared" si="20"/>
        <v>9.3908569653476728E-3</v>
      </c>
      <c r="K1081">
        <f>159688385/(1000)</f>
        <v>159688.38500000001</v>
      </c>
      <c r="L1081">
        <v>0</v>
      </c>
      <c r="M1081">
        <v>24.456544876098601</v>
      </c>
      <c r="N1081">
        <v>71.569880566439807</v>
      </c>
      <c r="O1081">
        <v>484.528564453125</v>
      </c>
      <c r="P1081">
        <v>0.95999997854232799</v>
      </c>
      <c r="Q1081">
        <v>0.180262761316382</v>
      </c>
      <c r="R1081">
        <v>1.2826087263558901</v>
      </c>
      <c r="S1081">
        <v>0</v>
      </c>
      <c r="T1081">
        <v>0</v>
      </c>
      <c r="U1081">
        <v>0</v>
      </c>
      <c r="V1081">
        <v>0</v>
      </c>
      <c r="W1081">
        <v>0</v>
      </c>
    </row>
    <row r="1082" spans="1:23" x14ac:dyDescent="0.55000000000000004">
      <c r="A1082" t="s">
        <v>2172</v>
      </c>
      <c r="B1082" t="s">
        <v>2173</v>
      </c>
      <c r="C1082" t="s">
        <v>38</v>
      </c>
      <c r="D1082">
        <v>5.56</v>
      </c>
      <c r="E1082">
        <f>513999744/(1000)</f>
        <v>513999.74400000001</v>
      </c>
      <c r="F1082">
        <f>273027008/(1000)</f>
        <v>273027.00799999997</v>
      </c>
      <c r="G1082">
        <f>-85347000/(1000)</f>
        <v>-85347</v>
      </c>
      <c r="H1082">
        <f>506573729/(1000)</f>
        <v>506573.72899999999</v>
      </c>
      <c r="I1082">
        <f>-57193000/(1000)</f>
        <v>-57193</v>
      </c>
      <c r="J1082">
        <f t="shared" si="20"/>
        <v>-8.8572680048257663E-3</v>
      </c>
      <c r="K1082">
        <f>113506001/(1000)</f>
        <v>113506.001</v>
      </c>
      <c r="L1082">
        <v>0</v>
      </c>
      <c r="M1082">
        <v>-14.8408041000366</v>
      </c>
      <c r="N1082">
        <v>99.272008359768506</v>
      </c>
      <c r="O1082">
        <v>158.07145690918</v>
      </c>
      <c r="P1082">
        <v>0</v>
      </c>
      <c r="Q1082">
        <v>3.2325580524972799</v>
      </c>
      <c r="R1082">
        <v>0</v>
      </c>
      <c r="S1082">
        <v>187.86652749222401</v>
      </c>
      <c r="T1082">
        <v>0</v>
      </c>
      <c r="U1082">
        <v>0</v>
      </c>
      <c r="V1082">
        <v>0</v>
      </c>
      <c r="W1082">
        <v>0</v>
      </c>
    </row>
    <row r="1083" spans="1:23" x14ac:dyDescent="0.55000000000000004">
      <c r="A1083" t="s">
        <v>2174</v>
      </c>
      <c r="B1083" t="s">
        <v>2175</v>
      </c>
      <c r="C1083" t="s">
        <v>20</v>
      </c>
      <c r="D1083">
        <v>16.22</v>
      </c>
      <c r="E1083">
        <f>226802640/(1000)</f>
        <v>226802.64</v>
      </c>
      <c r="F1083">
        <f>272680000/(1000)</f>
        <v>272680</v>
      </c>
      <c r="G1083">
        <f>26451000/(1000)</f>
        <v>26451</v>
      </c>
      <c r="H1083">
        <f>150942640/(1000)</f>
        <v>150942.64000000001</v>
      </c>
      <c r="I1083">
        <f>31126000/(1000)</f>
        <v>31126</v>
      </c>
      <c r="J1083">
        <f t="shared" si="20"/>
        <v>4.8494069266850869E-3</v>
      </c>
      <c r="K1083">
        <f>15135001/(1000)</f>
        <v>15135.001</v>
      </c>
      <c r="L1083">
        <v>24.3706169128418</v>
      </c>
      <c r="M1083">
        <v>13.3770198822021</v>
      </c>
      <c r="N1083">
        <v>98.350130006323099</v>
      </c>
      <c r="O1083">
        <v>0</v>
      </c>
      <c r="P1083">
        <v>0</v>
      </c>
      <c r="Q1083">
        <v>1.38277919406143</v>
      </c>
      <c r="R1083">
        <v>14.8807332661806</v>
      </c>
      <c r="S1083">
        <v>162.46739371071601</v>
      </c>
      <c r="T1083">
        <v>0</v>
      </c>
      <c r="U1083">
        <v>0</v>
      </c>
      <c r="V1083">
        <v>0</v>
      </c>
      <c r="W1083">
        <v>0</v>
      </c>
    </row>
    <row r="1084" spans="1:23" x14ac:dyDescent="0.55000000000000004">
      <c r="A1084" t="s">
        <v>2176</v>
      </c>
      <c r="B1084" t="s">
        <v>2177</v>
      </c>
      <c r="C1084" t="s">
        <v>31</v>
      </c>
      <c r="D1084">
        <v>7.16</v>
      </c>
      <c r="E1084">
        <f>737275200/(1000)</f>
        <v>737275.2</v>
      </c>
      <c r="F1084">
        <f>272676000/(1000)</f>
        <v>272676</v>
      </c>
      <c r="G1084">
        <f>-36356000/(1000)</f>
        <v>-36356</v>
      </c>
      <c r="H1084">
        <f>532557200/(1000)</f>
        <v>532557.19999999995</v>
      </c>
      <c r="I1084">
        <f>-26029998/(1000)</f>
        <v>-26029.998</v>
      </c>
      <c r="J1084">
        <f t="shared" si="20"/>
        <v>-2.0459363846282275E-2</v>
      </c>
      <c r="K1084">
        <f>-39511999/(1000)</f>
        <v>-39511.999000000003</v>
      </c>
      <c r="L1084">
        <v>0</v>
      </c>
      <c r="M1084">
        <v>-176.71453857421901</v>
      </c>
      <c r="N1084">
        <v>91.583490543257795</v>
      </c>
      <c r="O1084">
        <v>0</v>
      </c>
      <c r="P1084">
        <v>0</v>
      </c>
      <c r="Q1084">
        <v>2.7328244886103299</v>
      </c>
      <c r="R1084">
        <v>16.515695245154699</v>
      </c>
      <c r="S1084">
        <v>184.0079158421</v>
      </c>
      <c r="T1084">
        <v>0</v>
      </c>
      <c r="U1084">
        <v>0</v>
      </c>
      <c r="V1084">
        <v>0</v>
      </c>
      <c r="W1084">
        <v>0</v>
      </c>
    </row>
    <row r="1085" spans="1:23" x14ac:dyDescent="0.55000000000000004">
      <c r="A1085" t="s">
        <v>2178</v>
      </c>
      <c r="B1085" t="s">
        <v>2179</v>
      </c>
      <c r="C1085" t="s">
        <v>184</v>
      </c>
      <c r="D1085">
        <v>22.21</v>
      </c>
      <c r="E1085">
        <f>406107648/(1000)</f>
        <v>406107.64799999999</v>
      </c>
      <c r="F1085">
        <f>271284000/(1000)</f>
        <v>271284</v>
      </c>
      <c r="G1085">
        <f t="shared" ref="G1085:I1086" si="21">0/(1000)</f>
        <v>0</v>
      </c>
      <c r="H1085">
        <f t="shared" si="21"/>
        <v>0</v>
      </c>
      <c r="I1085">
        <f t="shared" si="21"/>
        <v>0</v>
      </c>
      <c r="J1085">
        <f t="shared" si="20"/>
        <v>1</v>
      </c>
      <c r="K1085">
        <f>49614001/(1000)</f>
        <v>49614.000999999997</v>
      </c>
      <c r="L1085">
        <v>15.9506988525391</v>
      </c>
      <c r="M1085">
        <v>9.4832458496093803</v>
      </c>
      <c r="N1085">
        <v>95.666912936598493</v>
      </c>
      <c r="O1085">
        <v>167.31796264648401</v>
      </c>
      <c r="P1085">
        <v>0.92000001668930098</v>
      </c>
      <c r="Q1085">
        <v>0</v>
      </c>
      <c r="R1085">
        <v>13.0647054354212</v>
      </c>
      <c r="S1085">
        <v>56.126581938128901</v>
      </c>
      <c r="T1085">
        <v>0</v>
      </c>
      <c r="U1085">
        <v>0</v>
      </c>
      <c r="V1085">
        <v>0</v>
      </c>
      <c r="W1085">
        <v>0</v>
      </c>
    </row>
    <row r="1086" spans="1:23" x14ac:dyDescent="0.55000000000000004">
      <c r="A1086" t="s">
        <v>2180</v>
      </c>
      <c r="B1086" t="s">
        <v>2181</v>
      </c>
      <c r="C1086" t="s">
        <v>184</v>
      </c>
      <c r="D1086">
        <v>27.88</v>
      </c>
      <c r="E1086">
        <f>665710272/(1000)</f>
        <v>665710.272</v>
      </c>
      <c r="F1086">
        <f>269182016/(1000)</f>
        <v>269182.016</v>
      </c>
      <c r="G1086">
        <f t="shared" si="21"/>
        <v>0</v>
      </c>
      <c r="H1086">
        <f t="shared" si="21"/>
        <v>0</v>
      </c>
      <c r="I1086">
        <f t="shared" si="21"/>
        <v>0</v>
      </c>
      <c r="J1086">
        <f t="shared" si="20"/>
        <v>1</v>
      </c>
      <c r="K1086">
        <f>51485001/(1000)</f>
        <v>51485.000999999997</v>
      </c>
      <c r="L1086">
        <v>16.216068267822301</v>
      </c>
      <c r="M1086">
        <v>7.6762928962707502</v>
      </c>
      <c r="N1086">
        <v>95.370991475854893</v>
      </c>
      <c r="O1086">
        <v>68.325782775878906</v>
      </c>
      <c r="P1086">
        <v>1.1799999475479099</v>
      </c>
      <c r="Q1086">
        <v>0</v>
      </c>
      <c r="R1086">
        <v>24.672565895787201</v>
      </c>
      <c r="S1086">
        <v>9.6116166757608497</v>
      </c>
      <c r="T1086">
        <v>0</v>
      </c>
      <c r="U1086">
        <v>0</v>
      </c>
      <c r="V1086">
        <v>0</v>
      </c>
      <c r="W1086">
        <v>0</v>
      </c>
    </row>
    <row r="1087" spans="1:23" x14ac:dyDescent="0.55000000000000004">
      <c r="A1087" t="s">
        <v>2182</v>
      </c>
      <c r="B1087" t="s">
        <v>2183</v>
      </c>
      <c r="C1087" t="s">
        <v>5</v>
      </c>
      <c r="D1087">
        <v>10.9</v>
      </c>
      <c r="E1087">
        <f>265680944/(1000)</f>
        <v>265680.94400000002</v>
      </c>
      <c r="F1087">
        <f>268612992/(1000)</f>
        <v>268612.99200000003</v>
      </c>
      <c r="G1087">
        <f>50632000/(1000)</f>
        <v>50632</v>
      </c>
      <c r="H1087">
        <f>192479944/(1000)</f>
        <v>192479.94399999999</v>
      </c>
      <c r="I1087">
        <f>53527000/(1000)</f>
        <v>53527</v>
      </c>
      <c r="J1087">
        <f t="shared" si="20"/>
        <v>3.5959411885590447E-3</v>
      </c>
      <c r="K1087">
        <f>4290000/(1000)</f>
        <v>4290</v>
      </c>
      <c r="L1087">
        <v>0</v>
      </c>
      <c r="M1087">
        <v>21.727085113525401</v>
      </c>
      <c r="N1087">
        <v>67.542177655026293</v>
      </c>
      <c r="O1087">
        <v>6.0745000839233003E-2</v>
      </c>
      <c r="P1087">
        <v>0</v>
      </c>
      <c r="Q1087">
        <v>1.2808459841795401</v>
      </c>
      <c r="R1087">
        <v>7.0779218000803903</v>
      </c>
      <c r="S1087">
        <v>0</v>
      </c>
      <c r="T1087">
        <v>0</v>
      </c>
      <c r="U1087">
        <v>0</v>
      </c>
      <c r="V1087">
        <v>0</v>
      </c>
      <c r="W1087">
        <v>0</v>
      </c>
    </row>
    <row r="1088" spans="1:23" x14ac:dyDescent="0.55000000000000004">
      <c r="A1088" t="s">
        <v>2184</v>
      </c>
      <c r="B1088" t="s">
        <v>2185</v>
      </c>
      <c r="C1088" t="s">
        <v>31</v>
      </c>
      <c r="D1088">
        <v>1.41</v>
      </c>
      <c r="E1088">
        <f>69830960/(1000)</f>
        <v>69830.960000000006</v>
      </c>
      <c r="F1088">
        <f>267286016/(1000)</f>
        <v>267286.016</v>
      </c>
      <c r="G1088">
        <f>24241000/(1000)</f>
        <v>24241</v>
      </c>
      <c r="H1088">
        <f>-47854040/(1000)</f>
        <v>-47854.04</v>
      </c>
      <c r="I1088">
        <f>31251000/(1000)</f>
        <v>31251</v>
      </c>
      <c r="J1088">
        <f t="shared" si="20"/>
        <v>-1.5312802790310711E-3</v>
      </c>
      <c r="K1088">
        <f>38414001/(1000)</f>
        <v>38414.000999999997</v>
      </c>
      <c r="L1088">
        <v>0</v>
      </c>
      <c r="M1088">
        <v>11.3805294036865</v>
      </c>
      <c r="N1088">
        <v>99.458054447830406</v>
      </c>
      <c r="O1088">
        <v>0</v>
      </c>
      <c r="P1088">
        <v>0</v>
      </c>
      <c r="Q1088">
        <v>0.356962012556993</v>
      </c>
      <c r="R1088">
        <v>0</v>
      </c>
      <c r="S1088">
        <v>31.331572327044</v>
      </c>
      <c r="T1088">
        <v>0</v>
      </c>
      <c r="U1088">
        <v>0</v>
      </c>
      <c r="V1088">
        <v>0</v>
      </c>
      <c r="W1088">
        <v>0</v>
      </c>
    </row>
    <row r="1089" spans="1:23" x14ac:dyDescent="0.55000000000000004">
      <c r="A1089" t="s">
        <v>2186</v>
      </c>
      <c r="B1089" t="s">
        <v>2187</v>
      </c>
      <c r="C1089" t="s">
        <v>5</v>
      </c>
      <c r="D1089">
        <v>8.8800000000000008</v>
      </c>
      <c r="E1089">
        <f>129538776/(1000)</f>
        <v>129538.776</v>
      </c>
      <c r="F1089">
        <f>267148992/(1000)</f>
        <v>267148.99200000003</v>
      </c>
      <c r="G1089">
        <f>2479000/(1000)</f>
        <v>2479</v>
      </c>
      <c r="H1089">
        <f>123485776/(1000)</f>
        <v>123485.776</v>
      </c>
      <c r="I1089">
        <f>10138000/(1000)</f>
        <v>10138</v>
      </c>
      <c r="J1089">
        <f t="shared" si="20"/>
        <v>1.2180486881041626E-2</v>
      </c>
      <c r="K1089">
        <f>-5510999/(1000)</f>
        <v>-5510.9989999999998</v>
      </c>
      <c r="L1089">
        <v>0</v>
      </c>
      <c r="M1089">
        <v>0.40943300724029502</v>
      </c>
      <c r="N1089">
        <v>44.096053856642001</v>
      </c>
      <c r="O1089">
        <v>0</v>
      </c>
      <c r="P1089">
        <v>0</v>
      </c>
      <c r="Q1089">
        <v>0</v>
      </c>
      <c r="R1089">
        <v>153.261990448109</v>
      </c>
      <c r="S1089">
        <v>-5.0997319436523503</v>
      </c>
      <c r="T1089">
        <v>0</v>
      </c>
      <c r="U1089">
        <v>0</v>
      </c>
      <c r="V1089">
        <v>0</v>
      </c>
      <c r="W1089">
        <v>0</v>
      </c>
    </row>
    <row r="1090" spans="1:23" x14ac:dyDescent="0.55000000000000004">
      <c r="A1090" t="s">
        <v>2188</v>
      </c>
      <c r="B1090" t="s">
        <v>2189</v>
      </c>
      <c r="C1090" t="s">
        <v>401</v>
      </c>
      <c r="D1090">
        <v>11.72</v>
      </c>
      <c r="E1090">
        <f>941646912/(1000)</f>
        <v>941646.91200000001</v>
      </c>
      <c r="F1090">
        <f>267099008/(1000)</f>
        <v>267099.00799999997</v>
      </c>
      <c r="G1090">
        <f>101885000/(1000)</f>
        <v>101885</v>
      </c>
      <c r="H1090">
        <f>2710649920/(1000)</f>
        <v>2710649.92</v>
      </c>
      <c r="I1090">
        <f>174314000/(1000)</f>
        <v>174314</v>
      </c>
      <c r="J1090">
        <f t="shared" ref="J1090:J1153" si="22">(IF(I1090=0,1000,H1090/I1090))/(1000)</f>
        <v>1.5550385625939397E-2</v>
      </c>
      <c r="K1090">
        <f>-280678015/(1000)</f>
        <v>-280678.01500000001</v>
      </c>
      <c r="L1090">
        <v>0</v>
      </c>
      <c r="M1090">
        <v>4.6792330741882298</v>
      </c>
      <c r="N1090">
        <v>99.567617804126996</v>
      </c>
      <c r="O1090">
        <v>106.87722015380901</v>
      </c>
      <c r="P1090">
        <v>1.3400000333786</v>
      </c>
      <c r="Q1090">
        <v>0.48032788730571102</v>
      </c>
      <c r="R1090">
        <v>12.2083336948676</v>
      </c>
      <c r="S1090">
        <v>3953.0957207890701</v>
      </c>
      <c r="T1090">
        <v>0</v>
      </c>
      <c r="U1090">
        <v>0</v>
      </c>
      <c r="V1090">
        <v>0</v>
      </c>
      <c r="W1090">
        <v>0</v>
      </c>
    </row>
    <row r="1091" spans="1:23" x14ac:dyDescent="0.55000000000000004">
      <c r="A1091" t="s">
        <v>2190</v>
      </c>
      <c r="B1091" t="s">
        <v>2191</v>
      </c>
      <c r="C1091" t="s">
        <v>5</v>
      </c>
      <c r="D1091">
        <v>3.67</v>
      </c>
      <c r="E1091">
        <f>357666816/(1000)</f>
        <v>357666.81599999999</v>
      </c>
      <c r="F1091">
        <f>266777008/(1000)</f>
        <v>266777.00799999997</v>
      </c>
      <c r="G1091">
        <f>48017000/(1000)</f>
        <v>48017</v>
      </c>
      <c r="H1091">
        <f>388439814/(1000)</f>
        <v>388439.81400000001</v>
      </c>
      <c r="I1091">
        <f>70568000/(1000)</f>
        <v>70568</v>
      </c>
      <c r="J1091">
        <f t="shared" si="22"/>
        <v>5.5044753145901829E-3</v>
      </c>
      <c r="K1091">
        <f>29326001/(1000)</f>
        <v>29326.001</v>
      </c>
      <c r="L1091">
        <v>0</v>
      </c>
      <c r="M1091">
        <v>3.3557538986206099</v>
      </c>
      <c r="N1091">
        <v>55.175261212517299</v>
      </c>
      <c r="O1091">
        <v>35.002937316894503</v>
      </c>
      <c r="P1091">
        <v>0</v>
      </c>
      <c r="Q1091">
        <v>0</v>
      </c>
      <c r="R1091">
        <v>10.794117994451801</v>
      </c>
      <c r="S1091">
        <v>0</v>
      </c>
      <c r="T1091">
        <v>0</v>
      </c>
      <c r="U1091">
        <v>0</v>
      </c>
      <c r="V1091">
        <v>0</v>
      </c>
      <c r="W1091">
        <v>0</v>
      </c>
    </row>
    <row r="1092" spans="1:23" x14ac:dyDescent="0.55000000000000004">
      <c r="A1092" t="s">
        <v>2192</v>
      </c>
      <c r="B1092" t="s">
        <v>2193</v>
      </c>
      <c r="C1092" t="s">
        <v>17</v>
      </c>
      <c r="D1092">
        <v>24.94</v>
      </c>
      <c r="E1092">
        <f>400912992/(1000)</f>
        <v>400912.99200000003</v>
      </c>
      <c r="F1092">
        <f>266484992/(1000)</f>
        <v>266484.99200000003</v>
      </c>
      <c r="G1092">
        <f>-10644000/(1000)</f>
        <v>-10644</v>
      </c>
      <c r="H1092">
        <f>302474992/(1000)</f>
        <v>302474.99200000003</v>
      </c>
      <c r="I1092">
        <f>-887000/(1000)</f>
        <v>-887</v>
      </c>
      <c r="J1092">
        <f t="shared" si="22"/>
        <v>-0.34100901014656149</v>
      </c>
      <c r="K1092">
        <f>2644001/(1000)</f>
        <v>2644.0010000000002</v>
      </c>
      <c r="L1092">
        <v>0</v>
      </c>
      <c r="M1092">
        <v>-2.9751949310302699</v>
      </c>
      <c r="N1092">
        <v>41.578590632965302</v>
      </c>
      <c r="O1092">
        <v>0</v>
      </c>
      <c r="P1092">
        <v>0.46000000834464999</v>
      </c>
      <c r="Q1092">
        <v>0</v>
      </c>
      <c r="R1092">
        <v>0</v>
      </c>
      <c r="S1092">
        <v>32.212560156381798</v>
      </c>
      <c r="T1092">
        <v>0</v>
      </c>
      <c r="U1092">
        <v>0</v>
      </c>
      <c r="V1092">
        <v>0</v>
      </c>
      <c r="W1092">
        <v>0</v>
      </c>
    </row>
    <row r="1093" spans="1:23" x14ac:dyDescent="0.55000000000000004">
      <c r="A1093" t="s">
        <v>2194</v>
      </c>
      <c r="B1093" t="s">
        <v>2195</v>
      </c>
      <c r="C1093" t="s">
        <v>20</v>
      </c>
      <c r="D1093">
        <v>32.76</v>
      </c>
      <c r="E1093">
        <f>515802912/(1000)</f>
        <v>515802.91200000001</v>
      </c>
      <c r="F1093">
        <f>265330992/(1000)</f>
        <v>265330.99200000003</v>
      </c>
      <c r="G1093">
        <f>19279000/(1000)</f>
        <v>19279</v>
      </c>
      <c r="H1093">
        <f>494156912/(1000)</f>
        <v>494156.91200000001</v>
      </c>
      <c r="I1093">
        <f>26499000/(1000)</f>
        <v>26499</v>
      </c>
      <c r="J1093">
        <f t="shared" si="22"/>
        <v>1.8648134344692251E-2</v>
      </c>
      <c r="K1093">
        <f>20594001/(1000)</f>
        <v>20594.001</v>
      </c>
      <c r="L1093">
        <v>0</v>
      </c>
      <c r="M1093">
        <v>4.78621482849121</v>
      </c>
      <c r="N1093">
        <v>78.390464189468005</v>
      </c>
      <c r="O1093">
        <v>12.9936323165894</v>
      </c>
      <c r="P1093">
        <v>0</v>
      </c>
      <c r="Q1093">
        <v>3.2259969653340601</v>
      </c>
      <c r="R1093">
        <v>17.333332303129598</v>
      </c>
      <c r="S1093">
        <v>191.32020337198901</v>
      </c>
      <c r="T1093">
        <v>0</v>
      </c>
      <c r="U1093">
        <v>0</v>
      </c>
      <c r="V1093">
        <v>0</v>
      </c>
      <c r="W1093">
        <v>0</v>
      </c>
    </row>
    <row r="1094" spans="1:23" x14ac:dyDescent="0.55000000000000004">
      <c r="A1094" t="s">
        <v>2196</v>
      </c>
      <c r="B1094" t="s">
        <v>2197</v>
      </c>
      <c r="C1094" t="s">
        <v>184</v>
      </c>
      <c r="D1094">
        <v>3.6</v>
      </c>
      <c r="E1094">
        <f>0/(1000)</f>
        <v>0</v>
      </c>
      <c r="F1094">
        <f>264835008/(1000)</f>
        <v>264835.00799999997</v>
      </c>
      <c r="G1094">
        <f>233068992/(1000)</f>
        <v>233068.992</v>
      </c>
      <c r="H1094">
        <f>0/(1000)</f>
        <v>0</v>
      </c>
      <c r="I1094">
        <f>244126000/(1000)</f>
        <v>244126</v>
      </c>
      <c r="J1094">
        <f t="shared" si="22"/>
        <v>0</v>
      </c>
      <c r="K1094">
        <f>86392001/(1000)</f>
        <v>86392.001000000004</v>
      </c>
      <c r="L1094">
        <v>11.4447231292725</v>
      </c>
      <c r="M1094">
        <v>20.219314575195298</v>
      </c>
      <c r="N1094">
        <v>81.654632063137299</v>
      </c>
      <c r="O1094">
        <v>665.39337158203102</v>
      </c>
      <c r="P1094">
        <v>0</v>
      </c>
      <c r="Q1094">
        <v>0.15783934652404399</v>
      </c>
      <c r="R1094">
        <v>1.25874121910005</v>
      </c>
      <c r="S1094">
        <v>435.86461090202698</v>
      </c>
      <c r="T1094">
        <v>0</v>
      </c>
      <c r="U1094">
        <v>0</v>
      </c>
      <c r="V1094">
        <v>0</v>
      </c>
      <c r="W1094">
        <v>0</v>
      </c>
    </row>
    <row r="1095" spans="1:23" x14ac:dyDescent="0.55000000000000004">
      <c r="A1095" t="s">
        <v>2198</v>
      </c>
      <c r="B1095" t="s">
        <v>2199</v>
      </c>
      <c r="C1095" t="s">
        <v>184</v>
      </c>
      <c r="D1095">
        <v>12.39</v>
      </c>
      <c r="E1095">
        <f>464394528/(1000)</f>
        <v>464394.52799999999</v>
      </c>
      <c r="F1095">
        <f>264528992/(1000)</f>
        <v>264528.99200000003</v>
      </c>
      <c r="G1095">
        <f>0/(1000)</f>
        <v>0</v>
      </c>
      <c r="H1095">
        <f>0/(1000)</f>
        <v>0</v>
      </c>
      <c r="I1095">
        <f>0/(1000)</f>
        <v>0</v>
      </c>
      <c r="J1095">
        <f t="shared" si="22"/>
        <v>1</v>
      </c>
      <c r="K1095">
        <f>65826001/(1000)</f>
        <v>65826.001000000004</v>
      </c>
      <c r="L1095">
        <v>20.102748870849599</v>
      </c>
      <c r="M1095">
        <v>12.696463584899901</v>
      </c>
      <c r="N1095">
        <v>96.670883287242503</v>
      </c>
      <c r="O1095">
        <v>59.586093902587898</v>
      </c>
      <c r="P1095">
        <v>0.68000000715255704</v>
      </c>
      <c r="Q1095">
        <v>1.6720648580917099</v>
      </c>
      <c r="R1095">
        <v>14.4069774030124</v>
      </c>
      <c r="S1095">
        <v>-11.144519647988901</v>
      </c>
      <c r="T1095">
        <v>0</v>
      </c>
      <c r="U1095">
        <v>0</v>
      </c>
      <c r="V1095">
        <v>0</v>
      </c>
      <c r="W1095">
        <v>0</v>
      </c>
    </row>
    <row r="1096" spans="1:23" x14ac:dyDescent="0.55000000000000004">
      <c r="A1096" t="s">
        <v>2200</v>
      </c>
      <c r="B1096" t="s">
        <v>2201</v>
      </c>
      <c r="C1096" t="s">
        <v>20</v>
      </c>
      <c r="D1096">
        <v>8.33</v>
      </c>
      <c r="E1096">
        <f>233522384/(1000)</f>
        <v>233522.38399999999</v>
      </c>
      <c r="F1096">
        <f>263940992/(1000)</f>
        <v>263940.99200000003</v>
      </c>
      <c r="G1096">
        <f>18604000/(1000)</f>
        <v>18604</v>
      </c>
      <c r="H1096">
        <f>170390384/(1000)</f>
        <v>170390.38399999999</v>
      </c>
      <c r="I1096">
        <f>21499000/(1000)</f>
        <v>21499</v>
      </c>
      <c r="J1096">
        <f t="shared" si="22"/>
        <v>7.9255027675705844E-3</v>
      </c>
      <c r="K1096">
        <f>27322001/(1000)</f>
        <v>27322.001</v>
      </c>
      <c r="L1096">
        <v>0</v>
      </c>
      <c r="M1096">
        <v>12.9515027999878</v>
      </c>
      <c r="N1096">
        <v>56.009689654334899</v>
      </c>
      <c r="O1096">
        <v>6.8485997617244998E-2</v>
      </c>
      <c r="P1096">
        <v>0</v>
      </c>
      <c r="Q1096">
        <v>0</v>
      </c>
      <c r="R1096">
        <v>19.833333067241199</v>
      </c>
      <c r="S1096">
        <v>0</v>
      </c>
      <c r="T1096">
        <v>0</v>
      </c>
      <c r="U1096">
        <v>0</v>
      </c>
      <c r="V1096">
        <v>0</v>
      </c>
      <c r="W1096">
        <v>0</v>
      </c>
    </row>
    <row r="1097" spans="1:23" x14ac:dyDescent="0.55000000000000004">
      <c r="A1097" t="s">
        <v>2202</v>
      </c>
      <c r="B1097" t="s">
        <v>2203</v>
      </c>
      <c r="C1097" t="s">
        <v>8</v>
      </c>
      <c r="D1097">
        <v>6.76</v>
      </c>
      <c r="E1097">
        <f>340898016/(1000)</f>
        <v>340898.016</v>
      </c>
      <c r="F1097">
        <f>263674000/(1000)</f>
        <v>263674</v>
      </c>
      <c r="G1097">
        <f>77676000/(1000)</f>
        <v>77676</v>
      </c>
      <c r="H1097">
        <f>533321024/(1000)</f>
        <v>533321.02399999998</v>
      </c>
      <c r="I1097">
        <f>197644992/(1000)</f>
        <v>197644.992</v>
      </c>
      <c r="J1097">
        <f t="shared" si="22"/>
        <v>2.6983786363785024E-3</v>
      </c>
      <c r="K1097">
        <f>-12674999/(1000)</f>
        <v>-12674.999</v>
      </c>
      <c r="L1097">
        <v>25.984842300415</v>
      </c>
      <c r="M1097">
        <v>15.9523773193359</v>
      </c>
      <c r="N1097">
        <v>86.298279426556704</v>
      </c>
      <c r="O1097">
        <v>49.2049751281738</v>
      </c>
      <c r="P1097">
        <v>0</v>
      </c>
      <c r="Q1097">
        <v>0.92889042763921703</v>
      </c>
      <c r="R1097">
        <v>5.8782611142935499</v>
      </c>
      <c r="S1097">
        <v>447.71192954030897</v>
      </c>
      <c r="T1097">
        <v>0</v>
      </c>
      <c r="U1097">
        <v>0</v>
      </c>
      <c r="V1097">
        <v>0</v>
      </c>
      <c r="W1097">
        <v>0</v>
      </c>
    </row>
    <row r="1098" spans="1:23" x14ac:dyDescent="0.55000000000000004">
      <c r="A1098" t="s">
        <v>2204</v>
      </c>
      <c r="B1098" t="s">
        <v>2205</v>
      </c>
      <c r="C1098" t="s">
        <v>20</v>
      </c>
      <c r="D1098">
        <v>4.62</v>
      </c>
      <c r="E1098">
        <f>110999656/(1000)</f>
        <v>110999.656</v>
      </c>
      <c r="F1098">
        <f>262942992/(1000)</f>
        <v>262942.99200000003</v>
      </c>
      <c r="G1098">
        <f>10453000/(1000)</f>
        <v>10453</v>
      </c>
      <c r="H1098">
        <f>80114654/(1000)</f>
        <v>80114.653999999995</v>
      </c>
      <c r="I1098">
        <f>22742000/(1000)</f>
        <v>22742</v>
      </c>
      <c r="J1098">
        <f t="shared" si="22"/>
        <v>3.5227620262070175E-3</v>
      </c>
      <c r="K1098">
        <f>3909000.5/(1000)</f>
        <v>3909.0005000000001</v>
      </c>
      <c r="L1098">
        <v>0</v>
      </c>
      <c r="M1098">
        <v>4.0687928199768102</v>
      </c>
      <c r="N1098">
        <v>92.099709290084803</v>
      </c>
      <c r="O1098">
        <v>0</v>
      </c>
      <c r="P1098">
        <v>0</v>
      </c>
      <c r="Q1098">
        <v>0</v>
      </c>
      <c r="R1098">
        <v>15.9310337279555</v>
      </c>
      <c r="S1098">
        <v>136.022289643287</v>
      </c>
      <c r="T1098">
        <v>0</v>
      </c>
      <c r="U1098">
        <v>0</v>
      </c>
      <c r="V1098">
        <v>0</v>
      </c>
      <c r="W1098">
        <v>0</v>
      </c>
    </row>
    <row r="1099" spans="1:23" x14ac:dyDescent="0.55000000000000004">
      <c r="A1099" t="s">
        <v>2206</v>
      </c>
      <c r="B1099" t="s">
        <v>2207</v>
      </c>
      <c r="C1099" t="s">
        <v>31</v>
      </c>
      <c r="D1099">
        <v>4.1900000000000004</v>
      </c>
      <c r="E1099">
        <f>128682864/(1000)</f>
        <v>128682.864</v>
      </c>
      <c r="F1099">
        <f>262747008/(1000)</f>
        <v>262747.00799999997</v>
      </c>
      <c r="G1099">
        <f>5588000/(1000)</f>
        <v>5588</v>
      </c>
      <c r="H1099">
        <f>109505864/(1000)</f>
        <v>109505.864</v>
      </c>
      <c r="I1099">
        <f>15005000/(1000)</f>
        <v>15005</v>
      </c>
      <c r="J1099">
        <f t="shared" si="22"/>
        <v>7.2979582805731422E-3</v>
      </c>
      <c r="K1099">
        <f>10710001/(1000)</f>
        <v>10710.001</v>
      </c>
      <c r="L1099">
        <v>32.866897583007798</v>
      </c>
      <c r="M1099">
        <v>7.2616591453552202</v>
      </c>
      <c r="N1099">
        <v>35.1049585026743</v>
      </c>
      <c r="O1099">
        <v>23.7922687530518</v>
      </c>
      <c r="P1099">
        <v>9.3674562871455994E-2</v>
      </c>
      <c r="Q1099">
        <v>1.68340018573393</v>
      </c>
      <c r="R1099">
        <v>139.66668036745801</v>
      </c>
      <c r="S1099">
        <v>34.570908792919802</v>
      </c>
      <c r="T1099">
        <v>0</v>
      </c>
      <c r="U1099">
        <v>0</v>
      </c>
      <c r="V1099">
        <v>0</v>
      </c>
      <c r="W1099">
        <v>0</v>
      </c>
    </row>
    <row r="1100" spans="1:23" x14ac:dyDescent="0.55000000000000004">
      <c r="A1100" t="s">
        <v>2208</v>
      </c>
      <c r="B1100" t="s">
        <v>2209</v>
      </c>
      <c r="C1100" t="s">
        <v>2</v>
      </c>
      <c r="D1100">
        <v>20.88</v>
      </c>
      <c r="E1100">
        <f>359050400/(1000)</f>
        <v>359050.4</v>
      </c>
      <c r="F1100">
        <f>262516992/(1000)</f>
        <v>262516.99200000003</v>
      </c>
      <c r="G1100">
        <f>35666000/(1000)</f>
        <v>35666</v>
      </c>
      <c r="H1100">
        <f>361251400/(1000)</f>
        <v>361251.4</v>
      </c>
      <c r="I1100">
        <f>45331000/(1000)</f>
        <v>45331</v>
      </c>
      <c r="J1100">
        <f t="shared" si="22"/>
        <v>7.9691910613046268E-3</v>
      </c>
      <c r="K1100">
        <f>20373001/(1000)</f>
        <v>20373.001</v>
      </c>
      <c r="L1100">
        <v>20.285263061523398</v>
      </c>
      <c r="M1100">
        <v>24.764186859130898</v>
      </c>
      <c r="N1100">
        <v>70.151024521485198</v>
      </c>
      <c r="O1100">
        <v>9.5367997884750005E-2</v>
      </c>
      <c r="P1100">
        <v>0.21333333849906899</v>
      </c>
      <c r="Q1100">
        <v>0</v>
      </c>
      <c r="R1100">
        <v>14.013422306000299</v>
      </c>
      <c r="S1100">
        <v>69.283898463783302</v>
      </c>
      <c r="T1100">
        <v>0</v>
      </c>
      <c r="U1100">
        <v>0</v>
      </c>
      <c r="V1100">
        <v>0</v>
      </c>
      <c r="W1100">
        <v>0</v>
      </c>
    </row>
    <row r="1101" spans="1:23" x14ac:dyDescent="0.55000000000000004">
      <c r="A1101" t="s">
        <v>2210</v>
      </c>
      <c r="B1101" t="s">
        <v>2211</v>
      </c>
      <c r="C1101" t="s">
        <v>5</v>
      </c>
      <c r="D1101">
        <v>26.58</v>
      </c>
      <c r="E1101">
        <f>1873669376/(1000)</f>
        <v>1873669.3759999999</v>
      </c>
      <c r="F1101">
        <f>261199008/(1000)</f>
        <v>261199.008</v>
      </c>
      <c r="G1101">
        <f>108389000/(1000)</f>
        <v>108389</v>
      </c>
      <c r="H1101">
        <f>1784549376/(1000)</f>
        <v>1784549.3759999999</v>
      </c>
      <c r="I1101">
        <f>116765000/(1000)</f>
        <v>116765</v>
      </c>
      <c r="J1101">
        <f t="shared" si="22"/>
        <v>1.5283255907163961E-2</v>
      </c>
      <c r="K1101">
        <f>63532005/(1000)</f>
        <v>63532.004999999997</v>
      </c>
      <c r="L1101">
        <v>42.674602508544901</v>
      </c>
      <c r="M1101">
        <v>27.109861373901399</v>
      </c>
      <c r="N1101">
        <v>98.8140458692083</v>
      </c>
      <c r="O1101">
        <v>0</v>
      </c>
      <c r="P1101">
        <v>0</v>
      </c>
      <c r="Q1101">
        <v>4.9868668488130998</v>
      </c>
      <c r="R1101">
        <v>25.314284994975299</v>
      </c>
      <c r="S1101">
        <v>164.77881761414301</v>
      </c>
      <c r="T1101">
        <v>0</v>
      </c>
      <c r="U1101">
        <v>0</v>
      </c>
      <c r="V1101">
        <v>0</v>
      </c>
      <c r="W1101">
        <v>0</v>
      </c>
    </row>
    <row r="1102" spans="1:23" x14ac:dyDescent="0.55000000000000004">
      <c r="A1102" t="s">
        <v>2212</v>
      </c>
      <c r="B1102" t="s">
        <v>2213</v>
      </c>
      <c r="C1102" t="s">
        <v>5</v>
      </c>
      <c r="D1102">
        <v>6.39</v>
      </c>
      <c r="E1102">
        <f>139448976/(1000)</f>
        <v>139448.976</v>
      </c>
      <c r="F1102">
        <f>260310000/(1000)</f>
        <v>260310</v>
      </c>
      <c r="G1102">
        <f>29093000/(1000)</f>
        <v>29093</v>
      </c>
      <c r="H1102">
        <f>108328974/(1000)</f>
        <v>108328.974</v>
      </c>
      <c r="I1102">
        <f>33819000/(1000)</f>
        <v>33819</v>
      </c>
      <c r="J1102">
        <f t="shared" si="22"/>
        <v>3.2031986161625121E-3</v>
      </c>
      <c r="K1102">
        <f>15099001/(1000)</f>
        <v>15099.001</v>
      </c>
      <c r="L1102">
        <v>104.71240234375</v>
      </c>
      <c r="M1102">
        <v>0</v>
      </c>
      <c r="N1102">
        <v>72.726939620087705</v>
      </c>
      <c r="O1102">
        <v>582.7158203125</v>
      </c>
      <c r="P1102">
        <v>0</v>
      </c>
      <c r="Q1102">
        <v>0</v>
      </c>
      <c r="R1102">
        <v>19.9687495641701</v>
      </c>
      <c r="S1102">
        <v>-71.343364421781303</v>
      </c>
      <c r="T1102">
        <v>0</v>
      </c>
      <c r="U1102">
        <v>0</v>
      </c>
      <c r="V1102">
        <v>0</v>
      </c>
      <c r="W1102">
        <v>0</v>
      </c>
    </row>
    <row r="1103" spans="1:23" x14ac:dyDescent="0.55000000000000004">
      <c r="A1103" t="s">
        <v>2214</v>
      </c>
      <c r="B1103" t="s">
        <v>2215</v>
      </c>
      <c r="C1103" t="s">
        <v>401</v>
      </c>
      <c r="D1103">
        <v>5.0599999999999996</v>
      </c>
      <c r="E1103">
        <f>879411328/(1000)</f>
        <v>879411.32799999998</v>
      </c>
      <c r="F1103">
        <f>260223008/(1000)</f>
        <v>260223.008</v>
      </c>
      <c r="G1103">
        <f>62158000/(1000)</f>
        <v>62158</v>
      </c>
      <c r="H1103">
        <f>2317518336/(1000)</f>
        <v>2317518.3360000001</v>
      </c>
      <c r="I1103">
        <f>177623008/(1000)</f>
        <v>177623.008</v>
      </c>
      <c r="J1103">
        <f t="shared" si="22"/>
        <v>1.3047399445008835E-2</v>
      </c>
      <c r="K1103">
        <f>-162495999/(1000)</f>
        <v>-162495.99900000001</v>
      </c>
      <c r="L1103">
        <v>0</v>
      </c>
      <c r="M1103">
        <v>3.3556709289550799</v>
      </c>
      <c r="N1103">
        <v>99.620874777138894</v>
      </c>
      <c r="O1103">
        <v>76.469627380371094</v>
      </c>
      <c r="P1103">
        <v>0.31999999284744302</v>
      </c>
      <c r="Q1103">
        <v>0</v>
      </c>
      <c r="R1103">
        <v>126.500001396984</v>
      </c>
      <c r="S1103">
        <v>0</v>
      </c>
      <c r="T1103">
        <v>0</v>
      </c>
      <c r="U1103">
        <v>0</v>
      </c>
      <c r="V1103">
        <v>0</v>
      </c>
      <c r="W1103">
        <v>0</v>
      </c>
    </row>
    <row r="1104" spans="1:23" x14ac:dyDescent="0.55000000000000004">
      <c r="A1104" t="s">
        <v>2216</v>
      </c>
      <c r="B1104" t="s">
        <v>2217</v>
      </c>
      <c r="C1104" t="s">
        <v>31</v>
      </c>
      <c r="D1104">
        <v>21.2</v>
      </c>
      <c r="E1104">
        <f>236213248/(1000)</f>
        <v>236213.24799999999</v>
      </c>
      <c r="F1104">
        <f>259136992/(1000)</f>
        <v>259136.992</v>
      </c>
      <c r="G1104">
        <f>20013000/(1000)</f>
        <v>20013</v>
      </c>
      <c r="H1104">
        <f>136890248/(1000)</f>
        <v>136890.24799999999</v>
      </c>
      <c r="I1104">
        <f>27934000/(1000)</f>
        <v>27934</v>
      </c>
      <c r="J1104">
        <f t="shared" si="22"/>
        <v>4.900488580224815E-3</v>
      </c>
      <c r="K1104">
        <f>10677002/(1000)</f>
        <v>10677.002</v>
      </c>
      <c r="L1104">
        <v>17.125566482543899</v>
      </c>
      <c r="M1104">
        <v>11.286602973938001</v>
      </c>
      <c r="N1104">
        <v>86.658915403297996</v>
      </c>
      <c r="O1104">
        <v>0</v>
      </c>
      <c r="P1104">
        <v>0.28000000119209301</v>
      </c>
      <c r="Q1104">
        <v>0</v>
      </c>
      <c r="R1104">
        <v>13.167883690891401</v>
      </c>
      <c r="S1104">
        <v>171.26810149903699</v>
      </c>
      <c r="T1104">
        <v>0</v>
      </c>
      <c r="U1104">
        <v>0</v>
      </c>
      <c r="V1104">
        <v>0</v>
      </c>
      <c r="W1104">
        <v>0</v>
      </c>
    </row>
    <row r="1105" spans="1:23" x14ac:dyDescent="0.55000000000000004">
      <c r="A1105" t="s">
        <v>2218</v>
      </c>
      <c r="B1105" t="s">
        <v>2219</v>
      </c>
      <c r="C1105" t="s">
        <v>38</v>
      </c>
      <c r="D1105">
        <v>6.18</v>
      </c>
      <c r="E1105">
        <f>738552000/(1000)</f>
        <v>738552</v>
      </c>
      <c r="F1105">
        <f>258924992/(1000)</f>
        <v>258924.992</v>
      </c>
      <c r="G1105">
        <f>-12617000/(1000)</f>
        <v>-12617</v>
      </c>
      <c r="H1105">
        <f>684058012/(1000)</f>
        <v>684058.01199999999</v>
      </c>
      <c r="I1105">
        <f>51874000/(1000)</f>
        <v>51874</v>
      </c>
      <c r="J1105">
        <f t="shared" si="22"/>
        <v>1.3186914677873307E-2</v>
      </c>
      <c r="K1105">
        <f>-27764999/(1000)</f>
        <v>-27764.999</v>
      </c>
      <c r="L1105">
        <v>0</v>
      </c>
      <c r="M1105">
        <v>-4.3195362091064498</v>
      </c>
      <c r="N1105">
        <v>99.102061296623205</v>
      </c>
      <c r="O1105">
        <v>105.499298095703</v>
      </c>
      <c r="P1105">
        <v>0</v>
      </c>
      <c r="Q1105">
        <v>0</v>
      </c>
      <c r="R1105">
        <v>22.888887185680101</v>
      </c>
      <c r="S1105">
        <v>458.35290362926702</v>
      </c>
      <c r="T1105">
        <v>0</v>
      </c>
      <c r="U1105">
        <v>0</v>
      </c>
      <c r="V1105">
        <v>0</v>
      </c>
      <c r="W1105">
        <v>0</v>
      </c>
    </row>
    <row r="1106" spans="1:23" x14ac:dyDescent="0.55000000000000004">
      <c r="A1106" t="s">
        <v>2220</v>
      </c>
      <c r="B1106" t="s">
        <v>2221</v>
      </c>
      <c r="C1106" t="s">
        <v>94</v>
      </c>
      <c r="D1106">
        <v>31.48</v>
      </c>
      <c r="E1106">
        <f>214693600/(1000)</f>
        <v>214693.6</v>
      </c>
      <c r="F1106">
        <f>258286496/(1000)</f>
        <v>258286.49600000001</v>
      </c>
      <c r="G1106">
        <f>28113582/(1000)</f>
        <v>28113.581999999999</v>
      </c>
      <c r="H1106">
        <f>345149792/(1000)</f>
        <v>345149.79200000002</v>
      </c>
      <c r="I1106">
        <f>40510272/(1000)</f>
        <v>40510.271999999997</v>
      </c>
      <c r="J1106">
        <f t="shared" si="22"/>
        <v>8.5200561477345796E-3</v>
      </c>
      <c r="K1106">
        <f>-3117625.25/(1000)</f>
        <v>-3117.6252500000001</v>
      </c>
      <c r="L1106">
        <v>16.463010787963899</v>
      </c>
      <c r="M1106">
        <v>11.4400548934937</v>
      </c>
      <c r="N1106">
        <v>95.630496126677002</v>
      </c>
      <c r="O1106">
        <v>97.490646362304702</v>
      </c>
      <c r="P1106">
        <v>1.2200000286102299</v>
      </c>
      <c r="Q1106">
        <v>1.7525400256521799</v>
      </c>
      <c r="R1106">
        <v>15.4313719227849</v>
      </c>
      <c r="S1106">
        <v>92.545627126536502</v>
      </c>
      <c r="T1106">
        <v>0</v>
      </c>
      <c r="U1106">
        <v>0</v>
      </c>
      <c r="V1106">
        <v>0</v>
      </c>
      <c r="W1106">
        <v>0</v>
      </c>
    </row>
    <row r="1107" spans="1:23" x14ac:dyDescent="0.55000000000000004">
      <c r="A1107" t="s">
        <v>2222</v>
      </c>
      <c r="B1107" t="s">
        <v>2223</v>
      </c>
      <c r="C1107" t="s">
        <v>31</v>
      </c>
      <c r="D1107">
        <v>7.31</v>
      </c>
      <c r="E1107">
        <f>502156832/(1000)</f>
        <v>502156.83199999999</v>
      </c>
      <c r="F1107">
        <f>257974000/(1000)</f>
        <v>257974</v>
      </c>
      <c r="G1107">
        <f>47695000/(1000)</f>
        <v>47695</v>
      </c>
      <c r="H1107">
        <f>419895832/(1000)</f>
        <v>419895.83199999999</v>
      </c>
      <c r="I1107">
        <f>65696000/(1000)</f>
        <v>65696</v>
      </c>
      <c r="J1107">
        <f t="shared" si="22"/>
        <v>6.3914976863127127E-3</v>
      </c>
      <c r="K1107">
        <f>47533001/(1000)</f>
        <v>47533.000999999997</v>
      </c>
      <c r="L1107">
        <v>67.124473571777301</v>
      </c>
      <c r="M1107">
        <v>18.584392547607401</v>
      </c>
      <c r="N1107">
        <v>68.300224057816607</v>
      </c>
      <c r="O1107">
        <v>0</v>
      </c>
      <c r="P1107">
        <v>0.140000000596046</v>
      </c>
      <c r="Q1107">
        <v>2.2772585220900399</v>
      </c>
      <c r="R1107">
        <v>15.229166651468001</v>
      </c>
      <c r="S1107">
        <v>26.022940440831601</v>
      </c>
      <c r="T1107">
        <v>0</v>
      </c>
      <c r="U1107">
        <v>0</v>
      </c>
      <c r="V1107">
        <v>0</v>
      </c>
      <c r="W1107">
        <v>0</v>
      </c>
    </row>
    <row r="1108" spans="1:23" x14ac:dyDescent="0.55000000000000004">
      <c r="A1108" t="s">
        <v>2224</v>
      </c>
      <c r="B1108" t="s">
        <v>2225</v>
      </c>
      <c r="C1108" t="s">
        <v>5</v>
      </c>
      <c r="D1108">
        <v>1.89</v>
      </c>
      <c r="E1108">
        <f>118178296/(1000)</f>
        <v>118178.296</v>
      </c>
      <c r="F1108">
        <f>257937984/(1000)</f>
        <v>257937.984</v>
      </c>
      <c r="G1108">
        <f>18820000/(1000)</f>
        <v>18820</v>
      </c>
      <c r="H1108">
        <f>-111919704/(1000)</f>
        <v>-111919.704</v>
      </c>
      <c r="I1108">
        <f>29899000/(1000)</f>
        <v>29899</v>
      </c>
      <c r="J1108">
        <f t="shared" si="22"/>
        <v>-3.7432591056557074E-3</v>
      </c>
      <c r="K1108">
        <f>51668001/(1000)</f>
        <v>51668.000999999997</v>
      </c>
      <c r="L1108">
        <v>0</v>
      </c>
      <c r="M1108">
        <v>4.62394094467163</v>
      </c>
      <c r="N1108">
        <v>98.008581284615701</v>
      </c>
      <c r="O1108">
        <v>0</v>
      </c>
      <c r="P1108">
        <v>0</v>
      </c>
      <c r="Q1108">
        <v>0</v>
      </c>
      <c r="R1108">
        <v>48.3722338311781</v>
      </c>
      <c r="S1108">
        <v>388.96342129208398</v>
      </c>
      <c r="T1108">
        <v>0</v>
      </c>
      <c r="U1108">
        <v>0</v>
      </c>
      <c r="V1108">
        <v>0</v>
      </c>
      <c r="W1108">
        <v>0</v>
      </c>
    </row>
    <row r="1109" spans="1:23" x14ac:dyDescent="0.55000000000000004">
      <c r="A1109" t="s">
        <v>2226</v>
      </c>
      <c r="B1109" t="s">
        <v>2227</v>
      </c>
      <c r="C1109" t="s">
        <v>38</v>
      </c>
      <c r="D1109">
        <v>14.73</v>
      </c>
      <c r="E1109">
        <f>770084352/(1000)</f>
        <v>770084.35199999996</v>
      </c>
      <c r="F1109">
        <f>257534000/(1000)</f>
        <v>257534</v>
      </c>
      <c r="G1109">
        <f>-28030000/(1000)</f>
        <v>-28030</v>
      </c>
      <c r="H1109">
        <f>564389344/(1000)</f>
        <v>564389.34400000004</v>
      </c>
      <c r="I1109">
        <f>-26444000/(1000)</f>
        <v>-26444</v>
      </c>
      <c r="J1109">
        <f t="shared" si="22"/>
        <v>-2.1342812887611556E-2</v>
      </c>
      <c r="K1109">
        <f>34526001/(1000)</f>
        <v>34526.000999999997</v>
      </c>
      <c r="L1109">
        <v>0</v>
      </c>
      <c r="M1109">
        <v>-6.6704750061035201</v>
      </c>
      <c r="N1109">
        <v>98.995985479049494</v>
      </c>
      <c r="O1109">
        <v>0</v>
      </c>
      <c r="P1109">
        <v>0</v>
      </c>
      <c r="Q1109">
        <v>2.5440413884773401</v>
      </c>
      <c r="R1109">
        <v>35.0714263989762</v>
      </c>
      <c r="S1109">
        <v>572.39497663246402</v>
      </c>
      <c r="T1109">
        <v>0</v>
      </c>
      <c r="U1109">
        <v>0</v>
      </c>
      <c r="V1109">
        <v>0</v>
      </c>
      <c r="W1109">
        <v>0</v>
      </c>
    </row>
    <row r="1110" spans="1:23" x14ac:dyDescent="0.55000000000000004">
      <c r="A1110" t="s">
        <v>2228</v>
      </c>
      <c r="B1110" t="s">
        <v>2229</v>
      </c>
      <c r="C1110" t="s">
        <v>31</v>
      </c>
      <c r="D1110">
        <v>13.5</v>
      </c>
      <c r="E1110">
        <f>584227328/(1000)</f>
        <v>584227.32799999998</v>
      </c>
      <c r="F1110">
        <f>257038000/(1000)</f>
        <v>257038</v>
      </c>
      <c r="G1110">
        <f>52407000/(1000)</f>
        <v>52407</v>
      </c>
      <c r="H1110">
        <f>632634328/(1000)</f>
        <v>632634.32799999998</v>
      </c>
      <c r="I1110">
        <f>60556000/(1000)</f>
        <v>60556</v>
      </c>
      <c r="J1110">
        <f t="shared" si="22"/>
        <v>1.0447095713058987E-2</v>
      </c>
      <c r="K1110">
        <f>54744001/(1000)</f>
        <v>54744.000999999997</v>
      </c>
      <c r="L1110">
        <v>0</v>
      </c>
      <c r="M1110">
        <v>30.4363899230957</v>
      </c>
      <c r="N1110">
        <v>98.213101097705803</v>
      </c>
      <c r="O1110">
        <v>0.97168099880218495</v>
      </c>
      <c r="P1110">
        <v>0.40000000596046398</v>
      </c>
      <c r="Q1110">
        <v>6</v>
      </c>
      <c r="R1110">
        <v>15.8823527741185</v>
      </c>
      <c r="S1110">
        <v>144.26536411065399</v>
      </c>
      <c r="T1110">
        <v>0</v>
      </c>
      <c r="U1110">
        <v>0</v>
      </c>
      <c r="V1110">
        <v>0</v>
      </c>
      <c r="W1110">
        <v>0</v>
      </c>
    </row>
    <row r="1111" spans="1:23" x14ac:dyDescent="0.55000000000000004">
      <c r="A1111" t="s">
        <v>2230</v>
      </c>
      <c r="B1111" t="s">
        <v>2231</v>
      </c>
      <c r="C1111" t="s">
        <v>121</v>
      </c>
      <c r="D1111">
        <v>2.38</v>
      </c>
      <c r="E1111">
        <f>67521072/(1000)</f>
        <v>67521.072</v>
      </c>
      <c r="F1111">
        <f>256795008/(1000)</f>
        <v>256795.008</v>
      </c>
      <c r="G1111">
        <f>44300000/(1000)</f>
        <v>44300</v>
      </c>
      <c r="H1111">
        <f>504756080/(1000)</f>
        <v>504756.08</v>
      </c>
      <c r="I1111">
        <f>55627000/(1000)</f>
        <v>55627</v>
      </c>
      <c r="J1111">
        <f t="shared" si="22"/>
        <v>9.0739403527064187E-3</v>
      </c>
      <c r="K1111">
        <f>40374001/(1000)</f>
        <v>40374.000999999997</v>
      </c>
      <c r="L1111">
        <v>0</v>
      </c>
      <c r="M1111">
        <v>20.7225017547607</v>
      </c>
      <c r="N1111">
        <v>72.166218690070096</v>
      </c>
      <c r="O1111">
        <v>36.411556243896499</v>
      </c>
      <c r="P1111">
        <v>0</v>
      </c>
      <c r="Q1111">
        <v>0.47035575916104599</v>
      </c>
      <c r="R1111">
        <v>3.3055557370772299</v>
      </c>
      <c r="S1111">
        <v>0</v>
      </c>
      <c r="T1111">
        <v>0</v>
      </c>
      <c r="U1111">
        <v>0</v>
      </c>
      <c r="V1111">
        <v>0</v>
      </c>
      <c r="W1111">
        <v>0</v>
      </c>
    </row>
    <row r="1112" spans="1:23" x14ac:dyDescent="0.55000000000000004">
      <c r="A1112" t="s">
        <v>2232</v>
      </c>
      <c r="B1112" t="s">
        <v>2233</v>
      </c>
      <c r="C1112" t="s">
        <v>38</v>
      </c>
      <c r="D1112">
        <v>29.83</v>
      </c>
      <c r="E1112">
        <f>1700724608/(1000)</f>
        <v>1700724.608</v>
      </c>
      <c r="F1112">
        <f>256286000/(1000)</f>
        <v>256286</v>
      </c>
      <c r="G1112">
        <f>68486000/(1000)</f>
        <v>68486</v>
      </c>
      <c r="H1112">
        <f>1578871608/(1000)</f>
        <v>1578871.608</v>
      </c>
      <c r="I1112">
        <f>73749000/(1000)</f>
        <v>73749</v>
      </c>
      <c r="J1112">
        <f t="shared" si="22"/>
        <v>2.140871887076435E-2</v>
      </c>
      <c r="K1112">
        <f>23498001/(1000)</f>
        <v>23498.001</v>
      </c>
      <c r="L1112">
        <v>0</v>
      </c>
      <c r="M1112">
        <v>0</v>
      </c>
      <c r="N1112">
        <v>79.162799599514301</v>
      </c>
      <c r="O1112">
        <v>20.684898376464801</v>
      </c>
      <c r="P1112">
        <v>0</v>
      </c>
      <c r="Q1112">
        <v>8.9984915260356697</v>
      </c>
      <c r="R1112">
        <v>39.249999622569298</v>
      </c>
      <c r="S1112">
        <v>0</v>
      </c>
      <c r="T1112">
        <v>0</v>
      </c>
      <c r="U1112">
        <v>0</v>
      </c>
      <c r="V1112">
        <v>0</v>
      </c>
      <c r="W1112">
        <v>0</v>
      </c>
    </row>
    <row r="1113" spans="1:23" x14ac:dyDescent="0.55000000000000004">
      <c r="A1113" t="s">
        <v>2234</v>
      </c>
      <c r="B1113" t="s">
        <v>2235</v>
      </c>
      <c r="C1113" t="s">
        <v>184</v>
      </c>
      <c r="D1113">
        <v>35.5</v>
      </c>
      <c r="E1113">
        <f>979601216/(1000)</f>
        <v>979601.21600000001</v>
      </c>
      <c r="F1113">
        <f>256210000/(1000)</f>
        <v>256210</v>
      </c>
      <c r="G1113">
        <f>0/(1000)</f>
        <v>0</v>
      </c>
      <c r="H1113">
        <f>0/(1000)</f>
        <v>0</v>
      </c>
      <c r="I1113">
        <f>0/(1000)</f>
        <v>0</v>
      </c>
      <c r="J1113">
        <f t="shared" si="22"/>
        <v>1</v>
      </c>
      <c r="K1113">
        <f>58450001/(1000)</f>
        <v>58450.000999999997</v>
      </c>
      <c r="L1113">
        <v>15.824888229370099</v>
      </c>
      <c r="M1113">
        <v>16.5956516265869</v>
      </c>
      <c r="N1113">
        <v>94.233611230978198</v>
      </c>
      <c r="O1113">
        <v>120.35756683349599</v>
      </c>
      <c r="P1113">
        <v>1.2400000095367401</v>
      </c>
      <c r="Q1113">
        <v>2.15772686928868</v>
      </c>
      <c r="R1113">
        <v>8.875</v>
      </c>
      <c r="S1113">
        <v>39.365752828546597</v>
      </c>
      <c r="T1113">
        <v>0</v>
      </c>
      <c r="U1113">
        <v>0</v>
      </c>
      <c r="V1113">
        <v>0</v>
      </c>
      <c r="W1113">
        <v>0</v>
      </c>
    </row>
    <row r="1114" spans="1:23" x14ac:dyDescent="0.55000000000000004">
      <c r="A1114" t="s">
        <v>2236</v>
      </c>
      <c r="B1114" t="s">
        <v>2237</v>
      </c>
      <c r="C1114" t="s">
        <v>5</v>
      </c>
      <c r="D1114">
        <v>25.21</v>
      </c>
      <c r="E1114">
        <f>1152170112/(1000)</f>
        <v>1152170.112</v>
      </c>
      <c r="F1114">
        <f>255860960/(1000)</f>
        <v>255860.96</v>
      </c>
      <c r="G1114">
        <f>6452125/(1000)</f>
        <v>6452.125</v>
      </c>
      <c r="H1114">
        <f>990201120/(1000)</f>
        <v>990201.12</v>
      </c>
      <c r="I1114">
        <f>28369288/(1000)</f>
        <v>28369.288</v>
      </c>
      <c r="J1114">
        <f t="shared" si="22"/>
        <v>3.4903982080903832E-2</v>
      </c>
      <c r="K1114">
        <f>-88824431/(1000)</f>
        <v>-88824.430999999997</v>
      </c>
      <c r="L1114">
        <v>0</v>
      </c>
      <c r="M1114">
        <v>0.660172998905182</v>
      </c>
      <c r="N1114">
        <v>92.627382643527596</v>
      </c>
      <c r="O1114">
        <v>53.456199645996101</v>
      </c>
      <c r="P1114">
        <v>0</v>
      </c>
      <c r="Q1114">
        <v>0</v>
      </c>
      <c r="R1114">
        <v>24.671035952141899</v>
      </c>
      <c r="S1114">
        <v>293.39620842878901</v>
      </c>
      <c r="T1114">
        <v>0</v>
      </c>
      <c r="U1114">
        <v>0</v>
      </c>
      <c r="V1114">
        <v>0</v>
      </c>
      <c r="W1114">
        <v>0</v>
      </c>
    </row>
    <row r="1115" spans="1:23" x14ac:dyDescent="0.55000000000000004">
      <c r="A1115" t="s">
        <v>2238</v>
      </c>
      <c r="B1115" t="s">
        <v>2239</v>
      </c>
      <c r="C1115" t="s">
        <v>2</v>
      </c>
      <c r="D1115">
        <v>10.6</v>
      </c>
      <c r="E1115">
        <f>504608736/(1000)</f>
        <v>504608.73599999998</v>
      </c>
      <c r="F1115">
        <f>255792000/(1000)</f>
        <v>255792</v>
      </c>
      <c r="G1115">
        <f>125488000/(1000)</f>
        <v>125488</v>
      </c>
      <c r="H1115">
        <f>1136783712/(1000)</f>
        <v>1136783.7120000001</v>
      </c>
      <c r="I1115">
        <f>177922000/(1000)</f>
        <v>177922</v>
      </c>
      <c r="J1115">
        <f t="shared" si="22"/>
        <v>6.3892251211204914E-3</v>
      </c>
      <c r="K1115">
        <f>-62736999/(1000)</f>
        <v>-62736.999000000003</v>
      </c>
      <c r="L1115">
        <v>0</v>
      </c>
      <c r="M1115">
        <v>20.968996047973601</v>
      </c>
      <c r="N1115">
        <v>24.062591095946399</v>
      </c>
      <c r="O1115">
        <v>128.11187744140599</v>
      </c>
      <c r="P1115">
        <v>0.92000001668930098</v>
      </c>
      <c r="Q1115">
        <v>1.10762807936165</v>
      </c>
      <c r="R1115">
        <v>5.8888891593173698</v>
      </c>
      <c r="S1115">
        <v>0</v>
      </c>
      <c r="T1115">
        <v>0</v>
      </c>
      <c r="U1115">
        <v>0</v>
      </c>
      <c r="V1115">
        <v>0</v>
      </c>
      <c r="W1115">
        <v>0</v>
      </c>
    </row>
    <row r="1116" spans="1:23" x14ac:dyDescent="0.55000000000000004">
      <c r="A1116" t="s">
        <v>2240</v>
      </c>
      <c r="B1116" t="s">
        <v>2241</v>
      </c>
      <c r="C1116" t="s">
        <v>401</v>
      </c>
      <c r="D1116">
        <v>28.3</v>
      </c>
      <c r="E1116">
        <f>1482611456/(1000)</f>
        <v>1482611.456</v>
      </c>
      <c r="F1116">
        <f>255655008/(1000)</f>
        <v>255655.008</v>
      </c>
      <c r="G1116">
        <f>90867000/(1000)</f>
        <v>90867</v>
      </c>
      <c r="H1116">
        <f>2775030400/(1000)</f>
        <v>2775030.4</v>
      </c>
      <c r="I1116">
        <f>164598000/(1000)</f>
        <v>164598</v>
      </c>
      <c r="J1116">
        <f t="shared" si="22"/>
        <v>1.68594417915163E-2</v>
      </c>
      <c r="K1116">
        <f>-289438015/(1000)</f>
        <v>-289438.01500000001</v>
      </c>
      <c r="L1116">
        <v>37.3919486999512</v>
      </c>
      <c r="M1116">
        <v>13.3296003341675</v>
      </c>
      <c r="N1116">
        <v>98.908362367957807</v>
      </c>
      <c r="O1116">
        <v>270.049560546875</v>
      </c>
      <c r="P1116">
        <v>1.7300000190734901</v>
      </c>
      <c r="Q1116">
        <v>0</v>
      </c>
      <c r="R1116">
        <v>58.958333061697601</v>
      </c>
      <c r="S1116">
        <v>66.432319274642495</v>
      </c>
      <c r="T1116">
        <v>0</v>
      </c>
      <c r="U1116">
        <v>0</v>
      </c>
      <c r="V1116">
        <v>0</v>
      </c>
      <c r="W1116">
        <v>0</v>
      </c>
    </row>
    <row r="1117" spans="1:23" x14ac:dyDescent="0.55000000000000004">
      <c r="A1117" t="s">
        <v>2242</v>
      </c>
      <c r="B1117" t="s">
        <v>2243</v>
      </c>
      <c r="C1117" t="s">
        <v>5</v>
      </c>
      <c r="D1117">
        <v>4.47</v>
      </c>
      <c r="E1117">
        <f>69288128/(1000)</f>
        <v>69288.127999999997</v>
      </c>
      <c r="F1117">
        <f>255198000/(1000)</f>
        <v>255198</v>
      </c>
      <c r="G1117">
        <f>63849000/(1000)</f>
        <v>63849</v>
      </c>
      <c r="H1117">
        <f>825205120/(1000)</f>
        <v>825205.12</v>
      </c>
      <c r="I1117">
        <f>88220000/(1000)</f>
        <v>88220</v>
      </c>
      <c r="J1117">
        <f t="shared" si="22"/>
        <v>9.3539460439809562E-3</v>
      </c>
      <c r="K1117">
        <f>86413001/(1000)</f>
        <v>86413.001000000004</v>
      </c>
      <c r="L1117">
        <v>0</v>
      </c>
      <c r="M1117">
        <v>17.914768218994102</v>
      </c>
      <c r="N1117">
        <v>74.625662081566603</v>
      </c>
      <c r="O1117">
        <v>39.827587127685497</v>
      </c>
      <c r="P1117">
        <v>0</v>
      </c>
      <c r="Q1117">
        <v>0.15618447446248901</v>
      </c>
      <c r="R1117">
        <v>1.2994185220460299</v>
      </c>
      <c r="S1117">
        <v>0</v>
      </c>
      <c r="T1117">
        <v>0</v>
      </c>
      <c r="U1117">
        <v>0</v>
      </c>
      <c r="V1117">
        <v>0</v>
      </c>
      <c r="W1117">
        <v>0</v>
      </c>
    </row>
    <row r="1118" spans="1:23" x14ac:dyDescent="0.55000000000000004">
      <c r="A1118" t="s">
        <v>2244</v>
      </c>
      <c r="B1118" t="s">
        <v>2245</v>
      </c>
      <c r="C1118" t="s">
        <v>5</v>
      </c>
      <c r="D1118">
        <v>10.8</v>
      </c>
      <c r="E1118">
        <f>620719168/(1000)</f>
        <v>620719.16799999995</v>
      </c>
      <c r="F1118">
        <f>255015008/(1000)</f>
        <v>255015.008</v>
      </c>
      <c r="G1118">
        <f>72142000/(1000)</f>
        <v>72142</v>
      </c>
      <c r="H1118">
        <f>1169929152/(1000)</f>
        <v>1169929.152</v>
      </c>
      <c r="I1118">
        <f>122772000/(1000)</f>
        <v>122772</v>
      </c>
      <c r="J1118">
        <f t="shared" si="22"/>
        <v>9.5292831590264877E-3</v>
      </c>
      <c r="K1118">
        <f>11317001/(1000)</f>
        <v>11317.001</v>
      </c>
      <c r="L1118">
        <v>9.6234302520752006</v>
      </c>
      <c r="M1118">
        <v>8.9744796752929705</v>
      </c>
      <c r="N1118">
        <v>86.333300001911496</v>
      </c>
      <c r="O1118">
        <v>247.09500122070301</v>
      </c>
      <c r="P1118">
        <v>1.49253726005554</v>
      </c>
      <c r="Q1118">
        <v>1.38334913498696</v>
      </c>
      <c r="R1118">
        <v>6.5189191250607204</v>
      </c>
      <c r="S1118">
        <v>12.660539330722299</v>
      </c>
      <c r="T1118">
        <v>0</v>
      </c>
      <c r="U1118">
        <v>0</v>
      </c>
      <c r="V1118">
        <v>0</v>
      </c>
      <c r="W1118">
        <v>0</v>
      </c>
    </row>
    <row r="1119" spans="1:23" x14ac:dyDescent="0.55000000000000004">
      <c r="A1119" t="s">
        <v>2246</v>
      </c>
      <c r="B1119" t="s">
        <v>2247</v>
      </c>
      <c r="C1119" t="s">
        <v>5</v>
      </c>
      <c r="D1119">
        <v>3.21</v>
      </c>
      <c r="E1119">
        <f>117605408/(1000)</f>
        <v>117605.408</v>
      </c>
      <c r="F1119">
        <f>254843008/(1000)</f>
        <v>254843.008</v>
      </c>
      <c r="G1119">
        <f>-12030000/(1000)</f>
        <v>-12030</v>
      </c>
      <c r="H1119">
        <f>130941408/(1000)</f>
        <v>130941.408</v>
      </c>
      <c r="I1119">
        <f>-2663000/(1000)</f>
        <v>-2663</v>
      </c>
      <c r="J1119">
        <f t="shared" si="22"/>
        <v>-4.9170637626736763E-2</v>
      </c>
      <c r="K1119">
        <f>2201001.25/(1000)</f>
        <v>2201.0012499999998</v>
      </c>
      <c r="L1119">
        <v>0</v>
      </c>
      <c r="M1119">
        <v>-11.1897087097168</v>
      </c>
      <c r="N1119">
        <v>70.169937712810096</v>
      </c>
      <c r="O1119">
        <v>33.2438354492188</v>
      </c>
      <c r="P1119">
        <v>0</v>
      </c>
      <c r="Q1119">
        <v>0</v>
      </c>
      <c r="R1119">
        <v>32.100001098960703</v>
      </c>
      <c r="S1119">
        <v>205.37309383725</v>
      </c>
      <c r="T1119">
        <v>0</v>
      </c>
      <c r="U1119">
        <v>0</v>
      </c>
      <c r="V1119">
        <v>0</v>
      </c>
      <c r="W1119">
        <v>0</v>
      </c>
    </row>
    <row r="1120" spans="1:23" x14ac:dyDescent="0.55000000000000004">
      <c r="A1120" t="s">
        <v>2248</v>
      </c>
      <c r="B1120" t="s">
        <v>2249</v>
      </c>
      <c r="C1120" t="s">
        <v>2</v>
      </c>
      <c r="D1120">
        <v>46.04</v>
      </c>
      <c r="E1120">
        <f>240476128/(1000)</f>
        <v>240476.128</v>
      </c>
      <c r="F1120">
        <f>254606992/(1000)</f>
        <v>254606.992</v>
      </c>
      <c r="G1120">
        <f>21918000/(1000)</f>
        <v>21918</v>
      </c>
      <c r="H1120">
        <f>223742129/(1000)</f>
        <v>223742.12899999999</v>
      </c>
      <c r="I1120">
        <f>29997000/(1000)</f>
        <v>29997</v>
      </c>
      <c r="J1120">
        <f t="shared" si="22"/>
        <v>7.458816848351502E-3</v>
      </c>
      <c r="K1120">
        <f>5031001/(1000)</f>
        <v>5031.0010000000002</v>
      </c>
      <c r="L1120">
        <v>23.526140213012699</v>
      </c>
      <c r="M1120">
        <v>10.0822811126709</v>
      </c>
      <c r="N1120">
        <v>28.639532175188901</v>
      </c>
      <c r="O1120">
        <v>5.9983401298522896</v>
      </c>
      <c r="P1120">
        <v>0.80000001192092896</v>
      </c>
      <c r="Q1120">
        <v>0</v>
      </c>
      <c r="R1120">
        <v>14.7564102453887</v>
      </c>
      <c r="S1120">
        <v>49.9081452173196</v>
      </c>
      <c r="T1120">
        <v>0</v>
      </c>
      <c r="U1120">
        <v>0</v>
      </c>
      <c r="V1120">
        <v>0</v>
      </c>
      <c r="W1120">
        <v>0</v>
      </c>
    </row>
    <row r="1121" spans="1:23" x14ac:dyDescent="0.55000000000000004">
      <c r="A1121" t="s">
        <v>2250</v>
      </c>
      <c r="B1121" t="s">
        <v>2251</v>
      </c>
      <c r="C1121" t="s">
        <v>5</v>
      </c>
      <c r="D1121">
        <v>11.74</v>
      </c>
      <c r="E1121">
        <f>251152656/(1000)</f>
        <v>251152.65599999999</v>
      </c>
      <c r="F1121">
        <f>254424992/(1000)</f>
        <v>254424.992</v>
      </c>
      <c r="G1121">
        <f>0/(1000)</f>
        <v>0</v>
      </c>
      <c r="H1121">
        <f>245655656/(1000)</f>
        <v>245655.65599999999</v>
      </c>
      <c r="I1121">
        <f>0/(1000)</f>
        <v>0</v>
      </c>
      <c r="J1121">
        <f t="shared" si="22"/>
        <v>1</v>
      </c>
      <c r="K1121">
        <f>93127001/(1000)</f>
        <v>93127.001000000004</v>
      </c>
      <c r="L1121">
        <v>0</v>
      </c>
      <c r="M1121">
        <v>14.688865661621101</v>
      </c>
      <c r="N1121">
        <v>95.527953451667997</v>
      </c>
      <c r="O1121">
        <v>4.0773887634277299</v>
      </c>
      <c r="P1121">
        <v>0</v>
      </c>
      <c r="Q1121">
        <v>0.79137173851902398</v>
      </c>
      <c r="R1121">
        <v>6.5222221598581003</v>
      </c>
      <c r="S1121">
        <v>0</v>
      </c>
      <c r="T1121">
        <v>0</v>
      </c>
      <c r="U1121">
        <v>0</v>
      </c>
      <c r="V1121">
        <v>0</v>
      </c>
      <c r="W1121">
        <v>0</v>
      </c>
    </row>
    <row r="1122" spans="1:23" x14ac:dyDescent="0.55000000000000004">
      <c r="A1122" t="s">
        <v>2252</v>
      </c>
      <c r="B1122" t="s">
        <v>2253</v>
      </c>
      <c r="C1122" t="s">
        <v>31</v>
      </c>
      <c r="D1122">
        <v>13.7</v>
      </c>
      <c r="E1122">
        <f>800074560/(1000)</f>
        <v>800074.56</v>
      </c>
      <c r="F1122">
        <f>254056000/(1000)</f>
        <v>254056</v>
      </c>
      <c r="G1122">
        <f>110386000/(1000)</f>
        <v>110386</v>
      </c>
      <c r="H1122">
        <f>666059560/(1000)</f>
        <v>666059.56000000006</v>
      </c>
      <c r="I1122">
        <f>121208000/(1000)</f>
        <v>121208</v>
      </c>
      <c r="J1122">
        <f t="shared" si="22"/>
        <v>5.4951782060590065E-3</v>
      </c>
      <c r="K1122">
        <f>115197001/(1000)</f>
        <v>115197.001</v>
      </c>
      <c r="L1122">
        <v>22.508348464965799</v>
      </c>
      <c r="M1122">
        <v>27.904109954833999</v>
      </c>
      <c r="N1122">
        <v>93.083512704367806</v>
      </c>
      <c r="O1122">
        <v>0</v>
      </c>
      <c r="P1122">
        <v>0</v>
      </c>
      <c r="Q1122">
        <v>1.9460227107244299</v>
      </c>
      <c r="R1122">
        <v>8.3201090930862591</v>
      </c>
      <c r="S1122">
        <v>239.08493940526401</v>
      </c>
      <c r="T1122">
        <v>0</v>
      </c>
      <c r="U1122">
        <v>0</v>
      </c>
      <c r="V1122">
        <v>0</v>
      </c>
      <c r="W1122">
        <v>0</v>
      </c>
    </row>
    <row r="1123" spans="1:23" x14ac:dyDescent="0.55000000000000004">
      <c r="A1123" t="s">
        <v>2254</v>
      </c>
      <c r="B1123" t="s">
        <v>2255</v>
      </c>
      <c r="C1123" t="s">
        <v>5</v>
      </c>
      <c r="D1123">
        <v>13.36</v>
      </c>
      <c r="E1123">
        <f>800901248/(1000)</f>
        <v>800901.24800000002</v>
      </c>
      <c r="F1123">
        <f>254044992/(1000)</f>
        <v>254044.992</v>
      </c>
      <c r="G1123">
        <f>166564000/(1000)</f>
        <v>166564</v>
      </c>
      <c r="H1123">
        <f>732845248/(1000)</f>
        <v>732845.24800000002</v>
      </c>
      <c r="I1123">
        <f>172274000/(1000)</f>
        <v>172274</v>
      </c>
      <c r="J1123">
        <f t="shared" si="22"/>
        <v>4.2539515423105053E-3</v>
      </c>
      <c r="K1123">
        <f>72192001/(1000)</f>
        <v>72192.001000000004</v>
      </c>
      <c r="L1123">
        <v>0</v>
      </c>
      <c r="M1123">
        <v>42.6221733093262</v>
      </c>
      <c r="N1123">
        <v>69.957645831066401</v>
      </c>
      <c r="O1123">
        <v>2.8814439773559601</v>
      </c>
      <c r="P1123">
        <v>0.31999999284744302</v>
      </c>
      <c r="Q1123">
        <v>2.3194442926733601</v>
      </c>
      <c r="R1123">
        <v>8.29813651259329</v>
      </c>
      <c r="S1123">
        <v>1371.1894371091</v>
      </c>
      <c r="T1123">
        <v>0</v>
      </c>
      <c r="U1123">
        <v>0</v>
      </c>
      <c r="V1123">
        <v>0</v>
      </c>
      <c r="W1123">
        <v>0</v>
      </c>
    </row>
    <row r="1124" spans="1:23" x14ac:dyDescent="0.55000000000000004">
      <c r="A1124" t="s">
        <v>2256</v>
      </c>
      <c r="B1124" t="s">
        <v>2257</v>
      </c>
      <c r="C1124" t="s">
        <v>184</v>
      </c>
      <c r="D1124">
        <v>7.2</v>
      </c>
      <c r="E1124">
        <f>165917520/(1000)</f>
        <v>165917.51999999999</v>
      </c>
      <c r="F1124">
        <f>254011008/(1000)</f>
        <v>254011.008</v>
      </c>
      <c r="G1124">
        <f>48039000/(1000)</f>
        <v>48039</v>
      </c>
      <c r="H1124">
        <f>453457520/(1000)</f>
        <v>453457.52</v>
      </c>
      <c r="I1124">
        <f>51390000/(1000)</f>
        <v>51390</v>
      </c>
      <c r="J1124">
        <f t="shared" si="22"/>
        <v>8.8238474411364079E-3</v>
      </c>
      <c r="K1124">
        <f>14412001/(1000)</f>
        <v>14412.001</v>
      </c>
      <c r="L1124">
        <v>17.259159088134801</v>
      </c>
      <c r="M1124">
        <v>9.3238620758056605</v>
      </c>
      <c r="N1124">
        <v>92.593332688282999</v>
      </c>
      <c r="O1124">
        <v>158.82696533203099</v>
      </c>
      <c r="P1124">
        <v>0</v>
      </c>
      <c r="Q1124">
        <v>0.76190475709914696</v>
      </c>
      <c r="R1124">
        <v>7.49999985254059</v>
      </c>
      <c r="S1124">
        <v>181.04780703695499</v>
      </c>
      <c r="T1124">
        <v>0</v>
      </c>
      <c r="U1124">
        <v>0</v>
      </c>
      <c r="V1124">
        <v>0</v>
      </c>
      <c r="W1124">
        <v>0</v>
      </c>
    </row>
    <row r="1125" spans="1:23" x14ac:dyDescent="0.55000000000000004">
      <c r="A1125" t="s">
        <v>2258</v>
      </c>
      <c r="B1125" t="s">
        <v>2259</v>
      </c>
      <c r="C1125" t="s">
        <v>401</v>
      </c>
      <c r="D1125">
        <v>17.7</v>
      </c>
      <c r="E1125">
        <f>1357083776/(1000)</f>
        <v>1357083.7760000001</v>
      </c>
      <c r="F1125">
        <f>253942000/(1000)</f>
        <v>253942</v>
      </c>
      <c r="G1125">
        <f>116530000/(1000)</f>
        <v>116530</v>
      </c>
      <c r="H1125">
        <f>2384210752/(1000)</f>
        <v>2384210.7519999999</v>
      </c>
      <c r="I1125">
        <f>159458000/(1000)</f>
        <v>159458</v>
      </c>
      <c r="J1125">
        <f t="shared" si="22"/>
        <v>1.4951966988172433E-2</v>
      </c>
      <c r="K1125">
        <f>-18433999/(1000)</f>
        <v>-18433.999</v>
      </c>
      <c r="L1125">
        <v>28.062191009521499</v>
      </c>
      <c r="M1125">
        <v>7.5352540016174299</v>
      </c>
      <c r="N1125">
        <v>44.047062045237404</v>
      </c>
      <c r="O1125">
        <v>129.65554809570301</v>
      </c>
      <c r="P1125">
        <v>1.20000004768372</v>
      </c>
      <c r="Q1125">
        <v>1.41430285875966</v>
      </c>
      <c r="R1125">
        <v>38.478261830112601</v>
      </c>
      <c r="S1125">
        <v>146.52409012804699</v>
      </c>
      <c r="T1125">
        <v>0</v>
      </c>
      <c r="U1125">
        <v>0</v>
      </c>
      <c r="V1125">
        <v>0</v>
      </c>
      <c r="W1125">
        <v>0</v>
      </c>
    </row>
    <row r="1126" spans="1:23" x14ac:dyDescent="0.55000000000000004">
      <c r="A1126" t="s">
        <v>2260</v>
      </c>
      <c r="B1126" t="s">
        <v>2261</v>
      </c>
      <c r="C1126" t="s">
        <v>5</v>
      </c>
      <c r="D1126">
        <v>3.37</v>
      </c>
      <c r="E1126">
        <f>109315040/(1000)</f>
        <v>109315.04</v>
      </c>
      <c r="F1126">
        <f>253198000/(1000)</f>
        <v>253198</v>
      </c>
      <c r="G1126">
        <f>23343000/(1000)</f>
        <v>23343</v>
      </c>
      <c r="H1126">
        <f>198524040/(1000)</f>
        <v>198524.04</v>
      </c>
      <c r="I1126">
        <f>32545000/(1000)</f>
        <v>32545</v>
      </c>
      <c r="J1126">
        <f t="shared" si="22"/>
        <v>6.0999858657243824E-3</v>
      </c>
      <c r="K1126">
        <f>22556001/(1000)</f>
        <v>22556.001</v>
      </c>
      <c r="L1126">
        <v>23.920171737670898</v>
      </c>
      <c r="M1126">
        <v>9.1832189559936506</v>
      </c>
      <c r="N1126">
        <v>76.448395695436702</v>
      </c>
      <c r="O1126">
        <v>15.4540853500366</v>
      </c>
      <c r="P1126">
        <v>0</v>
      </c>
      <c r="Q1126">
        <v>0</v>
      </c>
      <c r="R1126">
        <v>5.9964410088223898</v>
      </c>
      <c r="S1126">
        <v>73.237008052272998</v>
      </c>
      <c r="T1126">
        <v>0</v>
      </c>
      <c r="U1126">
        <v>0</v>
      </c>
      <c r="V1126">
        <v>0</v>
      </c>
      <c r="W1126">
        <v>0</v>
      </c>
    </row>
    <row r="1127" spans="1:23" x14ac:dyDescent="0.55000000000000004">
      <c r="A1127" t="s">
        <v>2262</v>
      </c>
      <c r="B1127" t="s">
        <v>2263</v>
      </c>
      <c r="C1127" t="s">
        <v>38</v>
      </c>
      <c r="D1127">
        <v>4.62</v>
      </c>
      <c r="E1127">
        <f>134784352/(1000)</f>
        <v>134784.35200000001</v>
      </c>
      <c r="F1127">
        <f>252504992/(1000)</f>
        <v>252504.992</v>
      </c>
      <c r="G1127">
        <f>30217000/(1000)</f>
        <v>30217</v>
      </c>
      <c r="H1127">
        <f>226611352/(1000)</f>
        <v>226611.35200000001</v>
      </c>
      <c r="I1127">
        <f>50095000/(1000)</f>
        <v>50095</v>
      </c>
      <c r="J1127">
        <f t="shared" si="22"/>
        <v>4.5236321389360221E-3</v>
      </c>
      <c r="K1127">
        <f>-26719999/(1000)</f>
        <v>-26719.999</v>
      </c>
      <c r="L1127">
        <v>0</v>
      </c>
      <c r="M1127">
        <v>120.015029907227</v>
      </c>
      <c r="N1127">
        <v>97.557419579486506</v>
      </c>
      <c r="O1127">
        <v>99.552207946777301</v>
      </c>
      <c r="P1127">
        <v>0</v>
      </c>
      <c r="Q1127">
        <v>1.2869080768844801</v>
      </c>
      <c r="R1127">
        <v>8.7666032797088498</v>
      </c>
      <c r="S1127">
        <v>-35.459673445184002</v>
      </c>
      <c r="T1127">
        <v>0</v>
      </c>
      <c r="U1127">
        <v>0</v>
      </c>
      <c r="V1127">
        <v>0</v>
      </c>
      <c r="W1127">
        <v>0</v>
      </c>
    </row>
    <row r="1128" spans="1:23" x14ac:dyDescent="0.55000000000000004">
      <c r="A1128" t="s">
        <v>2264</v>
      </c>
      <c r="B1128" t="s">
        <v>2265</v>
      </c>
      <c r="C1128" t="s">
        <v>5</v>
      </c>
      <c r="D1128">
        <v>14.28</v>
      </c>
      <c r="E1128">
        <f>456557312/(1000)</f>
        <v>456557.31199999998</v>
      </c>
      <c r="F1128">
        <f>251401008/(1000)</f>
        <v>251401.008</v>
      </c>
      <c r="G1128">
        <f>81936000/(1000)</f>
        <v>81936</v>
      </c>
      <c r="H1128">
        <f>976605312/(1000)</f>
        <v>976605.31200000003</v>
      </c>
      <c r="I1128">
        <f>131519000/(1000)</f>
        <v>131519</v>
      </c>
      <c r="J1128">
        <f t="shared" si="22"/>
        <v>7.4255834670275776E-3</v>
      </c>
      <c r="K1128">
        <f>73298001/(1000)</f>
        <v>73298.001000000004</v>
      </c>
      <c r="L1128">
        <v>0</v>
      </c>
      <c r="M1128">
        <v>11.4810848236084</v>
      </c>
      <c r="N1128">
        <v>88.734447646645094</v>
      </c>
      <c r="O1128">
        <v>204.05157470703099</v>
      </c>
      <c r="P1128">
        <v>1.62000000476837</v>
      </c>
      <c r="Q1128">
        <v>2.1250000266092202</v>
      </c>
      <c r="R1128">
        <v>19.0399996439616</v>
      </c>
      <c r="S1128">
        <v>23.648551344495999</v>
      </c>
      <c r="T1128">
        <v>0</v>
      </c>
      <c r="U1128">
        <v>0</v>
      </c>
      <c r="V1128">
        <v>0</v>
      </c>
      <c r="W1128">
        <v>0</v>
      </c>
    </row>
    <row r="1129" spans="1:23" x14ac:dyDescent="0.55000000000000004">
      <c r="A1129" t="s">
        <v>2266</v>
      </c>
      <c r="B1129" t="s">
        <v>2267</v>
      </c>
      <c r="C1129" t="s">
        <v>184</v>
      </c>
      <c r="D1129">
        <v>17.03</v>
      </c>
      <c r="E1129">
        <f>357902496/(1000)</f>
        <v>357902.49599999998</v>
      </c>
      <c r="F1129">
        <f>250390000/(1000)</f>
        <v>250390</v>
      </c>
      <c r="G1129">
        <f>0/(1000)</f>
        <v>0</v>
      </c>
      <c r="H1129">
        <f>0/(1000)</f>
        <v>0</v>
      </c>
      <c r="I1129">
        <f>0/(1000)</f>
        <v>0</v>
      </c>
      <c r="J1129">
        <f t="shared" si="22"/>
        <v>1</v>
      </c>
      <c r="K1129">
        <f>37791001/(1000)</f>
        <v>37791.000999999997</v>
      </c>
      <c r="L1129">
        <v>15.034054756164601</v>
      </c>
      <c r="M1129">
        <v>9.5434484481811506</v>
      </c>
      <c r="N1129">
        <v>93.161873351002498</v>
      </c>
      <c r="O1129">
        <v>156.45959472656301</v>
      </c>
      <c r="P1129">
        <v>0.68000000715255704</v>
      </c>
      <c r="Q1129">
        <v>0.86976510485205905</v>
      </c>
      <c r="R1129">
        <v>11.058442064236599</v>
      </c>
      <c r="S1129">
        <v>136.529378424334</v>
      </c>
      <c r="T1129">
        <v>0</v>
      </c>
      <c r="U1129">
        <v>0</v>
      </c>
      <c r="V1129">
        <v>0</v>
      </c>
      <c r="W1129">
        <v>0</v>
      </c>
    </row>
    <row r="1130" spans="1:23" x14ac:dyDescent="0.55000000000000004">
      <c r="A1130" t="s">
        <v>2268</v>
      </c>
      <c r="B1130" t="s">
        <v>2269</v>
      </c>
      <c r="C1130" t="s">
        <v>20</v>
      </c>
      <c r="D1130">
        <v>13.81</v>
      </c>
      <c r="E1130">
        <f>162662464/(1000)</f>
        <v>162662.46400000001</v>
      </c>
      <c r="F1130">
        <f>250336992/(1000)</f>
        <v>250336.992</v>
      </c>
      <c r="G1130">
        <f>2343000/(1000)</f>
        <v>2343</v>
      </c>
      <c r="H1130">
        <f>200272464/(1000)</f>
        <v>200272.46400000001</v>
      </c>
      <c r="I1130">
        <f>3491000/(1000)</f>
        <v>3491</v>
      </c>
      <c r="J1130">
        <f t="shared" si="22"/>
        <v>5.7368222285877978E-2</v>
      </c>
      <c r="K1130">
        <f>516001/(1000)</f>
        <v>516.00099999999998</v>
      </c>
      <c r="L1130">
        <v>18.020774841308601</v>
      </c>
      <c r="M1130">
        <v>11.521746635436999</v>
      </c>
      <c r="N1130">
        <v>80.563056816679307</v>
      </c>
      <c r="O1130">
        <v>29.395431518554702</v>
      </c>
      <c r="P1130">
        <v>0</v>
      </c>
      <c r="Q1130">
        <v>1.06971344561131</v>
      </c>
      <c r="R1130">
        <v>8.6855348355690598</v>
      </c>
      <c r="S1130">
        <v>72.629533700194401</v>
      </c>
      <c r="T1130">
        <v>0</v>
      </c>
      <c r="U1130">
        <v>0</v>
      </c>
      <c r="V1130">
        <v>0</v>
      </c>
      <c r="W1130">
        <v>0</v>
      </c>
    </row>
    <row r="1131" spans="1:23" x14ac:dyDescent="0.55000000000000004">
      <c r="A1131" t="s">
        <v>2270</v>
      </c>
      <c r="B1131" t="s">
        <v>2271</v>
      </c>
      <c r="C1131" t="s">
        <v>81</v>
      </c>
      <c r="D1131">
        <v>1.56</v>
      </c>
      <c r="E1131">
        <f>135475744/(1000)</f>
        <v>135475.74400000001</v>
      </c>
      <c r="F1131">
        <f>250046000/(1000)</f>
        <v>250046</v>
      </c>
      <c r="G1131">
        <f>66253000/(1000)</f>
        <v>66253</v>
      </c>
      <c r="H1131">
        <f>490903744/(1000)</f>
        <v>490903.74400000001</v>
      </c>
      <c r="I1131">
        <f>90616000/(1000)</f>
        <v>90616</v>
      </c>
      <c r="J1131">
        <f t="shared" si="22"/>
        <v>5.4174069038580384E-3</v>
      </c>
      <c r="K1131">
        <f>37088001/(1000)</f>
        <v>37088.000999999997</v>
      </c>
      <c r="L1131">
        <v>0</v>
      </c>
      <c r="M1131">
        <v>-6.1179299354553196</v>
      </c>
      <c r="N1131">
        <v>99.825479931956195</v>
      </c>
      <c r="O1131">
        <v>73.589332580566406</v>
      </c>
      <c r="P1131">
        <v>0</v>
      </c>
      <c r="Q1131">
        <v>0.184834125632586</v>
      </c>
      <c r="R1131">
        <v>0</v>
      </c>
      <c r="S1131">
        <v>14.463721675440601</v>
      </c>
      <c r="T1131">
        <v>0</v>
      </c>
      <c r="U1131">
        <v>0</v>
      </c>
      <c r="V1131">
        <v>0</v>
      </c>
      <c r="W1131">
        <v>0</v>
      </c>
    </row>
    <row r="1132" spans="1:23" x14ac:dyDescent="0.55000000000000004">
      <c r="A1132" t="s">
        <v>2272</v>
      </c>
      <c r="B1132" t="s">
        <v>2273</v>
      </c>
      <c r="C1132" t="s">
        <v>5</v>
      </c>
      <c r="D1132">
        <v>23.25</v>
      </c>
      <c r="E1132">
        <f>315137472/(1000)</f>
        <v>315137.47200000001</v>
      </c>
      <c r="F1132">
        <f>249388992/(1000)</f>
        <v>249388.992</v>
      </c>
      <c r="G1132">
        <f>11606000/(1000)</f>
        <v>11606</v>
      </c>
      <c r="H1132">
        <f>300355472/(1000)</f>
        <v>300355.47200000001</v>
      </c>
      <c r="I1132">
        <f>24709000/(1000)</f>
        <v>24709</v>
      </c>
      <c r="J1132">
        <f t="shared" si="22"/>
        <v>1.2155711360233114E-2</v>
      </c>
      <c r="K1132">
        <f>-10690999/(1000)</f>
        <v>-10690.999</v>
      </c>
      <c r="L1132">
        <v>41.050750732421903</v>
      </c>
      <c r="M1132">
        <v>6.0991950035095197</v>
      </c>
      <c r="N1132">
        <v>98.193191071036793</v>
      </c>
      <c r="O1132">
        <v>0</v>
      </c>
      <c r="P1132">
        <v>0</v>
      </c>
      <c r="Q1132">
        <v>0</v>
      </c>
      <c r="R1132">
        <v>31</v>
      </c>
      <c r="S1132">
        <v>139.62890663284401</v>
      </c>
      <c r="T1132">
        <v>0</v>
      </c>
      <c r="U1132">
        <v>0</v>
      </c>
      <c r="V1132">
        <v>0</v>
      </c>
      <c r="W1132">
        <v>0</v>
      </c>
    </row>
    <row r="1133" spans="1:23" x14ac:dyDescent="0.55000000000000004">
      <c r="A1133" t="s">
        <v>2274</v>
      </c>
      <c r="B1133" t="s">
        <v>2275</v>
      </c>
      <c r="C1133" t="s">
        <v>38</v>
      </c>
      <c r="D1133">
        <v>14.67</v>
      </c>
      <c r="E1133">
        <f>241487264/(1000)</f>
        <v>241487.264</v>
      </c>
      <c r="F1133">
        <f>249374000/(1000)</f>
        <v>249374</v>
      </c>
      <c r="G1133">
        <f>17967000/(1000)</f>
        <v>17967</v>
      </c>
      <c r="H1133">
        <f>283052264/(1000)</f>
        <v>283052.26400000002</v>
      </c>
      <c r="I1133">
        <f>29699000/(1000)</f>
        <v>29699</v>
      </c>
      <c r="J1133">
        <f t="shared" si="22"/>
        <v>9.530700158254489E-3</v>
      </c>
      <c r="K1133">
        <f>13574000/(1000)</f>
        <v>13574</v>
      </c>
      <c r="L1133">
        <v>27.043085098266602</v>
      </c>
      <c r="M1133">
        <v>5.3696618080139196</v>
      </c>
      <c r="N1133">
        <v>75.246791432486503</v>
      </c>
      <c r="O1133">
        <v>34.555931091308601</v>
      </c>
      <c r="P1133">
        <v>0</v>
      </c>
      <c r="Q1133">
        <v>0</v>
      </c>
      <c r="R1133">
        <v>22.874303905961401</v>
      </c>
      <c r="S1133">
        <v>92.928816234323804</v>
      </c>
      <c r="T1133">
        <v>0</v>
      </c>
      <c r="U1133">
        <v>0</v>
      </c>
      <c r="V1133">
        <v>0</v>
      </c>
      <c r="W1133">
        <v>0</v>
      </c>
    </row>
    <row r="1134" spans="1:23" x14ac:dyDescent="0.55000000000000004">
      <c r="A1134" t="s">
        <v>2276</v>
      </c>
      <c r="B1134" t="s">
        <v>2277</v>
      </c>
      <c r="C1134" t="s">
        <v>401</v>
      </c>
      <c r="D1134">
        <v>10.32</v>
      </c>
      <c r="E1134">
        <f>882361024/(1000)</f>
        <v>882361.02399999998</v>
      </c>
      <c r="F1134">
        <f>249283008/(1000)</f>
        <v>249283.008</v>
      </c>
      <c r="G1134">
        <f>94215000/(1000)</f>
        <v>94215</v>
      </c>
      <c r="H1134">
        <f>2129487040/(1000)</f>
        <v>2129487.04</v>
      </c>
      <c r="I1134">
        <f>134016000/(1000)</f>
        <v>134016</v>
      </c>
      <c r="J1134">
        <f t="shared" si="22"/>
        <v>1.5889797039159503E-2</v>
      </c>
      <c r="K1134">
        <f>-129064999/(1000)</f>
        <v>-129064.999</v>
      </c>
      <c r="L1134">
        <v>0</v>
      </c>
      <c r="M1134">
        <v>5.4744210243225098</v>
      </c>
      <c r="N1134">
        <v>91.527847041792697</v>
      </c>
      <c r="O1134">
        <v>192.694580078125</v>
      </c>
      <c r="P1134">
        <v>1</v>
      </c>
      <c r="Q1134">
        <v>0.71716465938883101</v>
      </c>
      <c r="R1134">
        <v>19.1111103139297</v>
      </c>
      <c r="S1134">
        <v>669.72454951370696</v>
      </c>
      <c r="T1134">
        <v>0</v>
      </c>
      <c r="U1134">
        <v>0</v>
      </c>
      <c r="V1134">
        <v>0</v>
      </c>
      <c r="W1134">
        <v>0</v>
      </c>
    </row>
    <row r="1135" spans="1:23" x14ac:dyDescent="0.55000000000000004">
      <c r="A1135" t="s">
        <v>2278</v>
      </c>
      <c r="B1135" t="s">
        <v>2279</v>
      </c>
      <c r="C1135" t="s">
        <v>20</v>
      </c>
      <c r="D1135">
        <v>9.0299999999999994</v>
      </c>
      <c r="E1135">
        <f>223730000/(1000)</f>
        <v>223730</v>
      </c>
      <c r="F1135">
        <f>249080992/(1000)</f>
        <v>249080.992</v>
      </c>
      <c r="G1135">
        <f>-308000/(1000)</f>
        <v>-308</v>
      </c>
      <c r="H1135">
        <f>0/(1000)</f>
        <v>0</v>
      </c>
      <c r="I1135">
        <f>5003000/(1000)</f>
        <v>5003</v>
      </c>
      <c r="J1135">
        <f t="shared" si="22"/>
        <v>0</v>
      </c>
      <c r="K1135">
        <f>-26023999/(1000)</f>
        <v>-26023.999</v>
      </c>
      <c r="L1135">
        <v>0</v>
      </c>
      <c r="M1135">
        <v>8.8327341079711896</v>
      </c>
      <c r="N1135">
        <v>73.583625010075096</v>
      </c>
      <c r="O1135">
        <v>0</v>
      </c>
      <c r="P1135">
        <v>0</v>
      </c>
      <c r="Q1135">
        <v>1.8096192679679699</v>
      </c>
      <c r="R1135">
        <v>12.5416657974323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55000000000000004">
      <c r="A1136" t="s">
        <v>2280</v>
      </c>
      <c r="B1136" t="s">
        <v>2281</v>
      </c>
      <c r="C1136" t="s">
        <v>401</v>
      </c>
      <c r="D1136">
        <v>18</v>
      </c>
      <c r="E1136">
        <f>275252384/(1000)</f>
        <v>275252.38400000002</v>
      </c>
      <c r="F1136">
        <f>248810000/(1000)</f>
        <v>248810</v>
      </c>
      <c r="G1136">
        <f>49134000/(1000)</f>
        <v>49134</v>
      </c>
      <c r="H1136">
        <f>1489888416/(1000)</f>
        <v>1489888.416</v>
      </c>
      <c r="I1136">
        <f>127496000/(1000)</f>
        <v>127496</v>
      </c>
      <c r="J1136">
        <f t="shared" si="22"/>
        <v>1.1685765953441675E-2</v>
      </c>
      <c r="K1136">
        <f>-30988999/(1000)</f>
        <v>-30988.999</v>
      </c>
      <c r="L1136">
        <v>44.180404663085902</v>
      </c>
      <c r="M1136">
        <v>3.6577908992767298</v>
      </c>
      <c r="N1136">
        <v>95.122879141337606</v>
      </c>
      <c r="O1136">
        <v>178.08695983886699</v>
      </c>
      <c r="P1136">
        <v>1.29999995231628</v>
      </c>
      <c r="Q1136">
        <v>0</v>
      </c>
      <c r="R1136">
        <v>0</v>
      </c>
      <c r="S1136">
        <v>60.253767873244897</v>
      </c>
      <c r="T1136">
        <v>0</v>
      </c>
      <c r="U1136">
        <v>0</v>
      </c>
      <c r="V1136">
        <v>0</v>
      </c>
      <c r="W1136">
        <v>0</v>
      </c>
    </row>
    <row r="1137" spans="1:23" x14ac:dyDescent="0.55000000000000004">
      <c r="A1137" t="s">
        <v>2282</v>
      </c>
      <c r="B1137" t="s">
        <v>2283</v>
      </c>
      <c r="C1137" t="s">
        <v>31</v>
      </c>
      <c r="D1137">
        <v>8.02</v>
      </c>
      <c r="E1137">
        <f>215343408/(1000)</f>
        <v>215343.408</v>
      </c>
      <c r="F1137">
        <f>248788000/(1000)</f>
        <v>248788</v>
      </c>
      <c r="G1137">
        <f>-2551000/(1000)</f>
        <v>-2551</v>
      </c>
      <c r="H1137">
        <f>141554408/(1000)</f>
        <v>141554.408</v>
      </c>
      <c r="I1137">
        <f>15397999/(1000)</f>
        <v>15397.999</v>
      </c>
      <c r="J1137">
        <f t="shared" si="22"/>
        <v>9.19303917346663E-3</v>
      </c>
      <c r="K1137">
        <f>52095001/(1000)</f>
        <v>52095.000999999997</v>
      </c>
      <c r="L1137">
        <v>25.7193412780762</v>
      </c>
      <c r="M1137">
        <v>-1.20085000991821</v>
      </c>
      <c r="N1137">
        <v>84.400093743571304</v>
      </c>
      <c r="O1137">
        <v>0</v>
      </c>
      <c r="P1137">
        <v>0</v>
      </c>
      <c r="Q1137">
        <v>0</v>
      </c>
      <c r="R1137">
        <v>72.909085589007603</v>
      </c>
      <c r="S1137">
        <v>98.779143163041894</v>
      </c>
      <c r="T1137">
        <v>0</v>
      </c>
      <c r="U1137">
        <v>0</v>
      </c>
      <c r="V1137">
        <v>0</v>
      </c>
      <c r="W1137">
        <v>0</v>
      </c>
    </row>
    <row r="1138" spans="1:23" x14ac:dyDescent="0.55000000000000004">
      <c r="A1138" t="s">
        <v>2284</v>
      </c>
      <c r="B1138" t="s">
        <v>2285</v>
      </c>
      <c r="C1138" t="s">
        <v>5</v>
      </c>
      <c r="D1138">
        <v>5.1100000000000003</v>
      </c>
      <c r="E1138">
        <f>156074224/(1000)</f>
        <v>156074.22399999999</v>
      </c>
      <c r="F1138">
        <f>248468880/(1000)</f>
        <v>248468.88</v>
      </c>
      <c r="G1138">
        <f>42085784/(1000)</f>
        <v>42085.784</v>
      </c>
      <c r="H1138">
        <f>336430256/(1000)</f>
        <v>336430.25599999999</v>
      </c>
      <c r="I1138">
        <f>46360712/(1000)</f>
        <v>46360.712</v>
      </c>
      <c r="J1138">
        <f t="shared" si="22"/>
        <v>7.2567965737885994E-3</v>
      </c>
      <c r="K1138">
        <f>48784485/(1000)</f>
        <v>48784.485000000001</v>
      </c>
      <c r="L1138">
        <v>0</v>
      </c>
      <c r="M1138">
        <v>10.780060768127401</v>
      </c>
      <c r="N1138">
        <v>48.410596107879499</v>
      </c>
      <c r="O1138">
        <v>156.24032592773401</v>
      </c>
      <c r="P1138">
        <v>0</v>
      </c>
      <c r="Q1138">
        <v>1.2969543297721</v>
      </c>
      <c r="R1138">
        <v>8.3770493050715302</v>
      </c>
      <c r="S1138">
        <v>0</v>
      </c>
      <c r="T1138">
        <v>0</v>
      </c>
      <c r="U1138">
        <v>0</v>
      </c>
      <c r="V1138">
        <v>0</v>
      </c>
      <c r="W1138">
        <v>0</v>
      </c>
    </row>
    <row r="1139" spans="1:23" x14ac:dyDescent="0.55000000000000004">
      <c r="A1139" t="s">
        <v>2286</v>
      </c>
      <c r="B1139" t="s">
        <v>2287</v>
      </c>
      <c r="C1139" t="s">
        <v>184</v>
      </c>
      <c r="D1139">
        <v>20.59</v>
      </c>
      <c r="E1139">
        <f>334558688/(1000)</f>
        <v>334558.68800000002</v>
      </c>
      <c r="F1139">
        <f>247192000/(1000)</f>
        <v>247192</v>
      </c>
      <c r="G1139">
        <f>0/(1000)</f>
        <v>0</v>
      </c>
      <c r="H1139">
        <f>0/(1000)</f>
        <v>0</v>
      </c>
      <c r="I1139">
        <f>0/(1000)</f>
        <v>0</v>
      </c>
      <c r="J1139">
        <f t="shared" si="22"/>
        <v>1</v>
      </c>
      <c r="K1139">
        <f>14071001/(1000)</f>
        <v>14071.001</v>
      </c>
      <c r="L1139">
        <v>15.9112195968628</v>
      </c>
      <c r="M1139">
        <v>11.6431341171265</v>
      </c>
      <c r="N1139">
        <v>83.398569691602702</v>
      </c>
      <c r="O1139">
        <v>267.889404296875</v>
      </c>
      <c r="P1139">
        <v>0.40000000596046398</v>
      </c>
      <c r="Q1139">
        <v>1.4589075326572301</v>
      </c>
      <c r="R1139">
        <v>16.739837668444601</v>
      </c>
      <c r="S1139">
        <v>86.182015380096203</v>
      </c>
      <c r="T1139">
        <v>0</v>
      </c>
      <c r="U1139">
        <v>0</v>
      </c>
      <c r="V1139">
        <v>0</v>
      </c>
      <c r="W1139">
        <v>0</v>
      </c>
    </row>
    <row r="1140" spans="1:23" x14ac:dyDescent="0.55000000000000004">
      <c r="A1140" t="s">
        <v>2288</v>
      </c>
      <c r="B1140" t="s">
        <v>2289</v>
      </c>
      <c r="C1140" t="s">
        <v>31</v>
      </c>
      <c r="D1140">
        <v>6.79</v>
      </c>
      <c r="E1140">
        <f>183311664/(1000)</f>
        <v>183311.66399999999</v>
      </c>
      <c r="F1140">
        <f>247155008/(1000)</f>
        <v>247155.008</v>
      </c>
      <c r="G1140">
        <f>22803000/(1000)</f>
        <v>22803</v>
      </c>
      <c r="H1140">
        <f>22040656/(1000)</f>
        <v>22040.655999999999</v>
      </c>
      <c r="I1140">
        <f>33061000/(1000)</f>
        <v>33061</v>
      </c>
      <c r="J1140">
        <f t="shared" si="22"/>
        <v>6.6666634403073099E-4</v>
      </c>
      <c r="K1140">
        <f>9226001/(1000)</f>
        <v>9226.0010000000002</v>
      </c>
      <c r="L1140">
        <v>37.006256103515597</v>
      </c>
      <c r="M1140">
        <v>4.1442971229553196</v>
      </c>
      <c r="N1140">
        <v>98.1131475757293</v>
      </c>
      <c r="O1140">
        <v>0</v>
      </c>
      <c r="P1140">
        <v>0</v>
      </c>
      <c r="Q1140">
        <v>0</v>
      </c>
      <c r="R1140">
        <v>21.582893228086899</v>
      </c>
      <c r="S1140">
        <v>80.556688055327498</v>
      </c>
      <c r="T1140">
        <v>0</v>
      </c>
      <c r="U1140">
        <v>0</v>
      </c>
      <c r="V1140">
        <v>0</v>
      </c>
      <c r="W1140">
        <v>0</v>
      </c>
    </row>
    <row r="1141" spans="1:23" x14ac:dyDescent="0.55000000000000004">
      <c r="A1141" t="s">
        <v>2290</v>
      </c>
      <c r="B1141" t="s">
        <v>2291</v>
      </c>
      <c r="C1141" t="s">
        <v>5</v>
      </c>
      <c r="D1141">
        <v>6.68</v>
      </c>
      <c r="E1141">
        <f>302531840/(1000)</f>
        <v>302531.84000000003</v>
      </c>
      <c r="F1141">
        <f>246651008/(1000)</f>
        <v>246651.008</v>
      </c>
      <c r="G1141">
        <f>2980000/(1000)</f>
        <v>2980</v>
      </c>
      <c r="H1141">
        <f>154639840/(1000)</f>
        <v>154639.84</v>
      </c>
      <c r="I1141">
        <f>16441000/(1000)</f>
        <v>16441</v>
      </c>
      <c r="J1141">
        <f t="shared" si="22"/>
        <v>9.4057441761450037E-3</v>
      </c>
      <c r="K1141">
        <f>8388001/(1000)</f>
        <v>8388.0010000000002</v>
      </c>
      <c r="L1141">
        <v>53.331653594970703</v>
      </c>
      <c r="M1141">
        <v>-0.49530598521232599</v>
      </c>
      <c r="N1141">
        <v>97.531199859302703</v>
      </c>
      <c r="O1141">
        <v>2.1715040206909202</v>
      </c>
      <c r="P1141">
        <v>0</v>
      </c>
      <c r="Q1141">
        <v>0.90884352585206796</v>
      </c>
      <c r="R1141">
        <v>37.1111106029079</v>
      </c>
      <c r="S1141">
        <v>-28.3305867870653</v>
      </c>
      <c r="T1141">
        <v>0</v>
      </c>
      <c r="U1141">
        <v>0</v>
      </c>
      <c r="V1141">
        <v>0</v>
      </c>
      <c r="W1141">
        <v>0</v>
      </c>
    </row>
    <row r="1142" spans="1:23" x14ac:dyDescent="0.55000000000000004">
      <c r="A1142" t="s">
        <v>2292</v>
      </c>
      <c r="B1142" t="s">
        <v>2293</v>
      </c>
      <c r="C1142" t="s">
        <v>31</v>
      </c>
      <c r="D1142">
        <v>3.93</v>
      </c>
      <c r="E1142">
        <f>256511904/(1000)</f>
        <v>256511.90400000001</v>
      </c>
      <c r="F1142">
        <f>246146000/(1000)</f>
        <v>246146</v>
      </c>
      <c r="G1142">
        <f>-46372000/(1000)</f>
        <v>-46372</v>
      </c>
      <c r="H1142">
        <f>55427904/(1000)</f>
        <v>55427.904000000002</v>
      </c>
      <c r="I1142">
        <f>-16068000/(1000)</f>
        <v>-16068</v>
      </c>
      <c r="J1142">
        <f t="shared" si="22"/>
        <v>-3.4495832710978343E-3</v>
      </c>
      <c r="K1142">
        <f>-13176999/(1000)</f>
        <v>-13176.999</v>
      </c>
      <c r="L1142">
        <v>0</v>
      </c>
      <c r="M1142">
        <v>-17.162591934204102</v>
      </c>
      <c r="N1142">
        <v>98.723762753802006</v>
      </c>
      <c r="O1142">
        <v>0</v>
      </c>
      <c r="P1142">
        <v>0</v>
      </c>
      <c r="Q1142">
        <v>0.44058296335688202</v>
      </c>
      <c r="R1142">
        <v>0</v>
      </c>
      <c r="S1142">
        <v>142.29114783789899</v>
      </c>
      <c r="T1142">
        <v>0</v>
      </c>
      <c r="U1142">
        <v>0</v>
      </c>
      <c r="V1142">
        <v>0</v>
      </c>
      <c r="W1142">
        <v>0</v>
      </c>
    </row>
    <row r="1143" spans="1:23" x14ac:dyDescent="0.55000000000000004">
      <c r="A1143" t="s">
        <v>2294</v>
      </c>
      <c r="B1143" t="s">
        <v>2295</v>
      </c>
      <c r="C1143" t="s">
        <v>31</v>
      </c>
      <c r="D1143">
        <v>8.9600000000000009</v>
      </c>
      <c r="E1143">
        <f>840611072/(1000)</f>
        <v>840611.07200000004</v>
      </c>
      <c r="F1143">
        <f>245852000/(1000)</f>
        <v>245852</v>
      </c>
      <c r="G1143">
        <f>-43096000/(1000)</f>
        <v>-43096</v>
      </c>
      <c r="H1143">
        <f>592621072/(1000)</f>
        <v>592621.07200000004</v>
      </c>
      <c r="I1143">
        <f>-33272000/(1000)</f>
        <v>-33272</v>
      </c>
      <c r="J1143">
        <f t="shared" si="22"/>
        <v>-1.7811405145467665E-2</v>
      </c>
      <c r="K1143">
        <f>2843001/(1000)</f>
        <v>2843.0010000000002</v>
      </c>
      <c r="L1143">
        <v>0</v>
      </c>
      <c r="M1143">
        <v>0</v>
      </c>
      <c r="N1143">
        <v>77.251642699048901</v>
      </c>
      <c r="O1143">
        <v>0</v>
      </c>
      <c r="P1143">
        <v>0</v>
      </c>
      <c r="Q1143">
        <v>0</v>
      </c>
      <c r="R1143">
        <v>10.666666761277201</v>
      </c>
      <c r="S1143">
        <v>0</v>
      </c>
      <c r="T1143">
        <v>0</v>
      </c>
      <c r="U1143">
        <v>0</v>
      </c>
      <c r="V1143">
        <v>0</v>
      </c>
      <c r="W1143">
        <v>0</v>
      </c>
    </row>
    <row r="1144" spans="1:23" x14ac:dyDescent="0.55000000000000004">
      <c r="A1144" t="s">
        <v>2296</v>
      </c>
      <c r="B1144" t="s">
        <v>2297</v>
      </c>
      <c r="C1144" t="s">
        <v>31</v>
      </c>
      <c r="D1144">
        <v>1.62</v>
      </c>
      <c r="E1144">
        <f>93441920/(1000)</f>
        <v>93441.919999999998</v>
      </c>
      <c r="F1144">
        <f>245347568/(1000)</f>
        <v>245347.568</v>
      </c>
      <c r="G1144">
        <f>-496531/(1000)</f>
        <v>-496.53100000000001</v>
      </c>
      <c r="H1144">
        <f>227865472/(1000)</f>
        <v>227865.47200000001</v>
      </c>
      <c r="I1144">
        <f>12752861/(1000)</f>
        <v>12752.861000000001</v>
      </c>
      <c r="J1144">
        <f t="shared" si="22"/>
        <v>1.7867792333030211E-2</v>
      </c>
      <c r="K1144">
        <f>-43070363/(1000)</f>
        <v>-43070.362999999998</v>
      </c>
      <c r="L1144">
        <v>0</v>
      </c>
      <c r="M1144">
        <v>-5.40537405014038</v>
      </c>
      <c r="N1144">
        <v>65.994398213077105</v>
      </c>
      <c r="O1144">
        <v>101.83058166503901</v>
      </c>
      <c r="P1144">
        <v>0</v>
      </c>
      <c r="Q1144">
        <v>0</v>
      </c>
      <c r="R1144">
        <v>0</v>
      </c>
      <c r="S1144">
        <v>1123.98387627837</v>
      </c>
      <c r="T1144">
        <v>0</v>
      </c>
      <c r="U1144">
        <v>0</v>
      </c>
      <c r="V1144">
        <v>0</v>
      </c>
      <c r="W1144">
        <v>0</v>
      </c>
    </row>
    <row r="1145" spans="1:23" x14ac:dyDescent="0.55000000000000004">
      <c r="A1145" t="s">
        <v>2298</v>
      </c>
      <c r="B1145" t="s">
        <v>2299</v>
      </c>
      <c r="C1145" t="s">
        <v>5</v>
      </c>
      <c r="D1145">
        <v>4.6900000000000004</v>
      </c>
      <c r="E1145">
        <f>120646032/(1000)</f>
        <v>120646.03200000001</v>
      </c>
      <c r="F1145">
        <f>244940992/(1000)</f>
        <v>244940.992</v>
      </c>
      <c r="G1145">
        <f>-26722000/(1000)</f>
        <v>-26722</v>
      </c>
      <c r="H1145">
        <f>153836034/(1000)</f>
        <v>153836.03400000001</v>
      </c>
      <c r="I1145">
        <f>-19307000/(1000)</f>
        <v>-19307</v>
      </c>
      <c r="J1145">
        <f t="shared" si="22"/>
        <v>-7.9678890557828772E-3</v>
      </c>
      <c r="K1145">
        <f>-3230999/(1000)</f>
        <v>-3230.9989999999998</v>
      </c>
      <c r="L1145">
        <v>0</v>
      </c>
      <c r="M1145">
        <v>-20.2144966125488</v>
      </c>
      <c r="N1145">
        <v>75.091062137104501</v>
      </c>
      <c r="O1145">
        <v>37.010593414306598</v>
      </c>
      <c r="P1145">
        <v>0</v>
      </c>
      <c r="Q1145">
        <v>1.2573726630664801</v>
      </c>
      <c r="R1145">
        <v>0</v>
      </c>
      <c r="S1145">
        <v>32.967630943543199</v>
      </c>
      <c r="T1145">
        <v>0</v>
      </c>
      <c r="U1145">
        <v>0</v>
      </c>
      <c r="V1145">
        <v>0</v>
      </c>
      <c r="W1145">
        <v>0</v>
      </c>
    </row>
    <row r="1146" spans="1:23" x14ac:dyDescent="0.55000000000000004">
      <c r="A1146" t="s">
        <v>2300</v>
      </c>
      <c r="B1146" t="s">
        <v>2301</v>
      </c>
      <c r="C1146" t="s">
        <v>20</v>
      </c>
      <c r="D1146">
        <v>5.62</v>
      </c>
      <c r="E1146">
        <f>204739408/(1000)</f>
        <v>204739.408</v>
      </c>
      <c r="F1146">
        <f>244272992/(1000)</f>
        <v>244272.992</v>
      </c>
      <c r="G1146">
        <f>22235000/(1000)</f>
        <v>22235</v>
      </c>
      <c r="H1146">
        <f>185724408/(1000)</f>
        <v>185724.408</v>
      </c>
      <c r="I1146">
        <f>24185000/(1000)</f>
        <v>24185</v>
      </c>
      <c r="J1146">
        <f t="shared" si="22"/>
        <v>7.6793222245193299E-3</v>
      </c>
      <c r="K1146">
        <f>15168001/(1000)</f>
        <v>15168.001</v>
      </c>
      <c r="L1146">
        <v>20.747135162353501</v>
      </c>
      <c r="M1146">
        <v>16.8304653167725</v>
      </c>
      <c r="N1146">
        <v>26.372956703728001</v>
      </c>
      <c r="O1146">
        <v>0</v>
      </c>
      <c r="P1146">
        <v>0.259999990463257</v>
      </c>
      <c r="Q1146">
        <v>0</v>
      </c>
      <c r="R1146">
        <v>16.057142632713099</v>
      </c>
      <c r="S1146">
        <v>50.153669121353303</v>
      </c>
      <c r="T1146">
        <v>0</v>
      </c>
      <c r="U1146">
        <v>0</v>
      </c>
      <c r="V1146">
        <v>0</v>
      </c>
      <c r="W1146">
        <v>0</v>
      </c>
    </row>
    <row r="1147" spans="1:23" x14ac:dyDescent="0.55000000000000004">
      <c r="A1147" t="s">
        <v>2302</v>
      </c>
      <c r="B1147" t="s">
        <v>2303</v>
      </c>
      <c r="C1147" t="s">
        <v>5</v>
      </c>
      <c r="D1147">
        <v>2.42</v>
      </c>
      <c r="E1147">
        <f>91080576/(1000)</f>
        <v>91080.576000000001</v>
      </c>
      <c r="F1147">
        <f>244259008/(1000)</f>
        <v>244259.008</v>
      </c>
      <c r="G1147">
        <f>16779000/(1000)</f>
        <v>16779</v>
      </c>
      <c r="H1147">
        <f>72373576/(1000)</f>
        <v>72373.576000000001</v>
      </c>
      <c r="I1147">
        <f>20753000/(1000)</f>
        <v>20753</v>
      </c>
      <c r="J1147">
        <f t="shared" si="22"/>
        <v>3.487378981352094E-3</v>
      </c>
      <c r="K1147">
        <f>7668000.5/(1000)</f>
        <v>7668.0005000000001</v>
      </c>
      <c r="L1147">
        <v>0</v>
      </c>
      <c r="M1147">
        <v>30.354133605956999</v>
      </c>
      <c r="N1147">
        <v>94.2229094396845</v>
      </c>
      <c r="O1147">
        <v>5.1450080871581996</v>
      </c>
      <c r="P1147">
        <v>0</v>
      </c>
      <c r="Q1147">
        <v>0</v>
      </c>
      <c r="R1147">
        <v>4.0866299940739799</v>
      </c>
      <c r="S1147">
        <v>0</v>
      </c>
      <c r="T1147">
        <v>0</v>
      </c>
      <c r="U1147">
        <v>0</v>
      </c>
      <c r="V1147">
        <v>0</v>
      </c>
      <c r="W1147">
        <v>0</v>
      </c>
    </row>
    <row r="1148" spans="1:23" x14ac:dyDescent="0.55000000000000004">
      <c r="A1148" t="s">
        <v>2304</v>
      </c>
      <c r="B1148" t="s">
        <v>2305</v>
      </c>
      <c r="C1148" t="s">
        <v>31</v>
      </c>
      <c r="D1148">
        <v>2.89</v>
      </c>
      <c r="E1148">
        <f>412874912/(1000)</f>
        <v>412874.91200000001</v>
      </c>
      <c r="F1148">
        <f>244052000/(1000)</f>
        <v>244052</v>
      </c>
      <c r="G1148">
        <f>46921000/(1000)</f>
        <v>46921</v>
      </c>
      <c r="H1148">
        <f>406430912/(1000)</f>
        <v>406430.91200000001</v>
      </c>
      <c r="I1148">
        <f>50973000/(1000)</f>
        <v>50973</v>
      </c>
      <c r="J1148">
        <f t="shared" si="22"/>
        <v>7.9734548094089024E-3</v>
      </c>
      <c r="K1148">
        <f>-2950998.75/(1000)</f>
        <v>-2950.9987500000002</v>
      </c>
      <c r="L1148">
        <v>0</v>
      </c>
      <c r="M1148">
        <v>52.047370910644503</v>
      </c>
      <c r="N1148">
        <v>20.855461639279099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</row>
    <row r="1149" spans="1:23" x14ac:dyDescent="0.55000000000000004">
      <c r="A1149" t="s">
        <v>2306</v>
      </c>
      <c r="B1149" t="s">
        <v>2307</v>
      </c>
      <c r="C1149" t="s">
        <v>184</v>
      </c>
      <c r="D1149">
        <v>18.190000000000001</v>
      </c>
      <c r="E1149">
        <f>265826304/(1000)</f>
        <v>265826.304</v>
      </c>
      <c r="F1149">
        <f>243763008/(1000)</f>
        <v>243763.008</v>
      </c>
      <c r="G1149">
        <f>0/(1000)</f>
        <v>0</v>
      </c>
      <c r="H1149">
        <f>225168304/(1000)</f>
        <v>225168.304</v>
      </c>
      <c r="I1149">
        <f>0/(1000)</f>
        <v>0</v>
      </c>
      <c r="J1149">
        <f t="shared" si="22"/>
        <v>1</v>
      </c>
      <c r="K1149">
        <f>21107001/(1000)</f>
        <v>21107.001</v>
      </c>
      <c r="L1149">
        <v>0</v>
      </c>
      <c r="M1149">
        <v>14.933669090271</v>
      </c>
      <c r="N1149">
        <v>60.490019946863697</v>
      </c>
      <c r="O1149">
        <v>0</v>
      </c>
      <c r="P1149">
        <v>1</v>
      </c>
      <c r="Q1149">
        <v>0</v>
      </c>
      <c r="R1149">
        <v>13.780303353999599</v>
      </c>
      <c r="S1149">
        <v>125.435131785813</v>
      </c>
      <c r="T1149">
        <v>0</v>
      </c>
      <c r="U1149">
        <v>0</v>
      </c>
      <c r="V1149">
        <v>0</v>
      </c>
      <c r="W1149">
        <v>0</v>
      </c>
    </row>
    <row r="1150" spans="1:23" x14ac:dyDescent="0.55000000000000004">
      <c r="A1150" t="s">
        <v>2308</v>
      </c>
      <c r="B1150" t="s">
        <v>2309</v>
      </c>
      <c r="C1150" t="s">
        <v>184</v>
      </c>
      <c r="D1150">
        <v>18.239999999999998</v>
      </c>
      <c r="E1150">
        <f>652774976/(1000)</f>
        <v>652774.97600000002</v>
      </c>
      <c r="F1150">
        <f>243595008/(1000)</f>
        <v>243595.008</v>
      </c>
      <c r="G1150">
        <f>0/(1000)</f>
        <v>0</v>
      </c>
      <c r="H1150">
        <f>0/(1000)</f>
        <v>0</v>
      </c>
      <c r="I1150">
        <f>0/(1000)</f>
        <v>0</v>
      </c>
      <c r="J1150">
        <f t="shared" si="22"/>
        <v>1</v>
      </c>
      <c r="K1150">
        <f>20868001/(1000)</f>
        <v>20868.001</v>
      </c>
      <c r="L1150">
        <v>17.544885635376001</v>
      </c>
      <c r="M1150">
        <v>8.8051118850708008</v>
      </c>
      <c r="N1150">
        <v>71.586083484799403</v>
      </c>
      <c r="O1150">
        <v>79.206039428710895</v>
      </c>
      <c r="P1150">
        <v>2.4000003337860099</v>
      </c>
      <c r="Q1150">
        <v>1.2366101539741099</v>
      </c>
      <c r="R1150">
        <v>22.5185181696665</v>
      </c>
      <c r="S1150">
        <v>146.99864938857499</v>
      </c>
      <c r="T1150">
        <v>0</v>
      </c>
      <c r="U1150">
        <v>0</v>
      </c>
      <c r="V1150">
        <v>0</v>
      </c>
      <c r="W1150">
        <v>0</v>
      </c>
    </row>
    <row r="1151" spans="1:23" x14ac:dyDescent="0.55000000000000004">
      <c r="A1151" t="s">
        <v>2310</v>
      </c>
      <c r="B1151" t="s">
        <v>2311</v>
      </c>
      <c r="C1151" t="s">
        <v>401</v>
      </c>
      <c r="D1151">
        <v>3</v>
      </c>
      <c r="E1151">
        <f>144822608/(1000)</f>
        <v>144822.60800000001</v>
      </c>
      <c r="F1151">
        <f>242815008/(1000)</f>
        <v>242815.008</v>
      </c>
      <c r="G1151">
        <f>54366000/(1000)</f>
        <v>54366</v>
      </c>
      <c r="H1151">
        <f>976763600/(1000)</f>
        <v>976763.6</v>
      </c>
      <c r="I1151">
        <f>91141000/(1000)</f>
        <v>91141</v>
      </c>
      <c r="J1151">
        <f t="shared" si="22"/>
        <v>1.0717060378973239E-2</v>
      </c>
      <c r="K1151">
        <f>9869001/(1000)</f>
        <v>9869.0010000000002</v>
      </c>
      <c r="L1151">
        <v>358.87423706054699</v>
      </c>
      <c r="M1151">
        <v>4.8141779899597203</v>
      </c>
      <c r="N1151">
        <v>97.681576433654499</v>
      </c>
      <c r="O1151">
        <v>176.72767639160199</v>
      </c>
      <c r="P1151">
        <v>0.72000002861022905</v>
      </c>
      <c r="Q1151">
        <v>0.408302152065596</v>
      </c>
      <c r="R1151">
        <v>14.2857146050249</v>
      </c>
      <c r="S1151">
        <v>1580.61328903654</v>
      </c>
      <c r="T1151">
        <v>0</v>
      </c>
      <c r="U1151">
        <v>0</v>
      </c>
      <c r="V1151">
        <v>0</v>
      </c>
      <c r="W1151">
        <v>0</v>
      </c>
    </row>
    <row r="1152" spans="1:23" x14ac:dyDescent="0.55000000000000004">
      <c r="A1152" t="s">
        <v>2312</v>
      </c>
      <c r="B1152" t="s">
        <v>2313</v>
      </c>
      <c r="C1152" t="s">
        <v>20</v>
      </c>
      <c r="D1152">
        <v>3.18</v>
      </c>
      <c r="E1152">
        <f>102436392/(1000)</f>
        <v>102436.39200000001</v>
      </c>
      <c r="F1152">
        <f>242366000/(1000)</f>
        <v>242366</v>
      </c>
      <c r="G1152">
        <f>46896000/(1000)</f>
        <v>46896</v>
      </c>
      <c r="H1152">
        <f>191771392/(1000)</f>
        <v>191771.39199999999</v>
      </c>
      <c r="I1152">
        <f>54739000/(1000)</f>
        <v>54739</v>
      </c>
      <c r="J1152">
        <f t="shared" si="22"/>
        <v>3.5033777014560003E-3</v>
      </c>
      <c r="K1152">
        <f>-15713999/(1000)</f>
        <v>-15713.999</v>
      </c>
      <c r="L1152">
        <v>16.1025791168213</v>
      </c>
      <c r="M1152">
        <v>31.266105651855501</v>
      </c>
      <c r="N1152">
        <v>91.703867406197105</v>
      </c>
      <c r="O1152">
        <v>103.154052734375</v>
      </c>
      <c r="P1152">
        <v>0.20000000298023199</v>
      </c>
      <c r="Q1152">
        <v>0</v>
      </c>
      <c r="R1152">
        <v>4.5428572188834702</v>
      </c>
      <c r="S1152">
        <v>17.3827294391</v>
      </c>
      <c r="T1152">
        <v>0</v>
      </c>
      <c r="U1152">
        <v>0</v>
      </c>
      <c r="V1152">
        <v>0</v>
      </c>
      <c r="W1152">
        <v>0</v>
      </c>
    </row>
    <row r="1153" spans="1:23" x14ac:dyDescent="0.55000000000000004">
      <c r="A1153" t="s">
        <v>2314</v>
      </c>
      <c r="B1153" t="s">
        <v>2315</v>
      </c>
      <c r="C1153" t="s">
        <v>31</v>
      </c>
      <c r="D1153">
        <v>18.96</v>
      </c>
      <c r="E1153">
        <f>388120704/(1000)</f>
        <v>388120.70400000003</v>
      </c>
      <c r="F1153">
        <f>241852000/(1000)</f>
        <v>241852</v>
      </c>
      <c r="G1153">
        <f>35295000/(1000)</f>
        <v>35295</v>
      </c>
      <c r="H1153">
        <f>173667712/(1000)</f>
        <v>173667.712</v>
      </c>
      <c r="I1153">
        <f>43581000/(1000)</f>
        <v>43581</v>
      </c>
      <c r="J1153">
        <f t="shared" si="22"/>
        <v>3.9849409605103147E-3</v>
      </c>
      <c r="K1153">
        <f>37378001/(1000)</f>
        <v>37378.000999999997</v>
      </c>
      <c r="L1153">
        <v>29.5569171905518</v>
      </c>
      <c r="M1153">
        <v>13.0044870376587</v>
      </c>
      <c r="N1153">
        <v>90.731536316352305</v>
      </c>
      <c r="O1153">
        <v>0</v>
      </c>
      <c r="P1153">
        <v>0.31999999284744302</v>
      </c>
      <c r="Q1153">
        <v>0</v>
      </c>
      <c r="R1153">
        <v>15.442392234801501</v>
      </c>
      <c r="S1153">
        <v>23.660125371974299</v>
      </c>
      <c r="T1153">
        <v>0</v>
      </c>
      <c r="U1153">
        <v>0</v>
      </c>
      <c r="V1153">
        <v>0</v>
      </c>
      <c r="W1153">
        <v>0</v>
      </c>
    </row>
    <row r="1154" spans="1:23" x14ac:dyDescent="0.55000000000000004">
      <c r="A1154" t="s">
        <v>2316</v>
      </c>
      <c r="B1154" t="s">
        <v>2317</v>
      </c>
      <c r="C1154" t="s">
        <v>31</v>
      </c>
      <c r="D1154">
        <v>12.15</v>
      </c>
      <c r="E1154">
        <f>282556736/(1000)</f>
        <v>282556.73599999998</v>
      </c>
      <c r="F1154">
        <f>241389008/(1000)</f>
        <v>241389.008</v>
      </c>
      <c r="G1154">
        <f>4288000/(1000)</f>
        <v>4288</v>
      </c>
      <c r="H1154">
        <f>111377728/(1000)</f>
        <v>111377.728</v>
      </c>
      <c r="I1154">
        <f>11727000/(1000)</f>
        <v>11727</v>
      </c>
      <c r="J1154">
        <f t="shared" ref="J1154:J1217" si="23">(IF(I1154=0,1000,H1154/I1154))/(1000)</f>
        <v>9.497546516585657E-3</v>
      </c>
      <c r="K1154">
        <f>31407999/(1000)</f>
        <v>31407.999</v>
      </c>
      <c r="L1154">
        <v>0</v>
      </c>
      <c r="M1154">
        <v>2.8746650218963601</v>
      </c>
      <c r="N1154">
        <v>92.333495778287997</v>
      </c>
      <c r="O1154">
        <v>0</v>
      </c>
      <c r="P1154">
        <v>0.239999994635582</v>
      </c>
      <c r="Q1154">
        <v>0</v>
      </c>
      <c r="R1154">
        <v>67.499997293990504</v>
      </c>
      <c r="S1154">
        <v>79.178301662707895</v>
      </c>
      <c r="T1154">
        <v>0</v>
      </c>
      <c r="U1154">
        <v>0</v>
      </c>
      <c r="V1154">
        <v>0</v>
      </c>
      <c r="W1154">
        <v>0</v>
      </c>
    </row>
    <row r="1155" spans="1:23" x14ac:dyDescent="0.55000000000000004">
      <c r="A1155" t="s">
        <v>2318</v>
      </c>
      <c r="B1155" t="s">
        <v>2319</v>
      </c>
      <c r="C1155" t="s">
        <v>38</v>
      </c>
      <c r="D1155">
        <v>10.65</v>
      </c>
      <c r="E1155">
        <f>1015099968/(1000)</f>
        <v>1015099.968</v>
      </c>
      <c r="F1155">
        <f>240716992/(1000)</f>
        <v>240716.992</v>
      </c>
      <c r="G1155">
        <f>15264000/(1000)</f>
        <v>15264</v>
      </c>
      <c r="H1155">
        <f>774550976/(1000)</f>
        <v>774550.97600000002</v>
      </c>
      <c r="I1155">
        <f>27402000/(1000)</f>
        <v>27402</v>
      </c>
      <c r="J1155">
        <f t="shared" si="23"/>
        <v>2.8266220567841765E-2</v>
      </c>
      <c r="K1155">
        <f>20534001/(1000)</f>
        <v>20534.001</v>
      </c>
      <c r="L1155">
        <v>0</v>
      </c>
      <c r="M1155">
        <v>65.639625549316406</v>
      </c>
      <c r="N1155">
        <v>97.308288311283306</v>
      </c>
      <c r="O1155">
        <v>52.526580810546903</v>
      </c>
      <c r="P1155">
        <v>0</v>
      </c>
      <c r="Q1155">
        <v>3.07359303963604</v>
      </c>
      <c r="R1155">
        <v>76.701473801040706</v>
      </c>
      <c r="S1155">
        <v>409.281496212923</v>
      </c>
      <c r="T1155">
        <v>0</v>
      </c>
      <c r="U1155">
        <v>0</v>
      </c>
      <c r="V1155">
        <v>0</v>
      </c>
      <c r="W1155">
        <v>0</v>
      </c>
    </row>
    <row r="1156" spans="1:23" x14ac:dyDescent="0.55000000000000004">
      <c r="A1156" t="s">
        <v>2320</v>
      </c>
      <c r="B1156" t="s">
        <v>2321</v>
      </c>
      <c r="C1156" t="s">
        <v>5</v>
      </c>
      <c r="D1156">
        <v>13.74</v>
      </c>
      <c r="E1156">
        <f>290882656/(1000)</f>
        <v>290882.65600000002</v>
      </c>
      <c r="F1156">
        <f>240462992/(1000)</f>
        <v>240462.992</v>
      </c>
      <c r="G1156">
        <f>29942000/(1000)</f>
        <v>29942</v>
      </c>
      <c r="H1156">
        <f>395417656/(1000)</f>
        <v>395417.65600000002</v>
      </c>
      <c r="I1156">
        <f>48813000/(1000)</f>
        <v>48813</v>
      </c>
      <c r="J1156">
        <f t="shared" si="23"/>
        <v>8.10066285620634E-3</v>
      </c>
      <c r="K1156">
        <f>-4558999/(1000)</f>
        <v>-4558.9989999999998</v>
      </c>
      <c r="L1156">
        <v>0</v>
      </c>
      <c r="M1156">
        <v>0</v>
      </c>
      <c r="N1156">
        <v>64.079261836566701</v>
      </c>
      <c r="O1156">
        <v>651.19763183593795</v>
      </c>
      <c r="P1156">
        <v>0</v>
      </c>
      <c r="Q1156">
        <v>8.5874997289851294</v>
      </c>
      <c r="R1156">
        <v>18.821917579207099</v>
      </c>
      <c r="S1156">
        <v>0</v>
      </c>
      <c r="T1156">
        <v>0</v>
      </c>
      <c r="U1156">
        <v>0</v>
      </c>
      <c r="V1156">
        <v>0</v>
      </c>
      <c r="W1156">
        <v>0</v>
      </c>
    </row>
    <row r="1157" spans="1:23" x14ac:dyDescent="0.55000000000000004">
      <c r="A1157" t="s">
        <v>2322</v>
      </c>
      <c r="B1157" t="s">
        <v>2323</v>
      </c>
      <c r="C1157" t="s">
        <v>5</v>
      </c>
      <c r="D1157">
        <v>14.89</v>
      </c>
      <c r="E1157">
        <f>913985408/(1000)</f>
        <v>913985.40800000005</v>
      </c>
      <c r="F1157">
        <f>240300992/(1000)</f>
        <v>240300.992</v>
      </c>
      <c r="G1157">
        <f>59349000/(1000)</f>
        <v>59349</v>
      </c>
      <c r="H1157">
        <f>1052944400/(1000)</f>
        <v>1052944.3999999999</v>
      </c>
      <c r="I1157">
        <f>85913000/(1000)</f>
        <v>85913</v>
      </c>
      <c r="J1157">
        <f t="shared" si="23"/>
        <v>1.2255937983774282E-2</v>
      </c>
      <c r="K1157">
        <f>34257001/(1000)</f>
        <v>34257.000999999997</v>
      </c>
      <c r="L1157">
        <v>0</v>
      </c>
      <c r="M1157">
        <v>2.49338603019714</v>
      </c>
      <c r="N1157">
        <v>88.743209010422802</v>
      </c>
      <c r="O1157">
        <v>310.63543701171898</v>
      </c>
      <c r="P1157">
        <v>0</v>
      </c>
      <c r="Q1157">
        <v>0</v>
      </c>
      <c r="R1157">
        <v>37.225001343665703</v>
      </c>
      <c r="S1157">
        <v>0</v>
      </c>
      <c r="T1157">
        <v>0</v>
      </c>
      <c r="U1157">
        <v>0</v>
      </c>
      <c r="V1157">
        <v>0</v>
      </c>
      <c r="W1157">
        <v>0</v>
      </c>
    </row>
    <row r="1158" spans="1:23" x14ac:dyDescent="0.55000000000000004">
      <c r="A1158" t="s">
        <v>2324</v>
      </c>
      <c r="B1158" t="s">
        <v>2325</v>
      </c>
      <c r="C1158" t="s">
        <v>5</v>
      </c>
      <c r="D1158">
        <v>4.43</v>
      </c>
      <c r="E1158">
        <f>203085824/(1000)</f>
        <v>203085.82399999999</v>
      </c>
      <c r="F1158">
        <f>240188000/(1000)</f>
        <v>240188</v>
      </c>
      <c r="G1158">
        <f>42651000/(1000)</f>
        <v>42651</v>
      </c>
      <c r="H1158">
        <f>287524816/(1000)</f>
        <v>287524.81599999999</v>
      </c>
      <c r="I1158">
        <f>47691000/(1000)</f>
        <v>47691</v>
      </c>
      <c r="J1158">
        <f t="shared" si="23"/>
        <v>6.028911450797844E-3</v>
      </c>
      <c r="K1158">
        <f>5009002/(1000)</f>
        <v>5009.0020000000004</v>
      </c>
      <c r="L1158">
        <v>0</v>
      </c>
      <c r="M1158">
        <v>24.395280838012699</v>
      </c>
      <c r="N1158">
        <v>61.698438120394997</v>
      </c>
      <c r="O1158">
        <v>68.675865173339801</v>
      </c>
      <c r="P1158">
        <v>0</v>
      </c>
      <c r="Q1158">
        <v>0.65291082210241802</v>
      </c>
      <c r="R1158">
        <v>3.9203537952340701</v>
      </c>
      <c r="S1158">
        <v>0</v>
      </c>
      <c r="T1158">
        <v>0</v>
      </c>
      <c r="U1158">
        <v>0</v>
      </c>
      <c r="V1158">
        <v>0</v>
      </c>
      <c r="W1158">
        <v>0</v>
      </c>
    </row>
    <row r="1159" spans="1:23" x14ac:dyDescent="0.55000000000000004">
      <c r="A1159" t="s">
        <v>2326</v>
      </c>
      <c r="B1159" t="s">
        <v>2327</v>
      </c>
      <c r="C1159" t="s">
        <v>184</v>
      </c>
      <c r="D1159">
        <v>13.7</v>
      </c>
      <c r="E1159">
        <f>418819968/(1000)</f>
        <v>418819.96799999999</v>
      </c>
      <c r="F1159">
        <f>239996000/(1000)</f>
        <v>239996</v>
      </c>
      <c r="G1159">
        <f>119850000/(1000)</f>
        <v>119850</v>
      </c>
      <c r="H1159">
        <f>1109822976/(1000)</f>
        <v>1109822.976</v>
      </c>
      <c r="I1159">
        <f>143902000/(1000)</f>
        <v>143902</v>
      </c>
      <c r="J1159">
        <f t="shared" si="23"/>
        <v>7.7123526844658178E-3</v>
      </c>
      <c r="K1159">
        <f>90233001/(1000)</f>
        <v>90233.001000000004</v>
      </c>
      <c r="L1159">
        <v>15.669233322143601</v>
      </c>
      <c r="M1159">
        <v>23.083793640136701</v>
      </c>
      <c r="N1159">
        <v>28.3355351467041</v>
      </c>
      <c r="O1159">
        <v>200.46336364746099</v>
      </c>
      <c r="P1159">
        <v>0</v>
      </c>
      <c r="Q1159">
        <v>0</v>
      </c>
      <c r="R1159">
        <v>6.0888887234676101</v>
      </c>
      <c r="S1159">
        <v>55.504295877771597</v>
      </c>
      <c r="T1159">
        <v>0</v>
      </c>
      <c r="U1159">
        <v>0</v>
      </c>
      <c r="V1159">
        <v>0</v>
      </c>
      <c r="W1159">
        <v>0</v>
      </c>
    </row>
    <row r="1160" spans="1:23" x14ac:dyDescent="0.55000000000000004">
      <c r="A1160" t="s">
        <v>2328</v>
      </c>
      <c r="B1160" t="s">
        <v>2329</v>
      </c>
      <c r="C1160" t="s">
        <v>5</v>
      </c>
      <c r="D1160">
        <v>26.23</v>
      </c>
      <c r="E1160">
        <f>822362944/(1000)</f>
        <v>822362.94400000002</v>
      </c>
      <c r="F1160">
        <f>239448000/(1000)</f>
        <v>239448</v>
      </c>
      <c r="G1160">
        <f>19963000/(1000)</f>
        <v>19963</v>
      </c>
      <c r="H1160">
        <f>866421944/(1000)</f>
        <v>866421.94400000002</v>
      </c>
      <c r="I1160">
        <f>52766000/(1000)</f>
        <v>52766</v>
      </c>
      <c r="J1160">
        <f t="shared" si="23"/>
        <v>1.6420080051548346E-2</v>
      </c>
      <c r="K1160">
        <f>53334001/(1000)</f>
        <v>53334.000999999997</v>
      </c>
      <c r="L1160">
        <v>0</v>
      </c>
      <c r="M1160">
        <v>7.9219198226928702</v>
      </c>
      <c r="N1160">
        <v>92.579103929392602</v>
      </c>
      <c r="O1160">
        <v>87.461692810058594</v>
      </c>
      <c r="P1160">
        <v>0</v>
      </c>
      <c r="Q1160">
        <v>3.1488595177041101</v>
      </c>
      <c r="R1160">
        <v>40.9843740080141</v>
      </c>
      <c r="S1160">
        <v>242.33265662082201</v>
      </c>
      <c r="T1160">
        <v>0</v>
      </c>
      <c r="U1160">
        <v>0</v>
      </c>
      <c r="V1160">
        <v>0</v>
      </c>
      <c r="W1160">
        <v>0</v>
      </c>
    </row>
    <row r="1161" spans="1:23" x14ac:dyDescent="0.55000000000000004">
      <c r="A1161" t="s">
        <v>2330</v>
      </c>
      <c r="B1161" t="s">
        <v>2331</v>
      </c>
      <c r="C1161" t="s">
        <v>31</v>
      </c>
      <c r="D1161">
        <v>1.3</v>
      </c>
      <c r="E1161">
        <f>100987512/(1000)</f>
        <v>100987.512</v>
      </c>
      <c r="F1161">
        <f>239303008/(1000)</f>
        <v>239303.008</v>
      </c>
      <c r="G1161">
        <f>-57364000/(1000)</f>
        <v>-57364</v>
      </c>
      <c r="H1161">
        <f>82760512/(1000)</f>
        <v>82760.512000000002</v>
      </c>
      <c r="I1161">
        <f>-43748000/(1000)</f>
        <v>-43748</v>
      </c>
      <c r="J1161">
        <f t="shared" si="23"/>
        <v>-1.8917553259577581E-3</v>
      </c>
      <c r="K1161">
        <f>-59179999/(1000)</f>
        <v>-59179.999000000003</v>
      </c>
      <c r="L1161">
        <v>0</v>
      </c>
      <c r="M1161">
        <v>-45.958980560302699</v>
      </c>
      <c r="N1161">
        <v>87.659670719788906</v>
      </c>
      <c r="O1161">
        <v>0</v>
      </c>
      <c r="P1161">
        <v>0</v>
      </c>
      <c r="Q1161">
        <v>0</v>
      </c>
      <c r="R1161">
        <v>0</v>
      </c>
      <c r="S1161">
        <v>296.95940548072502</v>
      </c>
      <c r="T1161">
        <v>0</v>
      </c>
      <c r="U1161">
        <v>0</v>
      </c>
      <c r="V1161">
        <v>0</v>
      </c>
      <c r="W1161">
        <v>0</v>
      </c>
    </row>
    <row r="1162" spans="1:23" x14ac:dyDescent="0.55000000000000004">
      <c r="A1162" t="s">
        <v>2332</v>
      </c>
      <c r="B1162" t="s">
        <v>2333</v>
      </c>
      <c r="C1162" t="s">
        <v>5</v>
      </c>
      <c r="D1162">
        <v>3.05</v>
      </c>
      <c r="E1162">
        <f>99804848/(1000)</f>
        <v>99804.847999999998</v>
      </c>
      <c r="F1162">
        <f>238604000/(1000)</f>
        <v>238604</v>
      </c>
      <c r="G1162">
        <f>10026000/(1000)</f>
        <v>10026</v>
      </c>
      <c r="H1162">
        <f>102654848/(1000)</f>
        <v>102654.848</v>
      </c>
      <c r="I1162">
        <f>21367000/(1000)</f>
        <v>21367</v>
      </c>
      <c r="J1162">
        <f t="shared" si="23"/>
        <v>4.804364112884354E-3</v>
      </c>
      <c r="K1162">
        <f>-9818999/(1000)</f>
        <v>-9818.9989999999998</v>
      </c>
      <c r="L1162">
        <v>37.201301574707003</v>
      </c>
      <c r="M1162">
        <v>3.4774351119995099</v>
      </c>
      <c r="N1162">
        <v>69.286034334828003</v>
      </c>
      <c r="O1162">
        <v>8.3282403945922905</v>
      </c>
      <c r="P1162">
        <v>0</v>
      </c>
      <c r="Q1162">
        <v>0</v>
      </c>
      <c r="R1162">
        <v>13.863636222013801</v>
      </c>
      <c r="S1162">
        <v>103.851411386781</v>
      </c>
      <c r="T1162">
        <v>0</v>
      </c>
      <c r="U1162">
        <v>0</v>
      </c>
      <c r="V1162">
        <v>0</v>
      </c>
      <c r="W1162">
        <v>0</v>
      </c>
    </row>
    <row r="1163" spans="1:23" x14ac:dyDescent="0.55000000000000004">
      <c r="A1163" t="s">
        <v>2334</v>
      </c>
      <c r="B1163" t="s">
        <v>2335</v>
      </c>
      <c r="C1163" t="s">
        <v>17</v>
      </c>
      <c r="D1163">
        <v>6.58</v>
      </c>
      <c r="E1163">
        <f>172174256/(1000)</f>
        <v>172174.25599999999</v>
      </c>
      <c r="F1163">
        <f>238526992/(1000)</f>
        <v>238526.992</v>
      </c>
      <c r="G1163">
        <f>15176000/(1000)</f>
        <v>15176</v>
      </c>
      <c r="H1163">
        <f>111885256/(1000)</f>
        <v>111885.25599999999</v>
      </c>
      <c r="I1163">
        <f>18380000/(1000)</f>
        <v>18380</v>
      </c>
      <c r="J1163">
        <f t="shared" si="23"/>
        <v>6.0873371055495101E-3</v>
      </c>
      <c r="K1163">
        <f>13280002/(1000)</f>
        <v>13280.002</v>
      </c>
      <c r="L1163">
        <v>35.397190093994098</v>
      </c>
      <c r="M1163">
        <v>12.0537261962891</v>
      </c>
      <c r="N1163">
        <v>89.698964551756703</v>
      </c>
      <c r="O1163">
        <v>0</v>
      </c>
      <c r="P1163">
        <v>0</v>
      </c>
      <c r="Q1163">
        <v>1.37945491614614</v>
      </c>
      <c r="R1163">
        <v>12.9019606874934</v>
      </c>
      <c r="S1163">
        <v>112.47917048967101</v>
      </c>
      <c r="T1163">
        <v>0</v>
      </c>
      <c r="U1163">
        <v>0</v>
      </c>
      <c r="V1163">
        <v>0</v>
      </c>
      <c r="W1163">
        <v>0</v>
      </c>
    </row>
    <row r="1164" spans="1:23" x14ac:dyDescent="0.55000000000000004">
      <c r="A1164" t="s">
        <v>2336</v>
      </c>
      <c r="B1164" t="s">
        <v>2337</v>
      </c>
      <c r="C1164" t="s">
        <v>5</v>
      </c>
      <c r="D1164">
        <v>14.44</v>
      </c>
      <c r="E1164">
        <f>454012352/(1000)</f>
        <v>454012.35200000001</v>
      </c>
      <c r="F1164">
        <f>237899008/(1000)</f>
        <v>237899.008</v>
      </c>
      <c r="G1164">
        <f t="shared" ref="G1164:I1165" si="24">0/(1000)</f>
        <v>0</v>
      </c>
      <c r="H1164">
        <f t="shared" si="24"/>
        <v>0</v>
      </c>
      <c r="I1164">
        <f t="shared" si="24"/>
        <v>0</v>
      </c>
      <c r="J1164">
        <f t="shared" si="23"/>
        <v>1</v>
      </c>
      <c r="K1164">
        <f>22696001/(1000)</f>
        <v>22696.001</v>
      </c>
      <c r="L1164">
        <v>17.567325592041001</v>
      </c>
      <c r="M1164">
        <v>8.3887834548950195</v>
      </c>
      <c r="N1164">
        <v>93.638305432030606</v>
      </c>
      <c r="O1164">
        <v>149.79959106445301</v>
      </c>
      <c r="P1164">
        <v>0.80000001192092896</v>
      </c>
      <c r="Q1164">
        <v>0</v>
      </c>
      <c r="R1164">
        <v>16.4090902433107</v>
      </c>
      <c r="S1164">
        <v>53.331885472115196</v>
      </c>
      <c r="T1164">
        <v>0</v>
      </c>
      <c r="U1164">
        <v>0</v>
      </c>
      <c r="V1164">
        <v>0</v>
      </c>
      <c r="W1164">
        <v>0</v>
      </c>
    </row>
    <row r="1165" spans="1:23" x14ac:dyDescent="0.55000000000000004">
      <c r="A1165" t="s">
        <v>2338</v>
      </c>
      <c r="B1165" t="s">
        <v>2339</v>
      </c>
      <c r="C1165" t="s">
        <v>184</v>
      </c>
      <c r="D1165">
        <v>27.2</v>
      </c>
      <c r="E1165">
        <f>560458688/(1000)</f>
        <v>560458.68799999997</v>
      </c>
      <c r="F1165">
        <f>236888992/(1000)</f>
        <v>236888.992</v>
      </c>
      <c r="G1165">
        <f t="shared" si="24"/>
        <v>0</v>
      </c>
      <c r="H1165">
        <f t="shared" si="24"/>
        <v>0</v>
      </c>
      <c r="I1165">
        <f t="shared" si="24"/>
        <v>0</v>
      </c>
      <c r="J1165">
        <f t="shared" si="23"/>
        <v>1</v>
      </c>
      <c r="K1165">
        <f>-75015999/(1000)</f>
        <v>-75015.998999999996</v>
      </c>
      <c r="L1165">
        <v>14.4193201065063</v>
      </c>
      <c r="M1165">
        <v>10.247877120971699</v>
      </c>
      <c r="N1165">
        <v>69.677630177237603</v>
      </c>
      <c r="O1165">
        <v>368.91665649414102</v>
      </c>
      <c r="P1165">
        <v>0.48399999737739602</v>
      </c>
      <c r="Q1165">
        <v>1.9868518332107901</v>
      </c>
      <c r="R1165">
        <v>15.1111116850818</v>
      </c>
      <c r="S1165">
        <v>81.353201197338905</v>
      </c>
      <c r="T1165">
        <v>0</v>
      </c>
      <c r="U1165">
        <v>0</v>
      </c>
      <c r="V1165">
        <v>0</v>
      </c>
      <c r="W1165">
        <v>0</v>
      </c>
    </row>
    <row r="1166" spans="1:23" x14ac:dyDescent="0.55000000000000004">
      <c r="A1166" t="s">
        <v>2340</v>
      </c>
      <c r="B1166" t="s">
        <v>2341</v>
      </c>
      <c r="C1166" t="s">
        <v>5</v>
      </c>
      <c r="D1166">
        <v>9.4</v>
      </c>
      <c r="E1166">
        <f>122868352/(1000)</f>
        <v>122868.352</v>
      </c>
      <c r="F1166">
        <f>236800000/(1000)</f>
        <v>236800</v>
      </c>
      <c r="G1166">
        <f>31875000/(1000)</f>
        <v>31875</v>
      </c>
      <c r="H1166">
        <f>168132356/(1000)</f>
        <v>168132.356</v>
      </c>
      <c r="I1166">
        <f>41074000/(1000)</f>
        <v>41074</v>
      </c>
      <c r="J1166">
        <f t="shared" si="23"/>
        <v>4.0934010809757998E-3</v>
      </c>
      <c r="K1166">
        <f>30553003/(1000)</f>
        <v>30553.003000000001</v>
      </c>
      <c r="L1166">
        <v>22.823236465454102</v>
      </c>
      <c r="M1166">
        <v>0</v>
      </c>
      <c r="N1166">
        <v>74.028613899202796</v>
      </c>
      <c r="O1166">
        <v>0</v>
      </c>
      <c r="P1166">
        <v>0</v>
      </c>
      <c r="Q1166">
        <v>0</v>
      </c>
      <c r="R1166">
        <v>4.8445597651910504</v>
      </c>
      <c r="S1166">
        <v>104.592974028443</v>
      </c>
      <c r="T1166">
        <v>0</v>
      </c>
      <c r="U1166">
        <v>0</v>
      </c>
      <c r="V1166">
        <v>0</v>
      </c>
      <c r="W1166">
        <v>0</v>
      </c>
    </row>
    <row r="1167" spans="1:23" x14ac:dyDescent="0.55000000000000004">
      <c r="A1167" t="s">
        <v>2342</v>
      </c>
      <c r="B1167" t="s">
        <v>2343</v>
      </c>
      <c r="C1167" t="s">
        <v>5</v>
      </c>
      <c r="D1167">
        <v>20.239999999999998</v>
      </c>
      <c r="E1167">
        <f>236913248/(1000)</f>
        <v>236913.24799999999</v>
      </c>
      <c r="F1167">
        <f>236602000/(1000)</f>
        <v>236602</v>
      </c>
      <c r="G1167">
        <f>0/(1000)</f>
        <v>0</v>
      </c>
      <c r="H1167">
        <f>0/(1000)</f>
        <v>0</v>
      </c>
      <c r="I1167">
        <f>0/(1000)</f>
        <v>0</v>
      </c>
      <c r="J1167">
        <f t="shared" si="23"/>
        <v>1</v>
      </c>
      <c r="K1167">
        <f>23295001/(1000)</f>
        <v>23295.001</v>
      </c>
      <c r="L1167">
        <v>14.9608001708984</v>
      </c>
      <c r="M1167">
        <v>12.2635040283203</v>
      </c>
      <c r="N1167">
        <v>91.965107989446096</v>
      </c>
      <c r="O1167">
        <v>486.81857299804699</v>
      </c>
      <c r="P1167">
        <v>1.0199999809265099</v>
      </c>
      <c r="Q1167">
        <v>0</v>
      </c>
      <c r="R1167">
        <v>10.3794871255648</v>
      </c>
      <c r="S1167">
        <v>34.934358354339402</v>
      </c>
      <c r="T1167">
        <v>0</v>
      </c>
      <c r="U1167">
        <v>0</v>
      </c>
      <c r="V1167">
        <v>0</v>
      </c>
      <c r="W1167">
        <v>0</v>
      </c>
    </row>
    <row r="1168" spans="1:23" x14ac:dyDescent="0.55000000000000004">
      <c r="A1168" t="s">
        <v>2344</v>
      </c>
      <c r="B1168" t="s">
        <v>2345</v>
      </c>
      <c r="C1168" t="s">
        <v>31</v>
      </c>
      <c r="D1168">
        <v>11.39</v>
      </c>
      <c r="E1168">
        <f>812359808/(1000)</f>
        <v>812359.80799999996</v>
      </c>
      <c r="F1168">
        <f>236406000/(1000)</f>
        <v>236406</v>
      </c>
      <c r="G1168">
        <f>10300000/(1000)</f>
        <v>10300</v>
      </c>
      <c r="H1168">
        <f>530855808/(1000)</f>
        <v>530855.80799999996</v>
      </c>
      <c r="I1168">
        <f>15352000/(1000)</f>
        <v>15352</v>
      </c>
      <c r="J1168">
        <f t="shared" si="23"/>
        <v>3.4578934861907246E-2</v>
      </c>
      <c r="K1168">
        <f>38460001/(1000)</f>
        <v>38460.000999999997</v>
      </c>
      <c r="L1168">
        <v>0</v>
      </c>
      <c r="M1168">
        <v>8.0271663665771502</v>
      </c>
      <c r="N1168">
        <v>77.784620166376001</v>
      </c>
      <c r="O1168">
        <v>0</v>
      </c>
      <c r="P1168">
        <v>0</v>
      </c>
      <c r="Q1168">
        <v>3.11202187874748</v>
      </c>
      <c r="R1168">
        <v>227.800003471971</v>
      </c>
      <c r="S1168">
        <v>0</v>
      </c>
      <c r="T1168">
        <v>0</v>
      </c>
      <c r="U1168">
        <v>0</v>
      </c>
      <c r="V1168">
        <v>0</v>
      </c>
      <c r="W1168">
        <v>0</v>
      </c>
    </row>
    <row r="1169" spans="1:23" x14ac:dyDescent="0.55000000000000004">
      <c r="A1169" t="s">
        <v>2346</v>
      </c>
      <c r="B1169" t="s">
        <v>2347</v>
      </c>
      <c r="C1169" t="s">
        <v>401</v>
      </c>
      <c r="D1169">
        <v>14</v>
      </c>
      <c r="E1169">
        <f>257759600/(1000)</f>
        <v>257759.6</v>
      </c>
      <c r="F1169">
        <f>235956000/(1000)</f>
        <v>235956</v>
      </c>
      <c r="G1169">
        <f>55505000/(1000)</f>
        <v>55505</v>
      </c>
      <c r="H1169">
        <f>1463841648/(1000)</f>
        <v>1463841.648</v>
      </c>
      <c r="I1169">
        <f>121514000/(1000)</f>
        <v>121514</v>
      </c>
      <c r="J1169">
        <f t="shared" si="23"/>
        <v>1.2046691311289236E-2</v>
      </c>
      <c r="K1169">
        <f>15575001/(1000)</f>
        <v>15575.001</v>
      </c>
      <c r="L1169">
        <v>0</v>
      </c>
      <c r="M1169">
        <v>-33.204978942871101</v>
      </c>
      <c r="N1169">
        <v>90.791575567737496</v>
      </c>
      <c r="O1169">
        <v>4559.9130859375</v>
      </c>
      <c r="P1169">
        <v>2.5199999809265101</v>
      </c>
      <c r="Q1169">
        <v>0</v>
      </c>
      <c r="R1169">
        <v>0</v>
      </c>
      <c r="S1169">
        <v>47.316889169969798</v>
      </c>
      <c r="T1169">
        <v>0</v>
      </c>
      <c r="U1169">
        <v>0</v>
      </c>
      <c r="V1169">
        <v>0</v>
      </c>
      <c r="W1169">
        <v>0</v>
      </c>
    </row>
    <row r="1170" spans="1:23" x14ac:dyDescent="0.55000000000000004">
      <c r="A1170" t="s">
        <v>2348</v>
      </c>
      <c r="B1170" t="s">
        <v>2349</v>
      </c>
      <c r="C1170" t="s">
        <v>38</v>
      </c>
      <c r="D1170">
        <v>8.83</v>
      </c>
      <c r="E1170">
        <f>424388352/(1000)</f>
        <v>424388.35200000001</v>
      </c>
      <c r="F1170">
        <f>235792000/(1000)</f>
        <v>235792</v>
      </c>
      <c r="G1170">
        <f>11852000/(1000)</f>
        <v>11852</v>
      </c>
      <c r="H1170">
        <f>379197356/(1000)</f>
        <v>379197.35600000003</v>
      </c>
      <c r="I1170">
        <f>22494000/(1000)</f>
        <v>22494</v>
      </c>
      <c r="J1170">
        <f t="shared" si="23"/>
        <v>1.6857711211878727E-2</v>
      </c>
      <c r="K1170">
        <f>73785001/(1000)</f>
        <v>73785.001000000004</v>
      </c>
      <c r="L1170">
        <v>0</v>
      </c>
      <c r="M1170">
        <v>2.8853518962860099</v>
      </c>
      <c r="N1170">
        <v>96.271491514018606</v>
      </c>
      <c r="O1170">
        <v>5.6810331344604501</v>
      </c>
      <c r="P1170">
        <v>0</v>
      </c>
      <c r="Q1170">
        <v>1.70134871413374</v>
      </c>
      <c r="R1170">
        <v>0</v>
      </c>
      <c r="S1170">
        <v>604.78235863328803</v>
      </c>
      <c r="T1170">
        <v>0</v>
      </c>
      <c r="U1170">
        <v>0</v>
      </c>
      <c r="V1170">
        <v>0</v>
      </c>
      <c r="W1170">
        <v>0</v>
      </c>
    </row>
    <row r="1171" spans="1:23" x14ac:dyDescent="0.55000000000000004">
      <c r="A1171" t="s">
        <v>2350</v>
      </c>
      <c r="B1171" t="s">
        <v>2351</v>
      </c>
      <c r="C1171" t="s">
        <v>401</v>
      </c>
      <c r="D1171">
        <v>29.8</v>
      </c>
      <c r="E1171">
        <f>979609408/(1000)</f>
        <v>979609.40800000005</v>
      </c>
      <c r="F1171">
        <f>235703008/(1000)</f>
        <v>235703.008</v>
      </c>
      <c r="G1171">
        <f>158004000/(1000)</f>
        <v>158004</v>
      </c>
      <c r="H1171">
        <f>2618965440/(1000)</f>
        <v>2618965.44</v>
      </c>
      <c r="I1171">
        <f>195426000/(1000)</f>
        <v>195426</v>
      </c>
      <c r="J1171">
        <f t="shared" si="23"/>
        <v>1.3401315280464217E-2</v>
      </c>
      <c r="K1171">
        <f>18110001/(1000)</f>
        <v>18110.001</v>
      </c>
      <c r="L1171">
        <v>19.4850254058838</v>
      </c>
      <c r="M1171">
        <v>10.3184061050415</v>
      </c>
      <c r="N1171">
        <v>97.602580414270804</v>
      </c>
      <c r="O1171">
        <v>105.382865905762</v>
      </c>
      <c r="P1171">
        <v>3.3599998950958301</v>
      </c>
      <c r="Q1171">
        <v>0.618385558960031</v>
      </c>
      <c r="R1171">
        <v>9.3416927323326497</v>
      </c>
      <c r="S1171">
        <v>229.14817483591699</v>
      </c>
      <c r="T1171">
        <v>0</v>
      </c>
      <c r="U1171">
        <v>0</v>
      </c>
      <c r="V1171">
        <v>0</v>
      </c>
      <c r="W1171">
        <v>0</v>
      </c>
    </row>
    <row r="1172" spans="1:23" x14ac:dyDescent="0.55000000000000004">
      <c r="A1172" t="s">
        <v>2352</v>
      </c>
      <c r="B1172" t="s">
        <v>2353</v>
      </c>
      <c r="C1172" t="s">
        <v>184</v>
      </c>
      <c r="D1172">
        <v>47.99</v>
      </c>
      <c r="E1172">
        <f>296583008/(1000)</f>
        <v>296583.00799999997</v>
      </c>
      <c r="F1172">
        <f>235664000/(1000)</f>
        <v>235664</v>
      </c>
      <c r="G1172">
        <f>0/(1000)</f>
        <v>0</v>
      </c>
      <c r="H1172">
        <f>0/(1000)</f>
        <v>0</v>
      </c>
      <c r="I1172">
        <f>0/(1000)</f>
        <v>0</v>
      </c>
      <c r="J1172">
        <f t="shared" si="23"/>
        <v>1</v>
      </c>
      <c r="K1172">
        <f>23524001/(1000)</f>
        <v>23524.001</v>
      </c>
      <c r="L1172">
        <v>15.6438636779785</v>
      </c>
      <c r="M1172">
        <v>14.0055599212646</v>
      </c>
      <c r="N1172">
        <v>96.459604773201605</v>
      </c>
      <c r="O1172">
        <v>537.15045166015602</v>
      </c>
      <c r="P1172">
        <v>0.479999989271164</v>
      </c>
      <c r="Q1172">
        <v>1.30478529829316</v>
      </c>
      <c r="R1172">
        <v>13.256906305270601</v>
      </c>
      <c r="S1172">
        <v>101.001322017996</v>
      </c>
      <c r="T1172">
        <v>0</v>
      </c>
      <c r="U1172">
        <v>0</v>
      </c>
      <c r="V1172">
        <v>0</v>
      </c>
      <c r="W1172">
        <v>0</v>
      </c>
    </row>
    <row r="1173" spans="1:23" x14ac:dyDescent="0.55000000000000004">
      <c r="A1173" t="s">
        <v>2354</v>
      </c>
      <c r="B1173" t="s">
        <v>2355</v>
      </c>
      <c r="C1173" t="s">
        <v>31</v>
      </c>
      <c r="D1173">
        <v>0.45</v>
      </c>
      <c r="E1173">
        <f>45539952/(1000)</f>
        <v>45539.951999999997</v>
      </c>
      <c r="F1173">
        <f>235490992/(1000)</f>
        <v>235490.992</v>
      </c>
      <c r="G1173">
        <f>-32240002/(1000)</f>
        <v>-32240.002</v>
      </c>
      <c r="H1173">
        <f>2951952/(1000)</f>
        <v>2951.9520000000002</v>
      </c>
      <c r="I1173">
        <f>-15371002/(1000)</f>
        <v>-15371.002</v>
      </c>
      <c r="J1173">
        <f t="shared" si="23"/>
        <v>-1.9204681646648673E-4</v>
      </c>
      <c r="K1173">
        <f>-25139999/(1000)</f>
        <v>-25139.999</v>
      </c>
      <c r="L1173">
        <v>0</v>
      </c>
      <c r="M1173">
        <v>-17.361099243164102</v>
      </c>
      <c r="N1173">
        <v>98.388834571867307</v>
      </c>
      <c r="O1173">
        <v>0</v>
      </c>
      <c r="P1173">
        <v>0</v>
      </c>
      <c r="Q1173">
        <v>0.32374100194980099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</row>
    <row r="1174" spans="1:23" x14ac:dyDescent="0.55000000000000004">
      <c r="A1174" t="s">
        <v>2356</v>
      </c>
      <c r="B1174" t="s">
        <v>2357</v>
      </c>
      <c r="C1174" t="s">
        <v>401</v>
      </c>
      <c r="D1174">
        <v>254.9</v>
      </c>
      <c r="E1174">
        <f>1295044864/(1000)</f>
        <v>1295044.8640000001</v>
      </c>
      <c r="F1174">
        <f>235331008/(1000)</f>
        <v>235331.008</v>
      </c>
      <c r="G1174">
        <f>142492000/(1000)</f>
        <v>142492</v>
      </c>
      <c r="H1174">
        <f>1911938880/(1000)</f>
        <v>1911938.88</v>
      </c>
      <c r="I1174">
        <f>167483008/(1000)</f>
        <v>167483.008</v>
      </c>
      <c r="J1174">
        <f t="shared" si="23"/>
        <v>1.1415718542623738E-2</v>
      </c>
      <c r="K1174">
        <f>-84014999/(1000)</f>
        <v>-84014.998999999996</v>
      </c>
      <c r="L1174">
        <v>0</v>
      </c>
      <c r="M1174">
        <v>140.913818359375</v>
      </c>
      <c r="N1174">
        <v>40.231470427854497</v>
      </c>
      <c r="O1174">
        <v>807.85076904296898</v>
      </c>
      <c r="P1174">
        <v>0</v>
      </c>
      <c r="Q1174">
        <v>0</v>
      </c>
      <c r="R1174">
        <v>23.236097328329699</v>
      </c>
      <c r="S1174">
        <v>206.42058333333301</v>
      </c>
      <c r="T1174">
        <v>0</v>
      </c>
      <c r="U1174">
        <v>0</v>
      </c>
      <c r="V1174">
        <v>0</v>
      </c>
      <c r="W1174">
        <v>0</v>
      </c>
    </row>
    <row r="1175" spans="1:23" x14ac:dyDescent="0.55000000000000004">
      <c r="A1175" t="s">
        <v>2358</v>
      </c>
      <c r="B1175" t="s">
        <v>2359</v>
      </c>
      <c r="C1175" t="s">
        <v>31</v>
      </c>
      <c r="D1175">
        <v>29.02</v>
      </c>
      <c r="E1175">
        <f>429159360/(1000)</f>
        <v>429159.36</v>
      </c>
      <c r="F1175">
        <f>234816000/(1000)</f>
        <v>234816</v>
      </c>
      <c r="G1175">
        <f>30616000/(1000)</f>
        <v>30616</v>
      </c>
      <c r="H1175">
        <f>457232360/(1000)</f>
        <v>457232.36</v>
      </c>
      <c r="I1175">
        <f>37083000/(1000)</f>
        <v>37083</v>
      </c>
      <c r="J1175">
        <f t="shared" si="23"/>
        <v>1.2329972224469432E-2</v>
      </c>
      <c r="K1175">
        <f>12304001/(1000)</f>
        <v>12304.001</v>
      </c>
      <c r="L1175">
        <v>0</v>
      </c>
      <c r="M1175">
        <v>20.0954914093018</v>
      </c>
      <c r="N1175">
        <v>93.483407832235201</v>
      </c>
      <c r="O1175">
        <v>18.170253753662099</v>
      </c>
      <c r="P1175">
        <v>0.21999999880790699</v>
      </c>
      <c r="Q1175">
        <v>0</v>
      </c>
      <c r="R1175">
        <v>18.602564722956</v>
      </c>
      <c r="S1175">
        <v>40.341978862065197</v>
      </c>
      <c r="T1175">
        <v>0</v>
      </c>
      <c r="U1175">
        <v>0</v>
      </c>
      <c r="V1175">
        <v>0</v>
      </c>
      <c r="W1175">
        <v>0</v>
      </c>
    </row>
    <row r="1176" spans="1:23" x14ac:dyDescent="0.55000000000000004">
      <c r="A1176" t="s">
        <v>2360</v>
      </c>
      <c r="B1176" t="s">
        <v>2361</v>
      </c>
      <c r="C1176" t="s">
        <v>38</v>
      </c>
      <c r="D1176">
        <v>32.49</v>
      </c>
      <c r="E1176">
        <f>1821824768/(1000)</f>
        <v>1821824.7679999999</v>
      </c>
      <c r="F1176">
        <f>234780000/(1000)</f>
        <v>234780</v>
      </c>
      <c r="G1176">
        <f>-2197000/(1000)</f>
        <v>-2197</v>
      </c>
      <c r="H1176">
        <f>1740694768/(1000)</f>
        <v>1740694.7679999999</v>
      </c>
      <c r="I1176">
        <f>19639000/(1000)</f>
        <v>19639</v>
      </c>
      <c r="J1176">
        <f t="shared" si="23"/>
        <v>8.863459280004074E-2</v>
      </c>
      <c r="K1176">
        <f>7713001/(1000)</f>
        <v>7713.0010000000002</v>
      </c>
      <c r="L1176">
        <v>0</v>
      </c>
      <c r="M1176">
        <v>0.84785497188568104</v>
      </c>
      <c r="N1176">
        <v>88.734946072620403</v>
      </c>
      <c r="O1176">
        <v>36.1154594421387</v>
      </c>
      <c r="P1176">
        <v>0</v>
      </c>
      <c r="Q1176">
        <v>4.1600514617806503</v>
      </c>
      <c r="R1176">
        <v>64.980002872794799</v>
      </c>
      <c r="S1176">
        <v>0</v>
      </c>
      <c r="T1176">
        <v>0</v>
      </c>
      <c r="U1176">
        <v>0</v>
      </c>
      <c r="V1176">
        <v>0</v>
      </c>
      <c r="W1176">
        <v>0</v>
      </c>
    </row>
    <row r="1177" spans="1:23" x14ac:dyDescent="0.55000000000000004">
      <c r="A1177" t="s">
        <v>2362</v>
      </c>
      <c r="B1177" t="s">
        <v>2363</v>
      </c>
      <c r="C1177" t="s">
        <v>81</v>
      </c>
      <c r="D1177">
        <v>2.85</v>
      </c>
      <c r="E1177">
        <f>298644928/(1000)</f>
        <v>298644.92800000001</v>
      </c>
      <c r="F1177">
        <f>234364000/(1000)</f>
        <v>234364</v>
      </c>
      <c r="G1177">
        <f>-50982000/(1000)</f>
        <v>-50982</v>
      </c>
      <c r="H1177">
        <f>1321443968/(1000)</f>
        <v>1321443.9680000001</v>
      </c>
      <c r="I1177">
        <f>147227008/(1000)</f>
        <v>147227.008</v>
      </c>
      <c r="J1177">
        <f t="shared" si="23"/>
        <v>8.9755540505176892E-3</v>
      </c>
      <c r="K1177">
        <f>10893001/(1000)</f>
        <v>10893.001</v>
      </c>
      <c r="L1177">
        <v>0</v>
      </c>
      <c r="M1177">
        <v>0</v>
      </c>
      <c r="N1177">
        <v>20.5000968362043</v>
      </c>
      <c r="O1177">
        <v>0</v>
      </c>
      <c r="P1177">
        <v>0</v>
      </c>
      <c r="Q1177">
        <v>0</v>
      </c>
      <c r="R1177">
        <v>0</v>
      </c>
      <c r="S1177">
        <v>45.559557760892503</v>
      </c>
      <c r="T1177">
        <v>0</v>
      </c>
      <c r="U1177">
        <v>0</v>
      </c>
      <c r="V1177">
        <v>0</v>
      </c>
      <c r="W1177">
        <v>0</v>
      </c>
    </row>
    <row r="1178" spans="1:23" x14ac:dyDescent="0.55000000000000004">
      <c r="A1178" t="s">
        <v>2364</v>
      </c>
      <c r="B1178" t="s">
        <v>2365</v>
      </c>
      <c r="C1178" t="s">
        <v>31</v>
      </c>
      <c r="D1178">
        <v>27.5</v>
      </c>
      <c r="E1178">
        <f>1188448256/(1000)</f>
        <v>1188448.2560000001</v>
      </c>
      <c r="F1178">
        <f>234232000/(1000)</f>
        <v>234232</v>
      </c>
      <c r="G1178">
        <f>23054000/(1000)</f>
        <v>23054</v>
      </c>
      <c r="H1178">
        <f>1003778256/(1000)</f>
        <v>1003778.2560000001</v>
      </c>
      <c r="I1178">
        <f>45044000/(1000)</f>
        <v>45044</v>
      </c>
      <c r="J1178">
        <f t="shared" si="23"/>
        <v>2.2284394281147323E-2</v>
      </c>
      <c r="K1178">
        <f>138900993/(1000)</f>
        <v>138900.99299999999</v>
      </c>
      <c r="L1178">
        <v>0</v>
      </c>
      <c r="M1178">
        <v>9.6978979110717791</v>
      </c>
      <c r="N1178">
        <v>97.755011551877899</v>
      </c>
      <c r="O1178">
        <v>2.7118120193481499</v>
      </c>
      <c r="P1178">
        <v>0</v>
      </c>
      <c r="Q1178">
        <v>0</v>
      </c>
      <c r="R1178">
        <v>56.122450447365601</v>
      </c>
      <c r="S1178">
        <v>166.49069912964299</v>
      </c>
      <c r="T1178">
        <v>0</v>
      </c>
      <c r="U1178">
        <v>0</v>
      </c>
      <c r="V1178">
        <v>0</v>
      </c>
      <c r="W1178">
        <v>0</v>
      </c>
    </row>
    <row r="1179" spans="1:23" x14ac:dyDescent="0.55000000000000004">
      <c r="A1179" t="s">
        <v>2366</v>
      </c>
      <c r="B1179" t="s">
        <v>2367</v>
      </c>
      <c r="C1179" t="s">
        <v>31</v>
      </c>
      <c r="D1179">
        <v>2.5</v>
      </c>
      <c r="E1179">
        <f>125528000/(1000)</f>
        <v>125528</v>
      </c>
      <c r="F1179">
        <f>234090000/(1000)</f>
        <v>234090</v>
      </c>
      <c r="G1179">
        <f>2083000/(1000)</f>
        <v>2083</v>
      </c>
      <c r="H1179">
        <f>81838004/(1000)</f>
        <v>81838.004000000001</v>
      </c>
      <c r="I1179">
        <f>28490000/(1000)</f>
        <v>28490</v>
      </c>
      <c r="J1179">
        <f t="shared" si="23"/>
        <v>2.8725168129168132E-3</v>
      </c>
      <c r="K1179">
        <f>-2678999.75/(1000)</f>
        <v>-2678.9997499999999</v>
      </c>
      <c r="L1179">
        <v>0</v>
      </c>
      <c r="M1179">
        <v>-2.3480529785156299</v>
      </c>
      <c r="N1179">
        <v>96.334680931869997</v>
      </c>
      <c r="O1179">
        <v>6.0652041435241699</v>
      </c>
      <c r="P1179">
        <v>0</v>
      </c>
      <c r="Q1179">
        <v>0</v>
      </c>
      <c r="R1179">
        <v>125.000014435502</v>
      </c>
      <c r="S1179">
        <v>76.689033641036502</v>
      </c>
      <c r="T1179">
        <v>0</v>
      </c>
      <c r="U1179">
        <v>0</v>
      </c>
      <c r="V1179">
        <v>0</v>
      </c>
      <c r="W1179">
        <v>0</v>
      </c>
    </row>
    <row r="1180" spans="1:23" x14ac:dyDescent="0.55000000000000004">
      <c r="A1180" t="s">
        <v>2368</v>
      </c>
      <c r="B1180" t="s">
        <v>2369</v>
      </c>
      <c r="C1180" t="s">
        <v>2</v>
      </c>
      <c r="D1180">
        <v>24.1</v>
      </c>
      <c r="E1180">
        <f>433997600/(1000)</f>
        <v>433997.6</v>
      </c>
      <c r="F1180">
        <f>233957008/(1000)</f>
        <v>233957.008</v>
      </c>
      <c r="G1180">
        <f>41145000/(1000)</f>
        <v>41145</v>
      </c>
      <c r="H1180">
        <f>402803600/(1000)</f>
        <v>402803.6</v>
      </c>
      <c r="I1180">
        <f>48489000/(1000)</f>
        <v>48489</v>
      </c>
      <c r="J1180">
        <f t="shared" si="23"/>
        <v>8.3071129534533616E-3</v>
      </c>
      <c r="K1180">
        <f>20515999/(1000)</f>
        <v>20515.999</v>
      </c>
      <c r="L1180">
        <v>20.353733062744102</v>
      </c>
      <c r="M1180">
        <v>25.678041458129901</v>
      </c>
      <c r="N1180">
        <v>88.835643061582601</v>
      </c>
      <c r="O1180">
        <v>0</v>
      </c>
      <c r="P1180">
        <v>0.519999980926514</v>
      </c>
      <c r="Q1180">
        <v>0</v>
      </c>
      <c r="R1180">
        <v>13.615819112771099</v>
      </c>
      <c r="S1180">
        <v>93.508025441883106</v>
      </c>
      <c r="T1180">
        <v>0</v>
      </c>
      <c r="U1180">
        <v>0</v>
      </c>
      <c r="V1180">
        <v>0</v>
      </c>
      <c r="W1180">
        <v>0</v>
      </c>
    </row>
    <row r="1181" spans="1:23" x14ac:dyDescent="0.55000000000000004">
      <c r="A1181" t="s">
        <v>2370</v>
      </c>
      <c r="B1181" t="s">
        <v>2371</v>
      </c>
      <c r="C1181" t="s">
        <v>81</v>
      </c>
      <c r="D1181">
        <v>11.89</v>
      </c>
      <c r="E1181">
        <f>473581088/(1000)</f>
        <v>473581.08799999999</v>
      </c>
      <c r="F1181">
        <f>233844992/(1000)</f>
        <v>233844.992</v>
      </c>
      <c r="G1181">
        <f>27531000/(1000)</f>
        <v>27531</v>
      </c>
      <c r="H1181">
        <f>280230080/(1000)</f>
        <v>280230.08</v>
      </c>
      <c r="I1181">
        <f>76916000/(1000)</f>
        <v>76916</v>
      </c>
      <c r="J1181">
        <f t="shared" si="23"/>
        <v>3.6433262260127932E-3</v>
      </c>
      <c r="K1181">
        <f>49737001/(1000)</f>
        <v>49737.000999999997</v>
      </c>
      <c r="L1181">
        <v>0</v>
      </c>
      <c r="M1181">
        <v>5.4661760330200204</v>
      </c>
      <c r="N1181">
        <v>82.9049310274021</v>
      </c>
      <c r="O1181">
        <v>0.35495799779892001</v>
      </c>
      <c r="P1181">
        <v>0</v>
      </c>
      <c r="Q1181">
        <v>1.2010101819668499</v>
      </c>
      <c r="R1181">
        <v>15.644737490161299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55000000000000004">
      <c r="A1182" t="s">
        <v>2372</v>
      </c>
      <c r="B1182" t="s">
        <v>2373</v>
      </c>
      <c r="C1182" t="s">
        <v>184</v>
      </c>
      <c r="D1182">
        <v>36.75</v>
      </c>
      <c r="E1182">
        <f>553624064/(1000)</f>
        <v>553624.06400000001</v>
      </c>
      <c r="F1182">
        <f>233472000/(1000)</f>
        <v>233472</v>
      </c>
      <c r="G1182">
        <f>0/(1000)</f>
        <v>0</v>
      </c>
      <c r="H1182">
        <f>0/(1000)</f>
        <v>0</v>
      </c>
      <c r="I1182">
        <f>0/(1000)</f>
        <v>0</v>
      </c>
      <c r="J1182">
        <f t="shared" si="23"/>
        <v>1</v>
      </c>
      <c r="K1182">
        <f>48239001/(1000)</f>
        <v>48239.000999999997</v>
      </c>
      <c r="L1182">
        <v>14.2243499755859</v>
      </c>
      <c r="M1182">
        <v>12.549295425415</v>
      </c>
      <c r="N1182">
        <v>84.930897652613794</v>
      </c>
      <c r="O1182">
        <v>92.7779541015625</v>
      </c>
      <c r="P1182">
        <v>1.20000004768372</v>
      </c>
      <c r="Q1182">
        <v>1.78945312489116</v>
      </c>
      <c r="R1182">
        <v>15.772532301816501</v>
      </c>
      <c r="S1182">
        <v>33.811712651451799</v>
      </c>
      <c r="T1182">
        <v>0</v>
      </c>
      <c r="U1182">
        <v>0</v>
      </c>
      <c r="V1182">
        <v>0</v>
      </c>
      <c r="W1182">
        <v>0</v>
      </c>
    </row>
    <row r="1183" spans="1:23" x14ac:dyDescent="0.55000000000000004">
      <c r="A1183" t="s">
        <v>2374</v>
      </c>
      <c r="B1183" t="s">
        <v>2375</v>
      </c>
      <c r="C1183" t="s">
        <v>5</v>
      </c>
      <c r="D1183">
        <v>2.38</v>
      </c>
      <c r="E1183">
        <f>119652832/(1000)</f>
        <v>119652.83199999999</v>
      </c>
      <c r="F1183">
        <f>232810000/(1000)</f>
        <v>232810</v>
      </c>
      <c r="G1183">
        <f>10062000/(1000)</f>
        <v>10062</v>
      </c>
      <c r="H1183">
        <f>0/(1000)</f>
        <v>0</v>
      </c>
      <c r="I1183">
        <f>16565000/(1000)</f>
        <v>16565</v>
      </c>
      <c r="J1183">
        <f t="shared" si="23"/>
        <v>0</v>
      </c>
      <c r="K1183">
        <f>-17412999/(1000)</f>
        <v>-17412.999</v>
      </c>
      <c r="L1183">
        <v>0</v>
      </c>
      <c r="M1183">
        <v>0</v>
      </c>
      <c r="N1183">
        <v>71.353554937641405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</row>
    <row r="1184" spans="1:23" x14ac:dyDescent="0.55000000000000004">
      <c r="A1184" t="s">
        <v>2376</v>
      </c>
      <c r="B1184" t="s">
        <v>2377</v>
      </c>
      <c r="C1184" t="s">
        <v>20</v>
      </c>
      <c r="D1184">
        <v>33.049999999999997</v>
      </c>
      <c r="E1184">
        <f>376568384/(1000)</f>
        <v>376568.38400000002</v>
      </c>
      <c r="F1184">
        <f>232616656/(1000)</f>
        <v>232616.65599999999</v>
      </c>
      <c r="G1184">
        <f>34132012/(1000)</f>
        <v>34132.012000000002</v>
      </c>
      <c r="H1184">
        <f>363337384/(1000)</f>
        <v>363337.38400000002</v>
      </c>
      <c r="I1184">
        <f>36706436/(1000)</f>
        <v>36706.436000000002</v>
      </c>
      <c r="J1184">
        <f t="shared" si="23"/>
        <v>9.898465326353122E-3</v>
      </c>
      <c r="K1184">
        <f>22664837/(1000)</f>
        <v>22664.837</v>
      </c>
      <c r="L1184">
        <v>12.812629699706999</v>
      </c>
      <c r="M1184">
        <v>14.8259983062744</v>
      </c>
      <c r="N1184">
        <v>61.836597222652401</v>
      </c>
      <c r="O1184">
        <v>0.34213000535964999</v>
      </c>
      <c r="P1184">
        <v>0.56000000238418601</v>
      </c>
      <c r="Q1184">
        <v>0</v>
      </c>
      <c r="R1184">
        <v>18.361110261653</v>
      </c>
      <c r="S1184">
        <v>28.3756379690949</v>
      </c>
      <c r="T1184">
        <v>0</v>
      </c>
      <c r="U1184">
        <v>0</v>
      </c>
      <c r="V1184">
        <v>0</v>
      </c>
      <c r="W1184">
        <v>0</v>
      </c>
    </row>
    <row r="1185" spans="1:23" x14ac:dyDescent="0.55000000000000004">
      <c r="A1185" t="s">
        <v>2378</v>
      </c>
      <c r="B1185" t="s">
        <v>2379</v>
      </c>
      <c r="C1185" t="s">
        <v>5</v>
      </c>
      <c r="D1185">
        <v>8.1199999999999992</v>
      </c>
      <c r="E1185">
        <f>109620816/(1000)</f>
        <v>109620.81600000001</v>
      </c>
      <c r="F1185">
        <f>232011008/(1000)</f>
        <v>232011.008</v>
      </c>
      <c r="G1185">
        <f>47326000/(1000)</f>
        <v>47326</v>
      </c>
      <c r="H1185">
        <f>671708816/(1000)</f>
        <v>671708.81599999999</v>
      </c>
      <c r="I1185">
        <f>171350000/(1000)</f>
        <v>171350</v>
      </c>
      <c r="J1185">
        <f t="shared" si="23"/>
        <v>3.9200981383133932E-3</v>
      </c>
      <c r="K1185">
        <f>-88909999/(1000)</f>
        <v>-88909.998999999996</v>
      </c>
      <c r="L1185">
        <v>0</v>
      </c>
      <c r="M1185">
        <v>-19.3740329742432</v>
      </c>
      <c r="N1185">
        <v>99.995554582579501</v>
      </c>
      <c r="O1185">
        <v>653.25305175781295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55000000000000004">
      <c r="A1186" t="s">
        <v>2380</v>
      </c>
      <c r="B1186" t="s">
        <v>2381</v>
      </c>
      <c r="C1186" t="s">
        <v>5</v>
      </c>
      <c r="D1186">
        <v>52.24</v>
      </c>
      <c r="E1186">
        <f>830652544/(1000)</f>
        <v>830652.54399999999</v>
      </c>
      <c r="F1186">
        <f>230914992/(1000)</f>
        <v>230914.992</v>
      </c>
      <c r="G1186">
        <f>37206000/(1000)</f>
        <v>37206</v>
      </c>
      <c r="H1186">
        <f>587379552/(1000)</f>
        <v>587379.55200000003</v>
      </c>
      <c r="I1186">
        <f>55114004/(1000)</f>
        <v>55114.004000000001</v>
      </c>
      <c r="J1186">
        <f t="shared" si="23"/>
        <v>1.0657537274918369E-2</v>
      </c>
      <c r="K1186">
        <f>26492003/(1000)</f>
        <v>26492.003000000001</v>
      </c>
      <c r="L1186">
        <v>24.277423858642599</v>
      </c>
      <c r="M1186">
        <v>30.604162216186499</v>
      </c>
      <c r="N1186">
        <v>84.096299680946998</v>
      </c>
      <c r="O1186">
        <v>0</v>
      </c>
      <c r="P1186">
        <v>0.40000000596046398</v>
      </c>
      <c r="Q1186">
        <v>0</v>
      </c>
      <c r="R1186">
        <v>28.514942618935802</v>
      </c>
      <c r="S1186">
        <v>-29.663420042643899</v>
      </c>
      <c r="T1186">
        <v>0</v>
      </c>
      <c r="U1186">
        <v>0</v>
      </c>
      <c r="V1186">
        <v>0</v>
      </c>
      <c r="W1186">
        <v>0</v>
      </c>
    </row>
    <row r="1187" spans="1:23" x14ac:dyDescent="0.55000000000000004">
      <c r="A1187" t="s">
        <v>2382</v>
      </c>
      <c r="B1187" t="s">
        <v>2383</v>
      </c>
      <c r="C1187" t="s">
        <v>31</v>
      </c>
      <c r="D1187">
        <v>1.48</v>
      </c>
      <c r="E1187">
        <f>93426624/(1000)</f>
        <v>93426.623999999996</v>
      </c>
      <c r="F1187">
        <f>230556000/(1000)</f>
        <v>230556</v>
      </c>
      <c r="G1187">
        <f>2078000/(1000)</f>
        <v>2078</v>
      </c>
      <c r="H1187">
        <f>-7785376/(1000)</f>
        <v>-7785.3760000000002</v>
      </c>
      <c r="I1187">
        <f>12363000/(1000)</f>
        <v>12363</v>
      </c>
      <c r="J1187">
        <f t="shared" si="23"/>
        <v>-6.2973194208525444E-4</v>
      </c>
      <c r="K1187">
        <f>-15679999/(1000)</f>
        <v>-15679.999</v>
      </c>
      <c r="L1187">
        <v>0</v>
      </c>
      <c r="M1187">
        <v>3.2531039714813201</v>
      </c>
      <c r="N1187">
        <v>96.580497322718301</v>
      </c>
      <c r="O1187">
        <v>15.1935577392578</v>
      </c>
      <c r="P1187">
        <v>0</v>
      </c>
      <c r="Q1187">
        <v>0</v>
      </c>
      <c r="R1187">
        <v>7.7894738823423104</v>
      </c>
      <c r="S1187">
        <v>0</v>
      </c>
      <c r="T1187">
        <v>0</v>
      </c>
      <c r="U1187">
        <v>0</v>
      </c>
      <c r="V1187">
        <v>0</v>
      </c>
      <c r="W1187">
        <v>0</v>
      </c>
    </row>
    <row r="1188" spans="1:23" x14ac:dyDescent="0.55000000000000004">
      <c r="A1188" t="s">
        <v>2384</v>
      </c>
      <c r="B1188" t="s">
        <v>2385</v>
      </c>
      <c r="C1188" t="s">
        <v>5</v>
      </c>
      <c r="D1188">
        <v>43.78</v>
      </c>
      <c r="E1188">
        <f>352625984/(1000)</f>
        <v>352625.984</v>
      </c>
      <c r="F1188">
        <f>230024000/(1000)</f>
        <v>230024</v>
      </c>
      <c r="G1188">
        <f>0/(1000)</f>
        <v>0</v>
      </c>
      <c r="H1188">
        <f>335065984/(1000)</f>
        <v>335065.984</v>
      </c>
      <c r="I1188">
        <f>0/(1000)</f>
        <v>0</v>
      </c>
      <c r="J1188">
        <f t="shared" si="23"/>
        <v>1</v>
      </c>
      <c r="K1188">
        <f>-35883999/(1000)</f>
        <v>-35883.999000000003</v>
      </c>
      <c r="L1188">
        <v>13.217487335205099</v>
      </c>
      <c r="M1188">
        <v>17.5256652832031</v>
      </c>
      <c r="N1188">
        <v>95.813524839401595</v>
      </c>
      <c r="O1188">
        <v>15.589805603027299</v>
      </c>
      <c r="P1188">
        <v>0</v>
      </c>
      <c r="Q1188">
        <v>1.2818035527448</v>
      </c>
      <c r="R1188">
        <v>8.4030707214482092</v>
      </c>
      <c r="S1188">
        <v>4.1468808239198101</v>
      </c>
      <c r="T1188">
        <v>0</v>
      </c>
      <c r="U1188">
        <v>0</v>
      </c>
      <c r="V1188">
        <v>0</v>
      </c>
      <c r="W1188">
        <v>0</v>
      </c>
    </row>
    <row r="1189" spans="1:23" x14ac:dyDescent="0.55000000000000004">
      <c r="A1189" t="s">
        <v>2386</v>
      </c>
      <c r="B1189" t="s">
        <v>2387</v>
      </c>
      <c r="C1189" t="s">
        <v>121</v>
      </c>
      <c r="D1189">
        <v>14.49</v>
      </c>
      <c r="E1189">
        <f>97484376/(1000)</f>
        <v>97484.376000000004</v>
      </c>
      <c r="F1189">
        <f>229936000/(1000)</f>
        <v>229936</v>
      </c>
      <c r="G1189">
        <f>33407002/(1000)</f>
        <v>33407.002</v>
      </c>
      <c r="H1189">
        <f>87217376/(1000)</f>
        <v>87217.376000000004</v>
      </c>
      <c r="I1189">
        <f>37138000/(1000)</f>
        <v>37138</v>
      </c>
      <c r="J1189">
        <f t="shared" si="23"/>
        <v>2.3484672303301203E-3</v>
      </c>
      <c r="K1189">
        <f>24841003/(1000)</f>
        <v>24841.003000000001</v>
      </c>
      <c r="L1189">
        <v>0</v>
      </c>
      <c r="M1189">
        <v>19.213169097900401</v>
      </c>
      <c r="N1189">
        <v>99.305851452369794</v>
      </c>
      <c r="O1189">
        <v>3.0092129707336399</v>
      </c>
      <c r="P1189">
        <v>0</v>
      </c>
      <c r="Q1189">
        <v>0.65270266996151105</v>
      </c>
      <c r="R1189">
        <v>5.3076922447119097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55000000000000004">
      <c r="A1190" t="s">
        <v>2388</v>
      </c>
      <c r="B1190" t="s">
        <v>2389</v>
      </c>
      <c r="C1190" t="s">
        <v>401</v>
      </c>
      <c r="D1190">
        <v>4.45</v>
      </c>
      <c r="E1190">
        <f>257342608/(1000)</f>
        <v>257342.60800000001</v>
      </c>
      <c r="F1190">
        <f>229568000/(1000)</f>
        <v>229568</v>
      </c>
      <c r="G1190">
        <f>40212000/(1000)</f>
        <v>40212</v>
      </c>
      <c r="H1190">
        <f>1292858640/(1000)</f>
        <v>1292858.6399999999</v>
      </c>
      <c r="I1190">
        <f>112430000/(1000)</f>
        <v>112430</v>
      </c>
      <c r="J1190">
        <f t="shared" si="23"/>
        <v>1.1499231877612736E-2</v>
      </c>
      <c r="K1190">
        <f>-106944999/(1000)</f>
        <v>-106944.999</v>
      </c>
      <c r="L1190">
        <v>0</v>
      </c>
      <c r="M1190">
        <v>-2.21061110496521</v>
      </c>
      <c r="N1190">
        <v>77.651488108466296</v>
      </c>
      <c r="O1190">
        <v>169.94696044921901</v>
      </c>
      <c r="P1190">
        <v>0.10000000149011599</v>
      </c>
      <c r="Q1190">
        <v>0.31249999162856101</v>
      </c>
      <c r="R1190">
        <v>0</v>
      </c>
      <c r="S1190">
        <v>199.75582685904601</v>
      </c>
      <c r="T1190">
        <v>0</v>
      </c>
      <c r="U1190">
        <v>0</v>
      </c>
      <c r="V1190">
        <v>0</v>
      </c>
      <c r="W1190">
        <v>0</v>
      </c>
    </row>
    <row r="1191" spans="1:23" x14ac:dyDescent="0.55000000000000004">
      <c r="A1191" t="s">
        <v>2390</v>
      </c>
      <c r="B1191" t="s">
        <v>2391</v>
      </c>
      <c r="C1191" t="s">
        <v>5</v>
      </c>
      <c r="D1191">
        <v>4.1500000000000004</v>
      </c>
      <c r="E1191">
        <f>254616208/(1000)</f>
        <v>254616.20800000001</v>
      </c>
      <c r="F1191">
        <f>229347008/(1000)</f>
        <v>229347.008</v>
      </c>
      <c r="G1191">
        <f>32582000/(1000)</f>
        <v>32582</v>
      </c>
      <c r="H1191">
        <f>372226208/(1000)</f>
        <v>372226.20799999998</v>
      </c>
      <c r="I1191">
        <f>50224000/(1000)</f>
        <v>50224</v>
      </c>
      <c r="J1191">
        <f t="shared" si="23"/>
        <v>7.411321439949028E-3</v>
      </c>
      <c r="K1191">
        <f>32751001/(1000)</f>
        <v>32751.001</v>
      </c>
      <c r="L1191">
        <v>0</v>
      </c>
      <c r="M1191">
        <v>5.6198191642761204</v>
      </c>
      <c r="N1191">
        <v>99.048429288059793</v>
      </c>
      <c r="O1191">
        <v>44.0421142578125</v>
      </c>
      <c r="P1191">
        <v>0</v>
      </c>
      <c r="Q1191">
        <v>0</v>
      </c>
      <c r="R1191">
        <v>17.291667182127799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55000000000000004">
      <c r="A1192" t="s">
        <v>2392</v>
      </c>
      <c r="B1192" t="s">
        <v>2393</v>
      </c>
      <c r="C1192" t="s">
        <v>5</v>
      </c>
      <c r="D1192">
        <v>1.37</v>
      </c>
      <c r="E1192">
        <f>28425992/(1000)</f>
        <v>28425.991999999998</v>
      </c>
      <c r="F1192">
        <f>228991008/(1000)</f>
        <v>228991.008</v>
      </c>
      <c r="G1192">
        <f>0/(1000)</f>
        <v>0</v>
      </c>
      <c r="H1192">
        <f>0/(1000)</f>
        <v>0</v>
      </c>
      <c r="I1192">
        <f>0/(1000)</f>
        <v>0</v>
      </c>
      <c r="J1192">
        <f t="shared" si="23"/>
        <v>1</v>
      </c>
      <c r="K1192">
        <f>-11059999/(1000)</f>
        <v>-11059.999</v>
      </c>
      <c r="L1192">
        <v>17.401876449585</v>
      </c>
      <c r="M1192">
        <v>10.904029846191399</v>
      </c>
      <c r="N1192">
        <v>91.289661105462301</v>
      </c>
      <c r="O1192">
        <v>197.97714233398401</v>
      </c>
      <c r="P1192">
        <v>3.9999999105930002E-2</v>
      </c>
      <c r="Q1192">
        <v>9.7116973512682003E-2</v>
      </c>
      <c r="R1192">
        <v>5.4800001823902198</v>
      </c>
      <c r="S1192">
        <v>13.975774468424</v>
      </c>
      <c r="T1192">
        <v>0</v>
      </c>
      <c r="U1192">
        <v>0</v>
      </c>
      <c r="V1192">
        <v>0</v>
      </c>
      <c r="W1192">
        <v>0</v>
      </c>
    </row>
    <row r="1193" spans="1:23" x14ac:dyDescent="0.55000000000000004">
      <c r="A1193" t="s">
        <v>2394</v>
      </c>
      <c r="B1193" t="s">
        <v>2395</v>
      </c>
      <c r="C1193" t="s">
        <v>401</v>
      </c>
      <c r="D1193">
        <v>37.619999999999997</v>
      </c>
      <c r="E1193">
        <f>1191214720/(1000)</f>
        <v>1191214.72</v>
      </c>
      <c r="F1193">
        <f>228764992/(1000)</f>
        <v>228764.992</v>
      </c>
      <c r="G1193">
        <f>71565000/(1000)</f>
        <v>71565</v>
      </c>
      <c r="H1193">
        <f>2077438720/(1000)</f>
        <v>2077438.72</v>
      </c>
      <c r="I1193">
        <f>135519008/(1000)</f>
        <v>135519.008</v>
      </c>
      <c r="J1193">
        <f t="shared" si="23"/>
        <v>1.5329500640972814E-2</v>
      </c>
      <c r="K1193">
        <f>13558001/(1000)</f>
        <v>13558.001</v>
      </c>
      <c r="L1193">
        <v>121.84860992431599</v>
      </c>
      <c r="M1193">
        <v>12.2772006988525</v>
      </c>
      <c r="N1193">
        <v>95.628528895840205</v>
      </c>
      <c r="O1193">
        <v>258.06381225585898</v>
      </c>
      <c r="P1193">
        <v>0.75999999046325695</v>
      </c>
      <c r="Q1193">
        <v>1.17196263925725</v>
      </c>
      <c r="R1193">
        <v>35.828570004547601</v>
      </c>
      <c r="S1193">
        <v>106.44982988746401</v>
      </c>
      <c r="T1193">
        <v>0</v>
      </c>
      <c r="U1193">
        <v>0</v>
      </c>
      <c r="V1193">
        <v>0</v>
      </c>
      <c r="W1193">
        <v>0</v>
      </c>
    </row>
    <row r="1194" spans="1:23" x14ac:dyDescent="0.55000000000000004">
      <c r="A1194" t="s">
        <v>2396</v>
      </c>
      <c r="B1194" t="s">
        <v>2397</v>
      </c>
      <c r="C1194" t="s">
        <v>31</v>
      </c>
      <c r="D1194">
        <v>1.51</v>
      </c>
      <c r="E1194">
        <f>174318016/(1000)</f>
        <v>174318.016</v>
      </c>
      <c r="F1194">
        <f>228708992/(1000)</f>
        <v>228708.992</v>
      </c>
      <c r="G1194">
        <f>-25742000/(1000)</f>
        <v>-25742</v>
      </c>
      <c r="H1194">
        <f>53580016/(1000)</f>
        <v>53580.016000000003</v>
      </c>
      <c r="I1194">
        <f>1215000/(1000)</f>
        <v>1215</v>
      </c>
      <c r="J1194">
        <f t="shared" si="23"/>
        <v>4.4098778600823049E-2</v>
      </c>
      <c r="K1194">
        <f>-39533999/(1000)</f>
        <v>-39533.999000000003</v>
      </c>
      <c r="L1194">
        <v>0</v>
      </c>
      <c r="M1194">
        <v>-60.105991363525398</v>
      </c>
      <c r="N1194">
        <v>99.652728912438604</v>
      </c>
      <c r="O1194">
        <v>0</v>
      </c>
      <c r="P1194">
        <v>0</v>
      </c>
      <c r="Q1194">
        <v>0.66228070588213195</v>
      </c>
      <c r="R1194">
        <v>0</v>
      </c>
      <c r="S1194">
        <v>-0.18199942389777199</v>
      </c>
      <c r="T1194">
        <v>0</v>
      </c>
      <c r="U1194">
        <v>0</v>
      </c>
      <c r="V1194">
        <v>0</v>
      </c>
      <c r="W1194">
        <v>0</v>
      </c>
    </row>
    <row r="1195" spans="1:23" x14ac:dyDescent="0.55000000000000004">
      <c r="A1195" t="s">
        <v>2398</v>
      </c>
      <c r="B1195" t="s">
        <v>2399</v>
      </c>
      <c r="C1195" t="s">
        <v>184</v>
      </c>
      <c r="D1195">
        <v>4.8600000000000003</v>
      </c>
      <c r="E1195">
        <f>172423568/(1000)</f>
        <v>172423.568</v>
      </c>
      <c r="F1195">
        <f>228458000/(1000)</f>
        <v>228458</v>
      </c>
      <c r="G1195">
        <f>20080000/(1000)</f>
        <v>20080</v>
      </c>
      <c r="H1195">
        <f>49081568/(1000)</f>
        <v>49081.567999999999</v>
      </c>
      <c r="I1195">
        <f>22619000/(1000)</f>
        <v>22619</v>
      </c>
      <c r="J1195">
        <f t="shared" si="23"/>
        <v>2.1699265219505721E-3</v>
      </c>
      <c r="K1195">
        <f>5125001/(1000)</f>
        <v>5125.0010000000002</v>
      </c>
      <c r="L1195">
        <v>0</v>
      </c>
      <c r="M1195">
        <v>14.6972360610962</v>
      </c>
      <c r="N1195">
        <v>63.912385705903603</v>
      </c>
      <c r="O1195">
        <v>0.62466400861740101</v>
      </c>
      <c r="P1195">
        <v>0</v>
      </c>
      <c r="Q1195">
        <v>0.90166980591842505</v>
      </c>
      <c r="R1195">
        <v>7.8387096440816899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55000000000000004">
      <c r="A1196" t="s">
        <v>2400</v>
      </c>
      <c r="B1196" t="s">
        <v>2401</v>
      </c>
      <c r="C1196" t="s">
        <v>31</v>
      </c>
      <c r="D1196">
        <v>6.95</v>
      </c>
      <c r="E1196">
        <f>100593600/(1000)</f>
        <v>100593.60000000001</v>
      </c>
      <c r="F1196">
        <f>228382992/(1000)</f>
        <v>228382.992</v>
      </c>
      <c r="G1196">
        <f>27881000/(1000)</f>
        <v>27881</v>
      </c>
      <c r="H1196">
        <f>161026600/(1000)</f>
        <v>161026.6</v>
      </c>
      <c r="I1196">
        <f>37786000/(1000)</f>
        <v>37786</v>
      </c>
      <c r="J1196">
        <f t="shared" si="23"/>
        <v>4.2615413115968878E-3</v>
      </c>
      <c r="K1196">
        <f>20417001/(1000)</f>
        <v>20417.001</v>
      </c>
      <c r="L1196">
        <v>0</v>
      </c>
      <c r="M1196">
        <v>11.896130561828601</v>
      </c>
      <c r="N1196">
        <v>87.392479833937998</v>
      </c>
      <c r="O1196">
        <v>55.990795135497997</v>
      </c>
      <c r="P1196">
        <v>0</v>
      </c>
      <c r="Q1196">
        <v>0</v>
      </c>
      <c r="R1196">
        <v>5.9401706924169604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55000000000000004">
      <c r="A1197" t="s">
        <v>2402</v>
      </c>
      <c r="B1197" t="s">
        <v>2403</v>
      </c>
      <c r="C1197" t="s">
        <v>31</v>
      </c>
      <c r="D1197">
        <v>4.08</v>
      </c>
      <c r="E1197">
        <f>90653520/(1000)</f>
        <v>90653.52</v>
      </c>
      <c r="F1197">
        <f>227368992/(1000)</f>
        <v>227368.992</v>
      </c>
      <c r="G1197">
        <f>19429000/(1000)</f>
        <v>19429</v>
      </c>
      <c r="H1197">
        <f>88833519.875/(1000)</f>
        <v>88833.519874999998</v>
      </c>
      <c r="I1197">
        <f>26198000/(1000)</f>
        <v>26198</v>
      </c>
      <c r="J1197">
        <f t="shared" si="23"/>
        <v>3.3908512052446753E-3</v>
      </c>
      <c r="K1197">
        <f>26286001/(1000)</f>
        <v>26286.001</v>
      </c>
      <c r="L1197">
        <v>0</v>
      </c>
      <c r="M1197">
        <v>0</v>
      </c>
      <c r="N1197">
        <v>95.745983759337093</v>
      </c>
      <c r="O1197">
        <v>1955.04467773438</v>
      </c>
      <c r="P1197">
        <v>0</v>
      </c>
      <c r="Q1197">
        <v>0</v>
      </c>
      <c r="R1197">
        <v>5.2307691249621699</v>
      </c>
      <c r="S1197">
        <v>-50.923706407314597</v>
      </c>
      <c r="T1197">
        <v>0</v>
      </c>
      <c r="U1197">
        <v>0</v>
      </c>
      <c r="V1197">
        <v>0</v>
      </c>
      <c r="W1197">
        <v>0</v>
      </c>
    </row>
    <row r="1198" spans="1:23" x14ac:dyDescent="0.55000000000000004">
      <c r="A1198" t="s">
        <v>2404</v>
      </c>
      <c r="B1198" t="s">
        <v>2405</v>
      </c>
      <c r="C1198" t="s">
        <v>20</v>
      </c>
      <c r="D1198">
        <v>58.76</v>
      </c>
      <c r="E1198">
        <f>979241280/(1000)</f>
        <v>979241.28</v>
      </c>
      <c r="F1198">
        <f>226236000/(1000)</f>
        <v>226236</v>
      </c>
      <c r="G1198">
        <f>29950000/(1000)</f>
        <v>29950</v>
      </c>
      <c r="H1198">
        <f>865425280/(1000)</f>
        <v>865425.28</v>
      </c>
      <c r="I1198">
        <f>39722000/(1000)</f>
        <v>39722</v>
      </c>
      <c r="J1198">
        <f t="shared" si="23"/>
        <v>2.1787052011479784E-2</v>
      </c>
      <c r="K1198">
        <f>21118001/(1000)</f>
        <v>21118.001</v>
      </c>
      <c r="L1198">
        <v>0</v>
      </c>
      <c r="M1198">
        <v>18.1821804046631</v>
      </c>
      <c r="N1198">
        <v>86.557535901201604</v>
      </c>
      <c r="O1198">
        <v>0</v>
      </c>
      <c r="P1198">
        <v>0</v>
      </c>
      <c r="Q1198">
        <v>5.01793323058192</v>
      </c>
      <c r="R1198">
        <v>38.405227631209499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55000000000000004">
      <c r="A1199" t="s">
        <v>2406</v>
      </c>
      <c r="B1199" t="s">
        <v>2407</v>
      </c>
      <c r="C1199" t="s">
        <v>20</v>
      </c>
      <c r="D1199">
        <v>19.07</v>
      </c>
      <c r="E1199">
        <f>538773760/(1000)</f>
        <v>538773.76000000001</v>
      </c>
      <c r="F1199">
        <f>226235008/(1000)</f>
        <v>226235.008</v>
      </c>
      <c r="G1199">
        <f>13010000/(1000)</f>
        <v>13010</v>
      </c>
      <c r="H1199">
        <f>513724760/(1000)</f>
        <v>513724.76</v>
      </c>
      <c r="I1199">
        <f>25578000/(1000)</f>
        <v>25578</v>
      </c>
      <c r="J1199">
        <f t="shared" si="23"/>
        <v>2.008463366955978E-2</v>
      </c>
      <c r="K1199">
        <f>-2610999/(1000)</f>
        <v>-2610.9989999999998</v>
      </c>
      <c r="L1199">
        <v>0</v>
      </c>
      <c r="M1199">
        <v>0</v>
      </c>
      <c r="N1199">
        <v>70.700479396033501</v>
      </c>
      <c r="O1199">
        <v>8.7571859359741193</v>
      </c>
      <c r="P1199">
        <v>0</v>
      </c>
      <c r="Q1199">
        <v>1.4269406019862101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55000000000000004">
      <c r="A1200" t="s">
        <v>2408</v>
      </c>
      <c r="B1200" t="s">
        <v>2409</v>
      </c>
      <c r="C1200" t="s">
        <v>31</v>
      </c>
      <c r="D1200">
        <v>14.8</v>
      </c>
      <c r="E1200">
        <f>585375488/(1000)</f>
        <v>585375.48800000001</v>
      </c>
      <c r="F1200">
        <f>225736992/(1000)</f>
        <v>225736.992</v>
      </c>
      <c r="G1200">
        <f>27099000/(1000)</f>
        <v>27099</v>
      </c>
      <c r="H1200">
        <f>396190496/(1000)</f>
        <v>396190.49599999998</v>
      </c>
      <c r="I1200">
        <f>37018000/(1000)</f>
        <v>37018</v>
      </c>
      <c r="J1200">
        <f t="shared" si="23"/>
        <v>1.0702644551299368E-2</v>
      </c>
      <c r="K1200">
        <f>43838001/(1000)</f>
        <v>43838.000999999997</v>
      </c>
      <c r="L1200">
        <v>43.035362243652301</v>
      </c>
      <c r="M1200">
        <v>5.6616659164428702</v>
      </c>
      <c r="N1200">
        <v>90.802331077509905</v>
      </c>
      <c r="O1200">
        <v>0</v>
      </c>
      <c r="P1200">
        <v>0.15000000596046401</v>
      </c>
      <c r="Q1200">
        <v>1.4015151138859601</v>
      </c>
      <c r="R1200">
        <v>17.011494670240001</v>
      </c>
      <c r="S1200">
        <v>97.829223448167099</v>
      </c>
      <c r="T1200">
        <v>0</v>
      </c>
      <c r="U1200">
        <v>0</v>
      </c>
      <c r="V1200">
        <v>0</v>
      </c>
      <c r="W1200">
        <v>0</v>
      </c>
    </row>
    <row r="1201" spans="1:23" x14ac:dyDescent="0.55000000000000004">
      <c r="A1201" t="s">
        <v>2410</v>
      </c>
      <c r="B1201" t="s">
        <v>2411</v>
      </c>
      <c r="C1201" t="s">
        <v>5</v>
      </c>
      <c r="D1201">
        <v>12.6</v>
      </c>
      <c r="E1201">
        <f>580834816/(1000)</f>
        <v>580834.81599999999</v>
      </c>
      <c r="F1201">
        <f>225668000/(1000)</f>
        <v>225668</v>
      </c>
      <c r="G1201">
        <f>14071000/(1000)</f>
        <v>14071</v>
      </c>
      <c r="H1201">
        <f>417967808/(1000)</f>
        <v>417967.80800000002</v>
      </c>
      <c r="I1201">
        <f>25778000/(1000)</f>
        <v>25778</v>
      </c>
      <c r="J1201">
        <f t="shared" si="23"/>
        <v>1.6214128636822096E-2</v>
      </c>
      <c r="K1201">
        <f>23347001/(1000)</f>
        <v>23347.001</v>
      </c>
      <c r="L1201">
        <v>0</v>
      </c>
      <c r="M1201">
        <v>6.9253559112548801</v>
      </c>
      <c r="N1201">
        <v>95.727798188627006</v>
      </c>
      <c r="O1201">
        <v>0</v>
      </c>
      <c r="P1201">
        <v>0</v>
      </c>
      <c r="Q1201">
        <v>1.4449541279386899</v>
      </c>
      <c r="R1201">
        <v>18.260870181169601</v>
      </c>
      <c r="S1201">
        <v>77.926706194020397</v>
      </c>
      <c r="T1201">
        <v>0</v>
      </c>
      <c r="U1201">
        <v>0</v>
      </c>
      <c r="V1201">
        <v>0</v>
      </c>
      <c r="W1201">
        <v>0</v>
      </c>
    </row>
    <row r="1202" spans="1:23" x14ac:dyDescent="0.55000000000000004">
      <c r="A1202" t="s">
        <v>2412</v>
      </c>
      <c r="B1202" t="s">
        <v>2413</v>
      </c>
      <c r="C1202" t="s">
        <v>184</v>
      </c>
      <c r="D1202">
        <v>21.83</v>
      </c>
      <c r="E1202">
        <f>358817504/(1000)</f>
        <v>358817.50400000002</v>
      </c>
      <c r="F1202">
        <f>225264000/(1000)</f>
        <v>225264</v>
      </c>
      <c r="G1202">
        <f>0/(1000)</f>
        <v>0</v>
      </c>
      <c r="H1202">
        <f>0/(1000)</f>
        <v>0</v>
      </c>
      <c r="I1202">
        <f>0/(1000)</f>
        <v>0</v>
      </c>
      <c r="J1202">
        <f t="shared" si="23"/>
        <v>1</v>
      </c>
      <c r="K1202">
        <f>39060001/(1000)</f>
        <v>39060.000999999997</v>
      </c>
      <c r="L1202">
        <v>16.843507766723601</v>
      </c>
      <c r="M1202">
        <v>11.659200668335</v>
      </c>
      <c r="N1202">
        <v>96.9501596406174</v>
      </c>
      <c r="O1202">
        <v>135.13021850585901</v>
      </c>
      <c r="P1202">
        <v>0.95999997854232799</v>
      </c>
      <c r="Q1202">
        <v>1.05344432787786</v>
      </c>
      <c r="R1202">
        <v>12.691860429555801</v>
      </c>
      <c r="S1202">
        <v>47.761568096683199</v>
      </c>
      <c r="T1202">
        <v>0</v>
      </c>
      <c r="U1202">
        <v>0</v>
      </c>
      <c r="V1202">
        <v>0</v>
      </c>
      <c r="W1202">
        <v>0</v>
      </c>
    </row>
    <row r="1203" spans="1:23" x14ac:dyDescent="0.55000000000000004">
      <c r="A1203" t="s">
        <v>2414</v>
      </c>
      <c r="B1203" t="s">
        <v>2415</v>
      </c>
      <c r="C1203" t="s">
        <v>184</v>
      </c>
      <c r="D1203">
        <v>6.43</v>
      </c>
      <c r="E1203">
        <f>575582080/(1000)</f>
        <v>575582.07999999996</v>
      </c>
      <c r="F1203">
        <f>225242000/(1000)</f>
        <v>225242</v>
      </c>
      <c r="G1203">
        <f>219706000/(1000)</f>
        <v>219706</v>
      </c>
      <c r="H1203">
        <f>5378322304/(1000)</f>
        <v>5378322.3039999995</v>
      </c>
      <c r="I1203">
        <f>219688000/(1000)</f>
        <v>219688</v>
      </c>
      <c r="J1203">
        <f t="shared" si="23"/>
        <v>2.4481638978915553E-2</v>
      </c>
      <c r="K1203">
        <f>-58618999/(1000)</f>
        <v>-58618.999000000003</v>
      </c>
      <c r="L1203">
        <v>0</v>
      </c>
      <c r="M1203">
        <v>-40.474147796630902</v>
      </c>
      <c r="N1203">
        <v>97.349945864299997</v>
      </c>
      <c r="O1203">
        <v>992.7646484375</v>
      </c>
      <c r="P1203">
        <v>1.03999996185303</v>
      </c>
      <c r="Q1203">
        <v>1.07525080398492</v>
      </c>
      <c r="R1203">
        <v>6.9139783676476396</v>
      </c>
      <c r="S1203">
        <v>214.742049074954</v>
      </c>
      <c r="T1203">
        <v>0</v>
      </c>
      <c r="U1203">
        <v>0</v>
      </c>
      <c r="V1203">
        <v>0</v>
      </c>
      <c r="W1203">
        <v>0</v>
      </c>
    </row>
    <row r="1204" spans="1:23" x14ac:dyDescent="0.55000000000000004">
      <c r="A1204" t="s">
        <v>2416</v>
      </c>
      <c r="B1204" t="s">
        <v>2417</v>
      </c>
      <c r="C1204" t="s">
        <v>8</v>
      </c>
      <c r="D1204">
        <v>6.76</v>
      </c>
      <c r="E1204">
        <f>464817600/(1000)</f>
        <v>464817.6</v>
      </c>
      <c r="F1204">
        <f>224674000/(1000)</f>
        <v>224674</v>
      </c>
      <c r="G1204">
        <f>82117000/(1000)</f>
        <v>82117</v>
      </c>
      <c r="H1204">
        <f>2081831616/(1000)</f>
        <v>2081831.6159999999</v>
      </c>
      <c r="I1204">
        <f>143352000/(1000)</f>
        <v>143352</v>
      </c>
      <c r="J1204">
        <f t="shared" si="23"/>
        <v>1.4522515318935208E-2</v>
      </c>
      <c r="K1204">
        <f>24911001/(1000)</f>
        <v>24911.001</v>
      </c>
      <c r="L1204">
        <v>17.209882736206101</v>
      </c>
      <c r="M1204">
        <v>25.709152221679702</v>
      </c>
      <c r="N1204">
        <v>99.999996893207694</v>
      </c>
      <c r="O1204">
        <v>313.04208374023398</v>
      </c>
      <c r="P1204">
        <v>1</v>
      </c>
      <c r="Q1204">
        <v>0.89035232691188504</v>
      </c>
      <c r="R1204">
        <v>0</v>
      </c>
      <c r="S1204">
        <v>72.017681329608195</v>
      </c>
      <c r="T1204">
        <v>0</v>
      </c>
      <c r="U1204">
        <v>0</v>
      </c>
      <c r="V1204">
        <v>0</v>
      </c>
      <c r="W1204">
        <v>0</v>
      </c>
    </row>
    <row r="1205" spans="1:23" x14ac:dyDescent="0.55000000000000004">
      <c r="A1205" t="s">
        <v>2418</v>
      </c>
      <c r="B1205" t="s">
        <v>2419</v>
      </c>
      <c r="C1205" t="s">
        <v>184</v>
      </c>
      <c r="D1205">
        <v>27.24</v>
      </c>
      <c r="E1205">
        <f>466484992/(1000)</f>
        <v>466484.99200000003</v>
      </c>
      <c r="F1205">
        <f>224623008/(1000)</f>
        <v>224623.008</v>
      </c>
      <c r="G1205">
        <f>0/(1000)</f>
        <v>0</v>
      </c>
      <c r="H1205">
        <f>0/(1000)</f>
        <v>0</v>
      </c>
      <c r="I1205">
        <f>0/(1000)</f>
        <v>0</v>
      </c>
      <c r="J1205">
        <f t="shared" si="23"/>
        <v>1</v>
      </c>
      <c r="K1205">
        <f>28333001/(1000)</f>
        <v>28333.001</v>
      </c>
      <c r="L1205">
        <v>20.576566696166999</v>
      </c>
      <c r="M1205">
        <v>9.7570037841796893</v>
      </c>
      <c r="N1205">
        <v>57.309197080292002</v>
      </c>
      <c r="O1205">
        <v>48.773895263671903</v>
      </c>
      <c r="P1205">
        <v>0.75999999046325695</v>
      </c>
      <c r="Q1205">
        <v>1.5649146340768501</v>
      </c>
      <c r="R1205">
        <v>24.321428748902498</v>
      </c>
      <c r="S1205">
        <v>57.964955906552802</v>
      </c>
      <c r="T1205">
        <v>0</v>
      </c>
      <c r="U1205">
        <v>0</v>
      </c>
      <c r="V1205">
        <v>0</v>
      </c>
      <c r="W1205">
        <v>0</v>
      </c>
    </row>
    <row r="1206" spans="1:23" x14ac:dyDescent="0.55000000000000004">
      <c r="A1206" t="s">
        <v>2420</v>
      </c>
      <c r="B1206" t="s">
        <v>2421</v>
      </c>
      <c r="C1206" t="s">
        <v>2</v>
      </c>
      <c r="D1206">
        <v>12</v>
      </c>
      <c r="E1206">
        <f>77050800/(1000)</f>
        <v>77050.8</v>
      </c>
      <c r="F1206">
        <f>223994000/(1000)</f>
        <v>223994</v>
      </c>
      <c r="G1206">
        <f>35806000/(1000)</f>
        <v>35806</v>
      </c>
      <c r="H1206">
        <f>43982802/(1000)</f>
        <v>43982.802000000003</v>
      </c>
      <c r="I1206">
        <f>38830000/(1000)</f>
        <v>38830</v>
      </c>
      <c r="J1206">
        <f t="shared" si="23"/>
        <v>1.1327015709502964E-3</v>
      </c>
      <c r="K1206">
        <f>10868001/(1000)</f>
        <v>10868.001</v>
      </c>
      <c r="L1206">
        <v>11.322681427001999</v>
      </c>
      <c r="M1206">
        <v>20.372716903686499</v>
      </c>
      <c r="N1206">
        <v>94.2796200600894</v>
      </c>
      <c r="O1206">
        <v>0</v>
      </c>
      <c r="P1206">
        <v>0</v>
      </c>
      <c r="Q1206">
        <v>0</v>
      </c>
      <c r="R1206">
        <v>3.4383954060770501</v>
      </c>
      <c r="S1206">
        <v>196.55510247312401</v>
      </c>
      <c r="T1206">
        <v>0</v>
      </c>
      <c r="U1206">
        <v>0</v>
      </c>
      <c r="V1206">
        <v>0</v>
      </c>
      <c r="W1206">
        <v>0</v>
      </c>
    </row>
    <row r="1207" spans="1:23" x14ac:dyDescent="0.55000000000000004">
      <c r="A1207" t="s">
        <v>2422</v>
      </c>
      <c r="B1207" t="s">
        <v>2423</v>
      </c>
      <c r="C1207" t="s">
        <v>8</v>
      </c>
      <c r="D1207">
        <v>8.07</v>
      </c>
      <c r="E1207">
        <f>76998288/(1000)</f>
        <v>76998.288</v>
      </c>
      <c r="F1207">
        <f>223975008/(1000)</f>
        <v>223975.008</v>
      </c>
      <c r="G1207">
        <f>4667000/(1000)</f>
        <v>4667</v>
      </c>
      <c r="H1207">
        <f>127352288/(1000)</f>
        <v>127352.288</v>
      </c>
      <c r="I1207">
        <f>7095000/(1000)</f>
        <v>7095</v>
      </c>
      <c r="J1207">
        <f t="shared" si="23"/>
        <v>1.7949582522903452E-2</v>
      </c>
      <c r="K1207">
        <f>-53924999/(1000)</f>
        <v>-53924.999000000003</v>
      </c>
      <c r="L1207">
        <v>11.185214042663601</v>
      </c>
      <c r="M1207">
        <v>13.897575378418001</v>
      </c>
      <c r="N1207">
        <v>78.2786427524929</v>
      </c>
      <c r="O1207">
        <v>13.831246376037599</v>
      </c>
      <c r="P1207">
        <v>0</v>
      </c>
      <c r="Q1207">
        <v>0</v>
      </c>
      <c r="R1207">
        <v>27.486374941078601</v>
      </c>
      <c r="S1207">
        <v>-46.130067917553198</v>
      </c>
      <c r="T1207">
        <v>0</v>
      </c>
      <c r="U1207">
        <v>0</v>
      </c>
      <c r="V1207">
        <v>0</v>
      </c>
      <c r="W1207">
        <v>0</v>
      </c>
    </row>
    <row r="1208" spans="1:23" x14ac:dyDescent="0.55000000000000004">
      <c r="A1208" t="s">
        <v>2424</v>
      </c>
      <c r="B1208" t="s">
        <v>2425</v>
      </c>
      <c r="C1208" t="s">
        <v>401</v>
      </c>
      <c r="D1208">
        <v>10.71</v>
      </c>
      <c r="E1208">
        <f>629676224/(1000)</f>
        <v>629676.22400000005</v>
      </c>
      <c r="F1208">
        <f>223264992/(1000)</f>
        <v>223264.992</v>
      </c>
      <c r="G1208">
        <f>77795000/(1000)</f>
        <v>77795</v>
      </c>
      <c r="H1208">
        <f>1869404224/(1000)</f>
        <v>1869404.2239999999</v>
      </c>
      <c r="I1208">
        <f>130218000/(1000)</f>
        <v>130218</v>
      </c>
      <c r="J1208">
        <f t="shared" si="23"/>
        <v>1.435595865394953E-2</v>
      </c>
      <c r="K1208">
        <f>-86484999/(1000)</f>
        <v>-86484.998999999996</v>
      </c>
      <c r="L1208">
        <v>58.002834320068402</v>
      </c>
      <c r="M1208">
        <v>3.3943839073181201</v>
      </c>
      <c r="N1208">
        <v>96.819364436650702</v>
      </c>
      <c r="O1208">
        <v>204.81140136718801</v>
      </c>
      <c r="P1208">
        <v>0.67799997329711903</v>
      </c>
      <c r="Q1208">
        <v>0</v>
      </c>
      <c r="R1208">
        <v>76.500001982386706</v>
      </c>
      <c r="S1208">
        <v>87.988878878457498</v>
      </c>
      <c r="T1208">
        <v>0</v>
      </c>
      <c r="U1208">
        <v>0</v>
      </c>
      <c r="V1208">
        <v>0</v>
      </c>
      <c r="W1208">
        <v>0</v>
      </c>
    </row>
    <row r="1209" spans="1:23" x14ac:dyDescent="0.55000000000000004">
      <c r="A1209" t="s">
        <v>2426</v>
      </c>
      <c r="B1209" t="s">
        <v>2427</v>
      </c>
      <c r="C1209" t="s">
        <v>121</v>
      </c>
      <c r="D1209">
        <v>2.8</v>
      </c>
      <c r="E1209">
        <f>474607552/(1000)</f>
        <v>474607.55200000003</v>
      </c>
      <c r="F1209">
        <f>222622000/(1000)</f>
        <v>222622</v>
      </c>
      <c r="G1209">
        <f>41222000/(1000)</f>
        <v>41222</v>
      </c>
      <c r="H1209">
        <f>592374552/(1000)</f>
        <v>592374.55200000003</v>
      </c>
      <c r="I1209">
        <f>68401000/(1000)</f>
        <v>68401</v>
      </c>
      <c r="J1209">
        <f t="shared" si="23"/>
        <v>8.6603200538003834E-3</v>
      </c>
      <c r="K1209">
        <f>23961001/(1000)</f>
        <v>23961.001</v>
      </c>
      <c r="L1209">
        <v>0</v>
      </c>
      <c r="M1209">
        <v>14.5597381591797</v>
      </c>
      <c r="N1209">
        <v>99.486438386216605</v>
      </c>
      <c r="O1209">
        <v>0</v>
      </c>
      <c r="P1209">
        <v>0</v>
      </c>
      <c r="Q1209">
        <v>0</v>
      </c>
      <c r="R1209">
        <v>140.000000745058</v>
      </c>
      <c r="S1209">
        <v>110.61684011352899</v>
      </c>
      <c r="T1209">
        <v>0</v>
      </c>
      <c r="U1209">
        <v>0</v>
      </c>
      <c r="V1209">
        <v>0</v>
      </c>
      <c r="W1209">
        <v>0</v>
      </c>
    </row>
    <row r="1210" spans="1:23" x14ac:dyDescent="0.55000000000000004">
      <c r="A1210" t="s">
        <v>2428</v>
      </c>
      <c r="B1210" t="s">
        <v>2429</v>
      </c>
      <c r="C1210" t="s">
        <v>184</v>
      </c>
      <c r="D1210">
        <v>7.49</v>
      </c>
      <c r="E1210">
        <f>167964752/(1000)</f>
        <v>167964.75200000001</v>
      </c>
      <c r="F1210">
        <f>222523008/(1000)</f>
        <v>222523.008</v>
      </c>
      <c r="G1210">
        <f>0/(1000)</f>
        <v>0</v>
      </c>
      <c r="H1210">
        <f>0/(1000)</f>
        <v>0</v>
      </c>
      <c r="I1210">
        <f>0/(1000)</f>
        <v>0</v>
      </c>
      <c r="J1210">
        <f t="shared" si="23"/>
        <v>1</v>
      </c>
      <c r="K1210">
        <f>29212001/(1000)</f>
        <v>29212.001</v>
      </c>
      <c r="L1210">
        <v>22.8898105621338</v>
      </c>
      <c r="M1210">
        <v>5.4945740699768102</v>
      </c>
      <c r="N1210">
        <v>65.686372129295705</v>
      </c>
      <c r="O1210">
        <v>69.621757507324205</v>
      </c>
      <c r="P1210">
        <v>0</v>
      </c>
      <c r="Q1210">
        <v>0.46290286190114599</v>
      </c>
      <c r="R1210">
        <v>12.4045735059034</v>
      </c>
      <c r="S1210">
        <v>76.504702075004701</v>
      </c>
      <c r="T1210">
        <v>0</v>
      </c>
      <c r="U1210">
        <v>0</v>
      </c>
      <c r="V1210">
        <v>0</v>
      </c>
      <c r="W1210">
        <v>0</v>
      </c>
    </row>
    <row r="1211" spans="1:23" x14ac:dyDescent="0.55000000000000004">
      <c r="A1211" t="s">
        <v>2430</v>
      </c>
      <c r="B1211" t="s">
        <v>2431</v>
      </c>
      <c r="C1211" t="s">
        <v>2</v>
      </c>
      <c r="D1211">
        <v>3.19</v>
      </c>
      <c r="E1211">
        <f>104542360/(1000)</f>
        <v>104542.36</v>
      </c>
      <c r="F1211">
        <f>221742000/(1000)</f>
        <v>221742</v>
      </c>
      <c r="G1211">
        <f>34749000/(1000)</f>
        <v>34749</v>
      </c>
      <c r="H1211">
        <f>398305368/(1000)</f>
        <v>398305.36800000002</v>
      </c>
      <c r="I1211">
        <f>70212000/(1000)</f>
        <v>70212</v>
      </c>
      <c r="J1211">
        <f t="shared" si="23"/>
        <v>5.6728959152281665E-3</v>
      </c>
      <c r="K1211">
        <f>-127487999/(1000)</f>
        <v>-127487.999</v>
      </c>
      <c r="L1211">
        <v>0</v>
      </c>
      <c r="M1211">
        <v>2.05330491065979</v>
      </c>
      <c r="N1211">
        <v>74.919671631460901</v>
      </c>
      <c r="O1211">
        <v>129.21592712402301</v>
      </c>
      <c r="P1211">
        <v>0</v>
      </c>
      <c r="Q1211">
        <v>0.36045196832982401</v>
      </c>
      <c r="R1211">
        <v>2.7982456261890101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55000000000000004">
      <c r="A1212" t="s">
        <v>2432</v>
      </c>
      <c r="B1212" t="s">
        <v>2433</v>
      </c>
      <c r="C1212" t="s">
        <v>31</v>
      </c>
      <c r="D1212">
        <v>9.5</v>
      </c>
      <c r="E1212">
        <f>250762944/(1000)</f>
        <v>250762.94399999999</v>
      </c>
      <c r="F1212">
        <f>221206000/(1000)</f>
        <v>221206</v>
      </c>
      <c r="G1212">
        <f>57301000/(1000)</f>
        <v>57301</v>
      </c>
      <c r="H1212">
        <f>53481952/(1000)</f>
        <v>53481.951999999997</v>
      </c>
      <c r="I1212">
        <f>60676000/(1000)</f>
        <v>60676</v>
      </c>
      <c r="J1212">
        <f t="shared" si="23"/>
        <v>8.8143503197310306E-4</v>
      </c>
      <c r="K1212">
        <f>32653001/(1000)</f>
        <v>32653.001</v>
      </c>
      <c r="L1212">
        <v>0</v>
      </c>
      <c r="M1212">
        <v>35.230979919433601</v>
      </c>
      <c r="N1212">
        <v>97.310969745413701</v>
      </c>
      <c r="O1212">
        <v>0</v>
      </c>
      <c r="P1212">
        <v>0</v>
      </c>
      <c r="Q1212">
        <v>0.84935177859613897</v>
      </c>
      <c r="R1212">
        <v>6.6763883768126497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55000000000000004">
      <c r="A1213" t="s">
        <v>2434</v>
      </c>
      <c r="B1213" t="s">
        <v>2435</v>
      </c>
      <c r="C1213" t="s">
        <v>184</v>
      </c>
      <c r="D1213">
        <v>33.840000000000003</v>
      </c>
      <c r="E1213">
        <f>517102272/(1000)</f>
        <v>517102.272</v>
      </c>
      <c r="F1213">
        <f>221167488/(1000)</f>
        <v>221167.48800000001</v>
      </c>
      <c r="G1213">
        <f>81603480/(1000)</f>
        <v>81603.48</v>
      </c>
      <c r="H1213">
        <f>756419264/(1000)</f>
        <v>756419.26399999997</v>
      </c>
      <c r="I1213">
        <f>89695824/(1000)</f>
        <v>89695.823999999993</v>
      </c>
      <c r="J1213">
        <f t="shared" si="23"/>
        <v>8.4331603219342747E-3</v>
      </c>
      <c r="K1213">
        <f>71694449/(1000)</f>
        <v>71694.448999999993</v>
      </c>
      <c r="L1213">
        <v>18.825658798217798</v>
      </c>
      <c r="M1213">
        <v>19.993951797485401</v>
      </c>
      <c r="N1213">
        <v>96.991650504147799</v>
      </c>
      <c r="O1213">
        <v>71.448089599609403</v>
      </c>
      <c r="P1213">
        <v>0</v>
      </c>
      <c r="Q1213">
        <v>1.9651568816465801</v>
      </c>
      <c r="R1213">
        <v>11.3557049036402</v>
      </c>
      <c r="S1213">
        <v>295.86799119368499</v>
      </c>
      <c r="T1213">
        <v>0</v>
      </c>
      <c r="U1213">
        <v>0</v>
      </c>
      <c r="V1213">
        <v>0</v>
      </c>
      <c r="W1213">
        <v>0</v>
      </c>
    </row>
    <row r="1214" spans="1:23" x14ac:dyDescent="0.55000000000000004">
      <c r="A1214" t="s">
        <v>2436</v>
      </c>
      <c r="B1214" t="s">
        <v>2437</v>
      </c>
      <c r="C1214" t="s">
        <v>31</v>
      </c>
      <c r="D1214">
        <v>20.04</v>
      </c>
      <c r="E1214">
        <f>879461376/(1000)</f>
        <v>879461.37600000005</v>
      </c>
      <c r="F1214">
        <f>220696992/(1000)</f>
        <v>220696.992</v>
      </c>
      <c r="G1214">
        <f>86426000/(1000)</f>
        <v>86426</v>
      </c>
      <c r="H1214">
        <f>738711376/(1000)</f>
        <v>738711.37600000005</v>
      </c>
      <c r="I1214">
        <f>96560000/(1000)</f>
        <v>96560</v>
      </c>
      <c r="J1214">
        <f t="shared" si="23"/>
        <v>7.6502835128417568E-3</v>
      </c>
      <c r="K1214">
        <f>83892001/(1000)</f>
        <v>83892.001000000004</v>
      </c>
      <c r="L1214">
        <v>23.575889587402301</v>
      </c>
      <c r="M1214">
        <v>25.48073387146</v>
      </c>
      <c r="N1214">
        <v>96.324510270449196</v>
      </c>
      <c r="O1214">
        <v>0</v>
      </c>
      <c r="P1214">
        <v>0</v>
      </c>
      <c r="Q1214">
        <v>3.5406362996087601</v>
      </c>
      <c r="R1214">
        <v>13.540541257298401</v>
      </c>
      <c r="S1214">
        <v>357.754116109763</v>
      </c>
      <c r="T1214">
        <v>0</v>
      </c>
      <c r="U1214">
        <v>0</v>
      </c>
      <c r="V1214">
        <v>0</v>
      </c>
      <c r="W1214">
        <v>0</v>
      </c>
    </row>
    <row r="1215" spans="1:23" x14ac:dyDescent="0.55000000000000004">
      <c r="A1215" t="s">
        <v>2438</v>
      </c>
      <c r="B1215" t="s">
        <v>2439</v>
      </c>
      <c r="C1215" t="s">
        <v>31</v>
      </c>
      <c r="D1215">
        <v>11.98</v>
      </c>
      <c r="E1215">
        <f>435236992/(1000)</f>
        <v>435236.99200000003</v>
      </c>
      <c r="F1215">
        <f>219796000/(1000)</f>
        <v>219796</v>
      </c>
      <c r="G1215">
        <f>26780000/(1000)</f>
        <v>26780</v>
      </c>
      <c r="H1215">
        <f>410957992/(1000)</f>
        <v>410957.99200000003</v>
      </c>
      <c r="I1215">
        <f>37991000/(1000)</f>
        <v>37991</v>
      </c>
      <c r="J1215">
        <f t="shared" si="23"/>
        <v>1.0817245979310891E-2</v>
      </c>
      <c r="K1215">
        <f>30433001/(1000)</f>
        <v>30433.001</v>
      </c>
      <c r="L1215">
        <v>38.037609100341797</v>
      </c>
      <c r="M1215">
        <v>13.304394721984901</v>
      </c>
      <c r="N1215">
        <v>94.014914782696394</v>
      </c>
      <c r="O1215">
        <v>0</v>
      </c>
      <c r="P1215">
        <v>0</v>
      </c>
      <c r="Q1215">
        <v>0</v>
      </c>
      <c r="R1215">
        <v>19.966665606200699</v>
      </c>
      <c r="S1215">
        <v>64.153043010672405</v>
      </c>
      <c r="T1215">
        <v>0</v>
      </c>
      <c r="U1215">
        <v>0</v>
      </c>
      <c r="V1215">
        <v>0</v>
      </c>
      <c r="W1215">
        <v>0</v>
      </c>
    </row>
    <row r="1216" spans="1:23" x14ac:dyDescent="0.55000000000000004">
      <c r="A1216" t="s">
        <v>2440</v>
      </c>
      <c r="B1216" t="s">
        <v>2441</v>
      </c>
      <c r="C1216" t="s">
        <v>2</v>
      </c>
      <c r="D1216">
        <v>22.3</v>
      </c>
      <c r="E1216">
        <f>356351776/(1000)</f>
        <v>356351.77600000001</v>
      </c>
      <c r="F1216">
        <f>218970992/(1000)</f>
        <v>218970.992</v>
      </c>
      <c r="G1216">
        <f>41932000/(1000)</f>
        <v>41932</v>
      </c>
      <c r="H1216">
        <f>268365776/(1000)</f>
        <v>268365.77600000001</v>
      </c>
      <c r="I1216">
        <f>45774000/(1000)</f>
        <v>45774</v>
      </c>
      <c r="J1216">
        <f t="shared" si="23"/>
        <v>5.8628430113164681E-3</v>
      </c>
      <c r="K1216">
        <f>51252001/(1000)</f>
        <v>51252.000999999997</v>
      </c>
      <c r="L1216">
        <v>34.326065063476598</v>
      </c>
      <c r="M1216">
        <v>24.569242477416999</v>
      </c>
      <c r="N1216">
        <v>99.906755613166297</v>
      </c>
      <c r="O1216">
        <v>0</v>
      </c>
      <c r="P1216">
        <v>0</v>
      </c>
      <c r="Q1216">
        <v>0</v>
      </c>
      <c r="R1216">
        <v>14.203821234811601</v>
      </c>
      <c r="S1216">
        <v>117.418623031555</v>
      </c>
      <c r="T1216">
        <v>0</v>
      </c>
      <c r="U1216">
        <v>0</v>
      </c>
      <c r="V1216">
        <v>0</v>
      </c>
      <c r="W1216">
        <v>0</v>
      </c>
    </row>
    <row r="1217" spans="1:23" x14ac:dyDescent="0.55000000000000004">
      <c r="A1217" t="s">
        <v>2442</v>
      </c>
      <c r="B1217" t="s">
        <v>2443</v>
      </c>
      <c r="C1217" t="s">
        <v>31</v>
      </c>
      <c r="D1217">
        <v>4.78</v>
      </c>
      <c r="E1217">
        <f>154868656/(1000)</f>
        <v>154868.65599999999</v>
      </c>
      <c r="F1217">
        <f>218148000/(1000)</f>
        <v>218148</v>
      </c>
      <c r="G1217">
        <f>27462000/(1000)</f>
        <v>27462</v>
      </c>
      <c r="H1217">
        <f>139315656/(1000)</f>
        <v>139315.65599999999</v>
      </c>
      <c r="I1217">
        <f>33727000/(1000)</f>
        <v>33727</v>
      </c>
      <c r="J1217">
        <f t="shared" si="23"/>
        <v>4.1306862750911727E-3</v>
      </c>
      <c r="K1217">
        <f>21016001/(1000)</f>
        <v>21016.001</v>
      </c>
      <c r="L1217">
        <v>31.0693550109863</v>
      </c>
      <c r="M1217">
        <v>11.893857002258301</v>
      </c>
      <c r="N1217">
        <v>87.562386629809296</v>
      </c>
      <c r="O1217">
        <v>0</v>
      </c>
      <c r="P1217">
        <v>0</v>
      </c>
      <c r="Q1217">
        <v>0</v>
      </c>
      <c r="R1217">
        <v>7.9666671944161402</v>
      </c>
      <c r="S1217">
        <v>871.706013363029</v>
      </c>
      <c r="T1217">
        <v>0</v>
      </c>
      <c r="U1217">
        <v>0</v>
      </c>
      <c r="V1217">
        <v>0</v>
      </c>
      <c r="W1217">
        <v>0</v>
      </c>
    </row>
    <row r="1218" spans="1:23" x14ac:dyDescent="0.55000000000000004">
      <c r="A1218" t="s">
        <v>2444</v>
      </c>
      <c r="B1218" t="s">
        <v>2445</v>
      </c>
      <c r="C1218" t="s">
        <v>184</v>
      </c>
      <c r="D1218">
        <v>55.21</v>
      </c>
      <c r="E1218">
        <f>1148014720/(1000)</f>
        <v>1148014.72</v>
      </c>
      <c r="F1218">
        <f>217641824/(1000)</f>
        <v>217641.82399999999</v>
      </c>
      <c r="G1218">
        <f>0/(1000)</f>
        <v>0</v>
      </c>
      <c r="H1218">
        <f>0/(1000)</f>
        <v>0</v>
      </c>
      <c r="I1218">
        <f>0/(1000)</f>
        <v>0</v>
      </c>
      <c r="J1218">
        <f t="shared" ref="J1218:J1281" si="25">(IF(I1218=0,1000,H1218/I1218))/(1000)</f>
        <v>1</v>
      </c>
      <c r="K1218">
        <f>46459673/(1000)</f>
        <v>46459.673000000003</v>
      </c>
      <c r="L1218">
        <v>17.637357711791999</v>
      </c>
      <c r="M1218">
        <v>15.553072929382299</v>
      </c>
      <c r="N1218">
        <v>88.020352067335494</v>
      </c>
      <c r="O1218">
        <v>49.5584716796875</v>
      </c>
      <c r="P1218">
        <v>0.90666669607162498</v>
      </c>
      <c r="Q1218">
        <v>3.2297882021771702</v>
      </c>
      <c r="R1218">
        <v>21.908729961249399</v>
      </c>
      <c r="S1218">
        <v>61.917800131366299</v>
      </c>
      <c r="T1218">
        <v>0</v>
      </c>
      <c r="U1218">
        <v>0</v>
      </c>
      <c r="V1218">
        <v>0</v>
      </c>
      <c r="W1218">
        <v>0</v>
      </c>
    </row>
    <row r="1219" spans="1:23" x14ac:dyDescent="0.55000000000000004">
      <c r="A1219" t="s">
        <v>2446</v>
      </c>
      <c r="B1219" t="s">
        <v>2447</v>
      </c>
      <c r="C1219" t="s">
        <v>5</v>
      </c>
      <c r="D1219">
        <v>9.44</v>
      </c>
      <c r="E1219">
        <f>118290752/(1000)</f>
        <v>118290.75199999999</v>
      </c>
      <c r="F1219">
        <f>217434000/(1000)</f>
        <v>217434</v>
      </c>
      <c r="G1219">
        <f>40761000/(1000)</f>
        <v>40761</v>
      </c>
      <c r="H1219">
        <f>148509752/(1000)</f>
        <v>148509.75200000001</v>
      </c>
      <c r="I1219">
        <f>45732000/(1000)</f>
        <v>45732</v>
      </c>
      <c r="J1219">
        <f t="shared" si="25"/>
        <v>3.2473924604215867E-3</v>
      </c>
      <c r="K1219">
        <f>6717001/(1000)</f>
        <v>6717.0010000000002</v>
      </c>
      <c r="L1219">
        <v>0</v>
      </c>
      <c r="M1219">
        <v>15.741502761840801</v>
      </c>
      <c r="N1219">
        <v>98.897916595887693</v>
      </c>
      <c r="O1219">
        <v>32.256828308105497</v>
      </c>
      <c r="P1219">
        <v>0</v>
      </c>
      <c r="Q1219">
        <v>0</v>
      </c>
      <c r="R1219">
        <v>3.2439860808612999</v>
      </c>
      <c r="S1219">
        <v>75.911782790201002</v>
      </c>
      <c r="T1219">
        <v>0</v>
      </c>
      <c r="U1219">
        <v>0</v>
      </c>
      <c r="V1219">
        <v>0</v>
      </c>
      <c r="W1219">
        <v>0</v>
      </c>
    </row>
    <row r="1220" spans="1:23" x14ac:dyDescent="0.55000000000000004">
      <c r="A1220" t="s">
        <v>2448</v>
      </c>
      <c r="B1220" t="s">
        <v>2449</v>
      </c>
      <c r="C1220" t="s">
        <v>5</v>
      </c>
      <c r="D1220">
        <v>3.22</v>
      </c>
      <c r="E1220">
        <f>84331480/(1000)</f>
        <v>84331.48</v>
      </c>
      <c r="F1220">
        <f>217347008/(1000)</f>
        <v>217347.008</v>
      </c>
      <c r="G1220">
        <f>20074000/(1000)</f>
        <v>20074</v>
      </c>
      <c r="H1220">
        <f>274247480/(1000)</f>
        <v>274247.48</v>
      </c>
      <c r="I1220">
        <f>31708000/(1000)</f>
        <v>31708</v>
      </c>
      <c r="J1220">
        <f t="shared" si="25"/>
        <v>8.6491573104579278E-3</v>
      </c>
      <c r="K1220">
        <f>-9235000/(1000)</f>
        <v>-9235</v>
      </c>
      <c r="L1220">
        <v>38.918796539306598</v>
      </c>
      <c r="M1220">
        <v>-4.9691348075866699</v>
      </c>
      <c r="N1220">
        <v>95.763636103575493</v>
      </c>
      <c r="O1220">
        <v>92.522331237792997</v>
      </c>
      <c r="P1220">
        <v>0.10000000149011599</v>
      </c>
      <c r="Q1220">
        <v>0.50312499697320201</v>
      </c>
      <c r="R1220">
        <v>12.8800002104044</v>
      </c>
      <c r="S1220">
        <v>66.1674373088685</v>
      </c>
      <c r="T1220">
        <v>0</v>
      </c>
      <c r="U1220">
        <v>0</v>
      </c>
      <c r="V1220">
        <v>0</v>
      </c>
      <c r="W1220">
        <v>0</v>
      </c>
    </row>
    <row r="1221" spans="1:23" x14ac:dyDescent="0.55000000000000004">
      <c r="A1221" t="s">
        <v>2450</v>
      </c>
      <c r="B1221" t="s">
        <v>2451</v>
      </c>
      <c r="C1221" t="s">
        <v>184</v>
      </c>
      <c r="D1221">
        <v>0.9</v>
      </c>
      <c r="E1221">
        <f>27803880/(1000)</f>
        <v>27803.88</v>
      </c>
      <c r="F1221">
        <f>216850000/(1000)</f>
        <v>216850</v>
      </c>
      <c r="G1221">
        <f t="shared" ref="G1221:I1222" si="26">0/(1000)</f>
        <v>0</v>
      </c>
      <c r="H1221">
        <f t="shared" si="26"/>
        <v>0</v>
      </c>
      <c r="I1221">
        <f t="shared" si="26"/>
        <v>0</v>
      </c>
      <c r="J1221">
        <f t="shared" si="25"/>
        <v>1</v>
      </c>
      <c r="K1221">
        <f>49221001/(1000)</f>
        <v>49221.000999999997</v>
      </c>
      <c r="L1221">
        <v>20.548580169677699</v>
      </c>
      <c r="M1221">
        <v>1.5000540018081701</v>
      </c>
      <c r="N1221">
        <v>84.516657604457706</v>
      </c>
      <c r="O1221">
        <v>217.55859375</v>
      </c>
      <c r="P1221">
        <v>0</v>
      </c>
      <c r="Q1221">
        <v>0</v>
      </c>
      <c r="R1221">
        <v>0</v>
      </c>
      <c r="S1221">
        <v>37.450401227133902</v>
      </c>
      <c r="T1221">
        <v>0</v>
      </c>
      <c r="U1221">
        <v>0</v>
      </c>
      <c r="V1221">
        <v>0</v>
      </c>
      <c r="W1221">
        <v>0</v>
      </c>
    </row>
    <row r="1222" spans="1:23" x14ac:dyDescent="0.55000000000000004">
      <c r="A1222" t="s">
        <v>2452</v>
      </c>
      <c r="B1222" t="s">
        <v>2453</v>
      </c>
      <c r="C1222" t="s">
        <v>5</v>
      </c>
      <c r="D1222">
        <v>6.59</v>
      </c>
      <c r="E1222">
        <f>103472224/(1000)</f>
        <v>103472.224</v>
      </c>
      <c r="F1222">
        <f>216688000/(1000)</f>
        <v>216688</v>
      </c>
      <c r="G1222">
        <f t="shared" si="26"/>
        <v>0</v>
      </c>
      <c r="H1222">
        <f t="shared" si="26"/>
        <v>0</v>
      </c>
      <c r="I1222">
        <f t="shared" si="26"/>
        <v>0</v>
      </c>
      <c r="J1222">
        <f t="shared" si="25"/>
        <v>1</v>
      </c>
      <c r="K1222">
        <f>51228001/(1000)</f>
        <v>51228.000999999997</v>
      </c>
      <c r="L1222">
        <v>17.467449188232401</v>
      </c>
      <c r="M1222">
        <v>8.2332210540771502</v>
      </c>
      <c r="N1222">
        <v>96.036023469472497</v>
      </c>
      <c r="O1222">
        <v>144.59208679199199</v>
      </c>
      <c r="P1222">
        <v>0.184465005993843</v>
      </c>
      <c r="Q1222">
        <v>0.50871140778328605</v>
      </c>
      <c r="R1222">
        <v>0</v>
      </c>
      <c r="S1222">
        <v>88.880946984885199</v>
      </c>
      <c r="T1222">
        <v>0</v>
      </c>
      <c r="U1222">
        <v>0</v>
      </c>
      <c r="V1222">
        <v>0</v>
      </c>
      <c r="W1222">
        <v>0</v>
      </c>
    </row>
    <row r="1223" spans="1:23" x14ac:dyDescent="0.55000000000000004">
      <c r="A1223" t="s">
        <v>2454</v>
      </c>
      <c r="B1223" t="s">
        <v>2455</v>
      </c>
      <c r="C1223" t="s">
        <v>121</v>
      </c>
      <c r="D1223">
        <v>11.7</v>
      </c>
      <c r="E1223">
        <f>315083360/(1000)</f>
        <v>315083.36</v>
      </c>
      <c r="F1223">
        <f>216662000/(1000)</f>
        <v>216662</v>
      </c>
      <c r="G1223">
        <f>36013000/(1000)</f>
        <v>36013</v>
      </c>
      <c r="H1223">
        <f>393860360/(1000)</f>
        <v>393860.36</v>
      </c>
      <c r="I1223">
        <f>46101000/(1000)</f>
        <v>46101</v>
      </c>
      <c r="J1223">
        <f t="shared" si="25"/>
        <v>8.5434233530726003E-3</v>
      </c>
      <c r="K1223">
        <f>49658001/(1000)</f>
        <v>49658.000999999997</v>
      </c>
      <c r="L1223">
        <v>24.8887233734131</v>
      </c>
      <c r="M1223">
        <v>14.3721027374268</v>
      </c>
      <c r="N1223">
        <v>71.653755214271996</v>
      </c>
      <c r="O1223">
        <v>43.123966217041001</v>
      </c>
      <c r="P1223">
        <v>5.9999998658895E-2</v>
      </c>
      <c r="Q1223">
        <v>0</v>
      </c>
      <c r="R1223">
        <v>16.249999846073099</v>
      </c>
      <c r="S1223">
        <v>115.21788797171</v>
      </c>
      <c r="T1223">
        <v>0</v>
      </c>
      <c r="U1223">
        <v>0</v>
      </c>
      <c r="V1223">
        <v>0</v>
      </c>
      <c r="W1223">
        <v>0</v>
      </c>
    </row>
    <row r="1224" spans="1:23" x14ac:dyDescent="0.55000000000000004">
      <c r="A1224" t="s">
        <v>2456</v>
      </c>
      <c r="B1224" t="s">
        <v>2457</v>
      </c>
      <c r="C1224" t="s">
        <v>184</v>
      </c>
      <c r="D1224">
        <v>3.83</v>
      </c>
      <c r="E1224">
        <f>65007744/(1000)</f>
        <v>65007.743999999999</v>
      </c>
      <c r="F1224">
        <f>216636992/(1000)</f>
        <v>216636.992</v>
      </c>
      <c r="G1224">
        <f>0/(1000)</f>
        <v>0</v>
      </c>
      <c r="H1224">
        <f>0/(1000)</f>
        <v>0</v>
      </c>
      <c r="I1224">
        <f>0/(1000)</f>
        <v>0</v>
      </c>
      <c r="J1224">
        <f t="shared" si="25"/>
        <v>1</v>
      </c>
      <c r="K1224">
        <f>-27444999/(1000)</f>
        <v>-27444.999</v>
      </c>
      <c r="L1224">
        <v>13.858762741088899</v>
      </c>
      <c r="M1224">
        <v>3.34493803977966</v>
      </c>
      <c r="N1224">
        <v>86.005073832737494</v>
      </c>
      <c r="O1224">
        <v>194.83958435058599</v>
      </c>
      <c r="P1224">
        <v>0.34000000357627902</v>
      </c>
      <c r="Q1224">
        <v>0</v>
      </c>
      <c r="R1224">
        <v>0</v>
      </c>
      <c r="S1224">
        <v>101.333623293464</v>
      </c>
      <c r="T1224">
        <v>0</v>
      </c>
      <c r="U1224">
        <v>0</v>
      </c>
      <c r="V1224">
        <v>0</v>
      </c>
      <c r="W1224">
        <v>0</v>
      </c>
    </row>
    <row r="1225" spans="1:23" x14ac:dyDescent="0.55000000000000004">
      <c r="A1225" t="s">
        <v>2458</v>
      </c>
      <c r="B1225" t="s">
        <v>2459</v>
      </c>
      <c r="C1225" t="s">
        <v>31</v>
      </c>
      <c r="D1225">
        <v>5.07</v>
      </c>
      <c r="E1225">
        <f>110500648/(1000)</f>
        <v>110500.648</v>
      </c>
      <c r="F1225">
        <f>215834000/(1000)</f>
        <v>215834</v>
      </c>
      <c r="G1225">
        <f>27436000/(1000)</f>
        <v>27436</v>
      </c>
      <c r="H1225">
        <f>70670648/(1000)</f>
        <v>70670.648000000001</v>
      </c>
      <c r="I1225">
        <f>31857000/(1000)</f>
        <v>31857</v>
      </c>
      <c r="J1225">
        <f t="shared" si="25"/>
        <v>2.2183710958345103E-3</v>
      </c>
      <c r="K1225">
        <f>34729001/(1000)</f>
        <v>34729.000999999997</v>
      </c>
      <c r="L1225">
        <v>0</v>
      </c>
      <c r="M1225">
        <v>16.599235534668001</v>
      </c>
      <c r="N1225">
        <v>89.970635151905697</v>
      </c>
      <c r="O1225">
        <v>2.10085201263428</v>
      </c>
      <c r="P1225">
        <v>0</v>
      </c>
      <c r="Q1225">
        <v>0</v>
      </c>
      <c r="R1225">
        <v>0</v>
      </c>
      <c r="S1225">
        <v>538.86455126687201</v>
      </c>
      <c r="T1225">
        <v>0</v>
      </c>
      <c r="U1225">
        <v>0</v>
      </c>
      <c r="V1225">
        <v>0</v>
      </c>
      <c r="W1225">
        <v>0</v>
      </c>
    </row>
    <row r="1226" spans="1:23" x14ac:dyDescent="0.55000000000000004">
      <c r="A1226" t="s">
        <v>2460</v>
      </c>
      <c r="B1226" t="s">
        <v>2461</v>
      </c>
      <c r="C1226" t="s">
        <v>2</v>
      </c>
      <c r="D1226">
        <v>36.81</v>
      </c>
      <c r="E1226">
        <f>776845632/(1000)</f>
        <v>776845.63199999998</v>
      </c>
      <c r="F1226">
        <f>215746000/(1000)</f>
        <v>215746</v>
      </c>
      <c r="G1226">
        <f>28444000/(1000)</f>
        <v>28444</v>
      </c>
      <c r="H1226">
        <f>660199632/(1000)</f>
        <v>660199.63199999998</v>
      </c>
      <c r="I1226">
        <f>32293000/(1000)</f>
        <v>32293</v>
      </c>
      <c r="J1226">
        <f t="shared" si="25"/>
        <v>2.0444047688353513E-2</v>
      </c>
      <c r="K1226">
        <f>7596001/(1000)</f>
        <v>7596.0010000000002</v>
      </c>
      <c r="L1226">
        <v>0</v>
      </c>
      <c r="M1226">
        <v>13.9703359603882</v>
      </c>
      <c r="N1226">
        <v>65.668917852926398</v>
      </c>
      <c r="O1226">
        <v>0</v>
      </c>
      <c r="P1226">
        <v>0</v>
      </c>
      <c r="Q1226">
        <v>3.9495710921249398</v>
      </c>
      <c r="R1226">
        <v>30.421488528458099</v>
      </c>
      <c r="S1226">
        <v>0</v>
      </c>
      <c r="T1226">
        <v>0</v>
      </c>
      <c r="U1226">
        <v>0</v>
      </c>
      <c r="V1226">
        <v>0</v>
      </c>
      <c r="W1226">
        <v>0</v>
      </c>
    </row>
    <row r="1227" spans="1:23" x14ac:dyDescent="0.55000000000000004">
      <c r="A1227" t="s">
        <v>2462</v>
      </c>
      <c r="B1227" t="s">
        <v>2463</v>
      </c>
      <c r="C1227" t="s">
        <v>31</v>
      </c>
      <c r="D1227">
        <v>32.82</v>
      </c>
      <c r="E1227">
        <f>1602338048/(1000)</f>
        <v>1602338.048</v>
      </c>
      <c r="F1227">
        <f>215491008/(1000)</f>
        <v>215491.008</v>
      </c>
      <c r="G1227">
        <f>26660000/(1000)</f>
        <v>26660</v>
      </c>
      <c r="H1227">
        <f>1337446048/(1000)</f>
        <v>1337446.048</v>
      </c>
      <c r="I1227">
        <f>47936000/(1000)</f>
        <v>47936</v>
      </c>
      <c r="J1227">
        <f t="shared" si="25"/>
        <v>2.7900660213618155E-2</v>
      </c>
      <c r="K1227">
        <f>50781001/(1000)</f>
        <v>50781.000999999997</v>
      </c>
      <c r="L1227">
        <v>94.6593017578125</v>
      </c>
      <c r="M1227">
        <v>4.19685983657837</v>
      </c>
      <c r="N1227">
        <v>82.010981015274297</v>
      </c>
      <c r="O1227">
        <v>0.52999001741409302</v>
      </c>
      <c r="P1227">
        <v>0</v>
      </c>
      <c r="Q1227">
        <v>2.9897517475631199</v>
      </c>
      <c r="R1227">
        <v>74.590908801506401</v>
      </c>
      <c r="S1227">
        <v>279.80684209598701</v>
      </c>
      <c r="T1227">
        <v>0</v>
      </c>
      <c r="U1227">
        <v>0</v>
      </c>
      <c r="V1227">
        <v>0</v>
      </c>
      <c r="W1227">
        <v>0</v>
      </c>
    </row>
    <row r="1228" spans="1:23" x14ac:dyDescent="0.55000000000000004">
      <c r="A1228" t="s">
        <v>2464</v>
      </c>
      <c r="B1228" t="s">
        <v>2465</v>
      </c>
      <c r="C1228" t="s">
        <v>121</v>
      </c>
      <c r="D1228">
        <v>0.88</v>
      </c>
      <c r="E1228">
        <f>485174816/(1000)</f>
        <v>485174.81599999999</v>
      </c>
      <c r="F1228">
        <f>215319008/(1000)</f>
        <v>215319.008</v>
      </c>
      <c r="G1228">
        <f>41494000/(1000)</f>
        <v>41494</v>
      </c>
      <c r="H1228">
        <f>823345824/(1000)</f>
        <v>823345.82400000002</v>
      </c>
      <c r="I1228">
        <f>62478000/(1000)</f>
        <v>62478</v>
      </c>
      <c r="J1228">
        <f t="shared" si="25"/>
        <v>1.3178171900508981E-2</v>
      </c>
      <c r="K1228">
        <f>-176920991/(1000)</f>
        <v>-176920.99100000001</v>
      </c>
      <c r="L1228">
        <v>0</v>
      </c>
      <c r="M1228">
        <v>3.8026978969574001</v>
      </c>
      <c r="N1228">
        <v>99.637802444417304</v>
      </c>
      <c r="O1228">
        <v>13.8172721862793</v>
      </c>
      <c r="P1228">
        <v>0</v>
      </c>
      <c r="Q1228">
        <v>0.28164505841732002</v>
      </c>
      <c r="R1228">
        <v>29.333333830038701</v>
      </c>
      <c r="S1228">
        <v>150.53407800428201</v>
      </c>
      <c r="T1228">
        <v>0</v>
      </c>
      <c r="U1228">
        <v>0</v>
      </c>
      <c r="V1228">
        <v>0</v>
      </c>
      <c r="W1228">
        <v>0</v>
      </c>
    </row>
    <row r="1229" spans="1:23" x14ac:dyDescent="0.55000000000000004">
      <c r="A1229" t="s">
        <v>2466</v>
      </c>
      <c r="B1229" t="s">
        <v>2467</v>
      </c>
      <c r="C1229" t="s">
        <v>31</v>
      </c>
      <c r="D1229">
        <v>19.97</v>
      </c>
      <c r="E1229">
        <f>537730240/(1000)</f>
        <v>537730.24</v>
      </c>
      <c r="F1229">
        <f>215303008/(1000)</f>
        <v>215303.008</v>
      </c>
      <c r="G1229">
        <f>13294000/(1000)</f>
        <v>13294</v>
      </c>
      <c r="H1229">
        <f>461608240/(1000)</f>
        <v>461608.24</v>
      </c>
      <c r="I1229">
        <f>24479000/(1000)</f>
        <v>24479</v>
      </c>
      <c r="J1229">
        <f t="shared" si="25"/>
        <v>1.8857316066832795E-2</v>
      </c>
      <c r="K1229">
        <f>53474001/(1000)</f>
        <v>53474.000999999997</v>
      </c>
      <c r="L1229">
        <v>0</v>
      </c>
      <c r="M1229">
        <v>6.4862008094787598</v>
      </c>
      <c r="N1229">
        <v>91.690834103125297</v>
      </c>
      <c r="O1229">
        <v>0</v>
      </c>
      <c r="P1229">
        <v>0</v>
      </c>
      <c r="Q1229">
        <v>2.5935064685748799</v>
      </c>
      <c r="R1229">
        <v>30.723075584970299</v>
      </c>
      <c r="S1229">
        <v>35.040397400838003</v>
      </c>
      <c r="T1229">
        <v>0</v>
      </c>
      <c r="U1229">
        <v>0</v>
      </c>
      <c r="V1229">
        <v>0</v>
      </c>
      <c r="W1229">
        <v>0</v>
      </c>
    </row>
    <row r="1230" spans="1:23" x14ac:dyDescent="0.55000000000000004">
      <c r="A1230" t="s">
        <v>2468</v>
      </c>
      <c r="B1230" t="s">
        <v>2469</v>
      </c>
      <c r="C1230" t="s">
        <v>184</v>
      </c>
      <c r="D1230">
        <v>29.47</v>
      </c>
      <c r="E1230">
        <f>411368800/(1000)</f>
        <v>411368.8</v>
      </c>
      <c r="F1230">
        <f>214539008/(1000)</f>
        <v>214539.008</v>
      </c>
      <c r="G1230">
        <f>0/(1000)</f>
        <v>0</v>
      </c>
      <c r="H1230">
        <f>0/(1000)</f>
        <v>0</v>
      </c>
      <c r="I1230">
        <f>0/(1000)</f>
        <v>0</v>
      </c>
      <c r="J1230">
        <f t="shared" si="25"/>
        <v>1</v>
      </c>
      <c r="K1230">
        <f>23560001/(1000)</f>
        <v>23560.001</v>
      </c>
      <c r="L1230">
        <v>15.794734954834</v>
      </c>
      <c r="M1230">
        <v>10.2969017028809</v>
      </c>
      <c r="N1230">
        <v>88.499807293423103</v>
      </c>
      <c r="O1230">
        <v>78.143653869628906</v>
      </c>
      <c r="P1230">
        <v>0.37999999523162797</v>
      </c>
      <c r="Q1230">
        <v>1.4632572098538099</v>
      </c>
      <c r="R1230">
        <v>16.192307378665301</v>
      </c>
      <c r="S1230">
        <v>41.6613269946805</v>
      </c>
      <c r="T1230">
        <v>0</v>
      </c>
      <c r="U1230">
        <v>0</v>
      </c>
      <c r="V1230">
        <v>0</v>
      </c>
      <c r="W1230">
        <v>0</v>
      </c>
    </row>
    <row r="1231" spans="1:23" x14ac:dyDescent="0.55000000000000004">
      <c r="A1231" t="s">
        <v>2470</v>
      </c>
      <c r="B1231" t="s">
        <v>2471</v>
      </c>
      <c r="C1231" t="s">
        <v>5</v>
      </c>
      <c r="D1231">
        <v>1.02</v>
      </c>
      <c r="E1231">
        <f>46269956/(1000)</f>
        <v>46269.955999999998</v>
      </c>
      <c r="F1231">
        <f>214419008/(1000)</f>
        <v>214419.008</v>
      </c>
      <c r="G1231">
        <f>-22185000/(1000)</f>
        <v>-22185</v>
      </c>
      <c r="H1231">
        <f>87698956/(1000)</f>
        <v>87698.956000000006</v>
      </c>
      <c r="I1231">
        <f>17975000/(1000)</f>
        <v>17975</v>
      </c>
      <c r="J1231">
        <f t="shared" si="25"/>
        <v>4.878940528511822E-3</v>
      </c>
      <c r="K1231">
        <f>6006001/(1000)</f>
        <v>6006.0010000000002</v>
      </c>
      <c r="L1231">
        <v>0</v>
      </c>
      <c r="M1231">
        <v>-32.458747863769503</v>
      </c>
      <c r="N1231">
        <v>90.318915587189593</v>
      </c>
      <c r="O1231">
        <v>59.437831878662102</v>
      </c>
      <c r="P1231">
        <v>0</v>
      </c>
      <c r="Q1231">
        <v>0.62576686129472503</v>
      </c>
      <c r="R1231">
        <v>0</v>
      </c>
      <c r="S1231">
        <v>185.54174612475401</v>
      </c>
      <c r="T1231">
        <v>0</v>
      </c>
      <c r="U1231">
        <v>0</v>
      </c>
      <c r="V1231">
        <v>0</v>
      </c>
      <c r="W1231">
        <v>0</v>
      </c>
    </row>
    <row r="1232" spans="1:23" x14ac:dyDescent="0.55000000000000004">
      <c r="A1232" t="s">
        <v>2472</v>
      </c>
      <c r="B1232" t="s">
        <v>2473</v>
      </c>
      <c r="C1232" t="s">
        <v>38</v>
      </c>
      <c r="D1232">
        <v>12.21</v>
      </c>
      <c r="E1232">
        <f>382295104/(1000)</f>
        <v>382295.10399999999</v>
      </c>
      <c r="F1232">
        <f>213080992/(1000)</f>
        <v>213080.992</v>
      </c>
      <c r="G1232">
        <f>18224000/(1000)</f>
        <v>18224</v>
      </c>
      <c r="H1232">
        <f>257263104/(1000)</f>
        <v>257263.10399999999</v>
      </c>
      <c r="I1232">
        <f>22826000/(1000)</f>
        <v>22826</v>
      </c>
      <c r="J1232">
        <f t="shared" si="25"/>
        <v>1.1270617015683868E-2</v>
      </c>
      <c r="K1232">
        <f>30590001/(1000)</f>
        <v>30590.001</v>
      </c>
      <c r="L1232">
        <v>0</v>
      </c>
      <c r="M1232">
        <v>25.1251316070557</v>
      </c>
      <c r="N1232">
        <v>96.351007711817005</v>
      </c>
      <c r="O1232">
        <v>0</v>
      </c>
      <c r="P1232">
        <v>0</v>
      </c>
      <c r="Q1232">
        <v>1.6934812723364501</v>
      </c>
      <c r="R1232">
        <v>25.978723139488199</v>
      </c>
      <c r="S1232">
        <v>0</v>
      </c>
      <c r="T1232">
        <v>0</v>
      </c>
      <c r="U1232">
        <v>0</v>
      </c>
      <c r="V1232">
        <v>0</v>
      </c>
      <c r="W1232">
        <v>0</v>
      </c>
    </row>
    <row r="1233" spans="1:23" x14ac:dyDescent="0.55000000000000004">
      <c r="A1233" t="s">
        <v>2474</v>
      </c>
      <c r="B1233" t="s">
        <v>2475</v>
      </c>
      <c r="C1233" t="s">
        <v>401</v>
      </c>
      <c r="D1233">
        <v>23.48</v>
      </c>
      <c r="E1233">
        <f>1381074816/(1000)</f>
        <v>1381074.8160000001</v>
      </c>
      <c r="F1233">
        <f>212592992/(1000)</f>
        <v>212592.992</v>
      </c>
      <c r="G1233">
        <f>67055000/(1000)</f>
        <v>67055</v>
      </c>
      <c r="H1233">
        <f>2034213824/(1000)</f>
        <v>2034213.824</v>
      </c>
      <c r="I1233">
        <f>120979000/(1000)</f>
        <v>120979</v>
      </c>
      <c r="J1233">
        <f t="shared" si="25"/>
        <v>1.6814602732705675E-2</v>
      </c>
      <c r="K1233">
        <f>-39878999/(1000)</f>
        <v>-39878.999000000003</v>
      </c>
      <c r="L1233">
        <v>55.9887084960938</v>
      </c>
      <c r="M1233">
        <v>8.2408399581909197</v>
      </c>
      <c r="N1233">
        <v>97.803610659506703</v>
      </c>
      <c r="O1233">
        <v>124.255569458008</v>
      </c>
      <c r="P1233">
        <v>1.53999996185303</v>
      </c>
      <c r="Q1233">
        <v>1.4611076532751099</v>
      </c>
      <c r="R1233">
        <v>61.7894726491783</v>
      </c>
      <c r="S1233">
        <v>14.453604384482</v>
      </c>
      <c r="T1233">
        <v>0</v>
      </c>
      <c r="U1233">
        <v>0</v>
      </c>
      <c r="V1233">
        <v>0</v>
      </c>
      <c r="W1233">
        <v>0</v>
      </c>
    </row>
    <row r="1234" spans="1:23" x14ac:dyDescent="0.55000000000000004">
      <c r="A1234" t="s">
        <v>2476</v>
      </c>
      <c r="B1234" t="s">
        <v>2477</v>
      </c>
      <c r="C1234" t="s">
        <v>2</v>
      </c>
      <c r="D1234">
        <v>28.21</v>
      </c>
      <c r="E1234">
        <f>653321024/(1000)</f>
        <v>653321.02399999998</v>
      </c>
      <c r="F1234">
        <f>212056000/(1000)</f>
        <v>212056</v>
      </c>
      <c r="G1234">
        <f>22651000/(1000)</f>
        <v>22651</v>
      </c>
      <c r="H1234">
        <f>445194016/(1000)</f>
        <v>445194.016</v>
      </c>
      <c r="I1234">
        <f>27786000/(1000)</f>
        <v>27786</v>
      </c>
      <c r="J1234">
        <f t="shared" si="25"/>
        <v>1.6022241992370258E-2</v>
      </c>
      <c r="K1234">
        <f>32324001/(1000)</f>
        <v>32324.001</v>
      </c>
      <c r="L1234">
        <v>34.819690704345703</v>
      </c>
      <c r="M1234">
        <v>7.2868762016296396</v>
      </c>
      <c r="N1234">
        <v>65.392585076161893</v>
      </c>
      <c r="O1234">
        <v>0</v>
      </c>
      <c r="P1234">
        <v>0</v>
      </c>
      <c r="Q1234">
        <v>2.5762556690278</v>
      </c>
      <c r="R1234">
        <v>24.9646013942608</v>
      </c>
      <c r="S1234">
        <v>118.758768672114</v>
      </c>
      <c r="T1234">
        <v>0</v>
      </c>
      <c r="U1234">
        <v>0</v>
      </c>
      <c r="V1234">
        <v>0</v>
      </c>
      <c r="W1234">
        <v>0</v>
      </c>
    </row>
    <row r="1235" spans="1:23" x14ac:dyDescent="0.55000000000000004">
      <c r="A1235" t="s">
        <v>2478</v>
      </c>
      <c r="B1235" t="s">
        <v>2479</v>
      </c>
      <c r="C1235" t="s">
        <v>184</v>
      </c>
      <c r="D1235">
        <v>11.93</v>
      </c>
      <c r="E1235">
        <f>216541424/(1000)</f>
        <v>216541.424</v>
      </c>
      <c r="F1235">
        <f>211964992/(1000)</f>
        <v>211964.992</v>
      </c>
      <c r="G1235">
        <f t="shared" ref="G1235:I1236" si="27">0/(1000)</f>
        <v>0</v>
      </c>
      <c r="H1235">
        <f t="shared" si="27"/>
        <v>0</v>
      </c>
      <c r="I1235">
        <f t="shared" si="27"/>
        <v>0</v>
      </c>
      <c r="J1235">
        <f t="shared" si="25"/>
        <v>1</v>
      </c>
      <c r="K1235">
        <f>45916001/(1000)</f>
        <v>45916.000999999997</v>
      </c>
      <c r="L1235">
        <v>15.796134948730501</v>
      </c>
      <c r="M1235">
        <v>10.901262283325201</v>
      </c>
      <c r="N1235">
        <v>96.182033470602306</v>
      </c>
      <c r="O1235">
        <v>84.349967956542997</v>
      </c>
      <c r="P1235">
        <v>0.28000000119209301</v>
      </c>
      <c r="Q1235">
        <v>0.64556280306769398</v>
      </c>
      <c r="R1235">
        <v>9.77868887386742</v>
      </c>
      <c r="S1235">
        <v>88.841366653302998</v>
      </c>
      <c r="T1235">
        <v>0</v>
      </c>
      <c r="U1235">
        <v>0</v>
      </c>
      <c r="V1235">
        <v>0</v>
      </c>
      <c r="W1235">
        <v>0</v>
      </c>
    </row>
    <row r="1236" spans="1:23" x14ac:dyDescent="0.55000000000000004">
      <c r="A1236" t="s">
        <v>2480</v>
      </c>
      <c r="B1236" t="s">
        <v>2481</v>
      </c>
      <c r="C1236" t="s">
        <v>184</v>
      </c>
      <c r="D1236">
        <v>34.78</v>
      </c>
      <c r="E1236">
        <f>562830848/(1000)</f>
        <v>562830.848</v>
      </c>
      <c r="F1236">
        <f>211951008/(1000)</f>
        <v>211951.008</v>
      </c>
      <c r="G1236">
        <f t="shared" si="27"/>
        <v>0</v>
      </c>
      <c r="H1236">
        <f t="shared" si="27"/>
        <v>0</v>
      </c>
      <c r="I1236">
        <f t="shared" si="27"/>
        <v>0</v>
      </c>
      <c r="J1236">
        <f t="shared" si="25"/>
        <v>1</v>
      </c>
      <c r="K1236">
        <f>35915001/(1000)</f>
        <v>35915.000999999997</v>
      </c>
      <c r="L1236">
        <v>13.0799903869629</v>
      </c>
      <c r="M1236">
        <v>17.028505325317401</v>
      </c>
      <c r="N1236">
        <v>95.714532767003902</v>
      </c>
      <c r="O1236">
        <v>56.766124725341797</v>
      </c>
      <c r="P1236">
        <v>1.3600000143051201</v>
      </c>
      <c r="Q1236">
        <v>1.9258028686482001</v>
      </c>
      <c r="R1236">
        <v>10.834890657878001</v>
      </c>
      <c r="S1236">
        <v>29.9762662442884</v>
      </c>
      <c r="T1236">
        <v>0</v>
      </c>
      <c r="U1236">
        <v>0</v>
      </c>
      <c r="V1236">
        <v>0</v>
      </c>
      <c r="W1236">
        <v>0</v>
      </c>
    </row>
    <row r="1237" spans="1:23" x14ac:dyDescent="0.55000000000000004">
      <c r="A1237" t="s">
        <v>2482</v>
      </c>
      <c r="B1237" t="s">
        <v>2483</v>
      </c>
      <c r="C1237" t="s">
        <v>5</v>
      </c>
      <c r="D1237">
        <v>14.97</v>
      </c>
      <c r="E1237">
        <f>673712896/(1000)</f>
        <v>673712.89599999995</v>
      </c>
      <c r="F1237">
        <f>211664992/(1000)</f>
        <v>211664.992</v>
      </c>
      <c r="G1237">
        <f>-17422000/(1000)</f>
        <v>-17422</v>
      </c>
      <c r="H1237">
        <f>750348896/(1000)</f>
        <v>750348.89599999995</v>
      </c>
      <c r="I1237">
        <f>9912000/(1000)</f>
        <v>9912</v>
      </c>
      <c r="J1237">
        <f t="shared" si="25"/>
        <v>7.5701058918482639E-2</v>
      </c>
      <c r="K1237">
        <f>47741001/(1000)</f>
        <v>47741.000999999997</v>
      </c>
      <c r="L1237">
        <v>37.826587677002003</v>
      </c>
      <c r="M1237">
        <v>-7.76592922210693</v>
      </c>
      <c r="N1237">
        <v>99.636256212184506</v>
      </c>
      <c r="O1237">
        <v>97.749198913574205</v>
      </c>
      <c r="P1237">
        <v>0</v>
      </c>
      <c r="Q1237">
        <v>3.63791035229172</v>
      </c>
      <c r="R1237">
        <v>13.6450648177437</v>
      </c>
      <c r="S1237">
        <v>247.19099811367201</v>
      </c>
      <c r="T1237">
        <v>0</v>
      </c>
      <c r="U1237">
        <v>0</v>
      </c>
      <c r="V1237">
        <v>0</v>
      </c>
      <c r="W1237">
        <v>0</v>
      </c>
    </row>
    <row r="1238" spans="1:23" x14ac:dyDescent="0.55000000000000004">
      <c r="A1238" t="s">
        <v>2484</v>
      </c>
      <c r="B1238" t="s">
        <v>2485</v>
      </c>
      <c r="C1238" t="s">
        <v>5</v>
      </c>
      <c r="D1238">
        <v>3.63</v>
      </c>
      <c r="E1238">
        <f>65205328/(1000)</f>
        <v>65205.328000000001</v>
      </c>
      <c r="F1238">
        <f>211550000/(1000)</f>
        <v>211550</v>
      </c>
      <c r="G1238">
        <f>35031000/(1000)</f>
        <v>35031</v>
      </c>
      <c r="H1238">
        <f>116578328/(1000)</f>
        <v>116578.32799999999</v>
      </c>
      <c r="I1238">
        <f>36958000/(1000)</f>
        <v>36958</v>
      </c>
      <c r="J1238">
        <f t="shared" si="25"/>
        <v>3.1543462308566477E-3</v>
      </c>
      <c r="K1238">
        <f>17222001/(1000)</f>
        <v>17222.001</v>
      </c>
      <c r="L1238">
        <v>14.942174911499</v>
      </c>
      <c r="M1238">
        <v>45.543979644775398</v>
      </c>
      <c r="N1238">
        <v>6.4165585157277203</v>
      </c>
      <c r="O1238">
        <v>7.7454380989074698</v>
      </c>
      <c r="P1238">
        <v>0</v>
      </c>
      <c r="Q1238">
        <v>0</v>
      </c>
      <c r="R1238">
        <v>4.3214287659292703</v>
      </c>
      <c r="S1238">
        <v>27.480503648202198</v>
      </c>
      <c r="T1238">
        <v>0</v>
      </c>
      <c r="U1238">
        <v>0</v>
      </c>
      <c r="V1238">
        <v>0</v>
      </c>
      <c r="W1238">
        <v>0</v>
      </c>
    </row>
    <row r="1239" spans="1:23" x14ac:dyDescent="0.55000000000000004">
      <c r="A1239" t="s">
        <v>2486</v>
      </c>
      <c r="B1239" t="s">
        <v>2487</v>
      </c>
      <c r="C1239" t="s">
        <v>121</v>
      </c>
      <c r="D1239">
        <v>0</v>
      </c>
      <c r="E1239">
        <f>113348248/(1000)</f>
        <v>113348.24800000001</v>
      </c>
      <c r="F1239">
        <f>210970992/(1000)</f>
        <v>210970.992</v>
      </c>
      <c r="G1239">
        <f>-39817000/(1000)</f>
        <v>-39817</v>
      </c>
      <c r="H1239">
        <f>165266248/(1000)</f>
        <v>165266.24799999999</v>
      </c>
      <c r="I1239">
        <f>-30243000/(1000)</f>
        <v>-30243</v>
      </c>
      <c r="J1239">
        <f t="shared" si="25"/>
        <v>-5.4646115795390672E-3</v>
      </c>
      <c r="K1239">
        <f>-39132999/(1000)</f>
        <v>-39132.999000000003</v>
      </c>
      <c r="L1239">
        <v>0</v>
      </c>
      <c r="M1239">
        <v>0</v>
      </c>
      <c r="N1239">
        <v>96.070577900027303</v>
      </c>
      <c r="O1239">
        <v>0</v>
      </c>
      <c r="P1239">
        <v>0</v>
      </c>
      <c r="Q1239">
        <v>0</v>
      </c>
      <c r="R1239">
        <v>0</v>
      </c>
      <c r="S1239">
        <v>2388.7459242656601</v>
      </c>
      <c r="T1239">
        <v>0</v>
      </c>
      <c r="U1239">
        <v>0</v>
      </c>
      <c r="V1239">
        <v>0</v>
      </c>
      <c r="W1239">
        <v>0</v>
      </c>
    </row>
    <row r="1240" spans="1:23" x14ac:dyDescent="0.55000000000000004">
      <c r="A1240" t="s">
        <v>2488</v>
      </c>
      <c r="B1240" t="s">
        <v>2489</v>
      </c>
      <c r="C1240" t="s">
        <v>38</v>
      </c>
      <c r="D1240">
        <v>62.55</v>
      </c>
      <c r="E1240">
        <f>1452961408/(1000)</f>
        <v>1452961.4080000001</v>
      </c>
      <c r="F1240">
        <f>210942992/(1000)</f>
        <v>210942.992</v>
      </c>
      <c r="G1240">
        <f>6303000/(1000)</f>
        <v>6303</v>
      </c>
      <c r="H1240">
        <f>1500024404/(1000)</f>
        <v>1500024.4040000001</v>
      </c>
      <c r="I1240">
        <f>9730000/(1000)</f>
        <v>9730</v>
      </c>
      <c r="J1240">
        <f t="shared" si="25"/>
        <v>0.15416489249743062</v>
      </c>
      <c r="K1240">
        <f>10425000/(1000)</f>
        <v>10425</v>
      </c>
      <c r="L1240">
        <v>0</v>
      </c>
      <c r="M1240">
        <v>7.9373130798339799</v>
      </c>
      <c r="N1240">
        <v>84.065471102093099</v>
      </c>
      <c r="O1240">
        <v>84.524147033691406</v>
      </c>
      <c r="P1240">
        <v>0</v>
      </c>
      <c r="Q1240">
        <v>3.4827395559913099</v>
      </c>
      <c r="R1240">
        <v>36.3662783363446</v>
      </c>
      <c r="S1240">
        <v>600.34193891102302</v>
      </c>
      <c r="T1240">
        <v>0</v>
      </c>
      <c r="U1240">
        <v>0</v>
      </c>
      <c r="V1240">
        <v>0</v>
      </c>
      <c r="W1240">
        <v>0</v>
      </c>
    </row>
    <row r="1241" spans="1:23" x14ac:dyDescent="0.55000000000000004">
      <c r="A1241" t="s">
        <v>2490</v>
      </c>
      <c r="B1241" t="s">
        <v>2491</v>
      </c>
      <c r="C1241" t="s">
        <v>38</v>
      </c>
      <c r="D1241">
        <v>5.16</v>
      </c>
      <c r="E1241">
        <f>286676192/(1000)</f>
        <v>286676.19199999998</v>
      </c>
      <c r="F1241">
        <f>210380992/(1000)</f>
        <v>210380.992</v>
      </c>
      <c r="G1241">
        <f>-934000/(1000)</f>
        <v>-934</v>
      </c>
      <c r="H1241">
        <f>130021184/(1000)</f>
        <v>130021.18399999999</v>
      </c>
      <c r="I1241">
        <f>6754000/(1000)</f>
        <v>6754</v>
      </c>
      <c r="J1241">
        <f t="shared" si="25"/>
        <v>1.9250989635771393E-2</v>
      </c>
      <c r="K1241">
        <f>-23018999/(1000)</f>
        <v>-23018.999</v>
      </c>
      <c r="L1241">
        <v>0</v>
      </c>
      <c r="M1241">
        <v>4.20208692550659</v>
      </c>
      <c r="N1241">
        <v>79.319226958950097</v>
      </c>
      <c r="O1241">
        <v>0</v>
      </c>
      <c r="P1241">
        <v>0</v>
      </c>
      <c r="Q1241">
        <v>2.1061223457079099</v>
      </c>
      <c r="R1241">
        <v>504.448265922215</v>
      </c>
      <c r="S1241">
        <v>0</v>
      </c>
      <c r="T1241">
        <v>0</v>
      </c>
      <c r="U1241">
        <v>0</v>
      </c>
      <c r="V1241">
        <v>0</v>
      </c>
      <c r="W1241">
        <v>0</v>
      </c>
    </row>
    <row r="1242" spans="1:23" x14ac:dyDescent="0.55000000000000004">
      <c r="A1242" t="s">
        <v>2492</v>
      </c>
      <c r="B1242" t="s">
        <v>2493</v>
      </c>
      <c r="C1242" t="s">
        <v>2</v>
      </c>
      <c r="D1242">
        <v>9.66</v>
      </c>
      <c r="E1242">
        <f>208208736/(1000)</f>
        <v>208208.736</v>
      </c>
      <c r="F1242">
        <f>210360000/(1000)</f>
        <v>210360</v>
      </c>
      <c r="G1242">
        <f>27448000/(1000)</f>
        <v>27448</v>
      </c>
      <c r="H1242">
        <f>224223736/(1000)</f>
        <v>224223.736</v>
      </c>
      <c r="I1242">
        <f>39832000/(1000)</f>
        <v>39832</v>
      </c>
      <c r="J1242">
        <f t="shared" si="25"/>
        <v>5.6292361920064274E-3</v>
      </c>
      <c r="K1242">
        <f>-1340998.625/(1000)</f>
        <v>-1340.9986249999999</v>
      </c>
      <c r="L1242">
        <v>0</v>
      </c>
      <c r="M1242">
        <v>23.188184738159201</v>
      </c>
      <c r="N1242">
        <v>98.483789321141103</v>
      </c>
      <c r="O1242">
        <v>0</v>
      </c>
      <c r="P1242">
        <v>0</v>
      </c>
      <c r="Q1242">
        <v>0</v>
      </c>
      <c r="R1242">
        <v>14.4179101815386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55000000000000004">
      <c r="A1243" t="s">
        <v>2494</v>
      </c>
      <c r="B1243" t="s">
        <v>2495</v>
      </c>
      <c r="C1243" t="s">
        <v>2</v>
      </c>
      <c r="D1243">
        <v>15.82</v>
      </c>
      <c r="E1243">
        <f>195293152/(1000)</f>
        <v>195293.152</v>
      </c>
      <c r="F1243">
        <f>210307008/(1000)</f>
        <v>210307.008</v>
      </c>
      <c r="G1243">
        <f>17499000/(1000)</f>
        <v>17499</v>
      </c>
      <c r="H1243">
        <f>306362152/(1000)</f>
        <v>306362.152</v>
      </c>
      <c r="I1243">
        <f>24076000/(1000)</f>
        <v>24076</v>
      </c>
      <c r="J1243">
        <f t="shared" si="25"/>
        <v>1.2724794484133576E-2</v>
      </c>
      <c r="K1243">
        <f>-7537999/(1000)</f>
        <v>-7537.9989999999998</v>
      </c>
      <c r="L1243">
        <v>20.4798583984375</v>
      </c>
      <c r="M1243">
        <v>24.933689117431602</v>
      </c>
      <c r="N1243">
        <v>86.252400796146205</v>
      </c>
      <c r="O1243">
        <v>109.849258422852</v>
      </c>
      <c r="P1243">
        <v>0.20000000298023199</v>
      </c>
      <c r="Q1243">
        <v>0</v>
      </c>
      <c r="R1243">
        <v>10.0764326856337</v>
      </c>
      <c r="S1243">
        <v>111.236448372841</v>
      </c>
      <c r="T1243">
        <v>0</v>
      </c>
      <c r="U1243">
        <v>0</v>
      </c>
      <c r="V1243">
        <v>0</v>
      </c>
      <c r="W1243">
        <v>0</v>
      </c>
    </row>
    <row r="1244" spans="1:23" x14ac:dyDescent="0.55000000000000004">
      <c r="A1244" t="s">
        <v>2496</v>
      </c>
      <c r="B1244" t="s">
        <v>2497</v>
      </c>
      <c r="C1244" t="s">
        <v>2</v>
      </c>
      <c r="D1244">
        <v>6.31</v>
      </c>
      <c r="E1244">
        <f>143106384/(1000)</f>
        <v>143106.38399999999</v>
      </c>
      <c r="F1244">
        <f>209902992/(1000)</f>
        <v>209902.992</v>
      </c>
      <c r="G1244">
        <f>-17883000/(1000)</f>
        <v>-17883</v>
      </c>
      <c r="H1244">
        <f>101500384/(1000)</f>
        <v>101500.38400000001</v>
      </c>
      <c r="I1244">
        <f>-1894999.5/(1000)</f>
        <v>-1894.9994999999999</v>
      </c>
      <c r="J1244">
        <f t="shared" si="25"/>
        <v>-5.3562222048079706E-2</v>
      </c>
      <c r="K1244">
        <f>9101001/(1000)</f>
        <v>9101.0010000000002</v>
      </c>
      <c r="L1244">
        <v>0</v>
      </c>
      <c r="M1244">
        <v>-22.472387313842798</v>
      </c>
      <c r="N1244">
        <v>94.198232351329693</v>
      </c>
      <c r="O1244">
        <v>85.534980773925795</v>
      </c>
      <c r="P1244">
        <v>0</v>
      </c>
      <c r="Q1244">
        <v>0.84925976965876704</v>
      </c>
      <c r="R1244">
        <v>0</v>
      </c>
      <c r="S1244">
        <v>16.456204436257899</v>
      </c>
      <c r="T1244">
        <v>0</v>
      </c>
      <c r="U1244">
        <v>0</v>
      </c>
      <c r="V1244">
        <v>0</v>
      </c>
      <c r="W1244">
        <v>0</v>
      </c>
    </row>
    <row r="1245" spans="1:23" x14ac:dyDescent="0.55000000000000004">
      <c r="A1245" t="s">
        <v>2498</v>
      </c>
      <c r="B1245" t="s">
        <v>2499</v>
      </c>
      <c r="C1245" t="s">
        <v>5</v>
      </c>
      <c r="D1245">
        <v>1.4</v>
      </c>
      <c r="E1245">
        <f>39002320/(1000)</f>
        <v>39002.32</v>
      </c>
      <c r="F1245">
        <f>209346000/(1000)</f>
        <v>209346</v>
      </c>
      <c r="G1245">
        <f t="shared" ref="G1245:I1246" si="28">0/(1000)</f>
        <v>0</v>
      </c>
      <c r="H1245">
        <f t="shared" si="28"/>
        <v>0</v>
      </c>
      <c r="I1245">
        <f t="shared" si="28"/>
        <v>0</v>
      </c>
      <c r="J1245">
        <f t="shared" si="25"/>
        <v>1</v>
      </c>
      <c r="K1245">
        <f>22041001/(1000)</f>
        <v>22041.001</v>
      </c>
      <c r="L1245">
        <v>25.913284301757798</v>
      </c>
      <c r="M1245">
        <v>5.5473527908325204</v>
      </c>
      <c r="N1245">
        <v>75.122400580308096</v>
      </c>
      <c r="O1245">
        <v>218.854415893555</v>
      </c>
      <c r="P1245">
        <v>0</v>
      </c>
      <c r="Q1245">
        <v>0.172201716660667</v>
      </c>
      <c r="R1245">
        <v>0</v>
      </c>
      <c r="S1245">
        <v>65.191866107994201</v>
      </c>
      <c r="T1245">
        <v>0</v>
      </c>
      <c r="U1245">
        <v>0</v>
      </c>
      <c r="V1245">
        <v>0</v>
      </c>
      <c r="W1245">
        <v>0</v>
      </c>
    </row>
    <row r="1246" spans="1:23" x14ac:dyDescent="0.55000000000000004">
      <c r="A1246" t="s">
        <v>2500</v>
      </c>
      <c r="B1246" t="s">
        <v>2501</v>
      </c>
      <c r="C1246" t="s">
        <v>184</v>
      </c>
      <c r="D1246">
        <v>11.96</v>
      </c>
      <c r="E1246">
        <f>258643376/(1000)</f>
        <v>258643.37599999999</v>
      </c>
      <c r="F1246">
        <f>208524992/(1000)</f>
        <v>208524.992</v>
      </c>
      <c r="G1246">
        <f t="shared" si="28"/>
        <v>0</v>
      </c>
      <c r="H1246">
        <f t="shared" si="28"/>
        <v>0</v>
      </c>
      <c r="I1246">
        <f t="shared" si="28"/>
        <v>0</v>
      </c>
      <c r="J1246">
        <f t="shared" si="25"/>
        <v>1</v>
      </c>
      <c r="K1246">
        <f>22226001/(1000)</f>
        <v>22226.001</v>
      </c>
      <c r="L1246">
        <v>14.1764030456543</v>
      </c>
      <c r="M1246">
        <v>8.93005275726318</v>
      </c>
      <c r="N1246">
        <v>92.261059770622893</v>
      </c>
      <c r="O1246">
        <v>459.03387451171898</v>
      </c>
      <c r="P1246">
        <v>0.519999980926514</v>
      </c>
      <c r="Q1246">
        <v>0.83636362787575302</v>
      </c>
      <c r="R1246">
        <v>6.4648649063138199</v>
      </c>
      <c r="S1246">
        <v>92.339613522114107</v>
      </c>
      <c r="T1246">
        <v>0</v>
      </c>
      <c r="U1246">
        <v>0</v>
      </c>
      <c r="V1246">
        <v>0</v>
      </c>
      <c r="W1246">
        <v>0</v>
      </c>
    </row>
    <row r="1247" spans="1:23" x14ac:dyDescent="0.55000000000000004">
      <c r="A1247" t="s">
        <v>2502</v>
      </c>
      <c r="B1247" t="s">
        <v>2503</v>
      </c>
      <c r="C1247" t="s">
        <v>5</v>
      </c>
      <c r="D1247">
        <v>1.05</v>
      </c>
      <c r="E1247">
        <f>16288545/(1000)</f>
        <v>16288.545</v>
      </c>
      <c r="F1247">
        <f>208094000/(1000)</f>
        <v>208094</v>
      </c>
      <c r="G1247">
        <f>-484000/(1000)</f>
        <v>-484</v>
      </c>
      <c r="H1247">
        <f>-29573455/(1000)</f>
        <v>-29573.455000000002</v>
      </c>
      <c r="I1247">
        <f>3761000/(1000)</f>
        <v>3761</v>
      </c>
      <c r="J1247">
        <f t="shared" si="25"/>
        <v>-7.8631893113533646E-3</v>
      </c>
      <c r="K1247">
        <f>12967002/(1000)</f>
        <v>12967.002</v>
      </c>
      <c r="L1247">
        <v>0</v>
      </c>
      <c r="M1247">
        <v>5.9945240020751998</v>
      </c>
      <c r="N1247">
        <v>86.777454209906196</v>
      </c>
      <c r="O1247">
        <v>1.5223000198603001E-2</v>
      </c>
      <c r="P1247">
        <v>0</v>
      </c>
      <c r="Q1247">
        <v>0.20628682138298901</v>
      </c>
      <c r="R1247">
        <v>0</v>
      </c>
      <c r="S1247">
        <v>871.67538289129595</v>
      </c>
      <c r="T1247">
        <v>0</v>
      </c>
      <c r="U1247">
        <v>0</v>
      </c>
      <c r="V1247">
        <v>0</v>
      </c>
      <c r="W1247">
        <v>0</v>
      </c>
    </row>
    <row r="1248" spans="1:23" x14ac:dyDescent="0.55000000000000004">
      <c r="A1248" t="s">
        <v>2504</v>
      </c>
      <c r="B1248" t="s">
        <v>2505</v>
      </c>
      <c r="C1248" t="s">
        <v>5</v>
      </c>
      <c r="D1248">
        <v>3.95</v>
      </c>
      <c r="E1248">
        <f>175665984/(1000)</f>
        <v>175665.984</v>
      </c>
      <c r="F1248">
        <f>208052000/(1000)</f>
        <v>208052</v>
      </c>
      <c r="G1248">
        <f>-3600000/(1000)</f>
        <v>-3600</v>
      </c>
      <c r="H1248">
        <f>130172984/(1000)</f>
        <v>130172.984</v>
      </c>
      <c r="I1248">
        <f>7049000.5/(1000)</f>
        <v>7049.0005000000001</v>
      </c>
      <c r="J1248">
        <f t="shared" si="25"/>
        <v>1.846687115428634E-2</v>
      </c>
      <c r="K1248">
        <f>7034001.5/(1000)</f>
        <v>7034.0015000000003</v>
      </c>
      <c r="L1248">
        <v>67.137245178222699</v>
      </c>
      <c r="M1248">
        <v>-6.3950490951538104</v>
      </c>
      <c r="N1248">
        <v>98.584963582201098</v>
      </c>
      <c r="O1248">
        <v>57.541671752929702</v>
      </c>
      <c r="P1248">
        <v>0</v>
      </c>
      <c r="Q1248">
        <v>0.79317269730022999</v>
      </c>
      <c r="R1248">
        <v>63.246546334480797</v>
      </c>
      <c r="S1248">
        <v>57.556674116830798</v>
      </c>
      <c r="T1248">
        <v>0</v>
      </c>
      <c r="U1248">
        <v>0</v>
      </c>
      <c r="V1248">
        <v>0</v>
      </c>
      <c r="W1248">
        <v>0</v>
      </c>
    </row>
    <row r="1249" spans="1:23" x14ac:dyDescent="0.55000000000000004">
      <c r="A1249" t="s">
        <v>2506</v>
      </c>
      <c r="B1249" t="s">
        <v>2507</v>
      </c>
      <c r="C1249" t="s">
        <v>38</v>
      </c>
      <c r="D1249">
        <v>17.93</v>
      </c>
      <c r="E1249">
        <f>503040480/(1000)</f>
        <v>503040.48</v>
      </c>
      <c r="F1249">
        <f>207768000/(1000)</f>
        <v>207768</v>
      </c>
      <c r="G1249">
        <f>22970000/(1000)</f>
        <v>22970</v>
      </c>
      <c r="H1249">
        <f>471065480/(1000)</f>
        <v>471065.48</v>
      </c>
      <c r="I1249">
        <f>32414000/(1000)</f>
        <v>32414</v>
      </c>
      <c r="J1249">
        <f t="shared" si="25"/>
        <v>1.4532778429073856E-2</v>
      </c>
      <c r="K1249">
        <f>15831000/(1000)</f>
        <v>15831</v>
      </c>
      <c r="L1249">
        <v>27.655941009521499</v>
      </c>
      <c r="M1249">
        <v>9.8789529800415004</v>
      </c>
      <c r="N1249">
        <v>93.624136481097494</v>
      </c>
      <c r="O1249">
        <v>0</v>
      </c>
      <c r="P1249">
        <v>0</v>
      </c>
      <c r="Q1249">
        <v>2.74789272691438</v>
      </c>
      <c r="R1249">
        <v>25.2535212597803</v>
      </c>
      <c r="S1249">
        <v>78.760528964870502</v>
      </c>
      <c r="T1249">
        <v>0</v>
      </c>
      <c r="U1249">
        <v>0</v>
      </c>
      <c r="V1249">
        <v>0</v>
      </c>
      <c r="W1249">
        <v>0</v>
      </c>
    </row>
    <row r="1250" spans="1:23" x14ac:dyDescent="0.55000000000000004">
      <c r="A1250" t="s">
        <v>2508</v>
      </c>
      <c r="B1250" t="s">
        <v>2509</v>
      </c>
      <c r="C1250" t="s">
        <v>184</v>
      </c>
      <c r="D1250">
        <v>9.51</v>
      </c>
      <c r="E1250">
        <f>721495168/(1000)</f>
        <v>721495.16799999995</v>
      </c>
      <c r="F1250">
        <f>207180000/(1000)</f>
        <v>207180</v>
      </c>
      <c r="G1250">
        <f>0/(1000)</f>
        <v>0</v>
      </c>
      <c r="H1250">
        <f>0/(1000)</f>
        <v>0</v>
      </c>
      <c r="I1250">
        <f>0/(1000)</f>
        <v>0</v>
      </c>
      <c r="J1250">
        <f t="shared" si="25"/>
        <v>1</v>
      </c>
      <c r="K1250">
        <f>101701001/(1000)</f>
        <v>101701.001</v>
      </c>
      <c r="L1250">
        <v>18.042221069335898</v>
      </c>
      <c r="M1250">
        <v>16.562210083007798</v>
      </c>
      <c r="N1250">
        <v>95.168654459219198</v>
      </c>
      <c r="O1250">
        <v>38.912464141845703</v>
      </c>
      <c r="P1250">
        <v>0.43999999761581399</v>
      </c>
      <c r="Q1250">
        <v>2.98119124084536</v>
      </c>
      <c r="R1250">
        <v>20.364025853354701</v>
      </c>
      <c r="S1250">
        <v>14.4432180014376</v>
      </c>
      <c r="T1250">
        <v>0</v>
      </c>
      <c r="U1250">
        <v>0</v>
      </c>
      <c r="V1250">
        <v>0</v>
      </c>
      <c r="W1250">
        <v>0</v>
      </c>
    </row>
    <row r="1251" spans="1:23" x14ac:dyDescent="0.55000000000000004">
      <c r="A1251" t="s">
        <v>2510</v>
      </c>
      <c r="B1251" t="s">
        <v>2511</v>
      </c>
      <c r="C1251" t="s">
        <v>94</v>
      </c>
      <c r="D1251">
        <v>29.94</v>
      </c>
      <c r="E1251">
        <f>551689408/(1000)</f>
        <v>551689.40800000005</v>
      </c>
      <c r="F1251">
        <f>206600992/(1000)</f>
        <v>206600.992</v>
      </c>
      <c r="G1251">
        <f>42302000/(1000)</f>
        <v>42302</v>
      </c>
      <c r="H1251">
        <f>785943408/(1000)</f>
        <v>785943.40800000005</v>
      </c>
      <c r="I1251">
        <f>65156000/(1000)</f>
        <v>65156</v>
      </c>
      <c r="J1251">
        <f t="shared" si="25"/>
        <v>1.2062487077168641E-2</v>
      </c>
      <c r="K1251">
        <f>-80590999/(1000)</f>
        <v>-80590.998999999996</v>
      </c>
      <c r="L1251">
        <v>24.455589294433601</v>
      </c>
      <c r="M1251">
        <v>8.3088951110839808</v>
      </c>
      <c r="N1251">
        <v>70.190213958626401</v>
      </c>
      <c r="O1251">
        <v>93.669120788574205</v>
      </c>
      <c r="P1251">
        <v>0.644999980926514</v>
      </c>
      <c r="Q1251">
        <v>0</v>
      </c>
      <c r="R1251">
        <v>26.4955754562686</v>
      </c>
      <c r="S1251">
        <v>41.845626561942197</v>
      </c>
      <c r="T1251">
        <v>0</v>
      </c>
      <c r="U1251">
        <v>0</v>
      </c>
      <c r="V1251">
        <v>0</v>
      </c>
      <c r="W1251">
        <v>0</v>
      </c>
    </row>
    <row r="1252" spans="1:23" x14ac:dyDescent="0.55000000000000004">
      <c r="A1252" t="s">
        <v>2512</v>
      </c>
      <c r="B1252" t="s">
        <v>2513</v>
      </c>
      <c r="C1252" t="s">
        <v>5</v>
      </c>
      <c r="D1252">
        <v>3</v>
      </c>
      <c r="E1252">
        <f>37495800/(1000)</f>
        <v>37495.800000000003</v>
      </c>
      <c r="F1252">
        <f>205494992/(1000)</f>
        <v>205494.992</v>
      </c>
      <c r="G1252">
        <f>30472000/(1000)</f>
        <v>30472</v>
      </c>
      <c r="H1252">
        <f>245080808/(1000)</f>
        <v>245080.80799999999</v>
      </c>
      <c r="I1252">
        <f>44554000/(1000)</f>
        <v>44554</v>
      </c>
      <c r="J1252">
        <f t="shared" si="25"/>
        <v>5.5007588095344973E-3</v>
      </c>
      <c r="K1252">
        <f>6981001/(1000)</f>
        <v>6981.0010000000002</v>
      </c>
      <c r="L1252">
        <v>0</v>
      </c>
      <c r="M1252">
        <v>0</v>
      </c>
      <c r="N1252">
        <v>55.659033784606599</v>
      </c>
      <c r="O1252">
        <v>0</v>
      </c>
      <c r="P1252">
        <v>0</v>
      </c>
      <c r="Q1252">
        <v>0</v>
      </c>
      <c r="R1252">
        <v>14.873573372772301</v>
      </c>
      <c r="S1252">
        <v>9.1363371784249896</v>
      </c>
      <c r="T1252">
        <v>0</v>
      </c>
      <c r="U1252">
        <v>0</v>
      </c>
      <c r="V1252">
        <v>0</v>
      </c>
      <c r="W1252">
        <v>0</v>
      </c>
    </row>
    <row r="1253" spans="1:23" x14ac:dyDescent="0.55000000000000004">
      <c r="A1253" t="s">
        <v>2514</v>
      </c>
      <c r="B1253" t="s">
        <v>2515</v>
      </c>
      <c r="C1253" t="s">
        <v>2</v>
      </c>
      <c r="D1253">
        <v>30.08</v>
      </c>
      <c r="E1253">
        <f>411154496/(1000)</f>
        <v>411154.49599999998</v>
      </c>
      <c r="F1253">
        <f>205148000/(1000)</f>
        <v>205148</v>
      </c>
      <c r="G1253">
        <f>29944000/(1000)</f>
        <v>29944</v>
      </c>
      <c r="H1253">
        <f>359078496/(1000)</f>
        <v>359078.49599999998</v>
      </c>
      <c r="I1253">
        <f>34421000/(1000)</f>
        <v>34421</v>
      </c>
      <c r="J1253">
        <f t="shared" si="25"/>
        <v>1.0431960024403705E-2</v>
      </c>
      <c r="K1253">
        <f>23273001/(1000)</f>
        <v>23273.001</v>
      </c>
      <c r="L1253">
        <v>19.626379013061499</v>
      </c>
      <c r="M1253">
        <v>15.877513885498001</v>
      </c>
      <c r="N1253">
        <v>95.400438899351002</v>
      </c>
      <c r="O1253">
        <v>0</v>
      </c>
      <c r="P1253">
        <v>0</v>
      </c>
      <c r="Q1253">
        <v>0</v>
      </c>
      <c r="R1253">
        <v>20.602739556016001</v>
      </c>
      <c r="S1253">
        <v>62.744833604378996</v>
      </c>
      <c r="T1253">
        <v>0</v>
      </c>
      <c r="U1253">
        <v>0</v>
      </c>
      <c r="V1253">
        <v>0</v>
      </c>
      <c r="W1253">
        <v>0</v>
      </c>
    </row>
    <row r="1254" spans="1:23" x14ac:dyDescent="0.55000000000000004">
      <c r="A1254" t="s">
        <v>2516</v>
      </c>
      <c r="B1254" t="s">
        <v>2517</v>
      </c>
      <c r="C1254" t="s">
        <v>5</v>
      </c>
      <c r="D1254">
        <v>19.079999999999998</v>
      </c>
      <c r="E1254">
        <f>325308256/(1000)</f>
        <v>325308.25599999999</v>
      </c>
      <c r="F1254">
        <f>205068000/(1000)</f>
        <v>205068</v>
      </c>
      <c r="G1254">
        <f>4451000/(1000)</f>
        <v>4451</v>
      </c>
      <c r="H1254">
        <f>221181264/(1000)</f>
        <v>221181.264</v>
      </c>
      <c r="I1254">
        <f>8741000/(1000)</f>
        <v>8741</v>
      </c>
      <c r="J1254">
        <f t="shared" si="25"/>
        <v>2.5303885596613659E-2</v>
      </c>
      <c r="K1254">
        <f>12885001/(1000)</f>
        <v>12885.001</v>
      </c>
      <c r="L1254">
        <v>0</v>
      </c>
      <c r="M1254">
        <v>3.6823370456695601</v>
      </c>
      <c r="N1254">
        <v>97.283237891507</v>
      </c>
      <c r="O1254">
        <v>116.663734436035</v>
      </c>
      <c r="P1254">
        <v>0</v>
      </c>
      <c r="Q1254">
        <v>1.5886760666184001</v>
      </c>
      <c r="R1254">
        <v>29.353845767297699</v>
      </c>
      <c r="S1254">
        <v>180.780416974829</v>
      </c>
      <c r="T1254">
        <v>0</v>
      </c>
      <c r="U1254">
        <v>0</v>
      </c>
      <c r="V1254">
        <v>0</v>
      </c>
      <c r="W1254">
        <v>0</v>
      </c>
    </row>
    <row r="1255" spans="1:23" x14ac:dyDescent="0.55000000000000004">
      <c r="A1255" t="s">
        <v>2518</v>
      </c>
      <c r="B1255" t="s">
        <v>2519</v>
      </c>
      <c r="C1255" t="s">
        <v>5</v>
      </c>
      <c r="D1255">
        <v>7.89</v>
      </c>
      <c r="E1255">
        <f>422547360/(1000)</f>
        <v>422547.36</v>
      </c>
      <c r="F1255">
        <f>204924992/(1000)</f>
        <v>204924.992</v>
      </c>
      <c r="G1255">
        <f>18459000/(1000)</f>
        <v>18459</v>
      </c>
      <c r="H1255">
        <f>360452360/(1000)</f>
        <v>360452.36</v>
      </c>
      <c r="I1255">
        <f>29594000/(1000)</f>
        <v>29594</v>
      </c>
      <c r="J1255">
        <f t="shared" si="25"/>
        <v>1.2179913495978915E-2</v>
      </c>
      <c r="K1255">
        <f>22623001/(1000)</f>
        <v>22623.001</v>
      </c>
      <c r="L1255">
        <v>0</v>
      </c>
      <c r="M1255">
        <v>9.4148273468017596</v>
      </c>
      <c r="N1255">
        <v>99.073102422959806</v>
      </c>
      <c r="O1255">
        <v>5.9693670272827104</v>
      </c>
      <c r="P1255">
        <v>0</v>
      </c>
      <c r="Q1255">
        <v>0</v>
      </c>
      <c r="R1255">
        <v>19.7249993722886</v>
      </c>
      <c r="S1255">
        <v>-29.8608005602456</v>
      </c>
      <c r="T1255">
        <v>0</v>
      </c>
      <c r="U1255">
        <v>0</v>
      </c>
      <c r="V1255">
        <v>0</v>
      </c>
      <c r="W1255">
        <v>0</v>
      </c>
    </row>
    <row r="1256" spans="1:23" x14ac:dyDescent="0.55000000000000004">
      <c r="A1256" t="s">
        <v>2520</v>
      </c>
      <c r="B1256" t="s">
        <v>2521</v>
      </c>
      <c r="C1256" t="s">
        <v>5</v>
      </c>
      <c r="D1256">
        <v>13.54</v>
      </c>
      <c r="E1256">
        <f>177548656/(1000)</f>
        <v>177548.65599999999</v>
      </c>
      <c r="F1256">
        <f>204304000/(1000)</f>
        <v>204304</v>
      </c>
      <c r="G1256">
        <f>0/(1000)</f>
        <v>0</v>
      </c>
      <c r="H1256">
        <f>0/(1000)</f>
        <v>0</v>
      </c>
      <c r="I1256">
        <f>0/(1000)</f>
        <v>0</v>
      </c>
      <c r="J1256">
        <f t="shared" si="25"/>
        <v>1</v>
      </c>
      <c r="K1256">
        <f>43225001/(1000)</f>
        <v>43225.000999999997</v>
      </c>
      <c r="L1256">
        <v>15.375816345214799</v>
      </c>
      <c r="M1256">
        <v>9.6159763336181605</v>
      </c>
      <c r="N1256">
        <v>82.950378499523495</v>
      </c>
      <c r="O1256">
        <v>186.64183044433599</v>
      </c>
      <c r="P1256">
        <v>0.51523202657699596</v>
      </c>
      <c r="Q1256">
        <v>0.53322831554731198</v>
      </c>
      <c r="R1256">
        <v>13.944182823686299</v>
      </c>
      <c r="S1256">
        <v>189.96153791566701</v>
      </c>
      <c r="T1256">
        <v>0</v>
      </c>
      <c r="U1256">
        <v>0</v>
      </c>
      <c r="V1256">
        <v>0</v>
      </c>
      <c r="W1256">
        <v>0</v>
      </c>
    </row>
    <row r="1257" spans="1:23" x14ac:dyDescent="0.55000000000000004">
      <c r="A1257" t="s">
        <v>2522</v>
      </c>
      <c r="B1257" t="s">
        <v>2523</v>
      </c>
      <c r="C1257" t="s">
        <v>5</v>
      </c>
      <c r="D1257">
        <v>13.02</v>
      </c>
      <c r="E1257">
        <f>1024536000/(1000)</f>
        <v>1024536</v>
      </c>
      <c r="F1257">
        <f>203770000/(1000)</f>
        <v>203770</v>
      </c>
      <c r="G1257">
        <f>115796000/(1000)</f>
        <v>115796</v>
      </c>
      <c r="H1257">
        <f>606171008/(1000)</f>
        <v>606171.00800000003</v>
      </c>
      <c r="I1257">
        <f>122720000/(1000)</f>
        <v>122720</v>
      </c>
      <c r="J1257">
        <f t="shared" si="25"/>
        <v>4.9394638852672751E-3</v>
      </c>
      <c r="K1257">
        <f>114001001/(1000)</f>
        <v>114001.001</v>
      </c>
      <c r="L1257">
        <v>0</v>
      </c>
      <c r="M1257">
        <v>20.992181777954102</v>
      </c>
      <c r="N1257">
        <v>99.306768483195199</v>
      </c>
      <c r="O1257">
        <v>50.346080780029297</v>
      </c>
      <c r="P1257">
        <v>0</v>
      </c>
      <c r="Q1257">
        <v>0</v>
      </c>
      <c r="R1257">
        <v>11.8363637959662</v>
      </c>
      <c r="S1257">
        <v>3580.1517067003801</v>
      </c>
      <c r="T1257">
        <v>0</v>
      </c>
      <c r="U1257">
        <v>0</v>
      </c>
      <c r="V1257">
        <v>0</v>
      </c>
      <c r="W1257">
        <v>0</v>
      </c>
    </row>
    <row r="1258" spans="1:23" x14ac:dyDescent="0.55000000000000004">
      <c r="A1258" t="s">
        <v>2524</v>
      </c>
      <c r="B1258" t="s">
        <v>2525</v>
      </c>
      <c r="C1258" t="s">
        <v>184</v>
      </c>
      <c r="D1258">
        <v>11.54</v>
      </c>
      <c r="E1258">
        <f>557480064/(1000)</f>
        <v>557480.06400000001</v>
      </c>
      <c r="F1258">
        <f>203428992/(1000)</f>
        <v>203428.992</v>
      </c>
      <c r="G1258">
        <f>0/(1000)</f>
        <v>0</v>
      </c>
      <c r="H1258">
        <f>0/(1000)</f>
        <v>0</v>
      </c>
      <c r="I1258">
        <f>0/(1000)</f>
        <v>0</v>
      </c>
      <c r="J1258">
        <f t="shared" si="25"/>
        <v>1</v>
      </c>
      <c r="K1258">
        <f>21779001/(1000)</f>
        <v>21779.001</v>
      </c>
      <c r="L1258">
        <v>33.133552551269503</v>
      </c>
      <c r="M1258">
        <v>3.5490250587463401</v>
      </c>
      <c r="N1258">
        <v>92.016107907092206</v>
      </c>
      <c r="O1258">
        <v>210.75633239746099</v>
      </c>
      <c r="P1258">
        <v>0.36000001430511502</v>
      </c>
      <c r="Q1258">
        <v>1.36004719255017</v>
      </c>
      <c r="R1258">
        <v>30.368421333318299</v>
      </c>
      <c r="S1258">
        <v>11.7078832341248</v>
      </c>
      <c r="T1258">
        <v>0</v>
      </c>
      <c r="U1258">
        <v>0</v>
      </c>
      <c r="V1258">
        <v>0</v>
      </c>
      <c r="W1258">
        <v>0</v>
      </c>
    </row>
    <row r="1259" spans="1:23" x14ac:dyDescent="0.55000000000000004">
      <c r="A1259" t="s">
        <v>2526</v>
      </c>
      <c r="B1259" t="s">
        <v>2527</v>
      </c>
      <c r="C1259" t="s">
        <v>5</v>
      </c>
      <c r="D1259">
        <v>14.26</v>
      </c>
      <c r="E1259">
        <f>258409728/(1000)</f>
        <v>258409.728</v>
      </c>
      <c r="F1259">
        <f>202026000/(1000)</f>
        <v>202026</v>
      </c>
      <c r="G1259">
        <f>0/(1000)</f>
        <v>0</v>
      </c>
      <c r="H1259">
        <f>302827728/(1000)</f>
        <v>302827.728</v>
      </c>
      <c r="I1259">
        <f>0/(1000)</f>
        <v>0</v>
      </c>
      <c r="J1259">
        <f t="shared" si="25"/>
        <v>1</v>
      </c>
      <c r="K1259">
        <f>122380001/(1000)</f>
        <v>122380.001</v>
      </c>
      <c r="L1259">
        <v>0</v>
      </c>
      <c r="M1259">
        <v>20.755598068237301</v>
      </c>
      <c r="N1259">
        <v>76.442088569570103</v>
      </c>
      <c r="O1259">
        <v>29.214839935302699</v>
      </c>
      <c r="P1259">
        <v>0</v>
      </c>
      <c r="Q1259">
        <v>0.97764978721150597</v>
      </c>
      <c r="R1259">
        <v>7.62566879521128</v>
      </c>
      <c r="S1259">
        <v>0</v>
      </c>
      <c r="T1259">
        <v>0</v>
      </c>
      <c r="U1259">
        <v>0</v>
      </c>
      <c r="V1259">
        <v>0</v>
      </c>
      <c r="W1259">
        <v>0</v>
      </c>
    </row>
    <row r="1260" spans="1:23" x14ac:dyDescent="0.55000000000000004">
      <c r="A1260" t="s">
        <v>2528</v>
      </c>
      <c r="B1260" t="s">
        <v>2529</v>
      </c>
      <c r="C1260" t="s">
        <v>5</v>
      </c>
      <c r="D1260">
        <v>79.900000000000006</v>
      </c>
      <c r="E1260">
        <f>221698528/(1000)</f>
        <v>221698.52799999999</v>
      </c>
      <c r="F1260">
        <f>201677008/(1000)</f>
        <v>201677.008</v>
      </c>
      <c r="G1260">
        <f>31878000/(1000)</f>
        <v>31878</v>
      </c>
      <c r="H1260">
        <f>214187526.5/(1000)</f>
        <v>214187.52650000001</v>
      </c>
      <c r="I1260">
        <f>37451000/(1000)</f>
        <v>37451</v>
      </c>
      <c r="J1260">
        <f t="shared" si="25"/>
        <v>5.7191403834343547E-3</v>
      </c>
      <c r="K1260">
        <f>24783001/(1000)</f>
        <v>24783.001</v>
      </c>
      <c r="L1260">
        <v>13.6326951980591</v>
      </c>
      <c r="M1260">
        <v>26.762649536132798</v>
      </c>
      <c r="N1260">
        <v>89.624105884763907</v>
      </c>
      <c r="O1260">
        <v>40.567092895507798</v>
      </c>
      <c r="P1260">
        <v>0</v>
      </c>
      <c r="Q1260">
        <v>0</v>
      </c>
      <c r="R1260">
        <v>8.8777779473198795</v>
      </c>
      <c r="S1260">
        <v>195.57973355219801</v>
      </c>
      <c r="T1260">
        <v>0</v>
      </c>
      <c r="U1260">
        <v>0</v>
      </c>
      <c r="V1260">
        <v>0</v>
      </c>
      <c r="W1260">
        <v>0</v>
      </c>
    </row>
    <row r="1261" spans="1:23" x14ac:dyDescent="0.55000000000000004">
      <c r="A1261" t="s">
        <v>2530</v>
      </c>
      <c r="B1261" t="s">
        <v>2531</v>
      </c>
      <c r="C1261" t="s">
        <v>184</v>
      </c>
      <c r="D1261">
        <v>29.64</v>
      </c>
      <c r="E1261">
        <f>499567360/(1000)</f>
        <v>499567.35999999999</v>
      </c>
      <c r="F1261">
        <f>199944992/(1000)</f>
        <v>199944.992</v>
      </c>
      <c r="G1261">
        <f>0/(1000)</f>
        <v>0</v>
      </c>
      <c r="H1261">
        <f>0/(1000)</f>
        <v>0</v>
      </c>
      <c r="I1261">
        <f>0/(1000)</f>
        <v>0</v>
      </c>
      <c r="J1261">
        <f t="shared" si="25"/>
        <v>1</v>
      </c>
      <c r="K1261">
        <f>23822001/(1000)</f>
        <v>23822.001</v>
      </c>
      <c r="L1261">
        <v>18.193122863769499</v>
      </c>
      <c r="M1261">
        <v>17.3730773925781</v>
      </c>
      <c r="N1261">
        <v>76.579549320486194</v>
      </c>
      <c r="O1261">
        <v>230.39570617675801</v>
      </c>
      <c r="P1261">
        <v>0.129999995231628</v>
      </c>
      <c r="Q1261">
        <v>2.2398040489845799</v>
      </c>
      <c r="R1261">
        <v>15.1224488337454</v>
      </c>
      <c r="S1261">
        <v>175.39873832676801</v>
      </c>
      <c r="T1261">
        <v>0</v>
      </c>
      <c r="U1261">
        <v>0</v>
      </c>
      <c r="V1261">
        <v>0</v>
      </c>
      <c r="W1261">
        <v>0</v>
      </c>
    </row>
    <row r="1262" spans="1:23" x14ac:dyDescent="0.55000000000000004">
      <c r="A1262" t="s">
        <v>2532</v>
      </c>
      <c r="B1262" t="s">
        <v>2533</v>
      </c>
      <c r="C1262" t="s">
        <v>5</v>
      </c>
      <c r="D1262">
        <v>3.98</v>
      </c>
      <c r="E1262">
        <f>213228896/(1000)</f>
        <v>213228.89600000001</v>
      </c>
      <c r="F1262">
        <f>199199008/(1000)</f>
        <v>199199.008</v>
      </c>
      <c r="G1262">
        <f>1179000/(1000)</f>
        <v>1179</v>
      </c>
      <c r="H1262">
        <f>114150896/(1000)</f>
        <v>114150.89599999999</v>
      </c>
      <c r="I1262">
        <f>7140000/(1000)</f>
        <v>7140</v>
      </c>
      <c r="J1262">
        <f t="shared" si="25"/>
        <v>1.5987520448179273E-2</v>
      </c>
      <c r="K1262">
        <f>56209001/(1000)</f>
        <v>56209.000999999997</v>
      </c>
      <c r="L1262">
        <v>0</v>
      </c>
      <c r="M1262">
        <v>8.8641185760497994</v>
      </c>
      <c r="N1262">
        <v>99.617173005223194</v>
      </c>
      <c r="O1262">
        <v>0</v>
      </c>
      <c r="P1262">
        <v>0</v>
      </c>
      <c r="Q1262">
        <v>0</v>
      </c>
      <c r="R1262">
        <v>44.222223422593601</v>
      </c>
      <c r="S1262">
        <v>92.986764064755505</v>
      </c>
      <c r="T1262">
        <v>0</v>
      </c>
      <c r="U1262">
        <v>0</v>
      </c>
      <c r="V1262">
        <v>0</v>
      </c>
      <c r="W1262">
        <v>0</v>
      </c>
    </row>
    <row r="1263" spans="1:23" x14ac:dyDescent="0.55000000000000004">
      <c r="A1263" t="s">
        <v>2534</v>
      </c>
      <c r="B1263" t="s">
        <v>2535</v>
      </c>
      <c r="C1263" t="s">
        <v>184</v>
      </c>
      <c r="D1263">
        <v>9.83</v>
      </c>
      <c r="E1263">
        <f>257562720/(1000)</f>
        <v>257562.72</v>
      </c>
      <c r="F1263">
        <f>198346000/(1000)</f>
        <v>198346</v>
      </c>
      <c r="G1263">
        <f>0/(1000)</f>
        <v>0</v>
      </c>
      <c r="H1263">
        <f>0/(1000)</f>
        <v>0</v>
      </c>
      <c r="I1263">
        <f>0/(1000)</f>
        <v>0</v>
      </c>
      <c r="J1263">
        <f t="shared" si="25"/>
        <v>1</v>
      </c>
      <c r="K1263">
        <f>33600001/(1000)</f>
        <v>33600.000999999997</v>
      </c>
      <c r="L1263">
        <v>17.904870986938501</v>
      </c>
      <c r="M1263">
        <v>16.241893768310501</v>
      </c>
      <c r="N1263">
        <v>80.179529691451094</v>
      </c>
      <c r="O1263">
        <v>151.34934997558599</v>
      </c>
      <c r="P1263">
        <v>0.109999999403954</v>
      </c>
      <c r="Q1263">
        <v>1.1028425781999001</v>
      </c>
      <c r="R1263">
        <v>11.702381019326401</v>
      </c>
      <c r="S1263">
        <v>197.94655330399101</v>
      </c>
      <c r="T1263">
        <v>0</v>
      </c>
      <c r="U1263">
        <v>0</v>
      </c>
      <c r="V1263">
        <v>0</v>
      </c>
      <c r="W1263">
        <v>0</v>
      </c>
    </row>
    <row r="1264" spans="1:23" x14ac:dyDescent="0.55000000000000004">
      <c r="A1264" t="s">
        <v>2536</v>
      </c>
      <c r="B1264" t="s">
        <v>2537</v>
      </c>
      <c r="C1264" t="s">
        <v>31</v>
      </c>
      <c r="D1264">
        <v>13.41</v>
      </c>
      <c r="E1264">
        <f>554889728/(1000)</f>
        <v>554889.728</v>
      </c>
      <c r="F1264">
        <f>198303008/(1000)</f>
        <v>198303.008</v>
      </c>
      <c r="G1264">
        <f>23674000/(1000)</f>
        <v>23674</v>
      </c>
      <c r="H1264">
        <f>453630728/(1000)</f>
        <v>453630.728</v>
      </c>
      <c r="I1264">
        <f>26829000/(1000)</f>
        <v>26829</v>
      </c>
      <c r="J1264">
        <f t="shared" si="25"/>
        <v>1.6908223489507622E-2</v>
      </c>
      <c r="K1264">
        <f>30054001/(1000)</f>
        <v>30054.001</v>
      </c>
      <c r="L1264">
        <v>0</v>
      </c>
      <c r="M1264">
        <v>22.148761749267599</v>
      </c>
      <c r="N1264">
        <v>91.695023816275594</v>
      </c>
      <c r="O1264">
        <v>0</v>
      </c>
      <c r="P1264">
        <v>0</v>
      </c>
      <c r="Q1264">
        <v>5.2795275782716899</v>
      </c>
      <c r="R1264">
        <v>31.1860461783867</v>
      </c>
      <c r="S1264">
        <v>0</v>
      </c>
      <c r="T1264">
        <v>0</v>
      </c>
      <c r="U1264">
        <v>0</v>
      </c>
      <c r="V1264">
        <v>0</v>
      </c>
      <c r="W1264">
        <v>0</v>
      </c>
    </row>
    <row r="1265" spans="1:23" x14ac:dyDescent="0.55000000000000004">
      <c r="A1265" t="s">
        <v>2538</v>
      </c>
      <c r="B1265" t="s">
        <v>2539</v>
      </c>
      <c r="C1265" t="s">
        <v>2</v>
      </c>
      <c r="D1265">
        <v>25.33</v>
      </c>
      <c r="E1265">
        <f>181960592/(1000)</f>
        <v>181960.592</v>
      </c>
      <c r="F1265">
        <f>197110000/(1000)</f>
        <v>197110</v>
      </c>
      <c r="G1265">
        <f>10618000/(1000)</f>
        <v>10618</v>
      </c>
      <c r="H1265">
        <f>255849592/(1000)</f>
        <v>255849.592</v>
      </c>
      <c r="I1265">
        <f>34587000/(1000)</f>
        <v>34587</v>
      </c>
      <c r="J1265">
        <f t="shared" si="25"/>
        <v>7.3972762020412296E-3</v>
      </c>
      <c r="K1265">
        <f>-35840999/(1000)</f>
        <v>-35840.999000000003</v>
      </c>
      <c r="L1265">
        <v>0</v>
      </c>
      <c r="M1265">
        <v>9.17181301116943</v>
      </c>
      <c r="N1265">
        <v>67.377081608679603</v>
      </c>
      <c r="O1265">
        <v>67.786949157714801</v>
      </c>
      <c r="P1265">
        <v>2</v>
      </c>
      <c r="Q1265">
        <v>0</v>
      </c>
      <c r="R1265">
        <v>5.7307691339090896</v>
      </c>
      <c r="S1265">
        <v>-13.324714614884</v>
      </c>
      <c r="T1265">
        <v>0</v>
      </c>
      <c r="U1265">
        <v>0</v>
      </c>
      <c r="V1265">
        <v>0</v>
      </c>
      <c r="W1265">
        <v>0</v>
      </c>
    </row>
    <row r="1266" spans="1:23" x14ac:dyDescent="0.55000000000000004">
      <c r="A1266" t="s">
        <v>2540</v>
      </c>
      <c r="B1266" t="s">
        <v>2541</v>
      </c>
      <c r="C1266" t="s">
        <v>5</v>
      </c>
      <c r="D1266">
        <v>11.72</v>
      </c>
      <c r="E1266">
        <f>301952928/(1000)</f>
        <v>301952.92800000001</v>
      </c>
      <c r="F1266">
        <f>197043008/(1000)</f>
        <v>197043.008</v>
      </c>
      <c r="G1266">
        <f>-12099000/(1000)</f>
        <v>-12099</v>
      </c>
      <c r="H1266">
        <f>168561928/(1000)</f>
        <v>168561.92800000001</v>
      </c>
      <c r="I1266">
        <f>-1726000/(1000)</f>
        <v>-1726</v>
      </c>
      <c r="J1266">
        <f t="shared" si="25"/>
        <v>-9.7660444959443801E-2</v>
      </c>
      <c r="K1266">
        <f>-2255999/(1000)</f>
        <v>-2255.9989999999998</v>
      </c>
      <c r="L1266">
        <v>0</v>
      </c>
      <c r="M1266">
        <v>-0.99775302410125699</v>
      </c>
      <c r="N1266">
        <v>99.148417939865993</v>
      </c>
      <c r="O1266">
        <v>0</v>
      </c>
      <c r="P1266">
        <v>0</v>
      </c>
      <c r="Q1266">
        <v>0</v>
      </c>
      <c r="R1266">
        <v>0</v>
      </c>
      <c r="S1266">
        <v>46.644296261014503</v>
      </c>
      <c r="T1266">
        <v>0</v>
      </c>
      <c r="U1266">
        <v>0</v>
      </c>
      <c r="V1266">
        <v>0</v>
      </c>
      <c r="W1266">
        <v>0</v>
      </c>
    </row>
    <row r="1267" spans="1:23" x14ac:dyDescent="0.55000000000000004">
      <c r="A1267" t="s">
        <v>2542</v>
      </c>
      <c r="B1267" t="s">
        <v>2543</v>
      </c>
      <c r="C1267" t="s">
        <v>5</v>
      </c>
      <c r="D1267">
        <v>5.49</v>
      </c>
      <c r="E1267">
        <f>112234264/(1000)</f>
        <v>112234.264</v>
      </c>
      <c r="F1267">
        <f>196524992/(1000)</f>
        <v>196524.992</v>
      </c>
      <c r="G1267">
        <f>13413000/(1000)</f>
        <v>13413</v>
      </c>
      <c r="H1267">
        <f>55622264/(1000)</f>
        <v>55622.264000000003</v>
      </c>
      <c r="I1267">
        <f>19155000/(1000)</f>
        <v>19155</v>
      </c>
      <c r="J1267">
        <f t="shared" si="25"/>
        <v>2.9037986948577395E-3</v>
      </c>
      <c r="K1267">
        <f>4199001/(1000)</f>
        <v>4199.0010000000002</v>
      </c>
      <c r="L1267">
        <v>0</v>
      </c>
      <c r="M1267">
        <v>23.263261795043899</v>
      </c>
      <c r="N1267">
        <v>95.972786071281007</v>
      </c>
      <c r="O1267">
        <v>0</v>
      </c>
      <c r="P1267">
        <v>0</v>
      </c>
      <c r="Q1267">
        <v>0</v>
      </c>
      <c r="R1267">
        <v>8.9999995236514092</v>
      </c>
      <c r="S1267">
        <v>0</v>
      </c>
      <c r="T1267">
        <v>0</v>
      </c>
      <c r="U1267">
        <v>0</v>
      </c>
      <c r="V1267">
        <v>0</v>
      </c>
      <c r="W1267">
        <v>0</v>
      </c>
    </row>
    <row r="1268" spans="1:23" x14ac:dyDescent="0.55000000000000004">
      <c r="A1268" t="s">
        <v>2544</v>
      </c>
      <c r="B1268" t="s">
        <v>2545</v>
      </c>
      <c r="C1268" t="s">
        <v>2</v>
      </c>
      <c r="D1268">
        <v>6.61</v>
      </c>
      <c r="E1268">
        <f>275403008/(1000)</f>
        <v>275403.00799999997</v>
      </c>
      <c r="F1268">
        <f>195827008/(1000)</f>
        <v>195827.008</v>
      </c>
      <c r="G1268">
        <f>-282000/(1000)</f>
        <v>-282</v>
      </c>
      <c r="H1268">
        <f>252403008/(1000)</f>
        <v>252403.008</v>
      </c>
      <c r="I1268">
        <f>11337000/(1000)</f>
        <v>11337</v>
      </c>
      <c r="J1268">
        <f t="shared" si="25"/>
        <v>2.2263650701243715E-2</v>
      </c>
      <c r="K1268">
        <f>-27674999/(1000)</f>
        <v>-27674.999</v>
      </c>
      <c r="L1268">
        <v>0</v>
      </c>
      <c r="M1268">
        <v>3.1887679100036599</v>
      </c>
      <c r="N1268">
        <v>65.744629490459303</v>
      </c>
      <c r="O1268">
        <v>0</v>
      </c>
      <c r="P1268">
        <v>0.30000001192092901</v>
      </c>
      <c r="Q1268">
        <v>0</v>
      </c>
      <c r="R1268">
        <v>165.25000703148601</v>
      </c>
      <c r="S1268">
        <v>28.334566083998901</v>
      </c>
      <c r="T1268">
        <v>0</v>
      </c>
      <c r="U1268">
        <v>0</v>
      </c>
      <c r="V1268">
        <v>0</v>
      </c>
      <c r="W1268">
        <v>0</v>
      </c>
    </row>
    <row r="1269" spans="1:23" x14ac:dyDescent="0.55000000000000004">
      <c r="A1269" t="s">
        <v>2546</v>
      </c>
      <c r="B1269" t="s">
        <v>2547</v>
      </c>
      <c r="C1269" t="s">
        <v>31</v>
      </c>
      <c r="D1269">
        <v>11.88</v>
      </c>
      <c r="E1269">
        <f>575818880/(1000)</f>
        <v>575818.88</v>
      </c>
      <c r="F1269">
        <f>195688000/(1000)</f>
        <v>195688</v>
      </c>
      <c r="G1269">
        <f>66140000/(1000)</f>
        <v>66140</v>
      </c>
      <c r="H1269">
        <f>315150880/(1000)</f>
        <v>315150.88</v>
      </c>
      <c r="I1269">
        <f>79750000/(1000)</f>
        <v>79750</v>
      </c>
      <c r="J1269">
        <f t="shared" si="25"/>
        <v>3.9517351724137929E-3</v>
      </c>
      <c r="K1269">
        <f>72211001/(1000)</f>
        <v>72211.001000000004</v>
      </c>
      <c r="L1269">
        <v>41.272823333740199</v>
      </c>
      <c r="M1269">
        <v>12.4659786224365</v>
      </c>
      <c r="N1269">
        <v>89.867874690845198</v>
      </c>
      <c r="O1269">
        <v>0</v>
      </c>
      <c r="P1269">
        <v>0</v>
      </c>
      <c r="Q1269">
        <v>1.3200000127156599</v>
      </c>
      <c r="R1269">
        <v>16.500000613120701</v>
      </c>
      <c r="S1269">
        <v>592.21082419525999</v>
      </c>
      <c r="T1269">
        <v>0</v>
      </c>
      <c r="U1269">
        <v>0</v>
      </c>
      <c r="V1269">
        <v>0</v>
      </c>
      <c r="W1269">
        <v>0</v>
      </c>
    </row>
    <row r="1270" spans="1:23" x14ac:dyDescent="0.55000000000000004">
      <c r="A1270" t="s">
        <v>2548</v>
      </c>
      <c r="B1270" t="s">
        <v>2549</v>
      </c>
      <c r="C1270" t="s">
        <v>401</v>
      </c>
      <c r="D1270">
        <v>36</v>
      </c>
      <c r="E1270">
        <f>791596800/(1000)</f>
        <v>791596.8</v>
      </c>
      <c r="F1270">
        <f>194723008/(1000)</f>
        <v>194723.008</v>
      </c>
      <c r="G1270">
        <f>75473000/(1000)</f>
        <v>75473</v>
      </c>
      <c r="H1270">
        <f>1414439808/(1000)</f>
        <v>1414439.808</v>
      </c>
      <c r="I1270">
        <f>110472000/(1000)</f>
        <v>110472</v>
      </c>
      <c r="J1270">
        <f t="shared" si="25"/>
        <v>1.2803604605691939E-2</v>
      </c>
      <c r="K1270">
        <f>-105422999/(1000)</f>
        <v>-105422.999</v>
      </c>
      <c r="L1270">
        <v>26.371057510376001</v>
      </c>
      <c r="M1270">
        <v>7.3826699256896999</v>
      </c>
      <c r="N1270">
        <v>96.8593099791958</v>
      </c>
      <c r="O1270">
        <v>102.29058837890599</v>
      </c>
      <c r="P1270">
        <v>2.5599999427795401</v>
      </c>
      <c r="Q1270">
        <v>1.0989011552035799</v>
      </c>
      <c r="R1270">
        <v>20.1117319373326</v>
      </c>
      <c r="S1270">
        <v>89.979226709074396</v>
      </c>
      <c r="T1270">
        <v>0</v>
      </c>
      <c r="U1270">
        <v>0</v>
      </c>
      <c r="V1270">
        <v>0</v>
      </c>
      <c r="W1270">
        <v>0</v>
      </c>
    </row>
    <row r="1271" spans="1:23" x14ac:dyDescent="0.55000000000000004">
      <c r="A1271" t="s">
        <v>2550</v>
      </c>
      <c r="B1271" t="s">
        <v>2551</v>
      </c>
      <c r="C1271" t="s">
        <v>184</v>
      </c>
      <c r="D1271">
        <v>12.96</v>
      </c>
      <c r="E1271">
        <f>188301024/(1000)</f>
        <v>188301.024</v>
      </c>
      <c r="F1271">
        <f>193618000/(1000)</f>
        <v>193618</v>
      </c>
      <c r="G1271">
        <f>0/(1000)</f>
        <v>0</v>
      </c>
      <c r="H1271">
        <f>0/(1000)</f>
        <v>0</v>
      </c>
      <c r="I1271">
        <f>0/(1000)</f>
        <v>0</v>
      </c>
      <c r="J1271">
        <f t="shared" si="25"/>
        <v>1</v>
      </c>
      <c r="K1271">
        <f>154091009/(1000)</f>
        <v>154091.00899999999</v>
      </c>
      <c r="L1271">
        <v>14.1425523757935</v>
      </c>
      <c r="M1271">
        <v>10.2996969223022</v>
      </c>
      <c r="N1271">
        <v>92.489023074226907</v>
      </c>
      <c r="O1271">
        <v>121.662704467773</v>
      </c>
      <c r="P1271">
        <v>0.37999999523162797</v>
      </c>
      <c r="Q1271">
        <v>0.82758621739633498</v>
      </c>
      <c r="R1271">
        <v>11.571428556223299</v>
      </c>
      <c r="S1271">
        <v>117.028908342954</v>
      </c>
      <c r="T1271">
        <v>0</v>
      </c>
      <c r="U1271">
        <v>0</v>
      </c>
      <c r="V1271">
        <v>0</v>
      </c>
      <c r="W1271">
        <v>0</v>
      </c>
    </row>
    <row r="1272" spans="1:23" x14ac:dyDescent="0.55000000000000004">
      <c r="A1272" t="s">
        <v>2552</v>
      </c>
      <c r="B1272" t="s">
        <v>2553</v>
      </c>
      <c r="C1272" t="s">
        <v>2</v>
      </c>
      <c r="D1272">
        <v>32.94</v>
      </c>
      <c r="E1272">
        <f>650041280/(1000)</f>
        <v>650041.28</v>
      </c>
      <c r="F1272">
        <f>192804992/(1000)</f>
        <v>192804.992</v>
      </c>
      <c r="G1272">
        <f>10239000/(1000)</f>
        <v>10239</v>
      </c>
      <c r="H1272">
        <f>467086288/(1000)</f>
        <v>467086.288</v>
      </c>
      <c r="I1272">
        <f>26386000/(1000)</f>
        <v>26386</v>
      </c>
      <c r="J1272">
        <f t="shared" si="25"/>
        <v>1.7702049874933679E-2</v>
      </c>
      <c r="K1272">
        <f>37528001/(1000)</f>
        <v>37528.000999999997</v>
      </c>
      <c r="L1272">
        <v>71.453277587890597</v>
      </c>
      <c r="M1272">
        <v>5.9975748062133798</v>
      </c>
      <c r="N1272">
        <v>91.550157783149103</v>
      </c>
      <c r="O1272">
        <v>0</v>
      </c>
      <c r="P1272">
        <v>0</v>
      </c>
      <c r="Q1272">
        <v>2.0073125492382999</v>
      </c>
      <c r="R1272">
        <v>25.412744330419599</v>
      </c>
      <c r="S1272">
        <v>142.94065496516001</v>
      </c>
      <c r="T1272">
        <v>0</v>
      </c>
      <c r="U1272">
        <v>0</v>
      </c>
      <c r="V1272">
        <v>0</v>
      </c>
      <c r="W1272">
        <v>0</v>
      </c>
    </row>
    <row r="1273" spans="1:23" x14ac:dyDescent="0.55000000000000004">
      <c r="A1273" t="s">
        <v>2554</v>
      </c>
      <c r="B1273" t="s">
        <v>2555</v>
      </c>
      <c r="C1273" t="s">
        <v>184</v>
      </c>
      <c r="D1273">
        <v>24.79</v>
      </c>
      <c r="E1273">
        <f>611331328/(1000)</f>
        <v>611331.32799999998</v>
      </c>
      <c r="F1273">
        <f>192746000/(1000)</f>
        <v>192746</v>
      </c>
      <c r="G1273">
        <f t="shared" ref="G1273:I1274" si="29">0/(1000)</f>
        <v>0</v>
      </c>
      <c r="H1273">
        <f t="shared" si="29"/>
        <v>0</v>
      </c>
      <c r="I1273">
        <f t="shared" si="29"/>
        <v>0</v>
      </c>
      <c r="J1273">
        <f t="shared" si="25"/>
        <v>1</v>
      </c>
      <c r="K1273">
        <f>6416001/(1000)</f>
        <v>6416.0010000000002</v>
      </c>
      <c r="L1273">
        <v>29.742120742797901</v>
      </c>
      <c r="M1273">
        <v>9.55444240570068</v>
      </c>
      <c r="N1273">
        <v>79.430989317783599</v>
      </c>
      <c r="O1273">
        <v>145.99386596679699</v>
      </c>
      <c r="P1273">
        <v>0.31067961454391502</v>
      </c>
      <c r="Q1273">
        <v>0</v>
      </c>
      <c r="R1273">
        <v>25.822917796703699</v>
      </c>
      <c r="S1273">
        <v>261.72656469925897</v>
      </c>
      <c r="T1273">
        <v>0</v>
      </c>
      <c r="U1273">
        <v>0</v>
      </c>
      <c r="V1273">
        <v>0</v>
      </c>
      <c r="W1273">
        <v>0</v>
      </c>
    </row>
    <row r="1274" spans="1:23" x14ac:dyDescent="0.55000000000000004">
      <c r="A1274" t="s">
        <v>2556</v>
      </c>
      <c r="B1274" t="s">
        <v>2557</v>
      </c>
      <c r="C1274" t="s">
        <v>184</v>
      </c>
      <c r="D1274">
        <v>13.3</v>
      </c>
      <c r="E1274">
        <f>454592672/(1000)</f>
        <v>454592.67200000002</v>
      </c>
      <c r="F1274">
        <f>192580000/(1000)</f>
        <v>192580</v>
      </c>
      <c r="G1274">
        <f t="shared" si="29"/>
        <v>0</v>
      </c>
      <c r="H1274">
        <f t="shared" si="29"/>
        <v>0</v>
      </c>
      <c r="I1274">
        <f t="shared" si="29"/>
        <v>0</v>
      </c>
      <c r="J1274">
        <f t="shared" si="25"/>
        <v>1</v>
      </c>
      <c r="K1274">
        <f>15207001/(1000)</f>
        <v>15207.001</v>
      </c>
      <c r="L1274">
        <v>15.7463426589966</v>
      </c>
      <c r="M1274">
        <v>8.0227642059326207</v>
      </c>
      <c r="N1274">
        <v>69.020972047496102</v>
      </c>
      <c r="O1274">
        <v>356.60699462890602</v>
      </c>
      <c r="P1274">
        <v>0.56000000238418601</v>
      </c>
      <c r="Q1274">
        <v>1.62750860284961</v>
      </c>
      <c r="R1274">
        <v>15.465116511572999</v>
      </c>
      <c r="S1274">
        <v>-4.6222840380672503</v>
      </c>
      <c r="T1274">
        <v>0</v>
      </c>
      <c r="U1274">
        <v>0</v>
      </c>
      <c r="V1274">
        <v>0</v>
      </c>
      <c r="W1274">
        <v>0</v>
      </c>
    </row>
    <row r="1275" spans="1:23" x14ac:dyDescent="0.55000000000000004">
      <c r="A1275" t="s">
        <v>2558</v>
      </c>
      <c r="B1275" t="s">
        <v>2559</v>
      </c>
      <c r="C1275" t="s">
        <v>38</v>
      </c>
      <c r="D1275">
        <v>9.74</v>
      </c>
      <c r="E1275">
        <f>306526560/(1000)</f>
        <v>306526.56</v>
      </c>
      <c r="F1275">
        <f>192511008/(1000)</f>
        <v>192511.008</v>
      </c>
      <c r="G1275">
        <f>11624000/(1000)</f>
        <v>11624</v>
      </c>
      <c r="H1275">
        <f>228990560/(1000)</f>
        <v>228990.56</v>
      </c>
      <c r="I1275">
        <f>28440000/(1000)</f>
        <v>28440</v>
      </c>
      <c r="J1275">
        <f t="shared" si="25"/>
        <v>8.0517074542897325E-3</v>
      </c>
      <c r="K1275">
        <f>13920001/(1000)</f>
        <v>13920.001</v>
      </c>
      <c r="L1275">
        <v>31.9561653137207</v>
      </c>
      <c r="M1275">
        <v>2.7368099689483598</v>
      </c>
      <c r="N1275">
        <v>76.577092870435195</v>
      </c>
      <c r="O1275">
        <v>4.1785230636596697</v>
      </c>
      <c r="P1275">
        <v>0</v>
      </c>
      <c r="Q1275">
        <v>0</v>
      </c>
      <c r="R1275">
        <v>19.8775503931133</v>
      </c>
      <c r="S1275">
        <v>56.733460884007599</v>
      </c>
      <c r="T1275">
        <v>0</v>
      </c>
      <c r="U1275">
        <v>0</v>
      </c>
      <c r="V1275">
        <v>0</v>
      </c>
      <c r="W1275">
        <v>0</v>
      </c>
    </row>
    <row r="1276" spans="1:23" x14ac:dyDescent="0.55000000000000004">
      <c r="A1276" t="s">
        <v>2560</v>
      </c>
      <c r="B1276" t="s">
        <v>2561</v>
      </c>
      <c r="C1276" t="s">
        <v>184</v>
      </c>
      <c r="D1276">
        <v>6.75</v>
      </c>
      <c r="E1276">
        <f>189594672/(1000)</f>
        <v>189594.67199999999</v>
      </c>
      <c r="F1276">
        <f>192368000/(1000)</f>
        <v>192368</v>
      </c>
      <c r="G1276">
        <f>0/(1000)</f>
        <v>0</v>
      </c>
      <c r="H1276">
        <f>0/(1000)</f>
        <v>0</v>
      </c>
      <c r="I1276">
        <f>0/(1000)</f>
        <v>0</v>
      </c>
      <c r="J1276">
        <f t="shared" si="25"/>
        <v>1</v>
      </c>
      <c r="K1276">
        <f>39050001/(1000)</f>
        <v>39050.000999999997</v>
      </c>
      <c r="L1276">
        <v>18.798601150512699</v>
      </c>
      <c r="M1276">
        <v>11.1786441802979</v>
      </c>
      <c r="N1276">
        <v>75.322288348415</v>
      </c>
      <c r="O1276">
        <v>156.14343261718801</v>
      </c>
      <c r="P1276">
        <v>0.40000000596046398</v>
      </c>
      <c r="Q1276">
        <v>0.68441063315174</v>
      </c>
      <c r="R1276">
        <v>27.000000804662701</v>
      </c>
      <c r="S1276">
        <v>304.46584386366999</v>
      </c>
      <c r="T1276">
        <v>0</v>
      </c>
      <c r="U1276">
        <v>0</v>
      </c>
      <c r="V1276">
        <v>0</v>
      </c>
      <c r="W1276">
        <v>0</v>
      </c>
    </row>
    <row r="1277" spans="1:23" x14ac:dyDescent="0.55000000000000004">
      <c r="A1277" t="s">
        <v>2562</v>
      </c>
      <c r="B1277" t="s">
        <v>2563</v>
      </c>
      <c r="C1277" t="s">
        <v>5</v>
      </c>
      <c r="D1277">
        <v>9.41</v>
      </c>
      <c r="E1277">
        <f>223540192/(1000)</f>
        <v>223540.19200000001</v>
      </c>
      <c r="F1277">
        <f>191814000/(1000)</f>
        <v>191814</v>
      </c>
      <c r="G1277">
        <f>7209000/(1000)</f>
        <v>7209</v>
      </c>
      <c r="H1277">
        <f>79766192/(1000)</f>
        <v>79766.191999999995</v>
      </c>
      <c r="I1277">
        <f>19493000/(1000)</f>
        <v>19493</v>
      </c>
      <c r="J1277">
        <f t="shared" si="25"/>
        <v>4.0920428871902732E-3</v>
      </c>
      <c r="K1277">
        <f>26299999/(1000)</f>
        <v>26299.999</v>
      </c>
      <c r="L1277">
        <v>0</v>
      </c>
      <c r="M1277">
        <v>7.8235898017883301</v>
      </c>
      <c r="N1277">
        <v>96.259829360238996</v>
      </c>
      <c r="O1277">
        <v>0</v>
      </c>
      <c r="P1277">
        <v>0</v>
      </c>
      <c r="Q1277">
        <v>0</v>
      </c>
      <c r="R1277">
        <v>26.1388885083114</v>
      </c>
      <c r="S1277">
        <v>23.640887467931801</v>
      </c>
      <c r="T1277">
        <v>0</v>
      </c>
      <c r="U1277">
        <v>0</v>
      </c>
      <c r="V1277">
        <v>0</v>
      </c>
      <c r="W1277">
        <v>0</v>
      </c>
    </row>
    <row r="1278" spans="1:23" x14ac:dyDescent="0.55000000000000004">
      <c r="A1278" t="s">
        <v>2564</v>
      </c>
      <c r="B1278" t="s">
        <v>2565</v>
      </c>
      <c r="C1278" t="s">
        <v>184</v>
      </c>
      <c r="D1278">
        <v>26.16</v>
      </c>
      <c r="E1278">
        <f>425842944/(1000)</f>
        <v>425842.94400000002</v>
      </c>
      <c r="F1278">
        <f>191788992/(1000)</f>
        <v>191788.992</v>
      </c>
      <c r="G1278">
        <f>0/(1000)</f>
        <v>0</v>
      </c>
      <c r="H1278">
        <f>0/(1000)</f>
        <v>0</v>
      </c>
      <c r="I1278">
        <f>0/(1000)</f>
        <v>0</v>
      </c>
      <c r="J1278">
        <f t="shared" si="25"/>
        <v>1</v>
      </c>
      <c r="K1278">
        <f>31806001/(1000)</f>
        <v>31806.001</v>
      </c>
      <c r="L1278">
        <v>15.218259811401399</v>
      </c>
      <c r="M1278">
        <v>12.606829643249499</v>
      </c>
      <c r="N1278">
        <v>94.706479759378595</v>
      </c>
      <c r="O1278">
        <v>228.763748168945</v>
      </c>
      <c r="P1278">
        <v>0.72000002861022905</v>
      </c>
      <c r="Q1278">
        <v>1.36368611356973</v>
      </c>
      <c r="R1278">
        <v>13.624999802094001</v>
      </c>
      <c r="S1278">
        <v>17.324386511173898</v>
      </c>
      <c r="T1278">
        <v>0</v>
      </c>
      <c r="U1278">
        <v>0</v>
      </c>
      <c r="V1278">
        <v>0</v>
      </c>
      <c r="W1278">
        <v>0</v>
      </c>
    </row>
    <row r="1279" spans="1:23" x14ac:dyDescent="0.55000000000000004">
      <c r="A1279" t="s">
        <v>2566</v>
      </c>
      <c r="B1279" t="s">
        <v>2567</v>
      </c>
      <c r="C1279" t="s">
        <v>31</v>
      </c>
      <c r="D1279">
        <v>16.86</v>
      </c>
      <c r="E1279">
        <f>281477696/(1000)</f>
        <v>281477.696</v>
      </c>
      <c r="F1279">
        <f>191617008/(1000)</f>
        <v>191617.008</v>
      </c>
      <c r="G1279">
        <f>19111000/(1000)</f>
        <v>19111</v>
      </c>
      <c r="H1279">
        <f>179121696/(1000)</f>
        <v>179121.696</v>
      </c>
      <c r="I1279">
        <f>23145000/(1000)</f>
        <v>23145</v>
      </c>
      <c r="J1279">
        <f t="shared" si="25"/>
        <v>7.7391097861309131E-3</v>
      </c>
      <c r="K1279">
        <f>18665001/(1000)</f>
        <v>18665.001</v>
      </c>
      <c r="L1279">
        <v>34.248249053955099</v>
      </c>
      <c r="M1279">
        <v>11.842750549316399</v>
      </c>
      <c r="N1279">
        <v>89.118899502661293</v>
      </c>
      <c r="O1279">
        <v>0.123393997550011</v>
      </c>
      <c r="P1279">
        <v>0</v>
      </c>
      <c r="Q1279">
        <v>0</v>
      </c>
      <c r="R1279">
        <v>14.0500005609666</v>
      </c>
      <c r="S1279">
        <v>314.34287938416298</v>
      </c>
      <c r="T1279">
        <v>0</v>
      </c>
      <c r="U1279">
        <v>0</v>
      </c>
      <c r="V1279">
        <v>0</v>
      </c>
      <c r="W1279">
        <v>0</v>
      </c>
    </row>
    <row r="1280" spans="1:23" x14ac:dyDescent="0.55000000000000004">
      <c r="A1280" t="s">
        <v>2568</v>
      </c>
      <c r="B1280" t="s">
        <v>2569</v>
      </c>
      <c r="C1280" t="s">
        <v>401</v>
      </c>
      <c r="D1280">
        <v>17.190000000000001</v>
      </c>
      <c r="E1280">
        <f>1347213056/(1000)</f>
        <v>1347213.0560000001</v>
      </c>
      <c r="F1280">
        <f>191164000/(1000)</f>
        <v>191164</v>
      </c>
      <c r="G1280">
        <f>126757000/(1000)</f>
        <v>126757</v>
      </c>
      <c r="H1280">
        <f>2542365056/(1000)</f>
        <v>2542365.0559999999</v>
      </c>
      <c r="I1280">
        <f>159733008/(1000)</f>
        <v>159733.008</v>
      </c>
      <c r="J1280">
        <f t="shared" si="25"/>
        <v>1.5916341198558032E-2</v>
      </c>
      <c r="K1280">
        <f>-547467007/(1000)</f>
        <v>-547467.00699999998</v>
      </c>
      <c r="L1280">
        <v>20.503026962280298</v>
      </c>
      <c r="M1280">
        <v>13.2139329910278</v>
      </c>
      <c r="N1280">
        <v>93.886836589286901</v>
      </c>
      <c r="O1280">
        <v>75.202590942382798</v>
      </c>
      <c r="P1280">
        <v>1.5</v>
      </c>
      <c r="Q1280">
        <v>0</v>
      </c>
      <c r="R1280">
        <v>13.3255815876912</v>
      </c>
      <c r="S1280">
        <v>110.322254128572</v>
      </c>
      <c r="T1280">
        <v>0</v>
      </c>
      <c r="U1280">
        <v>0</v>
      </c>
      <c r="V1280">
        <v>0</v>
      </c>
      <c r="W1280">
        <v>0</v>
      </c>
    </row>
    <row r="1281" spans="1:23" x14ac:dyDescent="0.55000000000000004">
      <c r="A1281" t="s">
        <v>2570</v>
      </c>
      <c r="B1281" t="s">
        <v>2571</v>
      </c>
      <c r="C1281" t="s">
        <v>31</v>
      </c>
      <c r="D1281">
        <v>19.88</v>
      </c>
      <c r="E1281">
        <f>582861696/(1000)</f>
        <v>582861.696</v>
      </c>
      <c r="F1281">
        <f>191043008/(1000)</f>
        <v>191043.008</v>
      </c>
      <c r="G1281">
        <f>27120000/(1000)</f>
        <v>27120</v>
      </c>
      <c r="H1281">
        <f>357568704/(1000)</f>
        <v>357568.70400000003</v>
      </c>
      <c r="I1281">
        <f>35367000/(1000)</f>
        <v>35367</v>
      </c>
      <c r="J1281">
        <f t="shared" si="25"/>
        <v>1.0110235643396389E-2</v>
      </c>
      <c r="K1281">
        <f>51659001/(1000)</f>
        <v>51659.000999999997</v>
      </c>
      <c r="L1281">
        <v>38.2521781921387</v>
      </c>
      <c r="M1281">
        <v>10.4355459213257</v>
      </c>
      <c r="N1281">
        <v>98.022783044055302</v>
      </c>
      <c r="O1281">
        <v>0</v>
      </c>
      <c r="P1281">
        <v>0.10000000149011599</v>
      </c>
      <c r="Q1281">
        <v>2.0060544366161701</v>
      </c>
      <c r="R1281">
        <v>19.6831673813642</v>
      </c>
      <c r="S1281">
        <v>76.590815647415496</v>
      </c>
      <c r="T1281">
        <v>0</v>
      </c>
      <c r="U1281">
        <v>0</v>
      </c>
      <c r="V1281">
        <v>0</v>
      </c>
      <c r="W1281">
        <v>0</v>
      </c>
    </row>
    <row r="1282" spans="1:23" x14ac:dyDescent="0.55000000000000004">
      <c r="A1282" t="s">
        <v>2572</v>
      </c>
      <c r="B1282" t="s">
        <v>2573</v>
      </c>
      <c r="C1282" t="s">
        <v>5</v>
      </c>
      <c r="D1282">
        <v>19.05</v>
      </c>
      <c r="E1282">
        <f>159795200/(1000)</f>
        <v>159795.20000000001</v>
      </c>
      <c r="F1282">
        <f>190436848/(1000)</f>
        <v>190436.848</v>
      </c>
      <c r="G1282">
        <f>0/(1000)</f>
        <v>0</v>
      </c>
      <c r="H1282">
        <f>122996816/(1000)</f>
        <v>122996.81600000001</v>
      </c>
      <c r="I1282">
        <f>0/(1000)</f>
        <v>0</v>
      </c>
      <c r="J1282">
        <f t="shared" ref="J1282:J1345" si="30">(IF(I1282=0,1000,H1282/I1282))/(1000)</f>
        <v>1</v>
      </c>
      <c r="K1282">
        <f>-107834447/(1000)</f>
        <v>-107834.447</v>
      </c>
      <c r="L1282">
        <v>15.731396675109901</v>
      </c>
      <c r="M1282">
        <v>4.86139011383057</v>
      </c>
      <c r="N1282">
        <v>43.912878628278797</v>
      </c>
      <c r="O1282">
        <v>35.785144805908203</v>
      </c>
      <c r="P1282">
        <v>0.31999999284744302</v>
      </c>
      <c r="Q1282">
        <v>0.93703882481804901</v>
      </c>
      <c r="R1282">
        <v>0</v>
      </c>
      <c r="S1282">
        <v>36.5442205246597</v>
      </c>
      <c r="T1282">
        <v>0</v>
      </c>
      <c r="U1282">
        <v>0</v>
      </c>
      <c r="V1282">
        <v>0</v>
      </c>
      <c r="W1282">
        <v>0</v>
      </c>
    </row>
    <row r="1283" spans="1:23" x14ac:dyDescent="0.55000000000000004">
      <c r="A1283" t="s">
        <v>2574</v>
      </c>
      <c r="B1283" t="s">
        <v>2575</v>
      </c>
      <c r="C1283" t="s">
        <v>38</v>
      </c>
      <c r="D1283">
        <v>16.829999999999998</v>
      </c>
      <c r="E1283">
        <f>270247744/(1000)</f>
        <v>270247.74400000001</v>
      </c>
      <c r="F1283">
        <f>190002000/(1000)</f>
        <v>190002</v>
      </c>
      <c r="G1283">
        <f>13772000/(1000)</f>
        <v>13772</v>
      </c>
      <c r="H1283">
        <f>224963744/(1000)</f>
        <v>224963.74400000001</v>
      </c>
      <c r="I1283">
        <f>15168000/(1000)</f>
        <v>15168</v>
      </c>
      <c r="J1283">
        <f t="shared" si="30"/>
        <v>1.4831470464135021E-2</v>
      </c>
      <c r="K1283">
        <f>516001.03125/(1000)</f>
        <v>516.00103124999998</v>
      </c>
      <c r="L1283">
        <v>0</v>
      </c>
      <c r="M1283">
        <v>0</v>
      </c>
      <c r="N1283">
        <v>68.366803214964705</v>
      </c>
      <c r="O1283">
        <v>62.352092742919901</v>
      </c>
      <c r="P1283">
        <v>0</v>
      </c>
      <c r="Q1283">
        <v>1.98466990945942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</row>
    <row r="1284" spans="1:23" x14ac:dyDescent="0.55000000000000004">
      <c r="A1284" t="s">
        <v>2576</v>
      </c>
      <c r="B1284" t="s">
        <v>2577</v>
      </c>
      <c r="C1284" t="s">
        <v>401</v>
      </c>
      <c r="D1284">
        <v>12.98</v>
      </c>
      <c r="E1284">
        <f>860991936/(1000)</f>
        <v>860991.93599999999</v>
      </c>
      <c r="F1284">
        <f>189359008/(1000)</f>
        <v>189359.008</v>
      </c>
      <c r="G1284">
        <f>77077000/(1000)</f>
        <v>77077</v>
      </c>
      <c r="H1284">
        <f>1749911936/(1000)</f>
        <v>1749911.936</v>
      </c>
      <c r="I1284">
        <f>119929000/(1000)</f>
        <v>119929</v>
      </c>
      <c r="J1284">
        <f t="shared" si="30"/>
        <v>1.4591232612629138E-2</v>
      </c>
      <c r="K1284">
        <f>-90457999/(1000)</f>
        <v>-90457.998999999996</v>
      </c>
      <c r="L1284">
        <v>23.289606094360401</v>
      </c>
      <c r="M1284">
        <v>11.8366918563843</v>
      </c>
      <c r="N1284">
        <v>84.885471561003101</v>
      </c>
      <c r="O1284">
        <v>242.35963439941401</v>
      </c>
      <c r="P1284">
        <v>0.98004001379013095</v>
      </c>
      <c r="Q1284">
        <v>0</v>
      </c>
      <c r="R1284">
        <v>20.281249265855902</v>
      </c>
      <c r="S1284">
        <v>24.139715655101899</v>
      </c>
      <c r="T1284">
        <v>0</v>
      </c>
      <c r="U1284">
        <v>0</v>
      </c>
      <c r="V1284">
        <v>0</v>
      </c>
      <c r="W1284">
        <v>0</v>
      </c>
    </row>
    <row r="1285" spans="1:23" x14ac:dyDescent="0.55000000000000004">
      <c r="A1285" t="s">
        <v>2578</v>
      </c>
      <c r="B1285" t="s">
        <v>2579</v>
      </c>
      <c r="C1285" t="s">
        <v>38</v>
      </c>
      <c r="D1285">
        <v>2.98</v>
      </c>
      <c r="E1285">
        <f>79510272/(1000)</f>
        <v>79510.271999999997</v>
      </c>
      <c r="F1285">
        <f>189052000/(1000)</f>
        <v>189052</v>
      </c>
      <c r="G1285">
        <f>16763000/(1000)</f>
        <v>16763</v>
      </c>
      <c r="H1285">
        <f>242710272/(1000)</f>
        <v>242710.272</v>
      </c>
      <c r="I1285">
        <f>28408000/(1000)</f>
        <v>28408</v>
      </c>
      <c r="J1285">
        <f t="shared" si="30"/>
        <v>8.543729653618699E-3</v>
      </c>
      <c r="K1285">
        <f>3816001/(1000)</f>
        <v>3816.0010000000002</v>
      </c>
      <c r="L1285">
        <v>0</v>
      </c>
      <c r="M1285">
        <v>2.9635570049285902</v>
      </c>
      <c r="N1285">
        <v>91.177344134920503</v>
      </c>
      <c r="O1285">
        <v>129.70956420898401</v>
      </c>
      <c r="P1285">
        <v>0</v>
      </c>
      <c r="Q1285">
        <v>0</v>
      </c>
      <c r="R1285">
        <v>15.684210669754901</v>
      </c>
      <c r="S1285">
        <v>0</v>
      </c>
      <c r="T1285">
        <v>0</v>
      </c>
      <c r="U1285">
        <v>0</v>
      </c>
      <c r="V1285">
        <v>0</v>
      </c>
      <c r="W1285">
        <v>0</v>
      </c>
    </row>
    <row r="1286" spans="1:23" x14ac:dyDescent="0.55000000000000004">
      <c r="A1286" t="s">
        <v>2580</v>
      </c>
      <c r="B1286" t="s">
        <v>2581</v>
      </c>
      <c r="C1286" t="s">
        <v>31</v>
      </c>
      <c r="D1286">
        <v>13.18</v>
      </c>
      <c r="E1286">
        <f>591184896/(1000)</f>
        <v>591184.89599999995</v>
      </c>
      <c r="F1286">
        <f>188676992/(1000)</f>
        <v>188676.992</v>
      </c>
      <c r="G1286">
        <f>46324000/(1000)</f>
        <v>46324</v>
      </c>
      <c r="H1286">
        <f>587431896/(1000)</f>
        <v>587431.89599999995</v>
      </c>
      <c r="I1286">
        <f>58628000/(1000)</f>
        <v>58628</v>
      </c>
      <c r="J1286">
        <f t="shared" si="30"/>
        <v>1.001964754042437E-2</v>
      </c>
      <c r="K1286">
        <f>-23683999/(1000)</f>
        <v>-23683.999</v>
      </c>
      <c r="L1286">
        <v>0</v>
      </c>
      <c r="M1286">
        <v>16.665086746215799</v>
      </c>
      <c r="N1286">
        <v>49.891540702426099</v>
      </c>
      <c r="O1286">
        <v>15.255455017089799</v>
      </c>
      <c r="P1286">
        <v>0</v>
      </c>
      <c r="Q1286">
        <v>2.56420246060968</v>
      </c>
      <c r="R1286">
        <v>16.897435940052599</v>
      </c>
      <c r="S1286">
        <v>0</v>
      </c>
      <c r="T1286">
        <v>0</v>
      </c>
      <c r="U1286">
        <v>0</v>
      </c>
      <c r="V1286">
        <v>0</v>
      </c>
      <c r="W1286">
        <v>0</v>
      </c>
    </row>
    <row r="1287" spans="1:23" x14ac:dyDescent="0.55000000000000004">
      <c r="A1287" t="s">
        <v>2582</v>
      </c>
      <c r="B1287" t="s">
        <v>2583</v>
      </c>
      <c r="C1287" t="s">
        <v>5</v>
      </c>
      <c r="D1287">
        <v>4.26</v>
      </c>
      <c r="E1287">
        <f>213575952/(1000)</f>
        <v>213575.95199999999</v>
      </c>
      <c r="F1287">
        <f>188652000/(1000)</f>
        <v>188652</v>
      </c>
      <c r="G1287">
        <f>6747000/(1000)</f>
        <v>6747</v>
      </c>
      <c r="H1287">
        <f>184216952/(1000)</f>
        <v>184216.95199999999</v>
      </c>
      <c r="I1287">
        <f>11446000/(1000)</f>
        <v>11446</v>
      </c>
      <c r="J1287">
        <f t="shared" si="30"/>
        <v>1.609443928009785E-2</v>
      </c>
      <c r="K1287">
        <f>1762002/(1000)</f>
        <v>1762.002</v>
      </c>
      <c r="L1287">
        <v>0</v>
      </c>
      <c r="M1287">
        <v>5.6969099044799796</v>
      </c>
      <c r="N1287">
        <v>50.448586517079299</v>
      </c>
      <c r="O1287">
        <v>0</v>
      </c>
      <c r="P1287">
        <v>0</v>
      </c>
      <c r="Q1287">
        <v>1.1529094197149801</v>
      </c>
      <c r="R1287">
        <v>14.200000551343001</v>
      </c>
      <c r="S1287">
        <v>6.8662112890671301</v>
      </c>
      <c r="T1287">
        <v>0</v>
      </c>
      <c r="U1287">
        <v>0</v>
      </c>
      <c r="V1287">
        <v>0</v>
      </c>
      <c r="W1287">
        <v>0</v>
      </c>
    </row>
    <row r="1288" spans="1:23" x14ac:dyDescent="0.55000000000000004">
      <c r="A1288" t="s">
        <v>2584</v>
      </c>
      <c r="B1288" t="s">
        <v>2585</v>
      </c>
      <c r="C1288" t="s">
        <v>38</v>
      </c>
      <c r="D1288">
        <v>14.6</v>
      </c>
      <c r="E1288">
        <f>786742912/(1000)</f>
        <v>786742.91200000001</v>
      </c>
      <c r="F1288">
        <f>188518000/(1000)</f>
        <v>188518</v>
      </c>
      <c r="G1288">
        <f>29292000/(1000)</f>
        <v>29292</v>
      </c>
      <c r="H1288">
        <f>1052086912/(1000)</f>
        <v>1052086.912</v>
      </c>
      <c r="I1288">
        <f>53332000/(1000)</f>
        <v>53332</v>
      </c>
      <c r="J1288">
        <f t="shared" si="30"/>
        <v>1.9727122778069449E-2</v>
      </c>
      <c r="K1288">
        <f>32767001/(1000)</f>
        <v>32767.001</v>
      </c>
      <c r="L1288">
        <v>0</v>
      </c>
      <c r="M1288">
        <v>0</v>
      </c>
      <c r="N1288">
        <v>76.360867746003294</v>
      </c>
      <c r="O1288">
        <v>90.809318542480497</v>
      </c>
      <c r="P1288">
        <v>0</v>
      </c>
      <c r="Q1288">
        <v>2.1165556512117898</v>
      </c>
      <c r="R1288">
        <v>45.625000618456397</v>
      </c>
      <c r="S1288">
        <v>0</v>
      </c>
      <c r="T1288">
        <v>0</v>
      </c>
      <c r="U1288">
        <v>0</v>
      </c>
      <c r="V1288">
        <v>0</v>
      </c>
      <c r="W1288">
        <v>0</v>
      </c>
    </row>
    <row r="1289" spans="1:23" x14ac:dyDescent="0.55000000000000004">
      <c r="A1289" t="s">
        <v>2586</v>
      </c>
      <c r="B1289" t="s">
        <v>2587</v>
      </c>
      <c r="C1289" t="s">
        <v>5</v>
      </c>
      <c r="D1289">
        <v>23.27</v>
      </c>
      <c r="E1289">
        <f>601189760/(1000)</f>
        <v>601189.76</v>
      </c>
      <c r="F1289">
        <f>188402000/(1000)</f>
        <v>188402</v>
      </c>
      <c r="G1289">
        <f>157079008/(1000)</f>
        <v>157079.008</v>
      </c>
      <c r="H1289">
        <f>1998870784/(1000)</f>
        <v>1998870.784</v>
      </c>
      <c r="I1289">
        <f>161997008/(1000)</f>
        <v>161997.008</v>
      </c>
      <c r="J1289">
        <f t="shared" si="30"/>
        <v>1.2338936432702511E-2</v>
      </c>
      <c r="K1289">
        <f>72785001/(1000)</f>
        <v>72785.001000000004</v>
      </c>
      <c r="L1289">
        <v>15.9235372543335</v>
      </c>
      <c r="M1289">
        <v>12.480050086975099</v>
      </c>
      <c r="N1289">
        <v>90.459216179322695</v>
      </c>
      <c r="O1289">
        <v>353.60305786132801</v>
      </c>
      <c r="P1289">
        <v>0.60000002384185802</v>
      </c>
      <c r="Q1289">
        <v>0</v>
      </c>
      <c r="R1289">
        <v>11.7525255474013</v>
      </c>
      <c r="S1289">
        <v>44.649789685738</v>
      </c>
      <c r="T1289">
        <v>0</v>
      </c>
      <c r="U1289">
        <v>0</v>
      </c>
      <c r="V1289">
        <v>0</v>
      </c>
      <c r="W1289">
        <v>0</v>
      </c>
    </row>
    <row r="1290" spans="1:23" x14ac:dyDescent="0.55000000000000004">
      <c r="A1290" t="s">
        <v>2588</v>
      </c>
      <c r="B1290" t="s">
        <v>2589</v>
      </c>
      <c r="C1290" t="s">
        <v>20</v>
      </c>
      <c r="D1290">
        <v>17.63</v>
      </c>
      <c r="E1290">
        <f>414874464/(1000)</f>
        <v>414874.46399999998</v>
      </c>
      <c r="F1290">
        <f>188336464/(1000)</f>
        <v>188336.46400000001</v>
      </c>
      <c r="G1290">
        <f>27995612/(1000)</f>
        <v>27995.612000000001</v>
      </c>
      <c r="H1290">
        <f>362291228/(1000)</f>
        <v>362291.228</v>
      </c>
      <c r="I1290">
        <f>28585602/(1000)</f>
        <v>28585.601999999999</v>
      </c>
      <c r="J1290">
        <f t="shared" si="30"/>
        <v>1.2673905835532167E-2</v>
      </c>
      <c r="K1290">
        <f>18877789/(1000)</f>
        <v>18877.789000000001</v>
      </c>
      <c r="L1290">
        <v>26.733606338501001</v>
      </c>
      <c r="M1290">
        <v>33.127517700195298</v>
      </c>
      <c r="N1290">
        <v>87.8218413265419</v>
      </c>
      <c r="O1290">
        <v>0</v>
      </c>
      <c r="P1290">
        <v>0</v>
      </c>
      <c r="Q1290">
        <v>0</v>
      </c>
      <c r="R1290">
        <v>19.373625210288498</v>
      </c>
      <c r="S1290">
        <v>242.58617875832701</v>
      </c>
      <c r="T1290">
        <v>0</v>
      </c>
      <c r="U1290">
        <v>0</v>
      </c>
      <c r="V1290">
        <v>0</v>
      </c>
      <c r="W1290">
        <v>0</v>
      </c>
    </row>
    <row r="1291" spans="1:23" x14ac:dyDescent="0.55000000000000004">
      <c r="A1291" t="s">
        <v>2590</v>
      </c>
      <c r="B1291" t="s">
        <v>2591</v>
      </c>
      <c r="C1291" t="s">
        <v>38</v>
      </c>
      <c r="D1291">
        <v>33.14</v>
      </c>
      <c r="E1291">
        <f>476135648/(1000)</f>
        <v>476135.64799999999</v>
      </c>
      <c r="F1291">
        <f>188138000/(1000)</f>
        <v>188138</v>
      </c>
      <c r="G1291">
        <f>24648000/(1000)</f>
        <v>24648</v>
      </c>
      <c r="H1291">
        <f>358740648/(1000)</f>
        <v>358740.64799999999</v>
      </c>
      <c r="I1291">
        <f>36444000/(1000)</f>
        <v>36444</v>
      </c>
      <c r="J1291">
        <f t="shared" si="30"/>
        <v>9.8436134343101757E-3</v>
      </c>
      <c r="K1291">
        <f>17867001/(1000)</f>
        <v>17867.001</v>
      </c>
      <c r="L1291">
        <v>34.562656402587898</v>
      </c>
      <c r="M1291">
        <v>10.5193586349487</v>
      </c>
      <c r="N1291">
        <v>85.6898245671795</v>
      </c>
      <c r="O1291">
        <v>0</v>
      </c>
      <c r="P1291">
        <v>0</v>
      </c>
      <c r="Q1291">
        <v>0</v>
      </c>
      <c r="R1291">
        <v>19.726190553800699</v>
      </c>
      <c r="S1291">
        <v>114.26309975286701</v>
      </c>
      <c r="T1291">
        <v>0</v>
      </c>
      <c r="U1291">
        <v>0</v>
      </c>
      <c r="V1291">
        <v>0</v>
      </c>
      <c r="W1291">
        <v>0</v>
      </c>
    </row>
    <row r="1292" spans="1:23" x14ac:dyDescent="0.55000000000000004">
      <c r="A1292" t="s">
        <v>2592</v>
      </c>
      <c r="B1292" t="s">
        <v>2593</v>
      </c>
      <c r="C1292" t="s">
        <v>401</v>
      </c>
      <c r="D1292">
        <v>17.920000000000002</v>
      </c>
      <c r="E1292">
        <f>2052390144/(1000)</f>
        <v>2052390.1440000001</v>
      </c>
      <c r="F1292">
        <f>188022000/(1000)</f>
        <v>188022</v>
      </c>
      <c r="G1292">
        <f>126484000/(1000)</f>
        <v>126484</v>
      </c>
      <c r="H1292">
        <f>2612292160/(1000)</f>
        <v>2612292.16</v>
      </c>
      <c r="I1292">
        <f>173868000/(1000)</f>
        <v>173868</v>
      </c>
      <c r="J1292">
        <f t="shared" si="30"/>
        <v>1.5024571283962548E-2</v>
      </c>
      <c r="K1292">
        <f>25660001/(1000)</f>
        <v>25660.001</v>
      </c>
      <c r="L1292">
        <v>21.1927890777588</v>
      </c>
      <c r="M1292">
        <v>7.5194058418273899</v>
      </c>
      <c r="N1292">
        <v>99.733957199445101</v>
      </c>
      <c r="O1292">
        <v>34.1642875671387</v>
      </c>
      <c r="P1292">
        <v>1.3999999761581401</v>
      </c>
      <c r="Q1292">
        <v>0.85741628724269403</v>
      </c>
      <c r="R1292">
        <v>16.592592919641401</v>
      </c>
      <c r="S1292">
        <v>53.742119594102903</v>
      </c>
      <c r="T1292">
        <v>0</v>
      </c>
      <c r="U1292">
        <v>0</v>
      </c>
      <c r="V1292">
        <v>0</v>
      </c>
      <c r="W1292">
        <v>0</v>
      </c>
    </row>
    <row r="1293" spans="1:23" x14ac:dyDescent="0.55000000000000004">
      <c r="A1293" t="s">
        <v>2594</v>
      </c>
      <c r="B1293" t="s">
        <v>2595</v>
      </c>
      <c r="C1293" t="s">
        <v>184</v>
      </c>
      <c r="D1293">
        <v>11.6</v>
      </c>
      <c r="E1293">
        <f>159571920/(1000)</f>
        <v>159571.92000000001</v>
      </c>
      <c r="F1293">
        <f>187596000/(1000)</f>
        <v>187596</v>
      </c>
      <c r="G1293">
        <f>0/(1000)</f>
        <v>0</v>
      </c>
      <c r="H1293">
        <f>0/(1000)</f>
        <v>0</v>
      </c>
      <c r="I1293">
        <f>0/(1000)</f>
        <v>0</v>
      </c>
      <c r="J1293">
        <f t="shared" si="30"/>
        <v>1</v>
      </c>
      <c r="K1293">
        <f>7374001/(1000)</f>
        <v>7374.0010000000002</v>
      </c>
      <c r="L1293">
        <v>15.426465034484901</v>
      </c>
      <c r="M1293">
        <v>15.543826103210399</v>
      </c>
      <c r="N1293">
        <v>86.7056319446028</v>
      </c>
      <c r="O1293">
        <v>251.65556335449199</v>
      </c>
      <c r="P1293">
        <v>0.63999998569488503</v>
      </c>
      <c r="Q1293">
        <v>0.78219827654394603</v>
      </c>
      <c r="R1293">
        <v>6.5536727128733201</v>
      </c>
      <c r="S1293">
        <v>69.360910740563497</v>
      </c>
      <c r="T1293">
        <v>0</v>
      </c>
      <c r="U1293">
        <v>0</v>
      </c>
      <c r="V1293">
        <v>0</v>
      </c>
      <c r="W1293">
        <v>0</v>
      </c>
    </row>
    <row r="1294" spans="1:23" x14ac:dyDescent="0.55000000000000004">
      <c r="A1294" t="s">
        <v>2596</v>
      </c>
      <c r="B1294" t="s">
        <v>2597</v>
      </c>
      <c r="C1294" t="s">
        <v>5</v>
      </c>
      <c r="D1294">
        <v>1.54</v>
      </c>
      <c r="E1294">
        <f>47655456/(1000)</f>
        <v>47655.455999999998</v>
      </c>
      <c r="F1294">
        <f>187580000/(1000)</f>
        <v>187580</v>
      </c>
      <c r="G1294">
        <f>-2755000/(1000)</f>
        <v>-2755</v>
      </c>
      <c r="H1294">
        <f>511070464/(1000)</f>
        <v>511070.46399999998</v>
      </c>
      <c r="I1294">
        <f>33617000/(1000)</f>
        <v>33617</v>
      </c>
      <c r="J1294">
        <f t="shared" si="30"/>
        <v>1.5202738614391528E-2</v>
      </c>
      <c r="K1294">
        <f>-142133007/(1000)</f>
        <v>-142133.00700000001</v>
      </c>
      <c r="L1294">
        <v>0</v>
      </c>
      <c r="M1294">
        <v>-3.0517499446868901</v>
      </c>
      <c r="N1294">
        <v>84.476700147835203</v>
      </c>
      <c r="O1294">
        <v>127.67748260498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</row>
    <row r="1295" spans="1:23" x14ac:dyDescent="0.55000000000000004">
      <c r="A1295" t="s">
        <v>2598</v>
      </c>
      <c r="B1295" t="s">
        <v>2599</v>
      </c>
      <c r="C1295" t="s">
        <v>5</v>
      </c>
      <c r="D1295">
        <v>3.89</v>
      </c>
      <c r="E1295">
        <f>231535920/(1000)</f>
        <v>231535.92</v>
      </c>
      <c r="F1295">
        <f>187413792/(1000)</f>
        <v>187413.79199999999</v>
      </c>
      <c r="G1295">
        <f>14688991/(1000)</f>
        <v>14688.991</v>
      </c>
      <c r="H1295">
        <f>523572080/(1000)</f>
        <v>523572.08</v>
      </c>
      <c r="I1295">
        <f>33374248/(1000)</f>
        <v>33374.248</v>
      </c>
      <c r="J1295">
        <f t="shared" si="30"/>
        <v>1.5687906436124045E-2</v>
      </c>
      <c r="K1295">
        <f>-81909223/(1000)</f>
        <v>-81909.222999999998</v>
      </c>
      <c r="L1295">
        <v>0</v>
      </c>
      <c r="M1295">
        <v>-52.491756439208999</v>
      </c>
      <c r="N1295">
        <v>81.229752869011705</v>
      </c>
      <c r="O1295">
        <v>373.95022583007801</v>
      </c>
      <c r="P1295">
        <v>0</v>
      </c>
      <c r="Q1295">
        <v>0</v>
      </c>
      <c r="R1295">
        <v>0</v>
      </c>
      <c r="S1295">
        <v>1175.4443446304599</v>
      </c>
      <c r="T1295">
        <v>0</v>
      </c>
      <c r="U1295">
        <v>0</v>
      </c>
      <c r="V1295">
        <v>0</v>
      </c>
      <c r="W1295">
        <v>0</v>
      </c>
    </row>
    <row r="1296" spans="1:23" x14ac:dyDescent="0.55000000000000004">
      <c r="A1296" t="s">
        <v>2600</v>
      </c>
      <c r="B1296" t="s">
        <v>2601</v>
      </c>
      <c r="C1296" t="s">
        <v>5</v>
      </c>
      <c r="D1296">
        <v>4.5999999999999996</v>
      </c>
      <c r="E1296">
        <f>107506136/(1000)</f>
        <v>107506.136</v>
      </c>
      <c r="F1296">
        <f>187130992/(1000)</f>
        <v>187130.992</v>
      </c>
      <c r="G1296">
        <f>20914000/(1000)</f>
        <v>20914</v>
      </c>
      <c r="H1296">
        <f>99175135.5/(1000)</f>
        <v>99175.135500000004</v>
      </c>
      <c r="I1296">
        <f>21412000/(1000)</f>
        <v>21412</v>
      </c>
      <c r="J1296">
        <f t="shared" si="30"/>
        <v>4.6317548804408748E-3</v>
      </c>
      <c r="K1296">
        <f>-3359999/(1000)</f>
        <v>-3359.9989999999998</v>
      </c>
      <c r="L1296">
        <v>0</v>
      </c>
      <c r="M1296">
        <v>94.630500793457003</v>
      </c>
      <c r="N1296">
        <v>41.602164797395503</v>
      </c>
      <c r="O1296">
        <v>18.757518768310501</v>
      </c>
      <c r="P1296">
        <v>0</v>
      </c>
      <c r="Q1296">
        <v>2.7710843356189701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55000000000000004">
      <c r="A1297" t="s">
        <v>2602</v>
      </c>
      <c r="B1297" t="s">
        <v>2603</v>
      </c>
      <c r="C1297" t="s">
        <v>8</v>
      </c>
      <c r="D1297">
        <v>33.75</v>
      </c>
      <c r="E1297">
        <f>1160098816/(1000)</f>
        <v>1160098.8160000001</v>
      </c>
      <c r="F1297">
        <f>186986000/(1000)</f>
        <v>186986</v>
      </c>
      <c r="G1297">
        <f>53245000/(1000)</f>
        <v>53245</v>
      </c>
      <c r="H1297">
        <f>1128978816/(1000)</f>
        <v>1128978.8160000001</v>
      </c>
      <c r="I1297">
        <f>98787000/(1000)</f>
        <v>98787</v>
      </c>
      <c r="J1297">
        <f t="shared" si="30"/>
        <v>1.1428414831911083E-2</v>
      </c>
      <c r="K1297">
        <f>75225001/(1000)</f>
        <v>75225.001000000004</v>
      </c>
      <c r="L1297">
        <v>10.740454673767101</v>
      </c>
      <c r="M1297">
        <v>6.8853960037231499</v>
      </c>
      <c r="N1297">
        <v>98.450836358422407</v>
      </c>
      <c r="O1297">
        <v>15.696951866149901</v>
      </c>
      <c r="P1297">
        <v>6.4400000572204599</v>
      </c>
      <c r="Q1297">
        <v>1.3686131471546601</v>
      </c>
      <c r="R1297">
        <v>10.227272644146399</v>
      </c>
      <c r="S1297">
        <v>935.47458190275802</v>
      </c>
      <c r="T1297">
        <v>0</v>
      </c>
      <c r="U1297">
        <v>0</v>
      </c>
      <c r="V1297">
        <v>0</v>
      </c>
      <c r="W1297">
        <v>0</v>
      </c>
    </row>
    <row r="1298" spans="1:23" x14ac:dyDescent="0.55000000000000004">
      <c r="A1298" t="s">
        <v>2604</v>
      </c>
      <c r="B1298" t="s">
        <v>2605</v>
      </c>
      <c r="C1298" t="s">
        <v>81</v>
      </c>
      <c r="D1298">
        <v>26.55</v>
      </c>
      <c r="E1298">
        <f>403589216/(1000)</f>
        <v>403589.21600000001</v>
      </c>
      <c r="F1298">
        <f>186740992/(1000)</f>
        <v>186740.992</v>
      </c>
      <c r="G1298">
        <f>65598000/(1000)</f>
        <v>65598</v>
      </c>
      <c r="H1298">
        <f>434470216/(1000)</f>
        <v>434470.21600000001</v>
      </c>
      <c r="I1298">
        <f>93297000/(1000)</f>
        <v>93297</v>
      </c>
      <c r="J1298">
        <f t="shared" si="30"/>
        <v>4.6568508740902704E-3</v>
      </c>
      <c r="K1298">
        <f>20245999/(1000)</f>
        <v>20245.999</v>
      </c>
      <c r="L1298">
        <v>13.9559173583984</v>
      </c>
      <c r="M1298">
        <v>0</v>
      </c>
      <c r="N1298">
        <v>59.195056891652101</v>
      </c>
      <c r="O1298">
        <v>21.167873382568398</v>
      </c>
      <c r="P1298">
        <v>0.72000002861022905</v>
      </c>
      <c r="Q1298">
        <v>1.71511628050249</v>
      </c>
      <c r="R1298">
        <v>10.5357138135063</v>
      </c>
      <c r="S1298">
        <v>163.72121451772301</v>
      </c>
      <c r="T1298">
        <v>0</v>
      </c>
      <c r="U1298">
        <v>0</v>
      </c>
      <c r="V1298">
        <v>0</v>
      </c>
      <c r="W1298">
        <v>0</v>
      </c>
    </row>
    <row r="1299" spans="1:23" x14ac:dyDescent="0.55000000000000004">
      <c r="A1299" t="s">
        <v>2606</v>
      </c>
      <c r="B1299" t="s">
        <v>2607</v>
      </c>
      <c r="C1299" t="s">
        <v>20</v>
      </c>
      <c r="D1299">
        <v>6.99</v>
      </c>
      <c r="E1299">
        <f>175255376/(1000)</f>
        <v>175255.37599999999</v>
      </c>
      <c r="F1299">
        <f>186727008/(1000)</f>
        <v>186727.008</v>
      </c>
      <c r="G1299">
        <f>11061000/(1000)</f>
        <v>11061</v>
      </c>
      <c r="H1299">
        <f>135156376/(1000)</f>
        <v>135156.37599999999</v>
      </c>
      <c r="I1299">
        <f>32858000/(1000)</f>
        <v>32858</v>
      </c>
      <c r="J1299">
        <f t="shared" si="30"/>
        <v>4.113347617018686E-3</v>
      </c>
      <c r="K1299">
        <f>7226001/(1000)</f>
        <v>7226.0010000000002</v>
      </c>
      <c r="L1299">
        <v>0</v>
      </c>
      <c r="M1299">
        <v>6.2722902297973597</v>
      </c>
      <c r="N1299">
        <v>72.271790106523298</v>
      </c>
      <c r="O1299">
        <v>0.536449015140533</v>
      </c>
      <c r="P1299">
        <v>0</v>
      </c>
      <c r="Q1299">
        <v>1.15156500386144</v>
      </c>
      <c r="R1299">
        <v>33.285714235030099</v>
      </c>
      <c r="S1299">
        <v>0</v>
      </c>
      <c r="T1299">
        <v>0</v>
      </c>
      <c r="U1299">
        <v>0</v>
      </c>
      <c r="V1299">
        <v>0</v>
      </c>
      <c r="W1299">
        <v>0</v>
      </c>
    </row>
    <row r="1300" spans="1:23" x14ac:dyDescent="0.55000000000000004">
      <c r="A1300" t="s">
        <v>2608</v>
      </c>
      <c r="B1300" t="s">
        <v>2609</v>
      </c>
      <c r="C1300" t="s">
        <v>38</v>
      </c>
      <c r="D1300">
        <v>43.62</v>
      </c>
      <c r="E1300">
        <f>1234576896/(1000)</f>
        <v>1234576.8959999999</v>
      </c>
      <c r="F1300">
        <f>186500000/(1000)</f>
        <v>186500</v>
      </c>
      <c r="G1300">
        <f>59389000/(1000)</f>
        <v>59389</v>
      </c>
      <c r="H1300">
        <f>1153994896/(1000)</f>
        <v>1153994.8959999999</v>
      </c>
      <c r="I1300">
        <f>65907000/(1000)</f>
        <v>65907</v>
      </c>
      <c r="J1300">
        <f t="shared" si="30"/>
        <v>1.7509443549243633E-2</v>
      </c>
      <c r="K1300">
        <f>41486001/(1000)</f>
        <v>41486.000999999997</v>
      </c>
      <c r="L1300">
        <v>31.168149948120099</v>
      </c>
      <c r="M1300">
        <v>39.109836578369098</v>
      </c>
      <c r="N1300">
        <v>65.255274453543606</v>
      </c>
      <c r="O1300">
        <v>0</v>
      </c>
      <c r="P1300">
        <v>0.60000002384185802</v>
      </c>
      <c r="Q1300">
        <v>7.1586471767455002</v>
      </c>
      <c r="R1300">
        <v>27.517500382593699</v>
      </c>
      <c r="S1300">
        <v>240.52109770125401</v>
      </c>
      <c r="T1300">
        <v>0</v>
      </c>
      <c r="U1300">
        <v>0</v>
      </c>
      <c r="V1300">
        <v>0</v>
      </c>
      <c r="W1300">
        <v>0</v>
      </c>
    </row>
    <row r="1301" spans="1:23" x14ac:dyDescent="0.55000000000000004">
      <c r="A1301" t="s">
        <v>2610</v>
      </c>
      <c r="B1301" t="s">
        <v>2611</v>
      </c>
      <c r="C1301" t="s">
        <v>5</v>
      </c>
      <c r="D1301">
        <v>17.940000000000001</v>
      </c>
      <c r="E1301">
        <f>228839056/(1000)</f>
        <v>228839.05600000001</v>
      </c>
      <c r="F1301">
        <f>186330992/(1000)</f>
        <v>186330.992</v>
      </c>
      <c r="G1301">
        <f>12787000/(1000)</f>
        <v>12787</v>
      </c>
      <c r="H1301">
        <f>184484056/(1000)</f>
        <v>184484.05600000001</v>
      </c>
      <c r="I1301">
        <f>19295000/(1000)</f>
        <v>19295</v>
      </c>
      <c r="J1301">
        <f t="shared" si="30"/>
        <v>9.5612363824825082E-3</v>
      </c>
      <c r="K1301">
        <f>24363001/(1000)</f>
        <v>24363.001</v>
      </c>
      <c r="L1301">
        <v>28.864503860473601</v>
      </c>
      <c r="M1301">
        <v>6.6928529739379901</v>
      </c>
      <c r="N1301">
        <v>91.907209056369496</v>
      </c>
      <c r="O1301">
        <v>4.2955751419067401</v>
      </c>
      <c r="P1301">
        <v>0.5</v>
      </c>
      <c r="Q1301">
        <v>0</v>
      </c>
      <c r="R1301">
        <v>26.000001144582001</v>
      </c>
      <c r="S1301">
        <v>95.348268053342295</v>
      </c>
      <c r="T1301">
        <v>0</v>
      </c>
      <c r="U1301">
        <v>0</v>
      </c>
      <c r="V1301">
        <v>0</v>
      </c>
      <c r="W1301">
        <v>0</v>
      </c>
    </row>
    <row r="1302" spans="1:23" x14ac:dyDescent="0.55000000000000004">
      <c r="A1302" t="s">
        <v>2612</v>
      </c>
      <c r="B1302" t="s">
        <v>2613</v>
      </c>
      <c r="C1302" t="s">
        <v>31</v>
      </c>
      <c r="D1302">
        <v>2.08</v>
      </c>
      <c r="E1302">
        <f>69607408/(1000)</f>
        <v>69607.407999999996</v>
      </c>
      <c r="F1302">
        <f>186152992/(1000)</f>
        <v>186152.992</v>
      </c>
      <c r="G1302">
        <f>-9545000/(1000)</f>
        <v>-9545</v>
      </c>
      <c r="H1302">
        <f>47451408/(1000)</f>
        <v>47451.408000000003</v>
      </c>
      <c r="I1302">
        <f>3814000/(1000)</f>
        <v>3814</v>
      </c>
      <c r="J1302">
        <f t="shared" si="30"/>
        <v>1.2441375983219718E-2</v>
      </c>
      <c r="K1302">
        <f>35882001/(1000)</f>
        <v>35882.000999999997</v>
      </c>
      <c r="L1302">
        <v>0</v>
      </c>
      <c r="M1302">
        <v>-3.9499130249023402</v>
      </c>
      <c r="N1302">
        <v>96.058881159965495</v>
      </c>
      <c r="O1302">
        <v>53.980377197265597</v>
      </c>
      <c r="P1302">
        <v>0</v>
      </c>
      <c r="Q1302">
        <v>0</v>
      </c>
      <c r="R1302">
        <v>0</v>
      </c>
      <c r="S1302">
        <v>20.0452712041876</v>
      </c>
      <c r="T1302">
        <v>0</v>
      </c>
      <c r="U1302">
        <v>0</v>
      </c>
      <c r="V1302">
        <v>0</v>
      </c>
      <c r="W1302">
        <v>0</v>
      </c>
    </row>
    <row r="1303" spans="1:23" x14ac:dyDescent="0.55000000000000004">
      <c r="A1303" t="s">
        <v>2614</v>
      </c>
      <c r="B1303" t="s">
        <v>2615</v>
      </c>
      <c r="C1303" t="s">
        <v>5</v>
      </c>
      <c r="D1303">
        <v>5.99</v>
      </c>
      <c r="E1303">
        <f>168452576/(1000)</f>
        <v>168452.576</v>
      </c>
      <c r="F1303">
        <f>185812000/(1000)</f>
        <v>185812</v>
      </c>
      <c r="G1303">
        <f>20148000/(1000)</f>
        <v>20148</v>
      </c>
      <c r="H1303">
        <f>169529576/(1000)</f>
        <v>169529.576</v>
      </c>
      <c r="I1303">
        <f>23830000/(1000)</f>
        <v>23830</v>
      </c>
      <c r="J1303">
        <f t="shared" si="30"/>
        <v>7.1141240453210233E-3</v>
      </c>
      <c r="K1303">
        <f>16660000/(1000)</f>
        <v>16660</v>
      </c>
      <c r="L1303">
        <v>27.2190761566162</v>
      </c>
      <c r="M1303">
        <v>2.2987310886383101</v>
      </c>
      <c r="N1303">
        <v>80.412699700437798</v>
      </c>
      <c r="O1303">
        <v>7.7296810150146502</v>
      </c>
      <c r="P1303">
        <v>0.18000000715255701</v>
      </c>
      <c r="Q1303">
        <v>0</v>
      </c>
      <c r="R1303">
        <v>66.555547612869304</v>
      </c>
      <c r="S1303">
        <v>125.562960535101</v>
      </c>
      <c r="T1303">
        <v>0</v>
      </c>
      <c r="U1303">
        <v>0</v>
      </c>
      <c r="V1303">
        <v>0</v>
      </c>
      <c r="W1303">
        <v>0</v>
      </c>
    </row>
    <row r="1304" spans="1:23" x14ac:dyDescent="0.55000000000000004">
      <c r="A1304" t="s">
        <v>2616</v>
      </c>
      <c r="B1304" t="s">
        <v>2617</v>
      </c>
      <c r="C1304" t="s">
        <v>81</v>
      </c>
      <c r="D1304">
        <v>6.53</v>
      </c>
      <c r="E1304">
        <f>291165536/(1000)</f>
        <v>291165.53600000002</v>
      </c>
      <c r="F1304">
        <f>185663008/(1000)</f>
        <v>185663.008</v>
      </c>
      <c r="G1304">
        <f>-29918000/(1000)</f>
        <v>-29918</v>
      </c>
      <c r="H1304">
        <f>462200544/(1000)</f>
        <v>462200.54399999999</v>
      </c>
      <c r="I1304">
        <f>35720000/(1000)</f>
        <v>35720</v>
      </c>
      <c r="J1304">
        <f t="shared" si="30"/>
        <v>1.2939544904815229E-2</v>
      </c>
      <c r="K1304">
        <f>18241001/(1000)</f>
        <v>18241.001</v>
      </c>
      <c r="L1304">
        <v>0</v>
      </c>
      <c r="M1304">
        <v>-17.5054035186768</v>
      </c>
      <c r="N1304">
        <v>91.062570765489795</v>
      </c>
      <c r="O1304">
        <v>207.76560974121099</v>
      </c>
      <c r="P1304">
        <v>0</v>
      </c>
      <c r="Q1304">
        <v>3.00921658074809</v>
      </c>
      <c r="R1304">
        <v>0</v>
      </c>
      <c r="S1304">
        <v>257.64260975092901</v>
      </c>
      <c r="T1304">
        <v>0</v>
      </c>
      <c r="U1304">
        <v>0</v>
      </c>
      <c r="V1304">
        <v>0</v>
      </c>
      <c r="W1304">
        <v>0</v>
      </c>
    </row>
    <row r="1305" spans="1:23" x14ac:dyDescent="0.55000000000000004">
      <c r="A1305" t="s">
        <v>2618</v>
      </c>
      <c r="B1305" t="s">
        <v>2619</v>
      </c>
      <c r="C1305" t="s">
        <v>5</v>
      </c>
      <c r="D1305">
        <v>8.99</v>
      </c>
      <c r="E1305">
        <f>309307264/(1000)</f>
        <v>309307.26400000002</v>
      </c>
      <c r="F1305">
        <f>185616000/(1000)</f>
        <v>185616</v>
      </c>
      <c r="G1305">
        <f>24891000/(1000)</f>
        <v>24891</v>
      </c>
      <c r="H1305">
        <f>296246264/(1000)</f>
        <v>296246.26400000002</v>
      </c>
      <c r="I1305">
        <f>41367000/(1000)</f>
        <v>41367</v>
      </c>
      <c r="J1305">
        <f t="shared" si="30"/>
        <v>7.1614152343655582E-3</v>
      </c>
      <c r="K1305">
        <f>-87519999/(1000)</f>
        <v>-87519.998999999996</v>
      </c>
      <c r="L1305">
        <v>0</v>
      </c>
      <c r="M1305">
        <v>2.22973704338074</v>
      </c>
      <c r="N1305">
        <v>80.621523319904298</v>
      </c>
      <c r="O1305">
        <v>4.6624131202697798</v>
      </c>
      <c r="P1305">
        <v>0</v>
      </c>
      <c r="Q1305">
        <v>0.87451361912825798</v>
      </c>
      <c r="R1305">
        <v>28.093749912688502</v>
      </c>
      <c r="S1305">
        <v>371.04682146935698</v>
      </c>
      <c r="T1305">
        <v>0</v>
      </c>
      <c r="U1305">
        <v>0</v>
      </c>
      <c r="V1305">
        <v>0</v>
      </c>
      <c r="W1305">
        <v>0</v>
      </c>
    </row>
    <row r="1306" spans="1:23" x14ac:dyDescent="0.55000000000000004">
      <c r="A1306" t="s">
        <v>2620</v>
      </c>
      <c r="B1306" t="s">
        <v>2621</v>
      </c>
      <c r="C1306" t="s">
        <v>38</v>
      </c>
      <c r="D1306">
        <v>5.83</v>
      </c>
      <c r="E1306">
        <f>262080080/(1000)</f>
        <v>262080.08</v>
      </c>
      <c r="F1306">
        <f>185600992/(1000)</f>
        <v>185600.992</v>
      </c>
      <c r="G1306">
        <f>9569000/(1000)</f>
        <v>9569</v>
      </c>
      <c r="H1306">
        <f>334570080/(1000)</f>
        <v>334570.08</v>
      </c>
      <c r="I1306">
        <f>28219000/(1000)</f>
        <v>28219</v>
      </c>
      <c r="J1306">
        <f t="shared" si="30"/>
        <v>1.1856199014848154E-2</v>
      </c>
      <c r="K1306">
        <f>82868001/(1000)</f>
        <v>82868.001000000004</v>
      </c>
      <c r="L1306">
        <v>0</v>
      </c>
      <c r="M1306">
        <v>0</v>
      </c>
      <c r="N1306">
        <v>97.252281811552805</v>
      </c>
      <c r="O1306">
        <v>949.8564453125</v>
      </c>
      <c r="P1306">
        <v>0</v>
      </c>
      <c r="Q1306">
        <v>6.0103090224224101</v>
      </c>
      <c r="R1306">
        <v>52.999999593604699</v>
      </c>
      <c r="S1306">
        <v>144.840039575226</v>
      </c>
      <c r="T1306">
        <v>0</v>
      </c>
      <c r="U1306">
        <v>0</v>
      </c>
      <c r="V1306">
        <v>0</v>
      </c>
      <c r="W1306">
        <v>0</v>
      </c>
    </row>
    <row r="1307" spans="1:23" x14ac:dyDescent="0.55000000000000004">
      <c r="A1307" t="s">
        <v>2622</v>
      </c>
      <c r="B1307" t="s">
        <v>2623</v>
      </c>
      <c r="C1307" t="s">
        <v>2</v>
      </c>
      <c r="D1307">
        <v>14.8</v>
      </c>
      <c r="E1307">
        <f>466461952/(1000)</f>
        <v>466461.95199999999</v>
      </c>
      <c r="F1307">
        <f>185387008/(1000)</f>
        <v>185387.008</v>
      </c>
      <c r="G1307">
        <f>104023000/(1000)</f>
        <v>104023</v>
      </c>
      <c r="H1307">
        <f>0/(1000)</f>
        <v>0</v>
      </c>
      <c r="I1307">
        <f>142528992/(1000)</f>
        <v>142528.992</v>
      </c>
      <c r="J1307">
        <f t="shared" si="30"/>
        <v>0</v>
      </c>
      <c r="K1307">
        <f>-643711999/(1000)</f>
        <v>-643711.99899999995</v>
      </c>
      <c r="L1307">
        <v>0</v>
      </c>
      <c r="M1307">
        <v>21.893415451049801</v>
      </c>
      <c r="N1307">
        <v>85.118837458800201</v>
      </c>
      <c r="O1307">
        <v>150.437576293945</v>
      </c>
      <c r="P1307">
        <v>4</v>
      </c>
      <c r="Q1307">
        <v>0.53413022225899598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</row>
    <row r="1308" spans="1:23" x14ac:dyDescent="0.55000000000000004">
      <c r="A1308" t="s">
        <v>2624</v>
      </c>
      <c r="B1308" t="s">
        <v>2625</v>
      </c>
      <c r="C1308" t="s">
        <v>31</v>
      </c>
      <c r="D1308">
        <v>8.11</v>
      </c>
      <c r="E1308">
        <f>205858576/(1000)</f>
        <v>205858.576</v>
      </c>
      <c r="F1308">
        <f>185056000/(1000)</f>
        <v>185056</v>
      </c>
      <c r="G1308">
        <f>17915000/(1000)</f>
        <v>17915</v>
      </c>
      <c r="H1308">
        <f>132511576/(1000)</f>
        <v>132511.576</v>
      </c>
      <c r="I1308">
        <f>27233000/(1000)</f>
        <v>27233</v>
      </c>
      <c r="J1308">
        <f t="shared" si="30"/>
        <v>4.8658457019057763E-3</v>
      </c>
      <c r="K1308">
        <f>19645001/(1000)</f>
        <v>19645.001</v>
      </c>
      <c r="L1308">
        <v>22.7786865234375</v>
      </c>
      <c r="M1308">
        <v>5.4309329986572301</v>
      </c>
      <c r="N1308">
        <v>94.043718765028402</v>
      </c>
      <c r="O1308">
        <v>0.148748993873596</v>
      </c>
      <c r="P1308">
        <v>0</v>
      </c>
      <c r="Q1308">
        <v>0.84655529449522904</v>
      </c>
      <c r="R1308">
        <v>13.982758071862699</v>
      </c>
      <c r="S1308">
        <v>79.795192662689701</v>
      </c>
      <c r="T1308">
        <v>0</v>
      </c>
      <c r="U1308">
        <v>0</v>
      </c>
      <c r="V1308">
        <v>0</v>
      </c>
      <c r="W1308">
        <v>0</v>
      </c>
    </row>
    <row r="1309" spans="1:23" x14ac:dyDescent="0.55000000000000004">
      <c r="A1309" t="s">
        <v>2626</v>
      </c>
      <c r="B1309" t="s">
        <v>2627</v>
      </c>
      <c r="C1309" t="s">
        <v>184</v>
      </c>
      <c r="D1309">
        <v>6.33</v>
      </c>
      <c r="E1309">
        <f>614977216/(1000)</f>
        <v>614977.21600000001</v>
      </c>
      <c r="F1309">
        <f>184756640/(1000)</f>
        <v>184756.64</v>
      </c>
      <c r="G1309">
        <f>126894896/(1000)</f>
        <v>126894.89599999999</v>
      </c>
      <c r="H1309">
        <f>1455720192/(1000)</f>
        <v>1455720.192</v>
      </c>
      <c r="I1309">
        <f>127305224/(1000)</f>
        <v>127305.224</v>
      </c>
      <c r="J1309">
        <f t="shared" si="30"/>
        <v>1.1434881823859797E-2</v>
      </c>
      <c r="K1309">
        <f>-514156031/(1000)</f>
        <v>-514156.03100000002</v>
      </c>
      <c r="L1309">
        <v>0</v>
      </c>
      <c r="M1309">
        <v>9.4914579391479492</v>
      </c>
      <c r="N1309">
        <v>99.739995646305303</v>
      </c>
      <c r="O1309">
        <v>60.604518890380902</v>
      </c>
      <c r="P1309">
        <v>1.6799999475479099</v>
      </c>
      <c r="Q1309">
        <v>0.50772007694260601</v>
      </c>
      <c r="R1309">
        <v>4.4109512100710599</v>
      </c>
      <c r="S1309">
        <v>0</v>
      </c>
      <c r="T1309">
        <v>0</v>
      </c>
      <c r="U1309">
        <v>0</v>
      </c>
      <c r="V1309">
        <v>0</v>
      </c>
      <c r="W1309">
        <v>0</v>
      </c>
    </row>
    <row r="1310" spans="1:23" x14ac:dyDescent="0.55000000000000004">
      <c r="A1310" t="s">
        <v>2628</v>
      </c>
      <c r="B1310" t="s">
        <v>2629</v>
      </c>
      <c r="C1310" t="s">
        <v>5</v>
      </c>
      <c r="D1310">
        <v>19.23</v>
      </c>
      <c r="E1310">
        <f>351728224/(1000)</f>
        <v>351728.22399999999</v>
      </c>
      <c r="F1310">
        <f>183764000/(1000)</f>
        <v>183764</v>
      </c>
      <c r="G1310">
        <f>77325000/(1000)</f>
        <v>77325</v>
      </c>
      <c r="H1310">
        <f>449173232/(1000)</f>
        <v>449173.23200000002</v>
      </c>
      <c r="I1310">
        <f>93822000/(1000)</f>
        <v>93822</v>
      </c>
      <c r="J1310">
        <f t="shared" si="30"/>
        <v>4.7875043380017487E-3</v>
      </c>
      <c r="K1310">
        <f>10774003/(1000)</f>
        <v>10774.003000000001</v>
      </c>
      <c r="L1310">
        <v>0</v>
      </c>
      <c r="M1310">
        <v>22.310224533081101</v>
      </c>
      <c r="N1310">
        <v>98.315529146230404</v>
      </c>
      <c r="O1310">
        <v>113.76755523681599</v>
      </c>
      <c r="P1310">
        <v>0</v>
      </c>
      <c r="Q1310">
        <v>1.7529625409430101</v>
      </c>
      <c r="R1310">
        <v>9.5929357570643905</v>
      </c>
      <c r="S1310">
        <v>0</v>
      </c>
      <c r="T1310">
        <v>0</v>
      </c>
      <c r="U1310">
        <v>0</v>
      </c>
      <c r="V1310">
        <v>0</v>
      </c>
      <c r="W1310">
        <v>0</v>
      </c>
    </row>
    <row r="1311" spans="1:23" x14ac:dyDescent="0.55000000000000004">
      <c r="A1311" t="s">
        <v>2630</v>
      </c>
      <c r="B1311" t="s">
        <v>2631</v>
      </c>
      <c r="C1311" t="s">
        <v>38</v>
      </c>
      <c r="D1311">
        <v>26.11</v>
      </c>
      <c r="E1311">
        <f>781239936/(1000)</f>
        <v>781239.93599999999</v>
      </c>
      <c r="F1311">
        <f>182915008/(1000)</f>
        <v>182915.008</v>
      </c>
      <c r="G1311">
        <f>33093000/(1000)</f>
        <v>33093</v>
      </c>
      <c r="H1311">
        <f>734941936/(1000)</f>
        <v>734941.93599999999</v>
      </c>
      <c r="I1311">
        <f>37910000/(1000)</f>
        <v>37910</v>
      </c>
      <c r="J1311">
        <f t="shared" si="30"/>
        <v>1.938649264046426E-2</v>
      </c>
      <c r="K1311">
        <f>11478001/(1000)</f>
        <v>11478.001</v>
      </c>
      <c r="L1311">
        <v>0</v>
      </c>
      <c r="M1311">
        <v>14.8150539398193</v>
      </c>
      <c r="N1311">
        <v>33.9743518472362</v>
      </c>
      <c r="O1311">
        <v>33.848060607910199</v>
      </c>
      <c r="P1311">
        <v>0</v>
      </c>
      <c r="Q1311">
        <v>4.0512024693431403</v>
      </c>
      <c r="R1311">
        <v>16.6305735945488</v>
      </c>
      <c r="S1311">
        <v>0</v>
      </c>
      <c r="T1311">
        <v>0</v>
      </c>
      <c r="U1311">
        <v>0</v>
      </c>
      <c r="V1311">
        <v>0</v>
      </c>
      <c r="W1311">
        <v>0</v>
      </c>
    </row>
    <row r="1312" spans="1:23" x14ac:dyDescent="0.55000000000000004">
      <c r="A1312" t="s">
        <v>2632</v>
      </c>
      <c r="B1312" t="s">
        <v>2633</v>
      </c>
      <c r="C1312" t="s">
        <v>184</v>
      </c>
      <c r="D1312">
        <v>9.74</v>
      </c>
      <c r="E1312">
        <f>227583872/(1000)</f>
        <v>227583.872</v>
      </c>
      <c r="F1312">
        <f>182799008/(1000)</f>
        <v>182799.008</v>
      </c>
      <c r="G1312">
        <f>0/(1000)</f>
        <v>0</v>
      </c>
      <c r="H1312">
        <f>0/(1000)</f>
        <v>0</v>
      </c>
      <c r="I1312">
        <f>0/(1000)</f>
        <v>0</v>
      </c>
      <c r="J1312">
        <f t="shared" si="30"/>
        <v>1</v>
      </c>
      <c r="K1312">
        <f>25144001/(1000)</f>
        <v>25144.001</v>
      </c>
      <c r="L1312">
        <v>20.777809143066399</v>
      </c>
      <c r="M1312">
        <v>13.0838632583618</v>
      </c>
      <c r="N1312">
        <v>75.336708494480305</v>
      </c>
      <c r="O1312">
        <v>231.38690185546901</v>
      </c>
      <c r="P1312">
        <v>0.28000000119209301</v>
      </c>
      <c r="Q1312">
        <v>1.15300378895727</v>
      </c>
      <c r="R1312">
        <v>14.5373128907642</v>
      </c>
      <c r="S1312">
        <v>153.04052823188999</v>
      </c>
      <c r="T1312">
        <v>0</v>
      </c>
      <c r="U1312">
        <v>0</v>
      </c>
      <c r="V1312">
        <v>0</v>
      </c>
      <c r="W1312">
        <v>0</v>
      </c>
    </row>
    <row r="1313" spans="1:23" x14ac:dyDescent="0.55000000000000004">
      <c r="A1313" t="s">
        <v>2634</v>
      </c>
      <c r="B1313" t="s">
        <v>2635</v>
      </c>
      <c r="C1313" t="s">
        <v>5</v>
      </c>
      <c r="D1313">
        <v>48.1</v>
      </c>
      <c r="E1313">
        <f>450413216/(1000)</f>
        <v>450413.21600000001</v>
      </c>
      <c r="F1313">
        <f>182223008/(1000)</f>
        <v>182223.008</v>
      </c>
      <c r="G1313">
        <f>0/(1000)</f>
        <v>0</v>
      </c>
      <c r="H1313">
        <f>357772216/(1000)</f>
        <v>357772.21600000001</v>
      </c>
      <c r="I1313">
        <f>0/(1000)</f>
        <v>0</v>
      </c>
      <c r="J1313">
        <f t="shared" si="30"/>
        <v>1</v>
      </c>
      <c r="K1313">
        <f>40923001/(1000)</f>
        <v>40923.000999999997</v>
      </c>
      <c r="L1313">
        <v>0</v>
      </c>
      <c r="M1313">
        <v>19.8325595855713</v>
      </c>
      <c r="N1313">
        <v>85.724197828876399</v>
      </c>
      <c r="O1313">
        <v>11.734842300415</v>
      </c>
      <c r="P1313">
        <v>0.30000007152557401</v>
      </c>
      <c r="Q1313">
        <v>1.6892247387967401</v>
      </c>
      <c r="R1313">
        <v>10.433839116022501</v>
      </c>
      <c r="S1313">
        <v>-35.045393758574903</v>
      </c>
      <c r="T1313">
        <v>0</v>
      </c>
      <c r="U1313">
        <v>0</v>
      </c>
      <c r="V1313">
        <v>0</v>
      </c>
      <c r="W1313">
        <v>0</v>
      </c>
    </row>
    <row r="1314" spans="1:23" x14ac:dyDescent="0.55000000000000004">
      <c r="A1314" t="s">
        <v>2636</v>
      </c>
      <c r="B1314" t="s">
        <v>2637</v>
      </c>
      <c r="C1314" t="s">
        <v>5</v>
      </c>
      <c r="D1314">
        <v>7.5</v>
      </c>
      <c r="E1314">
        <f>172400992/(1000)</f>
        <v>172400.992</v>
      </c>
      <c r="F1314">
        <f>182130992/(1000)</f>
        <v>182130.992</v>
      </c>
      <c r="G1314">
        <f>10025000/(1000)</f>
        <v>10025</v>
      </c>
      <c r="H1314">
        <f>139344990/(1000)</f>
        <v>139344.99</v>
      </c>
      <c r="I1314">
        <f>16770999/(1000)</f>
        <v>16770.999</v>
      </c>
      <c r="J1314">
        <f t="shared" si="30"/>
        <v>8.3086875146793585E-3</v>
      </c>
      <c r="K1314">
        <f>11334001/(1000)</f>
        <v>11334.001</v>
      </c>
      <c r="L1314">
        <v>0</v>
      </c>
      <c r="M1314">
        <v>3.8340990543365501</v>
      </c>
      <c r="N1314">
        <v>98.577447705108597</v>
      </c>
      <c r="O1314">
        <v>0</v>
      </c>
      <c r="P1314">
        <v>0</v>
      </c>
      <c r="Q1314">
        <v>0.73529413139668898</v>
      </c>
      <c r="R1314">
        <v>18.749999720603199</v>
      </c>
      <c r="S1314">
        <v>0</v>
      </c>
      <c r="T1314">
        <v>0</v>
      </c>
      <c r="U1314">
        <v>0</v>
      </c>
      <c r="V1314">
        <v>0</v>
      </c>
      <c r="W1314">
        <v>0</v>
      </c>
    </row>
    <row r="1315" spans="1:23" x14ac:dyDescent="0.55000000000000004">
      <c r="A1315" t="s">
        <v>2638</v>
      </c>
      <c r="B1315" t="s">
        <v>2639</v>
      </c>
      <c r="C1315" t="s">
        <v>81</v>
      </c>
      <c r="D1315">
        <v>5.45</v>
      </c>
      <c r="E1315">
        <f>254531888/(1000)</f>
        <v>254531.88800000001</v>
      </c>
      <c r="F1315">
        <f>182059008/(1000)</f>
        <v>182059.008</v>
      </c>
      <c r="G1315">
        <f>22982000/(1000)</f>
        <v>22982</v>
      </c>
      <c r="H1315">
        <f>75330896/(1000)</f>
        <v>75330.895999999993</v>
      </c>
      <c r="I1315">
        <f>27692000/(1000)</f>
        <v>27692</v>
      </c>
      <c r="J1315">
        <f t="shared" si="30"/>
        <v>2.7203125812509023E-3</v>
      </c>
      <c r="K1315">
        <f>49342001/(1000)</f>
        <v>49342.000999999997</v>
      </c>
      <c r="L1315">
        <v>33.012153625488303</v>
      </c>
      <c r="M1315">
        <v>16.088140487670898</v>
      </c>
      <c r="N1315">
        <v>12.823346241183801</v>
      </c>
      <c r="O1315">
        <v>0</v>
      </c>
      <c r="P1315">
        <v>0</v>
      </c>
      <c r="Q1315">
        <v>0</v>
      </c>
      <c r="R1315">
        <v>9.2372876979973597</v>
      </c>
      <c r="S1315">
        <v>108.100733831699</v>
      </c>
      <c r="T1315">
        <v>0</v>
      </c>
      <c r="U1315">
        <v>0</v>
      </c>
      <c r="V1315">
        <v>0</v>
      </c>
      <c r="W1315">
        <v>0</v>
      </c>
    </row>
    <row r="1316" spans="1:23" x14ac:dyDescent="0.55000000000000004">
      <c r="A1316" t="s">
        <v>2640</v>
      </c>
      <c r="B1316" t="s">
        <v>2641</v>
      </c>
      <c r="C1316" t="s">
        <v>184</v>
      </c>
      <c r="D1316">
        <v>19.75</v>
      </c>
      <c r="E1316">
        <f>314706368/(1000)</f>
        <v>314706.36800000002</v>
      </c>
      <c r="F1316">
        <f>181943008/(1000)</f>
        <v>181943.008</v>
      </c>
      <c r="G1316">
        <f>0/(1000)</f>
        <v>0</v>
      </c>
      <c r="H1316">
        <f>0/(1000)</f>
        <v>0</v>
      </c>
      <c r="I1316">
        <f>0/(1000)</f>
        <v>0</v>
      </c>
      <c r="J1316">
        <f t="shared" si="30"/>
        <v>1</v>
      </c>
      <c r="K1316">
        <f>25851001/(1000)</f>
        <v>25851.001</v>
      </c>
      <c r="L1316">
        <v>16.3619289398193</v>
      </c>
      <c r="M1316">
        <v>13.2380714416504</v>
      </c>
      <c r="N1316">
        <v>86.288243897399994</v>
      </c>
      <c r="O1316">
        <v>360.11325073242199</v>
      </c>
      <c r="P1316">
        <v>0.83999997377395597</v>
      </c>
      <c r="Q1316">
        <v>0</v>
      </c>
      <c r="R1316">
        <v>11.285714285714301</v>
      </c>
      <c r="S1316">
        <v>64.509894481767105</v>
      </c>
      <c r="T1316">
        <v>0</v>
      </c>
      <c r="U1316">
        <v>0</v>
      </c>
      <c r="V1316">
        <v>0</v>
      </c>
      <c r="W1316">
        <v>0</v>
      </c>
    </row>
    <row r="1317" spans="1:23" x14ac:dyDescent="0.55000000000000004">
      <c r="A1317" t="s">
        <v>2642</v>
      </c>
      <c r="B1317" t="s">
        <v>2643</v>
      </c>
      <c r="C1317" t="s">
        <v>5</v>
      </c>
      <c r="D1317">
        <v>7.98</v>
      </c>
      <c r="E1317">
        <f>180028000/(1000)</f>
        <v>180028</v>
      </c>
      <c r="F1317">
        <f>181926000/(1000)</f>
        <v>181926</v>
      </c>
      <c r="G1317">
        <f>31029000/(1000)</f>
        <v>31029</v>
      </c>
      <c r="H1317">
        <f>154330000/(1000)</f>
        <v>154330</v>
      </c>
      <c r="I1317">
        <f>38613000/(1000)</f>
        <v>38613</v>
      </c>
      <c r="J1317">
        <f t="shared" si="30"/>
        <v>3.9968404423380722E-3</v>
      </c>
      <c r="K1317">
        <f>25862001/(1000)</f>
        <v>25862.001</v>
      </c>
      <c r="L1317">
        <v>0</v>
      </c>
      <c r="M1317">
        <v>10.831422805786101</v>
      </c>
      <c r="N1317">
        <v>81.265430118740596</v>
      </c>
      <c r="O1317">
        <v>0.123761996626854</v>
      </c>
      <c r="P1317">
        <v>0</v>
      </c>
      <c r="Q1317">
        <v>0.65651996662963596</v>
      </c>
      <c r="R1317">
        <v>7.0870336581759998</v>
      </c>
      <c r="S1317">
        <v>460.91142387071699</v>
      </c>
      <c r="T1317">
        <v>0</v>
      </c>
      <c r="U1317">
        <v>0</v>
      </c>
      <c r="V1317">
        <v>0</v>
      </c>
      <c r="W1317">
        <v>0</v>
      </c>
    </row>
    <row r="1318" spans="1:23" x14ac:dyDescent="0.55000000000000004">
      <c r="A1318" t="s">
        <v>2644</v>
      </c>
      <c r="B1318" t="s">
        <v>2645</v>
      </c>
      <c r="C1318" t="s">
        <v>31</v>
      </c>
      <c r="D1318">
        <v>2.68</v>
      </c>
      <c r="E1318">
        <f>174577344/(1000)</f>
        <v>174577.34400000001</v>
      </c>
      <c r="F1318">
        <f>181884992/(1000)</f>
        <v>181884.992</v>
      </c>
      <c r="G1318">
        <f>1195000/(1000)</f>
        <v>1195</v>
      </c>
      <c r="H1318">
        <f>70446344/(1000)</f>
        <v>70446.343999999997</v>
      </c>
      <c r="I1318">
        <f>9777000/(1000)</f>
        <v>9777</v>
      </c>
      <c r="J1318">
        <f t="shared" si="30"/>
        <v>7.2053128771606828E-3</v>
      </c>
      <c r="K1318">
        <f>27651001/(1000)</f>
        <v>27651.001</v>
      </c>
      <c r="L1318">
        <v>0</v>
      </c>
      <c r="M1318">
        <v>-2.1418941020965598</v>
      </c>
      <c r="N1318">
        <v>89.450850425766305</v>
      </c>
      <c r="O1318">
        <v>1.2136050462722801</v>
      </c>
      <c r="P1318">
        <v>0</v>
      </c>
      <c r="Q1318">
        <v>1.08722116027349</v>
      </c>
      <c r="R1318">
        <v>15.406903662317299</v>
      </c>
      <c r="S1318">
        <v>-30.5779802389469</v>
      </c>
      <c r="T1318">
        <v>0</v>
      </c>
      <c r="U1318">
        <v>0</v>
      </c>
      <c r="V1318">
        <v>0</v>
      </c>
      <c r="W1318">
        <v>0</v>
      </c>
    </row>
    <row r="1319" spans="1:23" x14ac:dyDescent="0.55000000000000004">
      <c r="A1319" t="s">
        <v>2646</v>
      </c>
      <c r="B1319" t="s">
        <v>2647</v>
      </c>
      <c r="C1319" t="s">
        <v>20</v>
      </c>
      <c r="D1319">
        <v>8.52</v>
      </c>
      <c r="E1319">
        <f>141062240/(1000)</f>
        <v>141062.24</v>
      </c>
      <c r="F1319">
        <f>181278000/(1000)</f>
        <v>181278</v>
      </c>
      <c r="G1319">
        <f>17687000/(1000)</f>
        <v>17687</v>
      </c>
      <c r="H1319">
        <f>70300240/(1000)</f>
        <v>70300.240000000005</v>
      </c>
      <c r="I1319">
        <f>24209000/(1000)</f>
        <v>24209</v>
      </c>
      <c r="J1319">
        <f t="shared" si="30"/>
        <v>2.9038886364575159E-3</v>
      </c>
      <c r="K1319">
        <f>11172001/(1000)</f>
        <v>11172.001</v>
      </c>
      <c r="L1319">
        <v>0</v>
      </c>
      <c r="M1319">
        <v>16.869796752929702</v>
      </c>
      <c r="N1319">
        <v>53.824454856886597</v>
      </c>
      <c r="O1319">
        <v>0</v>
      </c>
      <c r="P1319">
        <v>0</v>
      </c>
      <c r="Q1319">
        <v>1.5268818233432799</v>
      </c>
      <c r="R1319">
        <v>9.7931040885001597</v>
      </c>
      <c r="S1319">
        <v>19.342706210513398</v>
      </c>
      <c r="T1319">
        <v>0</v>
      </c>
      <c r="U1319">
        <v>0</v>
      </c>
      <c r="V1319">
        <v>0</v>
      </c>
      <c r="W1319">
        <v>0</v>
      </c>
    </row>
    <row r="1320" spans="1:23" x14ac:dyDescent="0.55000000000000004">
      <c r="A1320" t="s">
        <v>2648</v>
      </c>
      <c r="B1320" t="s">
        <v>2649</v>
      </c>
      <c r="C1320" t="s">
        <v>5</v>
      </c>
      <c r="D1320">
        <v>13.21</v>
      </c>
      <c r="E1320">
        <f>135785600/(1000)</f>
        <v>135785.60000000001</v>
      </c>
      <c r="F1320">
        <f>180961216/(1000)</f>
        <v>180961.21599999999</v>
      </c>
      <c r="G1320">
        <f>0/(1000)</f>
        <v>0</v>
      </c>
      <c r="H1320">
        <f>165440056/(1000)</f>
        <v>165440.05600000001</v>
      </c>
      <c r="I1320">
        <f>0/(1000)</f>
        <v>0</v>
      </c>
      <c r="J1320">
        <f t="shared" si="30"/>
        <v>1</v>
      </c>
      <c r="K1320">
        <f>62217321/(1000)</f>
        <v>62217.321000000004</v>
      </c>
      <c r="L1320">
        <v>9.0539216995239293</v>
      </c>
      <c r="M1320">
        <v>13.2185068130493</v>
      </c>
      <c r="N1320">
        <v>73.447804189765094</v>
      </c>
      <c r="O1320">
        <v>16.629970550537099</v>
      </c>
      <c r="P1320">
        <v>0</v>
      </c>
      <c r="Q1320">
        <v>0.64512348905817696</v>
      </c>
      <c r="R1320">
        <v>5.9504504708290398</v>
      </c>
      <c r="S1320">
        <v>38.494494146136702</v>
      </c>
      <c r="T1320">
        <v>0</v>
      </c>
      <c r="U1320">
        <v>0</v>
      </c>
      <c r="V1320">
        <v>0</v>
      </c>
      <c r="W1320">
        <v>0</v>
      </c>
    </row>
    <row r="1321" spans="1:23" x14ac:dyDescent="0.55000000000000004">
      <c r="A1321" t="s">
        <v>2650</v>
      </c>
      <c r="B1321" t="s">
        <v>2651</v>
      </c>
      <c r="C1321" t="s">
        <v>184</v>
      </c>
      <c r="D1321">
        <v>9.08</v>
      </c>
      <c r="E1321">
        <f>266968352/(1000)</f>
        <v>266968.35200000001</v>
      </c>
      <c r="F1321">
        <f>180219280/(1000)</f>
        <v>180219.28</v>
      </c>
      <c r="G1321">
        <f>0/(1000)</f>
        <v>0</v>
      </c>
      <c r="H1321">
        <f>0/(1000)</f>
        <v>0</v>
      </c>
      <c r="I1321">
        <f>0/(1000)</f>
        <v>0</v>
      </c>
      <c r="J1321">
        <f t="shared" si="30"/>
        <v>1</v>
      </c>
      <c r="K1321">
        <f>29801211/(1000)</f>
        <v>29801.210999999999</v>
      </c>
      <c r="L1321">
        <v>17.855329513549801</v>
      </c>
      <c r="M1321">
        <v>16.679813385009801</v>
      </c>
      <c r="N1321">
        <v>58.069913779497099</v>
      </c>
      <c r="O1321">
        <v>138.149169921875</v>
      </c>
      <c r="P1321">
        <v>0.20000000298023199</v>
      </c>
      <c r="Q1321">
        <v>1.42543172477767</v>
      </c>
      <c r="R1321">
        <v>9.9780219333958708</v>
      </c>
      <c r="S1321">
        <v>308.11449534636199</v>
      </c>
      <c r="T1321">
        <v>0</v>
      </c>
      <c r="U1321">
        <v>0</v>
      </c>
      <c r="V1321">
        <v>0</v>
      </c>
      <c r="W1321">
        <v>0</v>
      </c>
    </row>
    <row r="1322" spans="1:23" x14ac:dyDescent="0.55000000000000004">
      <c r="A1322" t="s">
        <v>2652</v>
      </c>
      <c r="B1322" t="s">
        <v>2653</v>
      </c>
      <c r="C1322" t="s">
        <v>5</v>
      </c>
      <c r="D1322">
        <v>10.49</v>
      </c>
      <c r="E1322">
        <f>146977488/(1000)</f>
        <v>146977.48800000001</v>
      </c>
      <c r="F1322">
        <f>180000000/(1000)</f>
        <v>180000</v>
      </c>
      <c r="G1322">
        <f>36000000/(1000)</f>
        <v>36000</v>
      </c>
      <c r="H1322">
        <f>234677488/(1000)</f>
        <v>234677.48800000001</v>
      </c>
      <c r="I1322">
        <f>45300000/(1000)</f>
        <v>45300</v>
      </c>
      <c r="J1322">
        <f t="shared" si="30"/>
        <v>5.1805184988962475E-3</v>
      </c>
      <c r="K1322">
        <f>25500001/(1000)</f>
        <v>25500.001</v>
      </c>
      <c r="L1322">
        <v>0</v>
      </c>
      <c r="M1322">
        <v>39.93994140625</v>
      </c>
      <c r="N1322">
        <v>87.326567621901901</v>
      </c>
      <c r="O1322">
        <v>253.79747009277301</v>
      </c>
      <c r="P1322">
        <v>0</v>
      </c>
      <c r="Q1322">
        <v>3.0405796017774001</v>
      </c>
      <c r="R1322">
        <v>11.786516786208599</v>
      </c>
      <c r="S1322">
        <v>-45.945945945945901</v>
      </c>
      <c r="T1322">
        <v>0</v>
      </c>
      <c r="U1322">
        <v>0</v>
      </c>
      <c r="V1322">
        <v>0</v>
      </c>
      <c r="W1322">
        <v>0</v>
      </c>
    </row>
    <row r="1323" spans="1:23" x14ac:dyDescent="0.55000000000000004">
      <c r="A1323" t="s">
        <v>2654</v>
      </c>
      <c r="B1323" t="s">
        <v>2655</v>
      </c>
      <c r="C1323" t="s">
        <v>31</v>
      </c>
      <c r="D1323">
        <v>7.21</v>
      </c>
      <c r="E1323">
        <f>220429168/(1000)</f>
        <v>220429.16800000001</v>
      </c>
      <c r="F1323">
        <f>179893008/(1000)</f>
        <v>179893.008</v>
      </c>
      <c r="G1323">
        <f>-8043000/(1000)</f>
        <v>-8043</v>
      </c>
      <c r="H1323">
        <f>140778168/(1000)</f>
        <v>140778.16800000001</v>
      </c>
      <c r="I1323">
        <f>4054000/(1000)</f>
        <v>4054</v>
      </c>
      <c r="J1323">
        <f t="shared" si="30"/>
        <v>3.4725744449925995E-2</v>
      </c>
      <c r="K1323">
        <f>10304001/(1000)</f>
        <v>10304.001</v>
      </c>
      <c r="L1323">
        <v>0</v>
      </c>
      <c r="M1323">
        <v>1.8034809827804601</v>
      </c>
      <c r="N1323">
        <v>88.120772973816003</v>
      </c>
      <c r="O1323">
        <v>0</v>
      </c>
      <c r="P1323">
        <v>0</v>
      </c>
      <c r="Q1323">
        <v>0</v>
      </c>
      <c r="R1323">
        <v>23.258064600054698</v>
      </c>
      <c r="S1323">
        <v>32.639027915001499</v>
      </c>
      <c r="T1323">
        <v>0</v>
      </c>
      <c r="U1323">
        <v>0</v>
      </c>
      <c r="V1323">
        <v>0</v>
      </c>
      <c r="W1323">
        <v>0</v>
      </c>
    </row>
    <row r="1324" spans="1:23" x14ac:dyDescent="0.55000000000000004">
      <c r="A1324" t="s">
        <v>2656</v>
      </c>
      <c r="B1324" t="s">
        <v>2657</v>
      </c>
      <c r="C1324" t="s">
        <v>31</v>
      </c>
      <c r="D1324">
        <v>8.57</v>
      </c>
      <c r="E1324">
        <f>247449312/(1000)</f>
        <v>247449.31200000001</v>
      </c>
      <c r="F1324">
        <f>179889856/(1000)</f>
        <v>179889.856</v>
      </c>
      <c r="G1324">
        <f>17228144/(1000)</f>
        <v>17228.144</v>
      </c>
      <c r="H1324">
        <f>145896576/(1000)</f>
        <v>145896.576</v>
      </c>
      <c r="I1324">
        <f>32026580/(1000)</f>
        <v>32026.58</v>
      </c>
      <c r="J1324">
        <f t="shared" si="30"/>
        <v>4.5554841010185913E-3</v>
      </c>
      <c r="K1324">
        <f>14712663/(1000)</f>
        <v>14712.663</v>
      </c>
      <c r="L1324">
        <v>0</v>
      </c>
      <c r="M1324">
        <v>17.958646774291999</v>
      </c>
      <c r="N1324">
        <v>86.133499337670699</v>
      </c>
      <c r="O1324">
        <v>0.22092199325561501</v>
      </c>
      <c r="P1324">
        <v>0</v>
      </c>
      <c r="Q1324">
        <v>1.5195035279609601</v>
      </c>
      <c r="R1324">
        <v>10.9871791578489</v>
      </c>
      <c r="S1324">
        <v>0</v>
      </c>
      <c r="T1324">
        <v>0</v>
      </c>
      <c r="U1324">
        <v>0</v>
      </c>
      <c r="V1324">
        <v>0</v>
      </c>
      <c r="W1324">
        <v>0</v>
      </c>
    </row>
    <row r="1325" spans="1:23" x14ac:dyDescent="0.55000000000000004">
      <c r="A1325" t="s">
        <v>2658</v>
      </c>
      <c r="B1325" t="s">
        <v>2659</v>
      </c>
      <c r="C1325" t="s">
        <v>184</v>
      </c>
      <c r="D1325">
        <v>34.5</v>
      </c>
      <c r="E1325">
        <f>387907648/(1000)</f>
        <v>387907.64799999999</v>
      </c>
      <c r="F1325">
        <f>178958000/(1000)</f>
        <v>178958</v>
      </c>
      <c r="G1325">
        <f>0/(1000)</f>
        <v>0</v>
      </c>
      <c r="H1325">
        <f>0/(1000)</f>
        <v>0</v>
      </c>
      <c r="I1325">
        <f>0/(1000)</f>
        <v>0</v>
      </c>
      <c r="J1325">
        <f t="shared" si="30"/>
        <v>1</v>
      </c>
      <c r="K1325">
        <f>25859001/(1000)</f>
        <v>25859.001</v>
      </c>
      <c r="L1325">
        <v>17.040626525878899</v>
      </c>
      <c r="M1325">
        <v>11.441744804382299</v>
      </c>
      <c r="N1325">
        <v>94.797975523741798</v>
      </c>
      <c r="O1325">
        <v>204.61070251464801</v>
      </c>
      <c r="P1325">
        <v>0.68000000715255704</v>
      </c>
      <c r="Q1325">
        <v>1.61064425196627</v>
      </c>
      <c r="R1325">
        <v>14.375000142802801</v>
      </c>
      <c r="S1325">
        <v>110.11365237402001</v>
      </c>
      <c r="T1325">
        <v>0</v>
      </c>
      <c r="U1325">
        <v>0</v>
      </c>
      <c r="V1325">
        <v>0</v>
      </c>
      <c r="W1325">
        <v>0</v>
      </c>
    </row>
    <row r="1326" spans="1:23" x14ac:dyDescent="0.55000000000000004">
      <c r="A1326" t="s">
        <v>2660</v>
      </c>
      <c r="B1326" t="s">
        <v>2661</v>
      </c>
      <c r="C1326" t="s">
        <v>5</v>
      </c>
      <c r="D1326">
        <v>4.96</v>
      </c>
      <c r="E1326">
        <f>275490304/(1000)</f>
        <v>275490.304</v>
      </c>
      <c r="F1326">
        <f>178851008/(1000)</f>
        <v>178851.008</v>
      </c>
      <c r="G1326">
        <f>24582000/(1000)</f>
        <v>24582</v>
      </c>
      <c r="H1326">
        <f>403104304/(1000)</f>
        <v>403104.304</v>
      </c>
      <c r="I1326">
        <f>44003000/(1000)</f>
        <v>44003</v>
      </c>
      <c r="J1326">
        <f t="shared" si="30"/>
        <v>9.1608368520328162E-3</v>
      </c>
      <c r="K1326">
        <f>30274001/(1000)</f>
        <v>30274.001</v>
      </c>
      <c r="L1326">
        <v>0</v>
      </c>
      <c r="M1326">
        <v>27.256767272949201</v>
      </c>
      <c r="N1326">
        <v>97.301160284055598</v>
      </c>
      <c r="O1326">
        <v>270.02078247070301</v>
      </c>
      <c r="P1326">
        <v>0</v>
      </c>
      <c r="Q1326">
        <v>1.33692722025532</v>
      </c>
      <c r="R1326">
        <v>15.7961789684328</v>
      </c>
      <c r="S1326">
        <v>218.64846066134601</v>
      </c>
      <c r="T1326">
        <v>0</v>
      </c>
      <c r="U1326">
        <v>0</v>
      </c>
      <c r="V1326">
        <v>0</v>
      </c>
      <c r="W1326">
        <v>0</v>
      </c>
    </row>
    <row r="1327" spans="1:23" x14ac:dyDescent="0.55000000000000004">
      <c r="A1327" t="s">
        <v>2662</v>
      </c>
      <c r="B1327" t="s">
        <v>2663</v>
      </c>
      <c r="C1327" t="s">
        <v>31</v>
      </c>
      <c r="D1327">
        <v>2.5499999999999998</v>
      </c>
      <c r="E1327">
        <f>214399664/(1000)</f>
        <v>214399.66399999999</v>
      </c>
      <c r="F1327">
        <f>178260000/(1000)</f>
        <v>178260</v>
      </c>
      <c r="G1327">
        <f>-19996000/(1000)</f>
        <v>-19996</v>
      </c>
      <c r="H1327">
        <f>106197664/(1000)</f>
        <v>106197.664</v>
      </c>
      <c r="I1327">
        <f>-14356000/(1000)</f>
        <v>-14356</v>
      </c>
      <c r="J1327">
        <f t="shared" si="30"/>
        <v>-7.3974410699359158E-3</v>
      </c>
      <c r="K1327">
        <f>2887001/(1000)</f>
        <v>2887.0010000000002</v>
      </c>
      <c r="L1327">
        <v>0</v>
      </c>
      <c r="M1327">
        <v>-14.072862625122101</v>
      </c>
      <c r="N1327">
        <v>79.3651865251353</v>
      </c>
      <c r="O1327">
        <v>4.4653301239013699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</row>
    <row r="1328" spans="1:23" x14ac:dyDescent="0.55000000000000004">
      <c r="A1328" t="s">
        <v>2664</v>
      </c>
      <c r="B1328" t="s">
        <v>2665</v>
      </c>
      <c r="C1328" t="s">
        <v>401</v>
      </c>
      <c r="D1328">
        <v>9.52</v>
      </c>
      <c r="E1328">
        <f>339864960/(1000)</f>
        <v>339864.96</v>
      </c>
      <c r="F1328">
        <f>177986000/(1000)</f>
        <v>177986</v>
      </c>
      <c r="G1328">
        <f>49267000/(1000)</f>
        <v>49267</v>
      </c>
      <c r="H1328">
        <f>687991968/(1000)</f>
        <v>687991.96799999999</v>
      </c>
      <c r="I1328">
        <f>52182000/(1000)</f>
        <v>52182</v>
      </c>
      <c r="J1328">
        <f t="shared" si="30"/>
        <v>1.318446912728527E-2</v>
      </c>
      <c r="K1328">
        <f>-69481999/(1000)</f>
        <v>-69481.998999999996</v>
      </c>
      <c r="L1328">
        <v>0</v>
      </c>
      <c r="M1328">
        <v>5.8255300521850604</v>
      </c>
      <c r="N1328">
        <v>91.928314067741397</v>
      </c>
      <c r="O1328">
        <v>68.431755065917997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</row>
    <row r="1329" spans="1:23" x14ac:dyDescent="0.55000000000000004">
      <c r="A1329" t="s">
        <v>2666</v>
      </c>
      <c r="B1329" t="s">
        <v>2667</v>
      </c>
      <c r="C1329" t="s">
        <v>2</v>
      </c>
      <c r="D1329">
        <v>13.4</v>
      </c>
      <c r="E1329">
        <f>651221248/(1000)</f>
        <v>651221.24800000002</v>
      </c>
      <c r="F1329">
        <f>177682992/(1000)</f>
        <v>177682.992</v>
      </c>
      <c r="G1329">
        <f>-10284000/(1000)</f>
        <v>-10284</v>
      </c>
      <c r="H1329">
        <f>680870248/(1000)</f>
        <v>680870.24800000002</v>
      </c>
      <c r="I1329">
        <f>1090999.625/(1000)</f>
        <v>1090.9996249999999</v>
      </c>
      <c r="J1329">
        <f t="shared" si="30"/>
        <v>0.62407926858819962</v>
      </c>
      <c r="K1329">
        <f>-16768999/(1000)</f>
        <v>-16768.999</v>
      </c>
      <c r="L1329">
        <v>23.1940097808838</v>
      </c>
      <c r="M1329">
        <v>-0.69943100214004505</v>
      </c>
      <c r="N1329">
        <v>14.466878099089399</v>
      </c>
      <c r="O1329">
        <v>19.0662021636963</v>
      </c>
      <c r="P1329">
        <v>0.5</v>
      </c>
      <c r="Q1329">
        <v>0</v>
      </c>
      <c r="R1329">
        <v>47.857142882801703</v>
      </c>
      <c r="S1329">
        <v>-79.697733687307704</v>
      </c>
      <c r="T1329">
        <v>0</v>
      </c>
      <c r="U1329">
        <v>0</v>
      </c>
      <c r="V1329">
        <v>0</v>
      </c>
      <c r="W1329">
        <v>0</v>
      </c>
    </row>
    <row r="1330" spans="1:23" x14ac:dyDescent="0.55000000000000004">
      <c r="A1330" t="s">
        <v>2668</v>
      </c>
      <c r="B1330" t="s">
        <v>2669</v>
      </c>
      <c r="C1330" t="s">
        <v>31</v>
      </c>
      <c r="D1330">
        <v>2.92</v>
      </c>
      <c r="E1330">
        <f>115307296/(1000)</f>
        <v>115307.296</v>
      </c>
      <c r="F1330">
        <f>177008000/(1000)</f>
        <v>177008</v>
      </c>
      <c r="G1330">
        <f>8948000/(1000)</f>
        <v>8948</v>
      </c>
      <c r="H1330">
        <f>89253296/(1000)</f>
        <v>89253.296000000002</v>
      </c>
      <c r="I1330">
        <f>12393000/(1000)</f>
        <v>12393</v>
      </c>
      <c r="J1330">
        <f t="shared" si="30"/>
        <v>7.2019120471233768E-3</v>
      </c>
      <c r="K1330">
        <f>18937001/(1000)</f>
        <v>18937.001</v>
      </c>
      <c r="L1330">
        <v>65.071792602539105</v>
      </c>
      <c r="M1330">
        <v>9.1192960739135707</v>
      </c>
      <c r="N1330">
        <v>92.849618004758995</v>
      </c>
      <c r="O1330">
        <v>0</v>
      </c>
      <c r="P1330">
        <v>0</v>
      </c>
      <c r="Q1330">
        <v>0</v>
      </c>
      <c r="R1330">
        <v>6.9523811044336199</v>
      </c>
      <c r="S1330">
        <v>9.1034619030705005E-2</v>
      </c>
      <c r="T1330">
        <v>0</v>
      </c>
      <c r="U1330">
        <v>0</v>
      </c>
      <c r="V1330">
        <v>0</v>
      </c>
      <c r="W1330">
        <v>0</v>
      </c>
    </row>
    <row r="1331" spans="1:23" x14ac:dyDescent="0.55000000000000004">
      <c r="A1331" t="s">
        <v>2670</v>
      </c>
      <c r="B1331" t="s">
        <v>2671</v>
      </c>
      <c r="C1331" t="s">
        <v>5</v>
      </c>
      <c r="D1331">
        <v>5.97</v>
      </c>
      <c r="E1331">
        <f>163450832/(1000)</f>
        <v>163450.83199999999</v>
      </c>
      <c r="F1331">
        <f>176914000/(1000)</f>
        <v>176914</v>
      </c>
      <c r="G1331">
        <f>16364000/(1000)</f>
        <v>16364</v>
      </c>
      <c r="H1331">
        <f>118197832/(1000)</f>
        <v>118197.83199999999</v>
      </c>
      <c r="I1331">
        <f>19839000/(1000)</f>
        <v>19839</v>
      </c>
      <c r="J1331">
        <f t="shared" si="30"/>
        <v>5.9578523111043901E-3</v>
      </c>
      <c r="K1331">
        <f>12345001/(1000)</f>
        <v>12345.001</v>
      </c>
      <c r="L1331">
        <v>12.5933294296265</v>
      </c>
      <c r="M1331">
        <v>10.109936714172401</v>
      </c>
      <c r="N1331">
        <v>83.165669839072507</v>
      </c>
      <c r="O1331">
        <v>0</v>
      </c>
      <c r="P1331">
        <v>0</v>
      </c>
      <c r="Q1331">
        <v>1.5506493345644401</v>
      </c>
      <c r="R1331">
        <v>12.702127245391001</v>
      </c>
      <c r="S1331">
        <v>-26.5472028697883</v>
      </c>
      <c r="T1331">
        <v>0</v>
      </c>
      <c r="U1331">
        <v>0</v>
      </c>
      <c r="V1331">
        <v>0</v>
      </c>
      <c r="W1331">
        <v>0</v>
      </c>
    </row>
    <row r="1332" spans="1:23" x14ac:dyDescent="0.55000000000000004">
      <c r="A1332" t="s">
        <v>2672</v>
      </c>
      <c r="B1332" t="s">
        <v>2673</v>
      </c>
      <c r="C1332" t="s">
        <v>5</v>
      </c>
      <c r="D1332">
        <v>5.52</v>
      </c>
      <c r="E1332">
        <f>354273056/(1000)</f>
        <v>354273.05599999998</v>
      </c>
      <c r="F1332">
        <f>176510000/(1000)</f>
        <v>176510</v>
      </c>
      <c r="G1332">
        <f>-21752000/(1000)</f>
        <v>-21752</v>
      </c>
      <c r="H1332">
        <f>189301056/(1000)</f>
        <v>189301.05600000001</v>
      </c>
      <c r="I1332">
        <f>-10542001/(1000)</f>
        <v>-10542.001</v>
      </c>
      <c r="J1332">
        <f t="shared" si="30"/>
        <v>-1.7956842918151878E-2</v>
      </c>
      <c r="K1332">
        <f>8542001/(1000)</f>
        <v>8542.0010000000002</v>
      </c>
      <c r="L1332">
        <v>0</v>
      </c>
      <c r="M1332">
        <v>0</v>
      </c>
      <c r="N1332">
        <v>69.436379957271498</v>
      </c>
      <c r="O1332">
        <v>0</v>
      </c>
      <c r="P1332">
        <v>0</v>
      </c>
      <c r="Q1332">
        <v>2.6926829801578802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</row>
    <row r="1333" spans="1:23" x14ac:dyDescent="0.55000000000000004">
      <c r="A1333" t="s">
        <v>2674</v>
      </c>
      <c r="B1333" t="s">
        <v>2675</v>
      </c>
      <c r="C1333" t="s">
        <v>184</v>
      </c>
      <c r="D1333">
        <v>57.95</v>
      </c>
      <c r="E1333">
        <f>560399680/(1000)</f>
        <v>560399.68000000005</v>
      </c>
      <c r="F1333">
        <f>176490000/(1000)</f>
        <v>176490</v>
      </c>
      <c r="G1333">
        <f>0/(1000)</f>
        <v>0</v>
      </c>
      <c r="H1333">
        <f>0/(1000)</f>
        <v>0</v>
      </c>
      <c r="I1333">
        <f>0/(1000)</f>
        <v>0</v>
      </c>
      <c r="J1333">
        <f t="shared" si="30"/>
        <v>1</v>
      </c>
      <c r="K1333">
        <f>32025001/(1000)</f>
        <v>32025.001</v>
      </c>
      <c r="L1333">
        <v>15.9959831237793</v>
      </c>
      <c r="M1333">
        <v>13.6349420547485</v>
      </c>
      <c r="N1333">
        <v>81.929395617362204</v>
      </c>
      <c r="O1333">
        <v>204.53820800781301</v>
      </c>
      <c r="P1333">
        <v>1.2363636493682899</v>
      </c>
      <c r="Q1333">
        <v>0</v>
      </c>
      <c r="R1333">
        <v>19.188741716952801</v>
      </c>
      <c r="S1333">
        <v>49.996175518217299</v>
      </c>
      <c r="T1333">
        <v>0</v>
      </c>
      <c r="U1333">
        <v>0</v>
      </c>
      <c r="V1333">
        <v>0</v>
      </c>
      <c r="W1333">
        <v>0</v>
      </c>
    </row>
    <row r="1334" spans="1:23" x14ac:dyDescent="0.55000000000000004">
      <c r="A1334" t="s">
        <v>2676</v>
      </c>
      <c r="B1334" t="s">
        <v>2677</v>
      </c>
      <c r="C1334" t="s">
        <v>31</v>
      </c>
      <c r="D1334">
        <v>8.6</v>
      </c>
      <c r="E1334">
        <f>178743264/(1000)</f>
        <v>178743.264</v>
      </c>
      <c r="F1334">
        <f>176253008/(1000)</f>
        <v>176253.008</v>
      </c>
      <c r="G1334">
        <f>-15183000/(1000)</f>
        <v>-15183</v>
      </c>
      <c r="H1334">
        <f>47040264/(1000)</f>
        <v>47040.264000000003</v>
      </c>
      <c r="I1334">
        <f>-4733999.5/(1000)</f>
        <v>-4733.9994999999999</v>
      </c>
      <c r="J1334">
        <f t="shared" si="30"/>
        <v>-9.9366854601484443E-3</v>
      </c>
      <c r="K1334">
        <f>-294999.0625/(1000)</f>
        <v>-294.99906249999998</v>
      </c>
      <c r="L1334">
        <v>0</v>
      </c>
      <c r="M1334">
        <v>-2.6603939533233598</v>
      </c>
      <c r="N1334">
        <v>90.246392098122996</v>
      </c>
      <c r="O1334">
        <v>0</v>
      </c>
      <c r="P1334">
        <v>0</v>
      </c>
      <c r="Q1334">
        <v>0.76717219912617596</v>
      </c>
      <c r="R1334">
        <v>0</v>
      </c>
      <c r="S1334">
        <v>674.97695114980399</v>
      </c>
      <c r="T1334">
        <v>0</v>
      </c>
      <c r="U1334">
        <v>0</v>
      </c>
      <c r="V1334">
        <v>0</v>
      </c>
      <c r="W1334">
        <v>0</v>
      </c>
    </row>
    <row r="1335" spans="1:23" x14ac:dyDescent="0.55000000000000004">
      <c r="A1335" t="s">
        <v>2678</v>
      </c>
      <c r="B1335" t="s">
        <v>2679</v>
      </c>
      <c r="C1335" t="s">
        <v>121</v>
      </c>
      <c r="D1335">
        <v>24.91</v>
      </c>
      <c r="E1335">
        <f>453058080/(1000)</f>
        <v>453058.08</v>
      </c>
      <c r="F1335">
        <f>176200992/(1000)</f>
        <v>176200.992</v>
      </c>
      <c r="G1335">
        <f>25906000/(1000)</f>
        <v>25906</v>
      </c>
      <c r="H1335">
        <f>465952080/(1000)</f>
        <v>465952.08</v>
      </c>
      <c r="I1335">
        <f>32282000/(1000)</f>
        <v>32282</v>
      </c>
      <c r="J1335">
        <f t="shared" si="30"/>
        <v>1.4433804596989034E-2</v>
      </c>
      <c r="K1335">
        <f>10768001/(1000)</f>
        <v>10768.001</v>
      </c>
      <c r="L1335">
        <v>22.836875915527301</v>
      </c>
      <c r="M1335">
        <v>19.137744903564499</v>
      </c>
      <c r="N1335">
        <v>96.893524941417198</v>
      </c>
      <c r="O1335">
        <v>30.066608428955099</v>
      </c>
      <c r="P1335">
        <v>7.3333330452442003E-2</v>
      </c>
      <c r="Q1335">
        <v>0</v>
      </c>
      <c r="R1335">
        <v>25.680412245387199</v>
      </c>
      <c r="S1335">
        <v>192.70726448161901</v>
      </c>
      <c r="T1335">
        <v>0</v>
      </c>
      <c r="U1335">
        <v>0</v>
      </c>
      <c r="V1335">
        <v>0</v>
      </c>
      <c r="W1335">
        <v>0</v>
      </c>
    </row>
    <row r="1336" spans="1:23" x14ac:dyDescent="0.55000000000000004">
      <c r="A1336" t="s">
        <v>2680</v>
      </c>
      <c r="B1336" t="s">
        <v>2681</v>
      </c>
      <c r="C1336" t="s">
        <v>184</v>
      </c>
      <c r="D1336">
        <v>3.99</v>
      </c>
      <c r="E1336">
        <f>193603984/(1000)</f>
        <v>193603.984</v>
      </c>
      <c r="F1336">
        <f>176119008/(1000)</f>
        <v>176119.008</v>
      </c>
      <c r="G1336">
        <f>99115000/(1000)</f>
        <v>99115</v>
      </c>
      <c r="H1336">
        <f>2133206032/(1000)</f>
        <v>2133206.0320000001</v>
      </c>
      <c r="I1336">
        <f>107331000/(1000)</f>
        <v>107331</v>
      </c>
      <c r="J1336">
        <f t="shared" si="30"/>
        <v>1.9875022425953362E-2</v>
      </c>
      <c r="K1336">
        <f>-456999/(1000)</f>
        <v>-456.99900000000002</v>
      </c>
      <c r="L1336">
        <v>0</v>
      </c>
      <c r="M1336">
        <v>-1.8656630516052299</v>
      </c>
      <c r="N1336">
        <v>89.1886809933781</v>
      </c>
      <c r="O1336">
        <v>406.31939697265602</v>
      </c>
      <c r="P1336">
        <v>0</v>
      </c>
      <c r="Q1336">
        <v>0.33167083109745699</v>
      </c>
      <c r="R1336">
        <v>6.1384614968440898</v>
      </c>
      <c r="S1336">
        <v>0</v>
      </c>
      <c r="T1336">
        <v>0</v>
      </c>
      <c r="U1336">
        <v>0</v>
      </c>
      <c r="V1336">
        <v>0</v>
      </c>
      <c r="W1336">
        <v>0</v>
      </c>
    </row>
    <row r="1337" spans="1:23" x14ac:dyDescent="0.55000000000000004">
      <c r="A1337" t="s">
        <v>2682</v>
      </c>
      <c r="B1337" t="s">
        <v>2683</v>
      </c>
      <c r="C1337" t="s">
        <v>184</v>
      </c>
      <c r="D1337">
        <v>0.69</v>
      </c>
      <c r="E1337">
        <f>83255472/(1000)</f>
        <v>83255.471999999994</v>
      </c>
      <c r="F1337">
        <f>176119008/(1000)</f>
        <v>176119.008</v>
      </c>
      <c r="G1337">
        <f>-50159000/(1000)</f>
        <v>-50159</v>
      </c>
      <c r="H1337">
        <f>80408467.5/(1000)</f>
        <v>80408.467499999999</v>
      </c>
      <c r="I1337">
        <f>-39493000/(1000)</f>
        <v>-39493</v>
      </c>
      <c r="J1337">
        <f t="shared" si="30"/>
        <v>-2.036018218418454E-3</v>
      </c>
      <c r="K1337">
        <f>-45588999/(1000)</f>
        <v>-45588.999000000003</v>
      </c>
      <c r="L1337">
        <v>0</v>
      </c>
      <c r="M1337">
        <v>-35.389377593994098</v>
      </c>
      <c r="N1337">
        <v>98.9564049635663</v>
      </c>
      <c r="O1337">
        <v>112.825798034668</v>
      </c>
      <c r="P1337">
        <v>0</v>
      </c>
      <c r="Q1337">
        <v>0</v>
      </c>
      <c r="R1337">
        <v>0</v>
      </c>
      <c r="S1337">
        <v>-89.551268226411906</v>
      </c>
      <c r="T1337">
        <v>0</v>
      </c>
      <c r="U1337">
        <v>0</v>
      </c>
      <c r="V1337">
        <v>0</v>
      </c>
      <c r="W1337">
        <v>0</v>
      </c>
    </row>
    <row r="1338" spans="1:23" x14ac:dyDescent="0.55000000000000004">
      <c r="A1338" t="s">
        <v>2684</v>
      </c>
      <c r="B1338" t="s">
        <v>2685</v>
      </c>
      <c r="C1338" t="s">
        <v>8</v>
      </c>
      <c r="D1338">
        <v>0.5</v>
      </c>
      <c r="E1338">
        <f>63979400/(1000)</f>
        <v>63979.4</v>
      </c>
      <c r="F1338">
        <f>176064000/(1000)</f>
        <v>176064</v>
      </c>
      <c r="G1338">
        <f>38292000/(1000)</f>
        <v>38292</v>
      </c>
      <c r="H1338">
        <f>389187400/(1000)</f>
        <v>389187.4</v>
      </c>
      <c r="I1338">
        <f>120110000/(1000)</f>
        <v>120110</v>
      </c>
      <c r="J1338">
        <f t="shared" si="30"/>
        <v>3.2402580967446507E-3</v>
      </c>
      <c r="K1338">
        <f>40499001/(1000)</f>
        <v>40499.000999999997</v>
      </c>
      <c r="L1338">
        <v>0</v>
      </c>
      <c r="M1338">
        <v>-64.515960693359403</v>
      </c>
      <c r="N1338">
        <v>78.781607048395998</v>
      </c>
      <c r="O1338">
        <v>136.43421936035199</v>
      </c>
      <c r="P1338">
        <v>0</v>
      </c>
      <c r="Q1338">
        <v>0</v>
      </c>
      <c r="R1338">
        <v>0</v>
      </c>
      <c r="S1338">
        <v>1100299.93283692</v>
      </c>
      <c r="T1338">
        <v>0</v>
      </c>
      <c r="U1338">
        <v>0</v>
      </c>
      <c r="V1338">
        <v>0</v>
      </c>
      <c r="W1338">
        <v>0</v>
      </c>
    </row>
    <row r="1339" spans="1:23" x14ac:dyDescent="0.55000000000000004">
      <c r="A1339" t="s">
        <v>2686</v>
      </c>
      <c r="B1339" t="s">
        <v>2687</v>
      </c>
      <c r="C1339" t="s">
        <v>184</v>
      </c>
      <c r="D1339">
        <v>6.6</v>
      </c>
      <c r="E1339">
        <f>126914048/(1000)</f>
        <v>126914.048</v>
      </c>
      <c r="F1339">
        <f>175086000/(1000)</f>
        <v>175086</v>
      </c>
      <c r="G1339">
        <f>0/(1000)</f>
        <v>0</v>
      </c>
      <c r="H1339">
        <f>0/(1000)</f>
        <v>0</v>
      </c>
      <c r="I1339">
        <f>0/(1000)</f>
        <v>0</v>
      </c>
      <c r="J1339">
        <f t="shared" si="30"/>
        <v>1</v>
      </c>
      <c r="K1339">
        <f>9949001/(1000)</f>
        <v>9949.0010000000002</v>
      </c>
      <c r="L1339">
        <v>19.1570224761963</v>
      </c>
      <c r="M1339">
        <v>4.5758490562439</v>
      </c>
      <c r="N1339">
        <v>76.867710443748607</v>
      </c>
      <c r="O1339">
        <v>96.435783386230497</v>
      </c>
      <c r="P1339">
        <v>3.9999999105930002E-2</v>
      </c>
      <c r="Q1339">
        <v>0.70106185431559798</v>
      </c>
      <c r="R1339">
        <v>0</v>
      </c>
      <c r="S1339">
        <v>99.441837153141606</v>
      </c>
      <c r="T1339">
        <v>0</v>
      </c>
      <c r="U1339">
        <v>0</v>
      </c>
      <c r="V1339">
        <v>0</v>
      </c>
      <c r="W1339">
        <v>0</v>
      </c>
    </row>
    <row r="1340" spans="1:23" x14ac:dyDescent="0.55000000000000004">
      <c r="A1340" t="s">
        <v>2688</v>
      </c>
      <c r="B1340" t="s">
        <v>2689</v>
      </c>
      <c r="C1340" t="s">
        <v>31</v>
      </c>
      <c r="D1340">
        <v>16.71</v>
      </c>
      <c r="E1340">
        <f>593960320/(1000)</f>
        <v>593960.31999999995</v>
      </c>
      <c r="F1340">
        <f>174412992/(1000)</f>
        <v>174412.992</v>
      </c>
      <c r="G1340">
        <f>22876000/(1000)</f>
        <v>22876</v>
      </c>
      <c r="H1340">
        <f>645960320/(1000)</f>
        <v>645960.31999999995</v>
      </c>
      <c r="I1340">
        <f>45173000/(1000)</f>
        <v>45173</v>
      </c>
      <c r="J1340">
        <f t="shared" si="30"/>
        <v>1.4299699377947003E-2</v>
      </c>
      <c r="K1340">
        <f>21416001/(1000)</f>
        <v>21416.001</v>
      </c>
      <c r="L1340">
        <v>28.711490631103501</v>
      </c>
      <c r="M1340">
        <v>2.9619910717010498</v>
      </c>
      <c r="N1340">
        <v>80.299448928794604</v>
      </c>
      <c r="O1340">
        <v>21.711635589599599</v>
      </c>
      <c r="P1340">
        <v>0</v>
      </c>
      <c r="Q1340">
        <v>0</v>
      </c>
      <c r="R1340">
        <v>35.164140229399798</v>
      </c>
      <c r="S1340">
        <v>381.05966460723698</v>
      </c>
      <c r="T1340">
        <v>0</v>
      </c>
      <c r="U1340">
        <v>0</v>
      </c>
      <c r="V1340">
        <v>0</v>
      </c>
      <c r="W1340">
        <v>0</v>
      </c>
    </row>
    <row r="1341" spans="1:23" x14ac:dyDescent="0.55000000000000004">
      <c r="A1341" t="s">
        <v>2690</v>
      </c>
      <c r="B1341" t="s">
        <v>2691</v>
      </c>
      <c r="C1341" t="s">
        <v>184</v>
      </c>
      <c r="D1341">
        <v>2</v>
      </c>
      <c r="E1341">
        <f>105162400/(1000)</f>
        <v>105162.4</v>
      </c>
      <c r="F1341">
        <f>174384992/(1000)</f>
        <v>174384.992</v>
      </c>
      <c r="G1341">
        <f>0/(1000)</f>
        <v>0</v>
      </c>
      <c r="H1341">
        <f>0/(1000)</f>
        <v>0</v>
      </c>
      <c r="I1341">
        <f>0/(1000)</f>
        <v>0</v>
      </c>
      <c r="J1341">
        <f t="shared" si="30"/>
        <v>1</v>
      </c>
      <c r="K1341">
        <f>34472001/(1000)</f>
        <v>34472.000999999997</v>
      </c>
      <c r="L1341">
        <v>0</v>
      </c>
      <c r="M1341">
        <v>-27.396135330200199</v>
      </c>
      <c r="N1341">
        <v>95.699984669010405</v>
      </c>
      <c r="O1341">
        <v>30.710563659668001</v>
      </c>
      <c r="P1341">
        <v>0</v>
      </c>
      <c r="Q1341">
        <v>0.67796609073629099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</row>
    <row r="1342" spans="1:23" x14ac:dyDescent="0.55000000000000004">
      <c r="A1342" t="s">
        <v>2692</v>
      </c>
      <c r="B1342" t="s">
        <v>2693</v>
      </c>
      <c r="C1342" t="s">
        <v>2</v>
      </c>
      <c r="D1342">
        <v>1.45</v>
      </c>
      <c r="E1342">
        <f>34041796/(1000)</f>
        <v>34041.796000000002</v>
      </c>
      <c r="F1342">
        <f>174235584/(1000)</f>
        <v>174235.584</v>
      </c>
      <c r="G1342">
        <f>14307604/(1000)</f>
        <v>14307.603999999999</v>
      </c>
      <c r="H1342">
        <f>35978701.25/(1000)</f>
        <v>35978.701249999998</v>
      </c>
      <c r="I1342">
        <f>14787978/(1000)</f>
        <v>14787.977999999999</v>
      </c>
      <c r="J1342">
        <f t="shared" si="30"/>
        <v>2.432969622351345E-3</v>
      </c>
      <c r="K1342">
        <f>-14867611/(1000)</f>
        <v>-14867.611000000001</v>
      </c>
      <c r="L1342">
        <v>0</v>
      </c>
      <c r="M1342">
        <v>48.581153869628899</v>
      </c>
      <c r="N1342">
        <v>67.584155404093494</v>
      </c>
      <c r="O1342">
        <v>5.2135848999023402</v>
      </c>
      <c r="P1342">
        <v>0</v>
      </c>
      <c r="Q1342">
        <v>0</v>
      </c>
      <c r="R1342">
        <v>1.5425532461292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55000000000000004">
      <c r="A1343" t="s">
        <v>2694</v>
      </c>
      <c r="B1343" t="s">
        <v>2695</v>
      </c>
      <c r="C1343" t="s">
        <v>184</v>
      </c>
      <c r="D1343">
        <v>0.71</v>
      </c>
      <c r="E1343">
        <f>54042928/(1000)</f>
        <v>54042.928</v>
      </c>
      <c r="F1343">
        <f>174232000/(1000)</f>
        <v>174232</v>
      </c>
      <c r="G1343">
        <f>132150000/(1000)</f>
        <v>132150</v>
      </c>
      <c r="H1343">
        <f>687729904/(1000)</f>
        <v>687729.90399999998</v>
      </c>
      <c r="I1343">
        <f>141772992/(1000)</f>
        <v>141772.992</v>
      </c>
      <c r="J1343">
        <f t="shared" si="30"/>
        <v>4.850923256243333E-3</v>
      </c>
      <c r="K1343">
        <f>51995001/(1000)</f>
        <v>51995.000999999997</v>
      </c>
      <c r="L1343">
        <v>11.4814500808716</v>
      </c>
      <c r="M1343">
        <v>10.9125308990479</v>
      </c>
      <c r="N1343">
        <v>95.321534174199101</v>
      </c>
      <c r="O1343">
        <v>89.977821350097699</v>
      </c>
      <c r="P1343">
        <v>0</v>
      </c>
      <c r="Q1343">
        <v>7.8107807109353E-2</v>
      </c>
      <c r="R1343">
        <v>0.63392854957100098</v>
      </c>
      <c r="S1343">
        <v>392.222504732039</v>
      </c>
      <c r="T1343">
        <v>0</v>
      </c>
      <c r="U1343">
        <v>0</v>
      </c>
      <c r="V1343">
        <v>0</v>
      </c>
      <c r="W1343">
        <v>0</v>
      </c>
    </row>
    <row r="1344" spans="1:23" x14ac:dyDescent="0.55000000000000004">
      <c r="A1344" t="s">
        <v>2696</v>
      </c>
      <c r="B1344" t="s">
        <v>2697</v>
      </c>
      <c r="C1344" t="s">
        <v>31</v>
      </c>
      <c r="D1344">
        <v>5.78</v>
      </c>
      <c r="E1344">
        <f>367443264/(1000)</f>
        <v>367443.26400000002</v>
      </c>
      <c r="F1344">
        <f>174120992/(1000)</f>
        <v>174120.992</v>
      </c>
      <c r="G1344">
        <f>665000/(1000)</f>
        <v>665</v>
      </c>
      <c r="H1344">
        <f>192306272/(1000)</f>
        <v>192306.272</v>
      </c>
      <c r="I1344">
        <f>19333000/(1000)</f>
        <v>19333</v>
      </c>
      <c r="J1344">
        <f t="shared" si="30"/>
        <v>9.9470476387523935E-3</v>
      </c>
      <c r="K1344">
        <f>34838001/(1000)</f>
        <v>34838.000999999997</v>
      </c>
      <c r="L1344">
        <v>51.176963806152301</v>
      </c>
      <c r="M1344">
        <v>2.2699251174926798</v>
      </c>
      <c r="N1344">
        <v>50.448079044280298</v>
      </c>
      <c r="O1344">
        <v>0</v>
      </c>
      <c r="P1344">
        <v>0</v>
      </c>
      <c r="Q1344">
        <v>1.1966874329416901</v>
      </c>
      <c r="R1344">
        <v>23.1200011837483</v>
      </c>
      <c r="S1344">
        <v>157.59829570671999</v>
      </c>
      <c r="T1344">
        <v>0</v>
      </c>
      <c r="U1344">
        <v>0</v>
      </c>
      <c r="V1344">
        <v>0</v>
      </c>
      <c r="W1344">
        <v>0</v>
      </c>
    </row>
    <row r="1345" spans="1:23" x14ac:dyDescent="0.55000000000000004">
      <c r="A1345" t="s">
        <v>2698</v>
      </c>
      <c r="B1345" t="s">
        <v>2699</v>
      </c>
      <c r="C1345" t="s">
        <v>184</v>
      </c>
      <c r="D1345">
        <v>9.6999999999999993</v>
      </c>
      <c r="E1345">
        <f>434810400/(1000)</f>
        <v>434810.4</v>
      </c>
      <c r="F1345">
        <f>173794000/(1000)</f>
        <v>173794</v>
      </c>
      <c r="G1345">
        <f>0/(1000)</f>
        <v>0</v>
      </c>
      <c r="H1345">
        <f>401522402/(1000)</f>
        <v>401522.402</v>
      </c>
      <c r="I1345">
        <f>0/(1000)</f>
        <v>0</v>
      </c>
      <c r="J1345">
        <f t="shared" si="30"/>
        <v>1</v>
      </c>
      <c r="K1345">
        <f>37917001/(1000)</f>
        <v>37917.000999999997</v>
      </c>
      <c r="L1345">
        <v>48.619606018066399</v>
      </c>
      <c r="M1345">
        <v>9.2187938690185494</v>
      </c>
      <c r="N1345">
        <v>67.065381076711105</v>
      </c>
      <c r="O1345">
        <v>0</v>
      </c>
      <c r="P1345">
        <v>0</v>
      </c>
      <c r="Q1345">
        <v>0</v>
      </c>
      <c r="R1345">
        <v>53.888888476117501</v>
      </c>
      <c r="S1345">
        <v>109.380270830321</v>
      </c>
      <c r="T1345">
        <v>0</v>
      </c>
      <c r="U1345">
        <v>0</v>
      </c>
      <c r="V1345">
        <v>0</v>
      </c>
      <c r="W1345">
        <v>0</v>
      </c>
    </row>
    <row r="1346" spans="1:23" x14ac:dyDescent="0.55000000000000004">
      <c r="A1346" t="s">
        <v>2700</v>
      </c>
      <c r="B1346" t="s">
        <v>2701</v>
      </c>
      <c r="C1346" t="s">
        <v>184</v>
      </c>
      <c r="D1346">
        <v>29.81</v>
      </c>
      <c r="E1346">
        <f>706753344/(1000)</f>
        <v>706753.34400000004</v>
      </c>
      <c r="F1346">
        <f>173452368/(1000)</f>
        <v>173452.36799999999</v>
      </c>
      <c r="G1346">
        <f>0/(1000)</f>
        <v>0</v>
      </c>
      <c r="H1346">
        <f>0/(1000)</f>
        <v>0</v>
      </c>
      <c r="I1346">
        <f>0/(1000)</f>
        <v>0</v>
      </c>
      <c r="J1346">
        <f t="shared" ref="J1346:J1409" si="31">(IF(I1346=0,1000,H1346/I1346))/(1000)</f>
        <v>1</v>
      </c>
      <c r="K1346">
        <f>10322214/(1000)</f>
        <v>10322.214</v>
      </c>
      <c r="L1346">
        <v>29.572172164916999</v>
      </c>
      <c r="M1346">
        <v>6.3771061897277797</v>
      </c>
      <c r="N1346">
        <v>92.607327476920204</v>
      </c>
      <c r="O1346">
        <v>81.484046936035199</v>
      </c>
      <c r="P1346">
        <v>0</v>
      </c>
      <c r="Q1346">
        <v>1.37039202145345</v>
      </c>
      <c r="R1346">
        <v>20.8461538028691</v>
      </c>
      <c r="S1346">
        <v>1113.5476666899899</v>
      </c>
      <c r="T1346">
        <v>0</v>
      </c>
      <c r="U1346">
        <v>0</v>
      </c>
      <c r="V1346">
        <v>0</v>
      </c>
      <c r="W1346">
        <v>0</v>
      </c>
    </row>
    <row r="1347" spans="1:23" x14ac:dyDescent="0.55000000000000004">
      <c r="A1347" t="s">
        <v>2702</v>
      </c>
      <c r="B1347" t="s">
        <v>2703</v>
      </c>
      <c r="C1347" t="s">
        <v>5</v>
      </c>
      <c r="D1347">
        <v>12.44</v>
      </c>
      <c r="E1347">
        <f>304335904/(1000)</f>
        <v>304335.90399999998</v>
      </c>
      <c r="F1347">
        <f>173256000/(1000)</f>
        <v>173256</v>
      </c>
      <c r="G1347">
        <f>47142000/(1000)</f>
        <v>47142</v>
      </c>
      <c r="H1347">
        <f>239778904/(1000)</f>
        <v>239778.90400000001</v>
      </c>
      <c r="I1347">
        <f>49186000/(1000)</f>
        <v>49186</v>
      </c>
      <c r="J1347">
        <f t="shared" si="31"/>
        <v>4.8749421380067503E-3</v>
      </c>
      <c r="K1347">
        <f>1045001/(1000)</f>
        <v>1045.001</v>
      </c>
      <c r="L1347">
        <v>0</v>
      </c>
      <c r="M1347">
        <v>34.9385795593262</v>
      </c>
      <c r="N1347">
        <v>92.134252182169803</v>
      </c>
      <c r="O1347">
        <v>0</v>
      </c>
      <c r="P1347">
        <v>0</v>
      </c>
      <c r="Q1347">
        <v>0</v>
      </c>
      <c r="R1347">
        <v>7.7749997667036999</v>
      </c>
      <c r="S1347">
        <v>1878013.8211382099</v>
      </c>
      <c r="T1347">
        <v>0</v>
      </c>
      <c r="U1347">
        <v>0</v>
      </c>
      <c r="V1347">
        <v>0</v>
      </c>
      <c r="W1347">
        <v>0</v>
      </c>
    </row>
    <row r="1348" spans="1:23" x14ac:dyDescent="0.55000000000000004">
      <c r="A1348" t="s">
        <v>2704</v>
      </c>
      <c r="B1348" t="s">
        <v>2705</v>
      </c>
      <c r="C1348" t="s">
        <v>184</v>
      </c>
      <c r="D1348">
        <v>15.5</v>
      </c>
      <c r="E1348">
        <f>312114208/(1000)</f>
        <v>312114.20799999998</v>
      </c>
      <c r="F1348">
        <f>172952992/(1000)</f>
        <v>172952.992</v>
      </c>
      <c r="G1348">
        <f t="shared" ref="G1348:I1349" si="32">0/(1000)</f>
        <v>0</v>
      </c>
      <c r="H1348">
        <f t="shared" si="32"/>
        <v>0</v>
      </c>
      <c r="I1348">
        <f t="shared" si="32"/>
        <v>0</v>
      </c>
      <c r="J1348">
        <f t="shared" si="31"/>
        <v>1</v>
      </c>
      <c r="K1348">
        <f>16108001/(1000)</f>
        <v>16108.001</v>
      </c>
      <c r="L1348">
        <v>14.014864921569799</v>
      </c>
      <c r="M1348">
        <v>8.4546413421630895</v>
      </c>
      <c r="N1348">
        <v>90.013109589948101</v>
      </c>
      <c r="O1348">
        <v>131.95431518554699</v>
      </c>
      <c r="P1348">
        <v>0.57999998331069902</v>
      </c>
      <c r="Q1348">
        <v>1.0347129822198899</v>
      </c>
      <c r="R1348">
        <v>12.809917267029499</v>
      </c>
      <c r="S1348">
        <v>99.525843889158097</v>
      </c>
      <c r="T1348">
        <v>0</v>
      </c>
      <c r="U1348">
        <v>0</v>
      </c>
      <c r="V1348">
        <v>0</v>
      </c>
      <c r="W1348">
        <v>0</v>
      </c>
    </row>
    <row r="1349" spans="1:23" x14ac:dyDescent="0.55000000000000004">
      <c r="A1349" t="s">
        <v>2706</v>
      </c>
      <c r="B1349" t="s">
        <v>2707</v>
      </c>
      <c r="C1349" t="s">
        <v>184</v>
      </c>
      <c r="D1349">
        <v>11.25</v>
      </c>
      <c r="E1349">
        <f>925475648/(1000)</f>
        <v>925475.64800000004</v>
      </c>
      <c r="F1349">
        <f>172458000/(1000)</f>
        <v>172458</v>
      </c>
      <c r="G1349">
        <f t="shared" si="32"/>
        <v>0</v>
      </c>
      <c r="H1349">
        <f t="shared" si="32"/>
        <v>0</v>
      </c>
      <c r="I1349">
        <f t="shared" si="32"/>
        <v>0</v>
      </c>
      <c r="J1349">
        <f t="shared" si="31"/>
        <v>1</v>
      </c>
      <c r="K1349">
        <f>3740001/(1000)</f>
        <v>3740.0010000000002</v>
      </c>
      <c r="L1349">
        <v>0</v>
      </c>
      <c r="M1349">
        <v>-0.343252003192902</v>
      </c>
      <c r="N1349">
        <v>39.206703542837097</v>
      </c>
      <c r="O1349">
        <v>65.686347961425795</v>
      </c>
      <c r="P1349">
        <v>0</v>
      </c>
      <c r="Q1349">
        <v>1.5175366375761601</v>
      </c>
      <c r="R1349">
        <v>59.210526478319501</v>
      </c>
      <c r="S1349">
        <v>0</v>
      </c>
      <c r="T1349">
        <v>0</v>
      </c>
      <c r="U1349">
        <v>0</v>
      </c>
      <c r="V1349">
        <v>0</v>
      </c>
      <c r="W1349">
        <v>0</v>
      </c>
    </row>
    <row r="1350" spans="1:23" x14ac:dyDescent="0.55000000000000004">
      <c r="A1350" t="s">
        <v>2708</v>
      </c>
      <c r="B1350" t="s">
        <v>2709</v>
      </c>
      <c r="C1350" t="s">
        <v>5</v>
      </c>
      <c r="D1350">
        <v>1.73</v>
      </c>
      <c r="E1350">
        <f>81971552/(1000)</f>
        <v>81971.551999999996</v>
      </c>
      <c r="F1350">
        <f>172158000/(1000)</f>
        <v>172158</v>
      </c>
      <c r="G1350">
        <f>93196000/(1000)</f>
        <v>93196</v>
      </c>
      <c r="H1350">
        <f>1761375584/(1000)</f>
        <v>1761375.584</v>
      </c>
      <c r="I1350">
        <f>141798000/(1000)</f>
        <v>141798</v>
      </c>
      <c r="J1350">
        <f t="shared" si="31"/>
        <v>1.2421723747866684E-2</v>
      </c>
      <c r="K1350">
        <f>-249236991/(1000)</f>
        <v>-249236.99100000001</v>
      </c>
      <c r="L1350">
        <v>0</v>
      </c>
      <c r="M1350">
        <v>-1.7344540357589699</v>
      </c>
      <c r="N1350">
        <v>85.449237611234906</v>
      </c>
      <c r="O1350">
        <v>488.34490966796898</v>
      </c>
      <c r="P1350">
        <v>0</v>
      </c>
      <c r="Q1350">
        <v>0</v>
      </c>
      <c r="R1350">
        <v>0</v>
      </c>
      <c r="S1350">
        <v>1940.99585062241</v>
      </c>
      <c r="T1350">
        <v>0</v>
      </c>
      <c r="U1350">
        <v>0</v>
      </c>
      <c r="V1350">
        <v>0</v>
      </c>
      <c r="W1350">
        <v>0</v>
      </c>
    </row>
    <row r="1351" spans="1:23" x14ac:dyDescent="0.55000000000000004">
      <c r="A1351" t="s">
        <v>2710</v>
      </c>
      <c r="B1351" t="s">
        <v>2711</v>
      </c>
      <c r="C1351" t="s">
        <v>2</v>
      </c>
      <c r="D1351">
        <v>31.28</v>
      </c>
      <c r="E1351">
        <f>187561136/(1000)</f>
        <v>187561.136</v>
      </c>
      <c r="F1351">
        <f>172061008/(1000)</f>
        <v>172061.008</v>
      </c>
      <c r="G1351">
        <f>24106000/(1000)</f>
        <v>24106</v>
      </c>
      <c r="H1351">
        <f>195215136/(1000)</f>
        <v>195215.136</v>
      </c>
      <c r="I1351">
        <f>34630000/(1000)</f>
        <v>34630</v>
      </c>
      <c r="J1351">
        <f t="shared" si="31"/>
        <v>5.6371682356338429E-3</v>
      </c>
      <c r="K1351">
        <f>19874001/(1000)</f>
        <v>19874.001</v>
      </c>
      <c r="L1351">
        <v>13.090771675109901</v>
      </c>
      <c r="M1351">
        <v>8.9851179122924805</v>
      </c>
      <c r="N1351">
        <v>20.2895164073507</v>
      </c>
      <c r="O1351">
        <v>17.910324096679702</v>
      </c>
      <c r="P1351">
        <v>0</v>
      </c>
      <c r="Q1351">
        <v>0</v>
      </c>
      <c r="R1351">
        <v>24.684421756424801</v>
      </c>
      <c r="S1351">
        <v>145.720703197521</v>
      </c>
      <c r="T1351">
        <v>0</v>
      </c>
      <c r="U1351">
        <v>0</v>
      </c>
      <c r="V1351">
        <v>0</v>
      </c>
      <c r="W1351">
        <v>0</v>
      </c>
    </row>
    <row r="1352" spans="1:23" x14ac:dyDescent="0.55000000000000004">
      <c r="A1352" t="s">
        <v>2712</v>
      </c>
      <c r="B1352" t="s">
        <v>2713</v>
      </c>
      <c r="C1352" t="s">
        <v>401</v>
      </c>
      <c r="D1352">
        <v>70.069999999999993</v>
      </c>
      <c r="E1352">
        <f>212970768/(1000)</f>
        <v>212970.76800000001</v>
      </c>
      <c r="F1352">
        <f>172048992/(1000)</f>
        <v>172048.992</v>
      </c>
      <c r="G1352">
        <f>13484000/(1000)</f>
        <v>13484</v>
      </c>
      <c r="H1352">
        <f>285364768/(1000)</f>
        <v>285364.76799999998</v>
      </c>
      <c r="I1352">
        <f>28219000/(1000)</f>
        <v>28219</v>
      </c>
      <c r="J1352">
        <f t="shared" si="31"/>
        <v>1.0112504624543746E-2</v>
      </c>
      <c r="K1352">
        <f>-19236999/(1000)</f>
        <v>-19236.999</v>
      </c>
      <c r="L1352">
        <v>26.633174896240199</v>
      </c>
      <c r="M1352">
        <v>5.9503540992736799</v>
      </c>
      <c r="N1352">
        <v>51.855627682346203</v>
      </c>
      <c r="O1352">
        <v>58.368461608886697</v>
      </c>
      <c r="P1352">
        <v>0</v>
      </c>
      <c r="Q1352">
        <v>0</v>
      </c>
      <c r="R1352">
        <v>34.014563472890401</v>
      </c>
      <c r="S1352">
        <v>67.950987895353407</v>
      </c>
      <c r="T1352">
        <v>0</v>
      </c>
      <c r="U1352">
        <v>0</v>
      </c>
      <c r="V1352">
        <v>0</v>
      </c>
      <c r="W1352">
        <v>0</v>
      </c>
    </row>
    <row r="1353" spans="1:23" x14ac:dyDescent="0.55000000000000004">
      <c r="A1353" t="s">
        <v>2714</v>
      </c>
      <c r="B1353" t="s">
        <v>2715</v>
      </c>
      <c r="C1353" t="s">
        <v>5</v>
      </c>
      <c r="D1353">
        <v>54.86</v>
      </c>
      <c r="E1353">
        <f>613784640/(1000)</f>
        <v>613784.64</v>
      </c>
      <c r="F1353">
        <f>171621008/(1000)</f>
        <v>171621.008</v>
      </c>
      <c r="G1353">
        <f>23264000/(1000)</f>
        <v>23264</v>
      </c>
      <c r="H1353">
        <f>605768640/(1000)</f>
        <v>605768.64</v>
      </c>
      <c r="I1353">
        <f>27782000/(1000)</f>
        <v>27782</v>
      </c>
      <c r="J1353">
        <f t="shared" si="31"/>
        <v>2.180435677776978E-2</v>
      </c>
      <c r="K1353">
        <f>10454001/(1000)</f>
        <v>10454.001</v>
      </c>
      <c r="L1353">
        <v>19.068115234375</v>
      </c>
      <c r="M1353">
        <v>11.843935012817401</v>
      </c>
      <c r="N1353">
        <v>84.232494973012393</v>
      </c>
      <c r="O1353">
        <v>0</v>
      </c>
      <c r="P1353">
        <v>0</v>
      </c>
      <c r="Q1353">
        <v>3.3553516410022302</v>
      </c>
      <c r="R1353">
        <v>26.631068226630202</v>
      </c>
      <c r="S1353">
        <v>115.64220842861801</v>
      </c>
      <c r="T1353">
        <v>0</v>
      </c>
      <c r="U1353">
        <v>0</v>
      </c>
      <c r="V1353">
        <v>0</v>
      </c>
      <c r="W1353">
        <v>0</v>
      </c>
    </row>
    <row r="1354" spans="1:23" x14ac:dyDescent="0.55000000000000004">
      <c r="A1354" t="s">
        <v>2716</v>
      </c>
      <c r="B1354" t="s">
        <v>2717</v>
      </c>
      <c r="C1354" t="s">
        <v>8</v>
      </c>
      <c r="D1354">
        <v>2.6</v>
      </c>
      <c r="E1354">
        <f>56197700/(1000)</f>
        <v>56197.7</v>
      </c>
      <c r="F1354">
        <f>170768000/(1000)</f>
        <v>170768</v>
      </c>
      <c r="G1354">
        <f>56350000/(1000)</f>
        <v>56350</v>
      </c>
      <c r="H1354">
        <f>226875700/(1000)</f>
        <v>226875.7</v>
      </c>
      <c r="I1354">
        <f>130027000/(1000)</f>
        <v>130027</v>
      </c>
      <c r="J1354">
        <f t="shared" si="31"/>
        <v>1.7448353034369786E-3</v>
      </c>
      <c r="K1354">
        <f>-18125999/(1000)</f>
        <v>-18125.999</v>
      </c>
      <c r="L1354">
        <v>0</v>
      </c>
      <c r="M1354">
        <v>5.3458781242370597</v>
      </c>
      <c r="N1354">
        <v>97.306437601872105</v>
      </c>
      <c r="O1354">
        <v>136.55386352539099</v>
      </c>
      <c r="P1354">
        <v>0</v>
      </c>
      <c r="Q1354">
        <v>0</v>
      </c>
      <c r="R1354">
        <v>1.84397158773365</v>
      </c>
      <c r="S1354">
        <v>179.16496379003101</v>
      </c>
      <c r="T1354">
        <v>0</v>
      </c>
      <c r="U1354">
        <v>0</v>
      </c>
      <c r="V1354">
        <v>0</v>
      </c>
      <c r="W1354">
        <v>0</v>
      </c>
    </row>
    <row r="1355" spans="1:23" x14ac:dyDescent="0.55000000000000004">
      <c r="A1355" t="s">
        <v>2718</v>
      </c>
      <c r="B1355" t="s">
        <v>2719</v>
      </c>
      <c r="C1355" t="s">
        <v>184</v>
      </c>
      <c r="D1355">
        <v>12.4</v>
      </c>
      <c r="E1355">
        <f>493749408/(1000)</f>
        <v>493749.408</v>
      </c>
      <c r="F1355">
        <f>170024000/(1000)</f>
        <v>170024</v>
      </c>
      <c r="G1355">
        <f t="shared" ref="G1355:I1356" si="33">0/(1000)</f>
        <v>0</v>
      </c>
      <c r="H1355">
        <f t="shared" si="33"/>
        <v>0</v>
      </c>
      <c r="I1355">
        <f t="shared" si="33"/>
        <v>0</v>
      </c>
      <c r="J1355">
        <f t="shared" si="31"/>
        <v>1</v>
      </c>
      <c r="K1355">
        <f>29052001/(1000)</f>
        <v>29052.001</v>
      </c>
      <c r="L1355">
        <v>26.227546691894499</v>
      </c>
      <c r="M1355">
        <v>5.9131088256835902</v>
      </c>
      <c r="N1355">
        <v>87.293844688073506</v>
      </c>
      <c r="O1355">
        <v>141.80049133300801</v>
      </c>
      <c r="P1355">
        <v>0.239999994635582</v>
      </c>
      <c r="Q1355">
        <v>1.18887816449793</v>
      </c>
      <c r="R1355">
        <v>20.3278682469617</v>
      </c>
      <c r="S1355">
        <v>152.467146781498</v>
      </c>
      <c r="T1355">
        <v>0</v>
      </c>
      <c r="U1355">
        <v>0</v>
      </c>
      <c r="V1355">
        <v>0</v>
      </c>
      <c r="W1355">
        <v>0</v>
      </c>
    </row>
    <row r="1356" spans="1:23" x14ac:dyDescent="0.55000000000000004">
      <c r="A1356" t="s">
        <v>2720</v>
      </c>
      <c r="B1356" t="s">
        <v>2721</v>
      </c>
      <c r="C1356" t="s">
        <v>184</v>
      </c>
      <c r="D1356">
        <v>40.99</v>
      </c>
      <c r="E1356">
        <f>536911616/(1000)</f>
        <v>536911.61600000004</v>
      </c>
      <c r="F1356">
        <f>169231008/(1000)</f>
        <v>169231.008</v>
      </c>
      <c r="G1356">
        <f t="shared" si="33"/>
        <v>0</v>
      </c>
      <c r="H1356">
        <f t="shared" si="33"/>
        <v>0</v>
      </c>
      <c r="I1356">
        <f t="shared" si="33"/>
        <v>0</v>
      </c>
      <c r="J1356">
        <f t="shared" si="31"/>
        <v>1</v>
      </c>
      <c r="K1356">
        <f>33120001/(1000)</f>
        <v>33120.000999999997</v>
      </c>
      <c r="L1356">
        <v>17.1019496917725</v>
      </c>
      <c r="M1356">
        <v>9.2521591186523402</v>
      </c>
      <c r="N1356">
        <v>78.785516731928794</v>
      </c>
      <c r="O1356">
        <v>130.85781860351599</v>
      </c>
      <c r="P1356">
        <v>0.89999997615814198</v>
      </c>
      <c r="Q1356">
        <v>0</v>
      </c>
      <c r="R1356">
        <v>19.334906408618298</v>
      </c>
      <c r="S1356">
        <v>3.94131217217193</v>
      </c>
      <c r="T1356">
        <v>0</v>
      </c>
      <c r="U1356">
        <v>0</v>
      </c>
      <c r="V1356">
        <v>0</v>
      </c>
      <c r="W1356">
        <v>0</v>
      </c>
    </row>
    <row r="1357" spans="1:23" x14ac:dyDescent="0.55000000000000004">
      <c r="A1357" t="s">
        <v>2722</v>
      </c>
      <c r="B1357" t="s">
        <v>2723</v>
      </c>
      <c r="C1357" t="s">
        <v>31</v>
      </c>
      <c r="D1357">
        <v>8.6199999999999992</v>
      </c>
      <c r="E1357">
        <f>339109952/(1000)</f>
        <v>339109.95199999999</v>
      </c>
      <c r="F1357">
        <f>168956000/(1000)</f>
        <v>168956</v>
      </c>
      <c r="G1357">
        <f>-5342000/(1000)</f>
        <v>-5342</v>
      </c>
      <c r="H1357">
        <f>326009952/(1000)</f>
        <v>326009.95199999999</v>
      </c>
      <c r="I1357">
        <f>3781000/(1000)</f>
        <v>3781</v>
      </c>
      <c r="J1357">
        <f t="shared" si="31"/>
        <v>8.6223208674953714E-2</v>
      </c>
      <c r="K1357">
        <f>31478001/(1000)</f>
        <v>31478.001</v>
      </c>
      <c r="L1357">
        <v>189.32026672363301</v>
      </c>
      <c r="M1357">
        <v>-1.24381995201111</v>
      </c>
      <c r="N1357">
        <v>83.343117779123006</v>
      </c>
      <c r="O1357">
        <v>50.042312622070298</v>
      </c>
      <c r="P1357">
        <v>0</v>
      </c>
      <c r="Q1357">
        <v>0</v>
      </c>
      <c r="R1357">
        <v>18.887147934171701</v>
      </c>
      <c r="S1357">
        <v>135.781071199308</v>
      </c>
      <c r="T1357">
        <v>0</v>
      </c>
      <c r="U1357">
        <v>0</v>
      </c>
      <c r="V1357">
        <v>0</v>
      </c>
      <c r="W1357">
        <v>0</v>
      </c>
    </row>
    <row r="1358" spans="1:23" x14ac:dyDescent="0.55000000000000004">
      <c r="A1358" t="s">
        <v>2724</v>
      </c>
      <c r="B1358" t="s">
        <v>2725</v>
      </c>
      <c r="C1358" t="s">
        <v>2</v>
      </c>
      <c r="D1358">
        <v>11.37</v>
      </c>
      <c r="E1358">
        <f>131389448/(1000)</f>
        <v>131389.448</v>
      </c>
      <c r="F1358">
        <f>168502000/(1000)</f>
        <v>168502</v>
      </c>
      <c r="G1358">
        <f>21448000/(1000)</f>
        <v>21448</v>
      </c>
      <c r="H1358">
        <f>157495448/(1000)</f>
        <v>157495.448</v>
      </c>
      <c r="I1358">
        <f>26056000/(1000)</f>
        <v>26056</v>
      </c>
      <c r="J1358">
        <f t="shared" si="31"/>
        <v>6.0444983113294446E-3</v>
      </c>
      <c r="K1358">
        <f>-3403999.25/(1000)</f>
        <v>-3403.9992499999998</v>
      </c>
      <c r="L1358">
        <v>0</v>
      </c>
      <c r="M1358">
        <v>13.4710779190063</v>
      </c>
      <c r="N1358">
        <v>69.9241912613832</v>
      </c>
      <c r="O1358">
        <v>28.518415451049801</v>
      </c>
      <c r="P1358">
        <v>0</v>
      </c>
      <c r="Q1358">
        <v>1.01246663838197</v>
      </c>
      <c r="R1358">
        <v>6.6972962989665303</v>
      </c>
      <c r="S1358">
        <v>107.134691268485</v>
      </c>
      <c r="T1358">
        <v>0</v>
      </c>
      <c r="U1358">
        <v>0</v>
      </c>
      <c r="V1358">
        <v>0</v>
      </c>
      <c r="W1358">
        <v>0</v>
      </c>
    </row>
    <row r="1359" spans="1:23" x14ac:dyDescent="0.55000000000000004">
      <c r="A1359" t="s">
        <v>2726</v>
      </c>
      <c r="B1359" t="s">
        <v>2727</v>
      </c>
      <c r="C1359" t="s">
        <v>184</v>
      </c>
      <c r="D1359">
        <v>26.95</v>
      </c>
      <c r="E1359">
        <f>534596352/(1000)</f>
        <v>534596.35199999996</v>
      </c>
      <c r="F1359">
        <f>167468992/(1000)</f>
        <v>167468.992</v>
      </c>
      <c r="G1359">
        <f t="shared" ref="G1359:I1360" si="34">0/(1000)</f>
        <v>0</v>
      </c>
      <c r="H1359">
        <f t="shared" si="34"/>
        <v>0</v>
      </c>
      <c r="I1359">
        <f t="shared" si="34"/>
        <v>0</v>
      </c>
      <c r="J1359">
        <f t="shared" si="31"/>
        <v>1</v>
      </c>
      <c r="K1359">
        <f>3469001/(1000)</f>
        <v>3469.0010000000002</v>
      </c>
      <c r="L1359">
        <v>0</v>
      </c>
      <c r="M1359">
        <v>8.44006443023682</v>
      </c>
      <c r="N1359">
        <v>69.177179807369001</v>
      </c>
      <c r="O1359">
        <v>171.22731018066401</v>
      </c>
      <c r="P1359">
        <v>5.9090908616780999E-2</v>
      </c>
      <c r="Q1359">
        <v>1.8103408645676999</v>
      </c>
      <c r="R1359">
        <v>21.630500141992499</v>
      </c>
      <c r="S1359">
        <v>0</v>
      </c>
      <c r="T1359">
        <v>0</v>
      </c>
      <c r="U1359">
        <v>0</v>
      </c>
      <c r="V1359">
        <v>0</v>
      </c>
      <c r="W1359">
        <v>0</v>
      </c>
    </row>
    <row r="1360" spans="1:23" x14ac:dyDescent="0.55000000000000004">
      <c r="A1360" t="s">
        <v>2728</v>
      </c>
      <c r="B1360" t="s">
        <v>2729</v>
      </c>
      <c r="C1360" t="s">
        <v>184</v>
      </c>
      <c r="D1360">
        <v>18.350000000000001</v>
      </c>
      <c r="E1360">
        <f>303637472/(1000)</f>
        <v>303637.47200000001</v>
      </c>
      <c r="F1360">
        <f>167415008/(1000)</f>
        <v>167415.008</v>
      </c>
      <c r="G1360">
        <f t="shared" si="34"/>
        <v>0</v>
      </c>
      <c r="H1360">
        <f t="shared" si="34"/>
        <v>0</v>
      </c>
      <c r="I1360">
        <f t="shared" si="34"/>
        <v>0</v>
      </c>
      <c r="J1360">
        <f t="shared" si="31"/>
        <v>1</v>
      </c>
      <c r="K1360">
        <f>24777001/(1000)</f>
        <v>24777.001</v>
      </c>
      <c r="L1360">
        <v>15.556445121765099</v>
      </c>
      <c r="M1360">
        <v>12.952267646789601</v>
      </c>
      <c r="N1360">
        <v>84.641320184420394</v>
      </c>
      <c r="O1360">
        <v>162.05491638183599</v>
      </c>
      <c r="P1360">
        <v>0.75999999046325695</v>
      </c>
      <c r="Q1360">
        <v>0</v>
      </c>
      <c r="R1360">
        <v>12.482993466905199</v>
      </c>
      <c r="S1360">
        <v>96.429628412864204</v>
      </c>
      <c r="T1360">
        <v>0</v>
      </c>
      <c r="U1360">
        <v>0</v>
      </c>
      <c r="V1360">
        <v>0</v>
      </c>
      <c r="W1360">
        <v>0</v>
      </c>
    </row>
    <row r="1361" spans="1:23" x14ac:dyDescent="0.55000000000000004">
      <c r="A1361" t="s">
        <v>2730</v>
      </c>
      <c r="B1361" t="s">
        <v>2731</v>
      </c>
      <c r="C1361" t="s">
        <v>8</v>
      </c>
      <c r="D1361">
        <v>3.3</v>
      </c>
      <c r="E1361">
        <f>402224800/(1000)</f>
        <v>402224.8</v>
      </c>
      <c r="F1361">
        <f>167400000/(1000)</f>
        <v>167400</v>
      </c>
      <c r="G1361">
        <f>-37575000/(1000)</f>
        <v>-37575</v>
      </c>
      <c r="H1361">
        <f>32261792/(1000)</f>
        <v>32261.792000000001</v>
      </c>
      <c r="I1361">
        <f>-29321002/(1000)</f>
        <v>-29321.002</v>
      </c>
      <c r="J1361">
        <f t="shared" si="31"/>
        <v>-1.1002963677707877E-3</v>
      </c>
      <c r="K1361">
        <f>21216001/(1000)</f>
        <v>21216.001</v>
      </c>
      <c r="L1361">
        <v>0</v>
      </c>
      <c r="M1361">
        <v>-2.27236700057983</v>
      </c>
      <c r="N1361">
        <v>98.942867949504603</v>
      </c>
      <c r="O1361">
        <v>53.129714965820298</v>
      </c>
      <c r="P1361">
        <v>0</v>
      </c>
      <c r="Q1361">
        <v>0</v>
      </c>
      <c r="R1361">
        <v>46.566102541472297</v>
      </c>
      <c r="S1361">
        <v>-58.981947822920603</v>
      </c>
      <c r="T1361">
        <v>0</v>
      </c>
      <c r="U1361">
        <v>0</v>
      </c>
      <c r="V1361">
        <v>0</v>
      </c>
      <c r="W1361">
        <v>0</v>
      </c>
    </row>
    <row r="1362" spans="1:23" x14ac:dyDescent="0.55000000000000004">
      <c r="A1362" t="s">
        <v>2732</v>
      </c>
      <c r="B1362" t="s">
        <v>2733</v>
      </c>
      <c r="C1362" t="s">
        <v>2</v>
      </c>
      <c r="D1362">
        <v>18.84</v>
      </c>
      <c r="E1362">
        <f>313825408/(1000)</f>
        <v>313825.408</v>
      </c>
      <c r="F1362">
        <f>167374000/(1000)</f>
        <v>167374</v>
      </c>
      <c r="G1362">
        <f>33635000/(1000)</f>
        <v>33635</v>
      </c>
      <c r="H1362">
        <f>281102406/(1000)</f>
        <v>281102.40600000002</v>
      </c>
      <c r="I1362">
        <f>39976000/(1000)</f>
        <v>39976</v>
      </c>
      <c r="J1362">
        <f t="shared" si="31"/>
        <v>7.0317792175305189E-3</v>
      </c>
      <c r="K1362">
        <f>15650001/(1000)</f>
        <v>15650.001</v>
      </c>
      <c r="L1362">
        <v>16.9709796905518</v>
      </c>
      <c r="M1362">
        <v>27.2076816558838</v>
      </c>
      <c r="N1362">
        <v>70.640675659474795</v>
      </c>
      <c r="O1362">
        <v>0.76293498277664196</v>
      </c>
      <c r="P1362">
        <v>0.239999994635582</v>
      </c>
      <c r="Q1362">
        <v>0</v>
      </c>
      <c r="R1362">
        <v>11.0175437031006</v>
      </c>
      <c r="S1362">
        <v>159.31365713843101</v>
      </c>
      <c r="T1362">
        <v>0</v>
      </c>
      <c r="U1362">
        <v>0</v>
      </c>
      <c r="V1362">
        <v>0</v>
      </c>
      <c r="W1362">
        <v>0</v>
      </c>
    </row>
    <row r="1363" spans="1:23" x14ac:dyDescent="0.55000000000000004">
      <c r="A1363" t="s">
        <v>2734</v>
      </c>
      <c r="B1363" t="s">
        <v>2735</v>
      </c>
      <c r="C1363" t="s">
        <v>20</v>
      </c>
      <c r="D1363">
        <v>4.6900000000000004</v>
      </c>
      <c r="E1363">
        <f>118634952/(1000)</f>
        <v>118634.952</v>
      </c>
      <c r="F1363">
        <f>167300000/(1000)</f>
        <v>167300</v>
      </c>
      <c r="G1363">
        <f>45600000/(1000)</f>
        <v>45600</v>
      </c>
      <c r="H1363">
        <f>239534952/(1000)</f>
        <v>239534.95199999999</v>
      </c>
      <c r="I1363">
        <f>52500000/(1000)</f>
        <v>52500</v>
      </c>
      <c r="J1363">
        <f t="shared" si="31"/>
        <v>4.5625705142857149E-3</v>
      </c>
      <c r="K1363">
        <f>30400001/(1000)</f>
        <v>30400.001</v>
      </c>
      <c r="L1363">
        <v>0</v>
      </c>
      <c r="M1363">
        <v>0</v>
      </c>
      <c r="N1363">
        <v>98.644018705443301</v>
      </c>
      <c r="O1363">
        <v>0</v>
      </c>
      <c r="P1363">
        <v>0</v>
      </c>
      <c r="Q1363">
        <v>0</v>
      </c>
      <c r="R1363">
        <v>7.3510973940496198</v>
      </c>
      <c r="S1363">
        <v>-68.115113398132294</v>
      </c>
      <c r="T1363">
        <v>0</v>
      </c>
      <c r="U1363">
        <v>0</v>
      </c>
      <c r="V1363">
        <v>0</v>
      </c>
      <c r="W1363">
        <v>0</v>
      </c>
    </row>
    <row r="1364" spans="1:23" x14ac:dyDescent="0.55000000000000004">
      <c r="A1364" t="s">
        <v>2736</v>
      </c>
      <c r="B1364" t="s">
        <v>2737</v>
      </c>
      <c r="C1364" t="s">
        <v>2</v>
      </c>
      <c r="D1364">
        <v>73.959999999999994</v>
      </c>
      <c r="E1364">
        <f>649990016/(1000)</f>
        <v>649990.01599999995</v>
      </c>
      <c r="F1364">
        <f>166732992/(1000)</f>
        <v>166732.992</v>
      </c>
      <c r="G1364">
        <f>21223000/(1000)</f>
        <v>21223</v>
      </c>
      <c r="H1364">
        <f>556644016/(1000)</f>
        <v>556644.01599999995</v>
      </c>
      <c r="I1364">
        <f>25346000/(1000)</f>
        <v>25346</v>
      </c>
      <c r="J1364">
        <f t="shared" si="31"/>
        <v>2.1961809200662825E-2</v>
      </c>
      <c r="K1364">
        <f>14069001/(1000)</f>
        <v>14069.001</v>
      </c>
      <c r="L1364">
        <v>35.071754455566399</v>
      </c>
      <c r="M1364">
        <v>10.4730796813965</v>
      </c>
      <c r="N1364">
        <v>97.134862943765796</v>
      </c>
      <c r="O1364">
        <v>6.4273328781127903</v>
      </c>
      <c r="P1364">
        <v>0.80000001192092896</v>
      </c>
      <c r="Q1364">
        <v>3.57986445453614</v>
      </c>
      <c r="R1364">
        <v>39.763440062178503</v>
      </c>
      <c r="S1364">
        <v>169.106478582265</v>
      </c>
      <c r="T1364">
        <v>0</v>
      </c>
      <c r="U1364">
        <v>0</v>
      </c>
      <c r="V1364">
        <v>0</v>
      </c>
      <c r="W1364">
        <v>0</v>
      </c>
    </row>
    <row r="1365" spans="1:23" x14ac:dyDescent="0.55000000000000004">
      <c r="A1365" t="s">
        <v>2738</v>
      </c>
      <c r="B1365" t="s">
        <v>2739</v>
      </c>
      <c r="C1365" t="s">
        <v>38</v>
      </c>
      <c r="D1365">
        <v>13.69</v>
      </c>
      <c r="E1365">
        <f>333517152/(1000)</f>
        <v>333517.152</v>
      </c>
      <c r="F1365">
        <f>166500000/(1000)</f>
        <v>166500</v>
      </c>
      <c r="G1365">
        <f>19842000/(1000)</f>
        <v>19842</v>
      </c>
      <c r="H1365">
        <f>281598152/(1000)</f>
        <v>281598.152</v>
      </c>
      <c r="I1365">
        <f>29046998/(1000)</f>
        <v>29046.998</v>
      </c>
      <c r="J1365">
        <f t="shared" si="31"/>
        <v>9.6945698829187105E-3</v>
      </c>
      <c r="K1365">
        <f>19196001/(1000)</f>
        <v>19196.001</v>
      </c>
      <c r="L1365">
        <v>0</v>
      </c>
      <c r="M1365">
        <v>3.1486070156097399</v>
      </c>
      <c r="N1365">
        <v>95.881305074542595</v>
      </c>
      <c r="O1365">
        <v>4.81146287918091</v>
      </c>
      <c r="P1365">
        <v>0</v>
      </c>
      <c r="Q1365">
        <v>0.92499995972659199</v>
      </c>
      <c r="R1365">
        <v>17.112499379855599</v>
      </c>
      <c r="S1365">
        <v>333.21017848779701</v>
      </c>
      <c r="T1365">
        <v>0</v>
      </c>
      <c r="U1365">
        <v>0</v>
      </c>
      <c r="V1365">
        <v>0</v>
      </c>
      <c r="W1365">
        <v>0</v>
      </c>
    </row>
    <row r="1366" spans="1:23" x14ac:dyDescent="0.55000000000000004">
      <c r="A1366" t="s">
        <v>2740</v>
      </c>
      <c r="B1366" t="s">
        <v>2741</v>
      </c>
      <c r="C1366" t="s">
        <v>184</v>
      </c>
      <c r="D1366">
        <v>24.8</v>
      </c>
      <c r="E1366">
        <f>335372864/(1000)</f>
        <v>335372.864</v>
      </c>
      <c r="F1366">
        <f>165914000/(1000)</f>
        <v>165914</v>
      </c>
      <c r="G1366">
        <f>0/(1000)</f>
        <v>0</v>
      </c>
      <c r="H1366">
        <f>0/(1000)</f>
        <v>0</v>
      </c>
      <c r="I1366">
        <f>0/(1000)</f>
        <v>0</v>
      </c>
      <c r="J1366">
        <f t="shared" si="31"/>
        <v>1</v>
      </c>
      <c r="K1366">
        <f>2451001/(1000)</f>
        <v>2451.0010000000002</v>
      </c>
      <c r="L1366">
        <v>15.620361328125</v>
      </c>
      <c r="M1366">
        <v>9.60199069976807</v>
      </c>
      <c r="N1366">
        <v>91.821402581298003</v>
      </c>
      <c r="O1366">
        <v>194.59265136718801</v>
      </c>
      <c r="P1366">
        <v>0.74000000953674305</v>
      </c>
      <c r="Q1366">
        <v>1.56146700541996</v>
      </c>
      <c r="R1366">
        <v>21.0169483785895</v>
      </c>
      <c r="S1366">
        <v>100.517264300303</v>
      </c>
      <c r="T1366">
        <v>0</v>
      </c>
      <c r="U1366">
        <v>0</v>
      </c>
      <c r="V1366">
        <v>0</v>
      </c>
      <c r="W1366">
        <v>0</v>
      </c>
    </row>
    <row r="1367" spans="1:23" x14ac:dyDescent="0.55000000000000004">
      <c r="A1367" t="s">
        <v>2742</v>
      </c>
      <c r="B1367" t="s">
        <v>2743</v>
      </c>
      <c r="C1367" t="s">
        <v>2</v>
      </c>
      <c r="D1367">
        <v>20.23</v>
      </c>
      <c r="E1367">
        <f>370194816/(1000)</f>
        <v>370194.81599999999</v>
      </c>
      <c r="F1367">
        <f>165520000/(1000)</f>
        <v>165520</v>
      </c>
      <c r="G1367">
        <f>30867000/(1000)</f>
        <v>30867</v>
      </c>
      <c r="H1367">
        <f>351008816/(1000)</f>
        <v>351008.81599999999</v>
      </c>
      <c r="I1367">
        <f>40876000/(1000)</f>
        <v>40876</v>
      </c>
      <c r="J1367">
        <f t="shared" si="31"/>
        <v>8.5871615617966537E-3</v>
      </c>
      <c r="K1367">
        <f>15220001/(1000)</f>
        <v>15220.001</v>
      </c>
      <c r="L1367">
        <v>19.9014492034912</v>
      </c>
      <c r="M1367">
        <v>24.7946662902832</v>
      </c>
      <c r="N1367">
        <v>91.631377682728697</v>
      </c>
      <c r="O1367">
        <v>4.2119000107049998E-2</v>
      </c>
      <c r="P1367">
        <v>0.72000002861022905</v>
      </c>
      <c r="Q1367">
        <v>3.9129592347584601</v>
      </c>
      <c r="R1367">
        <v>17.591303630654899</v>
      </c>
      <c r="S1367">
        <v>253.758362008164</v>
      </c>
      <c r="T1367">
        <v>0</v>
      </c>
      <c r="U1367">
        <v>0</v>
      </c>
      <c r="V1367">
        <v>0</v>
      </c>
      <c r="W1367">
        <v>0</v>
      </c>
    </row>
    <row r="1368" spans="1:23" x14ac:dyDescent="0.55000000000000004">
      <c r="A1368" t="s">
        <v>2744</v>
      </c>
      <c r="B1368" t="s">
        <v>2745</v>
      </c>
      <c r="C1368" t="s">
        <v>401</v>
      </c>
      <c r="D1368">
        <v>13.85</v>
      </c>
      <c r="E1368">
        <f>711654528/(1000)</f>
        <v>711654.52800000005</v>
      </c>
      <c r="F1368">
        <f>165380992/(1000)</f>
        <v>165380.992</v>
      </c>
      <c r="G1368">
        <f>9378000/(1000)</f>
        <v>9378</v>
      </c>
      <c r="H1368">
        <f>1554228544/(1000)</f>
        <v>1554228.544</v>
      </c>
      <c r="I1368">
        <f>50020000/(1000)</f>
        <v>50020</v>
      </c>
      <c r="J1368">
        <f t="shared" si="31"/>
        <v>3.1072142023190724E-2</v>
      </c>
      <c r="K1368">
        <f>-275593983/(1000)</f>
        <v>-275593.98300000001</v>
      </c>
      <c r="L1368">
        <v>0</v>
      </c>
      <c r="M1368">
        <v>2.9995300769805899</v>
      </c>
      <c r="N1368">
        <v>72.299010215857805</v>
      </c>
      <c r="O1368">
        <v>113.021026611328</v>
      </c>
      <c r="P1368">
        <v>0.93704891204833995</v>
      </c>
      <c r="Q1368">
        <v>0</v>
      </c>
      <c r="R1368">
        <v>98.928576364581204</v>
      </c>
      <c r="S1368">
        <v>-3.3690428289579</v>
      </c>
      <c r="T1368">
        <v>0</v>
      </c>
      <c r="U1368">
        <v>0</v>
      </c>
      <c r="V1368">
        <v>0</v>
      </c>
      <c r="W1368">
        <v>0</v>
      </c>
    </row>
    <row r="1369" spans="1:23" x14ac:dyDescent="0.55000000000000004">
      <c r="A1369" t="s">
        <v>2746</v>
      </c>
      <c r="B1369" t="s">
        <v>2747</v>
      </c>
      <c r="C1369" t="s">
        <v>31</v>
      </c>
      <c r="D1369">
        <v>5.64</v>
      </c>
      <c r="E1369">
        <f>132409160/(1000)</f>
        <v>132409.16</v>
      </c>
      <c r="F1369">
        <f>165198000/(1000)</f>
        <v>165198</v>
      </c>
      <c r="G1369">
        <f>19379000/(1000)</f>
        <v>19379</v>
      </c>
      <c r="H1369">
        <f>61777160/(1000)</f>
        <v>61777.16</v>
      </c>
      <c r="I1369">
        <f>23302000/(1000)</f>
        <v>23302</v>
      </c>
      <c r="J1369">
        <f t="shared" si="31"/>
        <v>2.6511526907561584E-3</v>
      </c>
      <c r="K1369">
        <f>914001/(1000)</f>
        <v>914.00099999999998</v>
      </c>
      <c r="L1369">
        <v>0</v>
      </c>
      <c r="M1369">
        <v>20.298927307128899</v>
      </c>
      <c r="N1369">
        <v>52.567213236593403</v>
      </c>
      <c r="O1369">
        <v>1.06331098079681</v>
      </c>
      <c r="P1369">
        <v>0</v>
      </c>
      <c r="Q1369">
        <v>0.82576865731870297</v>
      </c>
      <c r="R1369">
        <v>11.280000027120099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55000000000000004">
      <c r="A1370" t="s">
        <v>2748</v>
      </c>
      <c r="B1370" t="s">
        <v>2749</v>
      </c>
      <c r="C1370" t="s">
        <v>2</v>
      </c>
      <c r="D1370">
        <v>19.309999999999999</v>
      </c>
      <c r="E1370">
        <f>244783216/(1000)</f>
        <v>244783.21599999999</v>
      </c>
      <c r="F1370">
        <f>165175008/(1000)</f>
        <v>165175.008</v>
      </c>
      <c r="G1370">
        <f>38892000/(1000)</f>
        <v>38892</v>
      </c>
      <c r="H1370">
        <f>297107216/(1000)</f>
        <v>297107.21600000001</v>
      </c>
      <c r="I1370">
        <f>42269000/(1000)</f>
        <v>42269</v>
      </c>
      <c r="J1370">
        <f t="shared" si="31"/>
        <v>7.0289625020700753E-3</v>
      </c>
      <c r="K1370">
        <f>9705001/(1000)</f>
        <v>9705.0010000000002</v>
      </c>
      <c r="L1370">
        <v>0</v>
      </c>
      <c r="M1370">
        <v>31.550310134887699</v>
      </c>
      <c r="N1370">
        <v>88.803689626018894</v>
      </c>
      <c r="O1370">
        <v>79.428970336914105</v>
      </c>
      <c r="P1370">
        <v>0.15000000596046401</v>
      </c>
      <c r="Q1370">
        <v>1.9673968712679499</v>
      </c>
      <c r="R1370">
        <v>8.0794975313577204</v>
      </c>
      <c r="S1370">
        <v>261.765754084717</v>
      </c>
      <c r="T1370">
        <v>0</v>
      </c>
      <c r="U1370">
        <v>0</v>
      </c>
      <c r="V1370">
        <v>0</v>
      </c>
      <c r="W1370">
        <v>0</v>
      </c>
    </row>
    <row r="1371" spans="1:23" x14ac:dyDescent="0.55000000000000004">
      <c r="A1371" t="s">
        <v>2750</v>
      </c>
      <c r="B1371" t="s">
        <v>2751</v>
      </c>
      <c r="C1371" t="s">
        <v>31</v>
      </c>
      <c r="D1371">
        <v>5.48</v>
      </c>
      <c r="E1371">
        <f>140077024/(1000)</f>
        <v>140077.024</v>
      </c>
      <c r="F1371">
        <f>163744000/(1000)</f>
        <v>163744</v>
      </c>
      <c r="G1371">
        <f>19323000/(1000)</f>
        <v>19323</v>
      </c>
      <c r="H1371">
        <f>20250024/(1000)</f>
        <v>20250.024000000001</v>
      </c>
      <c r="I1371">
        <f>25855000/(1000)</f>
        <v>25855</v>
      </c>
      <c r="J1371">
        <f t="shared" si="31"/>
        <v>7.8321500676851671E-4</v>
      </c>
      <c r="K1371">
        <f>-2422999.25/(1000)</f>
        <v>-2422.9992499999998</v>
      </c>
      <c r="L1371">
        <v>0</v>
      </c>
      <c r="M1371">
        <v>8.5506858825683594</v>
      </c>
      <c r="N1371">
        <v>73.633783602361106</v>
      </c>
      <c r="O1371">
        <v>0</v>
      </c>
      <c r="P1371">
        <v>0</v>
      </c>
      <c r="Q1371">
        <v>0.72200262304408802</v>
      </c>
      <c r="R1371">
        <v>8.5479419399299701</v>
      </c>
      <c r="S1371">
        <v>264.215490012901</v>
      </c>
      <c r="T1371">
        <v>0</v>
      </c>
      <c r="U1371">
        <v>0</v>
      </c>
      <c r="V1371">
        <v>0</v>
      </c>
      <c r="W1371">
        <v>0</v>
      </c>
    </row>
    <row r="1372" spans="1:23" x14ac:dyDescent="0.55000000000000004">
      <c r="A1372" t="s">
        <v>2752</v>
      </c>
      <c r="B1372" t="s">
        <v>2753</v>
      </c>
      <c r="C1372" t="s">
        <v>184</v>
      </c>
      <c r="D1372">
        <v>11.85</v>
      </c>
      <c r="E1372">
        <f>160754720/(1000)</f>
        <v>160754.72</v>
      </c>
      <c r="F1372">
        <f>163668992/(1000)</f>
        <v>163668.992</v>
      </c>
      <c r="G1372">
        <f>0/(1000)</f>
        <v>0</v>
      </c>
      <c r="H1372">
        <f>0/(1000)</f>
        <v>0</v>
      </c>
      <c r="I1372">
        <f>0/(1000)</f>
        <v>0</v>
      </c>
      <c r="J1372">
        <f t="shared" si="31"/>
        <v>1</v>
      </c>
      <c r="K1372">
        <f>7147001/(1000)</f>
        <v>7147.0010000000002</v>
      </c>
      <c r="L1372">
        <v>15.1162824630737</v>
      </c>
      <c r="M1372">
        <v>8.1912307739257795</v>
      </c>
      <c r="N1372">
        <v>91.824295385542896</v>
      </c>
      <c r="O1372">
        <v>77.110992431640597</v>
      </c>
      <c r="P1372">
        <v>0.194528743624687</v>
      </c>
      <c r="Q1372">
        <v>0.83642144092839799</v>
      </c>
      <c r="R1372">
        <v>20.789474138778498</v>
      </c>
      <c r="S1372">
        <v>88.218305599319194</v>
      </c>
      <c r="T1372">
        <v>0</v>
      </c>
      <c r="U1372">
        <v>0</v>
      </c>
      <c r="V1372">
        <v>0</v>
      </c>
      <c r="W1372">
        <v>0</v>
      </c>
    </row>
    <row r="1373" spans="1:23" x14ac:dyDescent="0.55000000000000004">
      <c r="A1373" t="s">
        <v>2754</v>
      </c>
      <c r="B1373" t="s">
        <v>2755</v>
      </c>
      <c r="C1373" t="s">
        <v>184</v>
      </c>
      <c r="D1373">
        <v>3.83</v>
      </c>
      <c r="E1373">
        <f>96954152/(1000)</f>
        <v>96954.152000000002</v>
      </c>
      <c r="F1373">
        <f>162098000/(1000)</f>
        <v>162098</v>
      </c>
      <c r="G1373">
        <f>142810000/(1000)</f>
        <v>142810</v>
      </c>
      <c r="H1373">
        <f>1817228200/(1000)</f>
        <v>1817228.2</v>
      </c>
      <c r="I1373">
        <f>151379008/(1000)</f>
        <v>151379.008</v>
      </c>
      <c r="J1373">
        <f t="shared" si="31"/>
        <v>1.2004492723323964E-2</v>
      </c>
      <c r="K1373">
        <f>23378001/(1000)</f>
        <v>23378.001</v>
      </c>
      <c r="L1373">
        <v>0</v>
      </c>
      <c r="M1373">
        <v>3.0178709030151398</v>
      </c>
      <c r="N1373">
        <v>86.317669952070602</v>
      </c>
      <c r="O1373">
        <v>648.354248046875</v>
      </c>
      <c r="P1373">
        <v>6.2399997711181596</v>
      </c>
      <c r="Q1373">
        <v>0.41138558013767901</v>
      </c>
      <c r="R1373">
        <v>2.7753623031131398</v>
      </c>
      <c r="S1373">
        <v>0</v>
      </c>
      <c r="T1373">
        <v>0</v>
      </c>
      <c r="U1373">
        <v>0</v>
      </c>
      <c r="V1373">
        <v>0</v>
      </c>
      <c r="W1373">
        <v>0</v>
      </c>
    </row>
    <row r="1374" spans="1:23" x14ac:dyDescent="0.55000000000000004">
      <c r="A1374" t="s">
        <v>2756</v>
      </c>
      <c r="B1374" t="s">
        <v>2757</v>
      </c>
      <c r="C1374" t="s">
        <v>31</v>
      </c>
      <c r="D1374">
        <v>12.36</v>
      </c>
      <c r="E1374">
        <f>445355552/(1000)</f>
        <v>445355.55200000003</v>
      </c>
      <c r="F1374">
        <f>161948992/(1000)</f>
        <v>161948.992</v>
      </c>
      <c r="G1374">
        <f>1951000/(1000)</f>
        <v>1951</v>
      </c>
      <c r="H1374">
        <f>273934560/(1000)</f>
        <v>273934.56</v>
      </c>
      <c r="I1374">
        <f>4143000/(1000)</f>
        <v>4143</v>
      </c>
      <c r="J1374">
        <f t="shared" si="31"/>
        <v>6.6119855177407677E-2</v>
      </c>
      <c r="K1374">
        <f>22649001/(1000)</f>
        <v>22649.001</v>
      </c>
      <c r="L1374">
        <v>75.234939575195298</v>
      </c>
      <c r="M1374">
        <v>3.8896849155425999</v>
      </c>
      <c r="N1374">
        <v>40.315273637713702</v>
      </c>
      <c r="O1374">
        <v>0</v>
      </c>
      <c r="P1374">
        <v>0.119999997317791</v>
      </c>
      <c r="Q1374">
        <v>0</v>
      </c>
      <c r="R1374">
        <v>47.538461280556803</v>
      </c>
      <c r="S1374">
        <v>66.258409986859405</v>
      </c>
      <c r="T1374">
        <v>0</v>
      </c>
      <c r="U1374">
        <v>0</v>
      </c>
      <c r="V1374">
        <v>0</v>
      </c>
      <c r="W1374">
        <v>0</v>
      </c>
    </row>
    <row r="1375" spans="1:23" x14ac:dyDescent="0.55000000000000004">
      <c r="A1375" t="s">
        <v>2758</v>
      </c>
      <c r="B1375" t="s">
        <v>2759</v>
      </c>
      <c r="C1375" t="s">
        <v>17</v>
      </c>
      <c r="D1375">
        <v>6.79</v>
      </c>
      <c r="E1375">
        <f>531312736/(1000)</f>
        <v>531312.73600000003</v>
      </c>
      <c r="F1375">
        <f>160482384/(1000)</f>
        <v>160482.38399999999</v>
      </c>
      <c r="G1375">
        <f>52228112/(1000)</f>
        <v>52228.112000000001</v>
      </c>
      <c r="H1375">
        <f>437378488/(1000)</f>
        <v>437378.48800000001</v>
      </c>
      <c r="I1375">
        <f>56855720/(1000)</f>
        <v>56855.72</v>
      </c>
      <c r="J1375">
        <f t="shared" si="31"/>
        <v>7.6927789851223413E-3</v>
      </c>
      <c r="K1375">
        <f>41113765/(1000)</f>
        <v>41113.764999999999</v>
      </c>
      <c r="L1375">
        <v>17.9362983703613</v>
      </c>
      <c r="M1375">
        <v>18.450767517089801</v>
      </c>
      <c r="N1375">
        <v>78.962880822815904</v>
      </c>
      <c r="O1375">
        <v>3.2853538990020801</v>
      </c>
      <c r="P1375">
        <v>0</v>
      </c>
      <c r="Q1375">
        <v>0</v>
      </c>
      <c r="R1375">
        <v>9.5633802159193007</v>
      </c>
      <c r="S1375">
        <v>1473.39434394313</v>
      </c>
      <c r="T1375">
        <v>0</v>
      </c>
      <c r="U1375">
        <v>0</v>
      </c>
      <c r="V1375">
        <v>0</v>
      </c>
      <c r="W1375">
        <v>0</v>
      </c>
    </row>
    <row r="1376" spans="1:23" x14ac:dyDescent="0.55000000000000004">
      <c r="A1376" t="s">
        <v>2760</v>
      </c>
      <c r="B1376" t="s">
        <v>2761</v>
      </c>
      <c r="C1376" t="s">
        <v>5</v>
      </c>
      <c r="D1376">
        <v>20.64</v>
      </c>
      <c r="E1376">
        <f>180292464/(1000)</f>
        <v>180292.46400000001</v>
      </c>
      <c r="F1376">
        <f>160424000/(1000)</f>
        <v>160424</v>
      </c>
      <c r="G1376">
        <f>13732000/(1000)</f>
        <v>13732</v>
      </c>
      <c r="H1376">
        <f>251930464/(1000)</f>
        <v>251930.46400000001</v>
      </c>
      <c r="I1376">
        <f>43970000/(1000)</f>
        <v>43970</v>
      </c>
      <c r="J1376">
        <f t="shared" si="31"/>
        <v>5.7295989083466E-3</v>
      </c>
      <c r="K1376">
        <f>7890001.5/(1000)</f>
        <v>7890.0015000000003</v>
      </c>
      <c r="L1376">
        <v>0</v>
      </c>
      <c r="M1376">
        <v>13.478461265564</v>
      </c>
      <c r="N1376">
        <v>63.915697961529403</v>
      </c>
      <c r="O1376">
        <v>64.329872131347699</v>
      </c>
      <c r="P1376">
        <v>0</v>
      </c>
      <c r="Q1376">
        <v>0</v>
      </c>
      <c r="R1376">
        <v>66.580637079620701</v>
      </c>
      <c r="S1376">
        <v>26.621203510765898</v>
      </c>
      <c r="T1376">
        <v>0</v>
      </c>
      <c r="U1376">
        <v>0</v>
      </c>
      <c r="V1376">
        <v>0</v>
      </c>
      <c r="W1376">
        <v>0</v>
      </c>
    </row>
    <row r="1377" spans="1:23" x14ac:dyDescent="0.55000000000000004">
      <c r="A1377" t="s">
        <v>2762</v>
      </c>
      <c r="B1377" t="s">
        <v>2763</v>
      </c>
      <c r="C1377" t="s">
        <v>5</v>
      </c>
      <c r="D1377">
        <v>12.05</v>
      </c>
      <c r="E1377">
        <f>207866112/(1000)</f>
        <v>207866.11199999999</v>
      </c>
      <c r="F1377">
        <f>160170000/(1000)</f>
        <v>160170</v>
      </c>
      <c r="G1377">
        <f>25096000/(1000)</f>
        <v>25096</v>
      </c>
      <c r="H1377">
        <f>192840112/(1000)</f>
        <v>192840.11199999999</v>
      </c>
      <c r="I1377">
        <f>27665000/(1000)</f>
        <v>27665</v>
      </c>
      <c r="J1377">
        <f t="shared" si="31"/>
        <v>6.9705444424362911E-3</v>
      </c>
      <c r="K1377">
        <f>6186000.5/(1000)</f>
        <v>6186.0005000000001</v>
      </c>
      <c r="L1377">
        <v>24.986242294311499</v>
      </c>
      <c r="M1377">
        <v>16.7820930480957</v>
      </c>
      <c r="N1377">
        <v>91.530005275247703</v>
      </c>
      <c r="O1377">
        <v>0</v>
      </c>
      <c r="P1377">
        <v>0</v>
      </c>
      <c r="Q1377">
        <v>0</v>
      </c>
      <c r="R1377">
        <v>11.314554195033701</v>
      </c>
      <c r="S1377">
        <v>93.945631773324493</v>
      </c>
      <c r="T1377">
        <v>0</v>
      </c>
      <c r="U1377">
        <v>0</v>
      </c>
      <c r="V1377">
        <v>0</v>
      </c>
      <c r="W1377">
        <v>0</v>
      </c>
    </row>
    <row r="1378" spans="1:23" x14ac:dyDescent="0.55000000000000004">
      <c r="A1378" t="s">
        <v>2764</v>
      </c>
      <c r="B1378" t="s">
        <v>2765</v>
      </c>
      <c r="C1378" t="s">
        <v>31</v>
      </c>
      <c r="D1378">
        <v>3.53</v>
      </c>
      <c r="E1378">
        <f>108231920/(1000)</f>
        <v>108231.92</v>
      </c>
      <c r="F1378">
        <f>160128992/(1000)</f>
        <v>160128.992</v>
      </c>
      <c r="G1378">
        <f>13556000/(1000)</f>
        <v>13556</v>
      </c>
      <c r="H1378">
        <f>34000920/(1000)</f>
        <v>34000.92</v>
      </c>
      <c r="I1378">
        <f>23756000/(1000)</f>
        <v>23756</v>
      </c>
      <c r="J1378">
        <f t="shared" si="31"/>
        <v>1.431256103721165E-3</v>
      </c>
      <c r="K1378">
        <f>22575001/(1000)</f>
        <v>22575.001</v>
      </c>
      <c r="L1378">
        <v>71.726066589355497</v>
      </c>
      <c r="M1378">
        <v>2.9018030166625999</v>
      </c>
      <c r="N1378">
        <v>97.550600294805903</v>
      </c>
      <c r="O1378">
        <v>0</v>
      </c>
      <c r="P1378">
        <v>0</v>
      </c>
      <c r="Q1378">
        <v>0.25994108919158299</v>
      </c>
      <c r="R1378">
        <v>35.300000502914202</v>
      </c>
      <c r="S1378">
        <v>178.75183566890101</v>
      </c>
      <c r="T1378">
        <v>0</v>
      </c>
      <c r="U1378">
        <v>0</v>
      </c>
      <c r="V1378">
        <v>0</v>
      </c>
      <c r="W1378">
        <v>0</v>
      </c>
    </row>
    <row r="1379" spans="1:23" x14ac:dyDescent="0.55000000000000004">
      <c r="A1379" t="s">
        <v>2766</v>
      </c>
      <c r="B1379" t="s">
        <v>2767</v>
      </c>
      <c r="C1379" t="s">
        <v>20</v>
      </c>
      <c r="D1379">
        <v>9.7799999999999994</v>
      </c>
      <c r="E1379">
        <f>570050752/(1000)</f>
        <v>570050.75199999998</v>
      </c>
      <c r="F1379">
        <f>160004000/(1000)</f>
        <v>160004</v>
      </c>
      <c r="G1379">
        <f>115750000/(1000)</f>
        <v>115750</v>
      </c>
      <c r="H1379">
        <f>1158659776/(1000)</f>
        <v>1158659.7760000001</v>
      </c>
      <c r="I1379">
        <f>121547000/(1000)</f>
        <v>121547</v>
      </c>
      <c r="J1379">
        <f t="shared" si="31"/>
        <v>9.5326069421705194E-3</v>
      </c>
      <c r="K1379">
        <f>83553001/(1000)</f>
        <v>83553.001000000004</v>
      </c>
      <c r="L1379">
        <v>0</v>
      </c>
      <c r="M1379">
        <v>12.836012840271</v>
      </c>
      <c r="N1379">
        <v>86.201821680698799</v>
      </c>
      <c r="O1379">
        <v>133.00425720214801</v>
      </c>
      <c r="P1379">
        <v>0</v>
      </c>
      <c r="Q1379">
        <v>0</v>
      </c>
      <c r="R1379">
        <v>8.6548668285890997</v>
      </c>
      <c r="S1379">
        <v>66.105038047484101</v>
      </c>
      <c r="T1379">
        <v>0</v>
      </c>
      <c r="U1379">
        <v>0</v>
      </c>
      <c r="V1379">
        <v>0</v>
      </c>
      <c r="W1379">
        <v>0</v>
      </c>
    </row>
    <row r="1380" spans="1:23" x14ac:dyDescent="0.55000000000000004">
      <c r="A1380" t="s">
        <v>2768</v>
      </c>
      <c r="B1380" t="s">
        <v>2769</v>
      </c>
      <c r="C1380" t="s">
        <v>20</v>
      </c>
      <c r="D1380">
        <v>11.65</v>
      </c>
      <c r="E1380">
        <f>187821296/(1000)</f>
        <v>187821.296</v>
      </c>
      <c r="F1380">
        <f>159856368/(1000)</f>
        <v>159856.36799999999</v>
      </c>
      <c r="G1380">
        <f>35698180/(1000)</f>
        <v>35698.18</v>
      </c>
      <c r="H1380">
        <f>219678296/(1000)</f>
        <v>219678.296</v>
      </c>
      <c r="I1380">
        <f>43836064/(1000)</f>
        <v>43836.063999999998</v>
      </c>
      <c r="J1380">
        <f t="shared" si="31"/>
        <v>5.0113599615147931E-3</v>
      </c>
      <c r="K1380">
        <f>12851295/(1000)</f>
        <v>12851.295</v>
      </c>
      <c r="L1380">
        <v>18.793209075927699</v>
      </c>
      <c r="M1380">
        <v>19.978530883789102</v>
      </c>
      <c r="N1380">
        <v>58.262003170396298</v>
      </c>
      <c r="O1380">
        <v>0</v>
      </c>
      <c r="P1380">
        <v>0</v>
      </c>
      <c r="Q1380">
        <v>0</v>
      </c>
      <c r="R1380">
        <v>15.7432430003783</v>
      </c>
      <c r="S1380">
        <v>43.965460472991197</v>
      </c>
      <c r="T1380">
        <v>0</v>
      </c>
      <c r="U1380">
        <v>0</v>
      </c>
      <c r="V1380">
        <v>0</v>
      </c>
      <c r="W1380">
        <v>0</v>
      </c>
    </row>
    <row r="1381" spans="1:23" x14ac:dyDescent="0.55000000000000004">
      <c r="A1381" t="s">
        <v>2770</v>
      </c>
      <c r="B1381" t="s">
        <v>2771</v>
      </c>
      <c r="C1381" t="s">
        <v>401</v>
      </c>
      <c r="D1381">
        <v>15.97</v>
      </c>
      <c r="E1381">
        <f>1314637568/(1000)</f>
        <v>1314637.568</v>
      </c>
      <c r="F1381">
        <f>159815008/(1000)</f>
        <v>159815.008</v>
      </c>
      <c r="G1381">
        <f>112701000/(1000)</f>
        <v>112701</v>
      </c>
      <c r="H1381">
        <f>1949597568/(1000)</f>
        <v>1949597.568</v>
      </c>
      <c r="I1381">
        <f>150182000/(1000)</f>
        <v>150182</v>
      </c>
      <c r="J1381">
        <f t="shared" si="31"/>
        <v>1.2981566153067611E-2</v>
      </c>
      <c r="K1381">
        <f>36489001/(1000)</f>
        <v>36489.000999999997</v>
      </c>
      <c r="L1381">
        <v>0</v>
      </c>
      <c r="M1381">
        <v>14.5962772369385</v>
      </c>
      <c r="N1381">
        <v>98.100444811377301</v>
      </c>
      <c r="O1381">
        <v>97.88134765625</v>
      </c>
      <c r="P1381">
        <v>1.20000004768372</v>
      </c>
      <c r="Q1381">
        <v>1.2599605543755701</v>
      </c>
      <c r="R1381">
        <v>15.970000029057299</v>
      </c>
      <c r="S1381">
        <v>19.618430585910598</v>
      </c>
      <c r="T1381">
        <v>0</v>
      </c>
      <c r="U1381">
        <v>0</v>
      </c>
      <c r="V1381">
        <v>0</v>
      </c>
      <c r="W1381">
        <v>0</v>
      </c>
    </row>
    <row r="1382" spans="1:23" x14ac:dyDescent="0.55000000000000004">
      <c r="A1382" t="s">
        <v>2772</v>
      </c>
      <c r="B1382" t="s">
        <v>2773</v>
      </c>
      <c r="C1382" t="s">
        <v>5</v>
      </c>
      <c r="D1382">
        <v>6.91</v>
      </c>
      <c r="E1382">
        <f>116154344/(1000)</f>
        <v>116154.344</v>
      </c>
      <c r="F1382">
        <f>159036000/(1000)</f>
        <v>159036</v>
      </c>
      <c r="G1382">
        <f>2046999.875/(1000)</f>
        <v>2046.999875</v>
      </c>
      <c r="H1382">
        <f>65989344/(1000)</f>
        <v>65989.343999999997</v>
      </c>
      <c r="I1382">
        <f>9525000/(1000)</f>
        <v>9525</v>
      </c>
      <c r="J1382">
        <f t="shared" si="31"/>
        <v>6.928015118110236E-3</v>
      </c>
      <c r="K1382">
        <f>7997000.5/(1000)</f>
        <v>7997.0005000000001</v>
      </c>
      <c r="L1382">
        <v>49.261119842529297</v>
      </c>
      <c r="M1382">
        <v>0.72727698087692305</v>
      </c>
      <c r="N1382">
        <v>84.849724536461295</v>
      </c>
      <c r="O1382">
        <v>0</v>
      </c>
      <c r="P1382">
        <v>0</v>
      </c>
      <c r="Q1382">
        <v>0.75272326990187299</v>
      </c>
      <c r="R1382">
        <v>26.686027735521002</v>
      </c>
      <c r="S1382">
        <v>0</v>
      </c>
      <c r="T1382">
        <v>0</v>
      </c>
      <c r="U1382">
        <v>0</v>
      </c>
      <c r="V1382">
        <v>0</v>
      </c>
      <c r="W1382">
        <v>0</v>
      </c>
    </row>
    <row r="1383" spans="1:23" x14ac:dyDescent="0.55000000000000004">
      <c r="A1383" t="s">
        <v>2774</v>
      </c>
      <c r="B1383" t="s">
        <v>2775</v>
      </c>
      <c r="C1383" t="s">
        <v>121</v>
      </c>
      <c r="D1383">
        <v>2.52</v>
      </c>
      <c r="E1383">
        <f>57405096/(1000)</f>
        <v>57405.095999999998</v>
      </c>
      <c r="F1383">
        <f>158008000/(1000)</f>
        <v>158008</v>
      </c>
      <c r="G1383">
        <f>29686000/(1000)</f>
        <v>29686</v>
      </c>
      <c r="H1383">
        <f>209044104/(1000)</f>
        <v>209044.10399999999</v>
      </c>
      <c r="I1383">
        <f>36223000/(1000)</f>
        <v>36223</v>
      </c>
      <c r="J1383">
        <f t="shared" si="31"/>
        <v>5.7710323275267095E-3</v>
      </c>
      <c r="K1383">
        <f>9414001/(1000)</f>
        <v>9414.0010000000002</v>
      </c>
      <c r="L1383">
        <v>0</v>
      </c>
      <c r="M1383">
        <v>25.543254852294901</v>
      </c>
      <c r="N1383">
        <v>83.314601770919197</v>
      </c>
      <c r="O1383">
        <v>76.697952270507798</v>
      </c>
      <c r="P1383">
        <v>0</v>
      </c>
      <c r="Q1383">
        <v>0.492187507275958</v>
      </c>
      <c r="R1383">
        <v>2.7999999602635701</v>
      </c>
      <c r="S1383">
        <v>0</v>
      </c>
      <c r="T1383">
        <v>0</v>
      </c>
      <c r="U1383">
        <v>0</v>
      </c>
      <c r="V1383">
        <v>0</v>
      </c>
      <c r="W1383">
        <v>0</v>
      </c>
    </row>
    <row r="1384" spans="1:23" x14ac:dyDescent="0.55000000000000004">
      <c r="A1384" t="s">
        <v>2776</v>
      </c>
      <c r="B1384" t="s">
        <v>2777</v>
      </c>
      <c r="C1384" t="s">
        <v>184</v>
      </c>
      <c r="D1384">
        <v>30.86</v>
      </c>
      <c r="E1384">
        <f>377220320/(1000)</f>
        <v>377220.32</v>
      </c>
      <c r="F1384">
        <f>157767008/(1000)</f>
        <v>157767.008</v>
      </c>
      <c r="G1384">
        <f>0/(1000)</f>
        <v>0</v>
      </c>
      <c r="H1384">
        <f>0/(1000)</f>
        <v>0</v>
      </c>
      <c r="I1384">
        <f>0/(1000)</f>
        <v>0</v>
      </c>
      <c r="J1384">
        <f t="shared" si="31"/>
        <v>1</v>
      </c>
      <c r="K1384">
        <f>17860001/(1000)</f>
        <v>17860.001</v>
      </c>
      <c r="L1384">
        <v>16.777660369873001</v>
      </c>
      <c r="M1384">
        <v>4.6273660659790004</v>
      </c>
      <c r="N1384">
        <v>87.980624848740504</v>
      </c>
      <c r="O1384">
        <v>107.06804656982401</v>
      </c>
      <c r="P1384">
        <v>0.63999998569488503</v>
      </c>
      <c r="Q1384">
        <v>0.99870553369991899</v>
      </c>
      <c r="R1384">
        <v>15.430000305175801</v>
      </c>
      <c r="S1384">
        <v>98.984698433519199</v>
      </c>
      <c r="T1384">
        <v>0</v>
      </c>
      <c r="U1384">
        <v>0</v>
      </c>
      <c r="V1384">
        <v>0</v>
      </c>
      <c r="W1384">
        <v>0</v>
      </c>
    </row>
    <row r="1385" spans="1:23" x14ac:dyDescent="0.55000000000000004">
      <c r="A1385" t="s">
        <v>2778</v>
      </c>
      <c r="B1385" t="s">
        <v>2779</v>
      </c>
      <c r="C1385" t="s">
        <v>5</v>
      </c>
      <c r="D1385">
        <v>0.19</v>
      </c>
      <c r="E1385">
        <f>17504680/(1000)</f>
        <v>17504.68</v>
      </c>
      <c r="F1385">
        <f>157195008/(1000)</f>
        <v>157195.008</v>
      </c>
      <c r="G1385">
        <f>-79177000/(1000)</f>
        <v>-79177</v>
      </c>
      <c r="H1385">
        <f>202511688/(1000)</f>
        <v>202511.68799999999</v>
      </c>
      <c r="I1385">
        <f>-5304001/(1000)</f>
        <v>-5304.0010000000002</v>
      </c>
      <c r="J1385">
        <f t="shared" si="31"/>
        <v>-3.81809294530676E-2</v>
      </c>
      <c r="K1385">
        <f>-57598999/(1000)</f>
        <v>-57598.999000000003</v>
      </c>
      <c r="L1385">
        <v>0</v>
      </c>
      <c r="M1385">
        <v>-243.53697204589801</v>
      </c>
      <c r="N1385">
        <v>12.3644986464497</v>
      </c>
      <c r="O1385">
        <v>348.56097412109398</v>
      </c>
      <c r="P1385">
        <v>0</v>
      </c>
      <c r="Q1385">
        <v>0</v>
      </c>
      <c r="R1385">
        <v>0</v>
      </c>
      <c r="S1385">
        <v>-18.0665732526443</v>
      </c>
      <c r="T1385">
        <v>0</v>
      </c>
      <c r="U1385">
        <v>0</v>
      </c>
      <c r="V1385">
        <v>0</v>
      </c>
      <c r="W1385">
        <v>0</v>
      </c>
    </row>
    <row r="1386" spans="1:23" x14ac:dyDescent="0.55000000000000004">
      <c r="A1386" t="s">
        <v>2780</v>
      </c>
      <c r="B1386" t="s">
        <v>2781</v>
      </c>
      <c r="C1386" t="s">
        <v>5</v>
      </c>
      <c r="D1386">
        <v>14.03</v>
      </c>
      <c r="E1386">
        <f>253133456/(1000)</f>
        <v>253133.45600000001</v>
      </c>
      <c r="F1386">
        <f>157175824/(1000)</f>
        <v>157175.82399999999</v>
      </c>
      <c r="G1386">
        <f>0/(1000)</f>
        <v>0</v>
      </c>
      <c r="H1386">
        <f>0/(1000)</f>
        <v>0</v>
      </c>
      <c r="I1386">
        <f>0/(1000)</f>
        <v>0</v>
      </c>
      <c r="J1386">
        <f t="shared" si="31"/>
        <v>1</v>
      </c>
      <c r="K1386">
        <f>-1239679/(1000)</f>
        <v>-1239.6790000000001</v>
      </c>
      <c r="L1386">
        <v>18.322727203369102</v>
      </c>
      <c r="M1386">
        <v>11.525438308715801</v>
      </c>
      <c r="N1386">
        <v>91.948923754997793</v>
      </c>
      <c r="O1386">
        <v>223.99522399902301</v>
      </c>
      <c r="P1386">
        <v>0.75999999046325695</v>
      </c>
      <c r="Q1386">
        <v>2.0693214305029901</v>
      </c>
      <c r="R1386">
        <v>14.7684207252188</v>
      </c>
      <c r="S1386">
        <v>27.316326051209799</v>
      </c>
      <c r="T1386">
        <v>0</v>
      </c>
      <c r="U1386">
        <v>0</v>
      </c>
      <c r="V1386">
        <v>0</v>
      </c>
      <c r="W1386">
        <v>0</v>
      </c>
    </row>
    <row r="1387" spans="1:23" x14ac:dyDescent="0.55000000000000004">
      <c r="A1387" t="s">
        <v>2782</v>
      </c>
      <c r="B1387" t="s">
        <v>2783</v>
      </c>
      <c r="C1387" t="s">
        <v>17</v>
      </c>
      <c r="D1387">
        <v>4.01</v>
      </c>
      <c r="E1387">
        <f>75027504/(1000)</f>
        <v>75027.504000000001</v>
      </c>
      <c r="F1387">
        <f>157149008/(1000)</f>
        <v>157149.008</v>
      </c>
      <c r="G1387">
        <f>17114000/(1000)</f>
        <v>17114</v>
      </c>
      <c r="H1387">
        <f>122348504/(1000)</f>
        <v>122348.504</v>
      </c>
      <c r="I1387">
        <f>30393000/(1000)</f>
        <v>30393</v>
      </c>
      <c r="J1387">
        <f t="shared" si="31"/>
        <v>4.0255487776790708E-3</v>
      </c>
      <c r="K1387">
        <f>-2311999.25/(1000)</f>
        <v>-2311.9992499999998</v>
      </c>
      <c r="L1387">
        <v>43.883052825927699</v>
      </c>
      <c r="M1387">
        <v>11.0583248138428</v>
      </c>
      <c r="N1387">
        <v>99.788883150902706</v>
      </c>
      <c r="O1387">
        <v>55.091808319091797</v>
      </c>
      <c r="P1387">
        <v>0</v>
      </c>
      <c r="Q1387">
        <v>0</v>
      </c>
      <c r="R1387">
        <v>5.5771908279270601</v>
      </c>
      <c r="S1387">
        <v>34.306208122521497</v>
      </c>
      <c r="T1387">
        <v>0</v>
      </c>
      <c r="U1387">
        <v>0</v>
      </c>
      <c r="V1387">
        <v>0</v>
      </c>
      <c r="W1387">
        <v>0</v>
      </c>
    </row>
    <row r="1388" spans="1:23" x14ac:dyDescent="0.55000000000000004">
      <c r="A1388" t="s">
        <v>2784</v>
      </c>
      <c r="B1388" t="s">
        <v>2785</v>
      </c>
      <c r="C1388" t="s">
        <v>31</v>
      </c>
      <c r="D1388">
        <v>7.94</v>
      </c>
      <c r="E1388">
        <f>177574912/(1000)</f>
        <v>177574.91200000001</v>
      </c>
      <c r="F1388">
        <f>156516000/(1000)</f>
        <v>156516</v>
      </c>
      <c r="G1388">
        <f>-5129000/(1000)</f>
        <v>-5129</v>
      </c>
      <c r="H1388">
        <f>168164913/(1000)</f>
        <v>168164.913</v>
      </c>
      <c r="I1388">
        <f>1841000/(1000)</f>
        <v>1841</v>
      </c>
      <c r="J1388">
        <f t="shared" si="31"/>
        <v>9.134433079847909E-2</v>
      </c>
      <c r="K1388">
        <f>1679001/(1000)</f>
        <v>1679.001</v>
      </c>
      <c r="L1388">
        <v>0</v>
      </c>
      <c r="M1388">
        <v>-7.7276740074157697</v>
      </c>
      <c r="N1388">
        <v>87.967594677271904</v>
      </c>
      <c r="O1388">
        <v>8.4414281845092791</v>
      </c>
      <c r="P1388">
        <v>0</v>
      </c>
      <c r="Q1388">
        <v>0</v>
      </c>
      <c r="R1388">
        <v>0</v>
      </c>
      <c r="S1388">
        <v>34.972965048593899</v>
      </c>
      <c r="T1388">
        <v>0</v>
      </c>
      <c r="U1388">
        <v>0</v>
      </c>
      <c r="V1388">
        <v>0</v>
      </c>
      <c r="W1388">
        <v>0</v>
      </c>
    </row>
    <row r="1389" spans="1:23" x14ac:dyDescent="0.55000000000000004">
      <c r="A1389" t="s">
        <v>2786</v>
      </c>
      <c r="B1389" t="s">
        <v>2787</v>
      </c>
      <c r="C1389" t="s">
        <v>31</v>
      </c>
      <c r="D1389">
        <v>29.46</v>
      </c>
      <c r="E1389">
        <f>897059968/(1000)</f>
        <v>897059.96799999999</v>
      </c>
      <c r="F1389">
        <f>156412000/(1000)</f>
        <v>156412</v>
      </c>
      <c r="G1389">
        <f>71874000/(1000)</f>
        <v>71874</v>
      </c>
      <c r="H1389">
        <f>711381968/(1000)</f>
        <v>711381.96799999999</v>
      </c>
      <c r="I1389">
        <f>76879000/(1000)</f>
        <v>76879</v>
      </c>
      <c r="J1389">
        <f t="shared" si="31"/>
        <v>9.2532677063957638E-3</v>
      </c>
      <c r="K1389">
        <f>44385001/(1000)</f>
        <v>44385.000999999997</v>
      </c>
      <c r="L1389">
        <v>0</v>
      </c>
      <c r="M1389">
        <v>27.513658523559599</v>
      </c>
      <c r="N1389">
        <v>69.637538261789103</v>
      </c>
      <c r="O1389">
        <v>0</v>
      </c>
      <c r="P1389">
        <v>0</v>
      </c>
      <c r="Q1389">
        <v>0</v>
      </c>
      <c r="R1389">
        <v>17.1279064563318</v>
      </c>
      <c r="S1389">
        <v>0</v>
      </c>
      <c r="T1389">
        <v>0</v>
      </c>
      <c r="U1389">
        <v>0</v>
      </c>
      <c r="V1389">
        <v>0</v>
      </c>
      <c r="W1389">
        <v>0</v>
      </c>
    </row>
    <row r="1390" spans="1:23" x14ac:dyDescent="0.55000000000000004">
      <c r="A1390" t="s">
        <v>2788</v>
      </c>
      <c r="B1390" t="s">
        <v>2789</v>
      </c>
      <c r="C1390" t="s">
        <v>184</v>
      </c>
      <c r="D1390">
        <v>4</v>
      </c>
      <c r="E1390">
        <f>70623600/(1000)</f>
        <v>70623.600000000006</v>
      </c>
      <c r="F1390">
        <f>155936000/(1000)</f>
        <v>155936</v>
      </c>
      <c r="G1390">
        <f>33398000/(1000)</f>
        <v>33398</v>
      </c>
      <c r="H1390">
        <f>476906608/(1000)</f>
        <v>476906.60800000001</v>
      </c>
      <c r="I1390">
        <f>39422000/(1000)</f>
        <v>39422</v>
      </c>
      <c r="J1390">
        <f t="shared" si="31"/>
        <v>1.2097473694891179E-2</v>
      </c>
      <c r="K1390">
        <f>68487001/(1000)</f>
        <v>68487.001000000004</v>
      </c>
      <c r="L1390">
        <v>0</v>
      </c>
      <c r="M1390">
        <v>-15.949313163757299</v>
      </c>
      <c r="N1390">
        <v>72.845908130433301</v>
      </c>
      <c r="O1390">
        <v>378.60299682617199</v>
      </c>
      <c r="P1390">
        <v>0.28000000119209301</v>
      </c>
      <c r="Q1390">
        <v>0</v>
      </c>
      <c r="R1390">
        <v>6.1538462384918002</v>
      </c>
      <c r="S1390">
        <v>25.2950865774778</v>
      </c>
      <c r="T1390">
        <v>0</v>
      </c>
      <c r="U1390">
        <v>0</v>
      </c>
      <c r="V1390">
        <v>0</v>
      </c>
      <c r="W1390">
        <v>0</v>
      </c>
    </row>
    <row r="1391" spans="1:23" x14ac:dyDescent="0.55000000000000004">
      <c r="A1391" t="s">
        <v>2790</v>
      </c>
      <c r="B1391" t="s">
        <v>2791</v>
      </c>
      <c r="C1391" t="s">
        <v>184</v>
      </c>
      <c r="D1391">
        <v>11.26</v>
      </c>
      <c r="E1391">
        <f>266224688/(1000)</f>
        <v>266224.68800000002</v>
      </c>
      <c r="F1391">
        <f>155004992/(1000)</f>
        <v>155004.992</v>
      </c>
      <c r="G1391">
        <f t="shared" ref="G1391:I1392" si="35">0/(1000)</f>
        <v>0</v>
      </c>
      <c r="H1391">
        <f t="shared" si="35"/>
        <v>0</v>
      </c>
      <c r="I1391">
        <f t="shared" si="35"/>
        <v>0</v>
      </c>
      <c r="J1391">
        <f t="shared" si="31"/>
        <v>1</v>
      </c>
      <c r="K1391">
        <f>24654001/(1000)</f>
        <v>24654.001</v>
      </c>
      <c r="L1391">
        <v>16.776544570922901</v>
      </c>
      <c r="M1391">
        <v>8.7511768341064506</v>
      </c>
      <c r="N1391">
        <v>87.336422985215094</v>
      </c>
      <c r="O1391">
        <v>141.00775146484401</v>
      </c>
      <c r="P1391">
        <v>0.36281180381774902</v>
      </c>
      <c r="Q1391">
        <v>1.2082997238719699</v>
      </c>
      <c r="R1391">
        <v>15.013333787653201</v>
      </c>
      <c r="S1391">
        <v>105.58509224505001</v>
      </c>
      <c r="T1391">
        <v>0</v>
      </c>
      <c r="U1391">
        <v>0</v>
      </c>
      <c r="V1391">
        <v>0</v>
      </c>
      <c r="W1391">
        <v>0</v>
      </c>
    </row>
    <row r="1392" spans="1:23" x14ac:dyDescent="0.55000000000000004">
      <c r="A1392" t="s">
        <v>2792</v>
      </c>
      <c r="B1392" t="s">
        <v>2793</v>
      </c>
      <c r="C1392" t="s">
        <v>184</v>
      </c>
      <c r="D1392">
        <v>24.97</v>
      </c>
      <c r="E1392">
        <f>393150144/(1000)</f>
        <v>393150.14399999997</v>
      </c>
      <c r="F1392">
        <f>154858000/(1000)</f>
        <v>154858</v>
      </c>
      <c r="G1392">
        <f t="shared" si="35"/>
        <v>0</v>
      </c>
      <c r="H1392">
        <f t="shared" si="35"/>
        <v>0</v>
      </c>
      <c r="I1392">
        <f t="shared" si="35"/>
        <v>0</v>
      </c>
      <c r="J1392">
        <f t="shared" si="31"/>
        <v>1</v>
      </c>
      <c r="K1392">
        <f>30386001/(1000)</f>
        <v>30386.001</v>
      </c>
      <c r="L1392">
        <v>15.726823806762701</v>
      </c>
      <c r="M1392">
        <v>14.3410530090332</v>
      </c>
      <c r="N1392">
        <v>78.263438928476305</v>
      </c>
      <c r="O1392">
        <v>112.963920593262</v>
      </c>
      <c r="P1392">
        <v>0.519999980926514</v>
      </c>
      <c r="Q1392">
        <v>2.0226811480956099</v>
      </c>
      <c r="R1392">
        <v>22.0973449097336</v>
      </c>
      <c r="S1392">
        <v>84.627306976965997</v>
      </c>
      <c r="T1392">
        <v>0</v>
      </c>
      <c r="U1392">
        <v>0</v>
      </c>
      <c r="V1392">
        <v>0</v>
      </c>
      <c r="W1392">
        <v>0</v>
      </c>
    </row>
    <row r="1393" spans="1:23" x14ac:dyDescent="0.55000000000000004">
      <c r="A1393" t="s">
        <v>2794</v>
      </c>
      <c r="B1393" t="s">
        <v>2795</v>
      </c>
      <c r="C1393" t="s">
        <v>5</v>
      </c>
      <c r="D1393">
        <v>7.65</v>
      </c>
      <c r="E1393">
        <f>151073728/(1000)</f>
        <v>151073.728</v>
      </c>
      <c r="F1393">
        <f>154668992/(1000)</f>
        <v>154668.992</v>
      </c>
      <c r="G1393">
        <f>108675000/(1000)</f>
        <v>108675</v>
      </c>
      <c r="H1393">
        <f>1002505728/(1000)</f>
        <v>1002505.728</v>
      </c>
      <c r="I1393">
        <f>135354000/(1000)</f>
        <v>135354</v>
      </c>
      <c r="J1393">
        <f t="shared" si="31"/>
        <v>7.406546744093267E-3</v>
      </c>
      <c r="K1393">
        <f>-28867999/(1000)</f>
        <v>-28867.999</v>
      </c>
      <c r="L1393">
        <v>16.007154464721701</v>
      </c>
      <c r="M1393">
        <v>14.1189126968384</v>
      </c>
      <c r="N1393">
        <v>89.1225553654794</v>
      </c>
      <c r="O1393">
        <v>52.118129730224602</v>
      </c>
      <c r="P1393">
        <v>0.80000001192092896</v>
      </c>
      <c r="Q1393">
        <v>0</v>
      </c>
      <c r="R1393">
        <v>23.181818596423501</v>
      </c>
      <c r="S1393">
        <v>0.351001764766945</v>
      </c>
      <c r="T1393">
        <v>0</v>
      </c>
      <c r="U1393">
        <v>0</v>
      </c>
      <c r="V1393">
        <v>0</v>
      </c>
      <c r="W1393">
        <v>0</v>
      </c>
    </row>
    <row r="1394" spans="1:23" x14ac:dyDescent="0.55000000000000004">
      <c r="A1394" t="s">
        <v>2796</v>
      </c>
      <c r="B1394" t="s">
        <v>2797</v>
      </c>
      <c r="C1394" t="s">
        <v>38</v>
      </c>
      <c r="D1394">
        <v>34.65</v>
      </c>
      <c r="E1394">
        <f>1252334080/(1000)</f>
        <v>1252334.0800000001</v>
      </c>
      <c r="F1394">
        <f>154290000/(1000)</f>
        <v>154290</v>
      </c>
      <c r="G1394">
        <f>-17252000/(1000)</f>
        <v>-17252</v>
      </c>
      <c r="H1394">
        <f>1260641080/(1000)</f>
        <v>1260641.08</v>
      </c>
      <c r="I1394">
        <f>-4300000/(1000)</f>
        <v>-4300</v>
      </c>
      <c r="J1394">
        <f t="shared" si="31"/>
        <v>-0.29317234418604654</v>
      </c>
      <c r="K1394">
        <f>-25289999/(1000)</f>
        <v>-25289.999</v>
      </c>
      <c r="L1394">
        <v>0</v>
      </c>
      <c r="M1394">
        <v>-6.0421419143676802</v>
      </c>
      <c r="N1394">
        <v>96.1029182354808</v>
      </c>
      <c r="O1394">
        <v>0.56923997402191195</v>
      </c>
      <c r="P1394">
        <v>0</v>
      </c>
      <c r="Q1394">
        <v>6.5874524749297896</v>
      </c>
      <c r="R1394">
        <v>0</v>
      </c>
      <c r="S1394">
        <v>1158.48287112561</v>
      </c>
      <c r="T1394">
        <v>0</v>
      </c>
      <c r="U1394">
        <v>0</v>
      </c>
      <c r="V1394">
        <v>0</v>
      </c>
      <c r="W1394">
        <v>0</v>
      </c>
    </row>
    <row r="1395" spans="1:23" x14ac:dyDescent="0.55000000000000004">
      <c r="A1395" t="s">
        <v>2798</v>
      </c>
      <c r="B1395" t="s">
        <v>2799</v>
      </c>
      <c r="C1395" t="s">
        <v>401</v>
      </c>
      <c r="D1395">
        <v>13.43</v>
      </c>
      <c r="E1395">
        <f>109735192/(1000)</f>
        <v>109735.192</v>
      </c>
      <c r="F1395">
        <f>154070000/(1000)</f>
        <v>154070</v>
      </c>
      <c r="G1395">
        <f>7063000/(1000)</f>
        <v>7063</v>
      </c>
      <c r="H1395">
        <f>217512192/(1000)</f>
        <v>217512.19200000001</v>
      </c>
      <c r="I1395">
        <f>18931000/(1000)</f>
        <v>18931</v>
      </c>
      <c r="J1395">
        <f t="shared" si="31"/>
        <v>1.1489735988590145E-2</v>
      </c>
      <c r="K1395">
        <f>-32022999/(1000)</f>
        <v>-32022.999</v>
      </c>
      <c r="L1395">
        <v>0</v>
      </c>
      <c r="M1395">
        <v>6.94687700271606</v>
      </c>
      <c r="N1395">
        <v>42.630552974447397</v>
      </c>
      <c r="O1395">
        <v>47.370399475097699</v>
      </c>
      <c r="P1395">
        <v>0</v>
      </c>
      <c r="Q1395">
        <v>0</v>
      </c>
      <c r="R1395">
        <v>0</v>
      </c>
      <c r="S1395">
        <v>5.7359723289777103</v>
      </c>
      <c r="T1395">
        <v>0</v>
      </c>
      <c r="U1395">
        <v>0</v>
      </c>
      <c r="V1395">
        <v>0</v>
      </c>
      <c r="W1395">
        <v>0</v>
      </c>
    </row>
    <row r="1396" spans="1:23" x14ac:dyDescent="0.55000000000000004">
      <c r="A1396" t="s">
        <v>2800</v>
      </c>
      <c r="B1396" t="s">
        <v>2801</v>
      </c>
      <c r="C1396" t="s">
        <v>401</v>
      </c>
      <c r="D1396">
        <v>7.08</v>
      </c>
      <c r="E1396">
        <f>314980000/(1000)</f>
        <v>314980</v>
      </c>
      <c r="F1396">
        <f>153710000/(1000)</f>
        <v>153710</v>
      </c>
      <c r="G1396">
        <f>61985000/(1000)</f>
        <v>61985</v>
      </c>
      <c r="H1396">
        <f>1438246048/(1000)</f>
        <v>1438246.048</v>
      </c>
      <c r="I1396">
        <f>94559000/(1000)</f>
        <v>94559</v>
      </c>
      <c r="J1396">
        <f t="shared" si="31"/>
        <v>1.5210038684842267E-2</v>
      </c>
      <c r="K1396">
        <f>-135992991/(1000)</f>
        <v>-135992.99100000001</v>
      </c>
      <c r="L1396">
        <v>0</v>
      </c>
      <c r="M1396">
        <v>2.9401090145111102</v>
      </c>
      <c r="N1396">
        <v>82.860589951713393</v>
      </c>
      <c r="O1396">
        <v>131.76333618164099</v>
      </c>
      <c r="P1396">
        <v>0.89999997615814198</v>
      </c>
      <c r="Q1396">
        <v>0</v>
      </c>
      <c r="R1396">
        <v>26.222221983067801</v>
      </c>
      <c r="S1396">
        <v>1083.3859419508799</v>
      </c>
      <c r="T1396">
        <v>0</v>
      </c>
      <c r="U1396">
        <v>0</v>
      </c>
      <c r="V1396">
        <v>0</v>
      </c>
      <c r="W1396">
        <v>0</v>
      </c>
    </row>
    <row r="1397" spans="1:23" x14ac:dyDescent="0.55000000000000004">
      <c r="A1397" t="s">
        <v>2802</v>
      </c>
      <c r="B1397" t="s">
        <v>2803</v>
      </c>
      <c r="C1397" t="s">
        <v>401</v>
      </c>
      <c r="D1397">
        <v>6.18</v>
      </c>
      <c r="E1397">
        <f>114845416/(1000)</f>
        <v>114845.416</v>
      </c>
      <c r="F1397">
        <f>153255008/(1000)</f>
        <v>153255.008</v>
      </c>
      <c r="G1397">
        <f>53455000/(1000)</f>
        <v>53455</v>
      </c>
      <c r="H1397">
        <f>786545384/(1000)</f>
        <v>786545.38399999996</v>
      </c>
      <c r="I1397">
        <f>90431000/(1000)</f>
        <v>90431</v>
      </c>
      <c r="J1397">
        <f t="shared" si="31"/>
        <v>8.6977406420364698E-3</v>
      </c>
      <c r="K1397">
        <f>-1144999/(1000)</f>
        <v>-1144.999</v>
      </c>
      <c r="L1397">
        <v>37.670333862304702</v>
      </c>
      <c r="M1397">
        <v>13.510023117065399</v>
      </c>
      <c r="N1397">
        <v>86.875918125877206</v>
      </c>
      <c r="O1397">
        <v>216.33737182617199</v>
      </c>
      <c r="P1397">
        <v>0.92519998550414995</v>
      </c>
      <c r="Q1397">
        <v>0.19606598155414801</v>
      </c>
      <c r="R1397">
        <v>4.5109487518424496</v>
      </c>
      <c r="S1397">
        <v>68.857434993389205</v>
      </c>
      <c r="T1397">
        <v>0</v>
      </c>
      <c r="U1397">
        <v>0</v>
      </c>
      <c r="V1397">
        <v>0</v>
      </c>
      <c r="W1397">
        <v>0</v>
      </c>
    </row>
    <row r="1398" spans="1:23" x14ac:dyDescent="0.55000000000000004">
      <c r="A1398" t="s">
        <v>2804</v>
      </c>
      <c r="B1398" t="s">
        <v>2805</v>
      </c>
      <c r="C1398" t="s">
        <v>5</v>
      </c>
      <c r="D1398">
        <v>12.28</v>
      </c>
      <c r="E1398">
        <f>166509424/(1000)</f>
        <v>166509.424</v>
      </c>
      <c r="F1398">
        <f>152511008/(1000)</f>
        <v>152511.008</v>
      </c>
      <c r="G1398">
        <f>365000/(1000)</f>
        <v>365</v>
      </c>
      <c r="H1398">
        <f>191619424/(1000)</f>
        <v>191619.424</v>
      </c>
      <c r="I1398">
        <f>7631000/(1000)</f>
        <v>7631</v>
      </c>
      <c r="J1398">
        <f t="shared" si="31"/>
        <v>2.5110657056742234E-2</v>
      </c>
      <c r="K1398">
        <f>-15252999/(1000)</f>
        <v>-15252.999</v>
      </c>
      <c r="L1398">
        <v>30.0005702972412</v>
      </c>
      <c r="M1398">
        <v>-5.13352298736572</v>
      </c>
      <c r="N1398">
        <v>92.207622493671906</v>
      </c>
      <c r="O1398">
        <v>4.38700294494629</v>
      </c>
      <c r="P1398">
        <v>0</v>
      </c>
      <c r="Q1398">
        <v>0</v>
      </c>
      <c r="R1398">
        <v>0</v>
      </c>
      <c r="S1398">
        <v>38.365865563448601</v>
      </c>
      <c r="T1398">
        <v>0</v>
      </c>
      <c r="U1398">
        <v>0</v>
      </c>
      <c r="V1398">
        <v>0</v>
      </c>
      <c r="W1398">
        <v>0</v>
      </c>
    </row>
    <row r="1399" spans="1:23" x14ac:dyDescent="0.55000000000000004">
      <c r="A1399" t="s">
        <v>2806</v>
      </c>
      <c r="B1399" t="s">
        <v>2807</v>
      </c>
      <c r="C1399" t="s">
        <v>184</v>
      </c>
      <c r="D1399">
        <v>34.869999999999997</v>
      </c>
      <c r="E1399">
        <f>382457632/(1000)</f>
        <v>382457.63199999998</v>
      </c>
      <c r="F1399">
        <f>152422000/(1000)</f>
        <v>152422</v>
      </c>
      <c r="G1399">
        <f>0/(1000)</f>
        <v>0</v>
      </c>
      <c r="H1399">
        <f>0/(1000)</f>
        <v>0</v>
      </c>
      <c r="I1399">
        <f>0/(1000)</f>
        <v>0</v>
      </c>
      <c r="J1399">
        <f t="shared" si="31"/>
        <v>1</v>
      </c>
      <c r="K1399">
        <f>17289001/(1000)</f>
        <v>17289.001</v>
      </c>
      <c r="L1399">
        <v>14.380617141723601</v>
      </c>
      <c r="M1399">
        <v>13.7878408432007</v>
      </c>
      <c r="N1399">
        <v>85.439596163286893</v>
      </c>
      <c r="O1399">
        <v>238.52960205078099</v>
      </c>
      <c r="P1399">
        <v>1.12000000476837</v>
      </c>
      <c r="Q1399">
        <v>0</v>
      </c>
      <c r="R1399">
        <v>14.9656646934076</v>
      </c>
      <c r="S1399">
        <v>31.112315381108498</v>
      </c>
      <c r="T1399">
        <v>0</v>
      </c>
      <c r="U1399">
        <v>0</v>
      </c>
      <c r="V1399">
        <v>0</v>
      </c>
      <c r="W1399">
        <v>0</v>
      </c>
    </row>
    <row r="1400" spans="1:23" x14ac:dyDescent="0.55000000000000004">
      <c r="A1400" t="s">
        <v>2808</v>
      </c>
      <c r="B1400" t="s">
        <v>2809</v>
      </c>
      <c r="C1400" t="s">
        <v>5</v>
      </c>
      <c r="D1400">
        <v>6.59</v>
      </c>
      <c r="E1400">
        <f>197389616/(1000)</f>
        <v>197389.61600000001</v>
      </c>
      <c r="F1400">
        <f>151988992/(1000)</f>
        <v>151988.992</v>
      </c>
      <c r="G1400">
        <f>26761000/(1000)</f>
        <v>26761</v>
      </c>
      <c r="H1400">
        <f>382102624/(1000)</f>
        <v>382102.62400000001</v>
      </c>
      <c r="I1400">
        <f>38903000/(1000)</f>
        <v>38903</v>
      </c>
      <c r="J1400">
        <f t="shared" si="31"/>
        <v>9.8219320874996796E-3</v>
      </c>
      <c r="K1400">
        <f>19978001/(1000)</f>
        <v>19978.001</v>
      </c>
      <c r="L1400">
        <v>0</v>
      </c>
      <c r="M1400">
        <v>0</v>
      </c>
      <c r="N1400">
        <v>80.214269916618406</v>
      </c>
      <c r="O1400">
        <v>46.46826171875</v>
      </c>
      <c r="P1400">
        <v>0</v>
      </c>
      <c r="Q1400">
        <v>0</v>
      </c>
      <c r="R1400">
        <v>7.8452382434894403</v>
      </c>
      <c r="S1400">
        <v>0</v>
      </c>
      <c r="T1400">
        <v>0</v>
      </c>
      <c r="U1400">
        <v>0</v>
      </c>
      <c r="V1400">
        <v>0</v>
      </c>
      <c r="W1400">
        <v>0</v>
      </c>
    </row>
    <row r="1401" spans="1:23" x14ac:dyDescent="0.55000000000000004">
      <c r="A1401" t="s">
        <v>2810</v>
      </c>
      <c r="B1401" t="s">
        <v>2811</v>
      </c>
      <c r="C1401" t="s">
        <v>401</v>
      </c>
      <c r="D1401">
        <v>0</v>
      </c>
      <c r="E1401">
        <f>151170896/(1000)</f>
        <v>151170.89600000001</v>
      </c>
      <c r="F1401">
        <f>151814000/(1000)</f>
        <v>151814</v>
      </c>
      <c r="G1401">
        <f>31465000/(1000)</f>
        <v>31465</v>
      </c>
      <c r="H1401">
        <f>753816400/(1000)</f>
        <v>753816.4</v>
      </c>
      <c r="I1401">
        <f>65629000/(1000)</f>
        <v>65629</v>
      </c>
      <c r="J1401">
        <f t="shared" si="31"/>
        <v>1.1486025994606044E-2</v>
      </c>
      <c r="K1401">
        <f>-53884999/(1000)</f>
        <v>-53884.999000000003</v>
      </c>
      <c r="L1401">
        <v>0</v>
      </c>
      <c r="M1401">
        <v>11.827428817749</v>
      </c>
      <c r="N1401">
        <v>89.008672639668205</v>
      </c>
      <c r="O1401">
        <v>620.02429199218795</v>
      </c>
      <c r="P1401">
        <v>0.68000000715255704</v>
      </c>
      <c r="Q1401">
        <v>0</v>
      </c>
      <c r="R1401">
        <v>0</v>
      </c>
      <c r="S1401">
        <v>-6.4919866464639</v>
      </c>
      <c r="T1401">
        <v>0</v>
      </c>
      <c r="U1401">
        <v>0</v>
      </c>
      <c r="V1401">
        <v>0</v>
      </c>
      <c r="W1401">
        <v>0</v>
      </c>
    </row>
    <row r="1402" spans="1:23" x14ac:dyDescent="0.55000000000000004">
      <c r="A1402" t="s">
        <v>2812</v>
      </c>
      <c r="B1402" t="s">
        <v>2813</v>
      </c>
      <c r="C1402" t="s">
        <v>38</v>
      </c>
      <c r="D1402">
        <v>13.33</v>
      </c>
      <c r="E1402">
        <f>159437472/(1000)</f>
        <v>159437.47200000001</v>
      </c>
      <c r="F1402">
        <f>151686000/(1000)</f>
        <v>151686</v>
      </c>
      <c r="G1402">
        <f>20035000/(1000)</f>
        <v>20035</v>
      </c>
      <c r="H1402">
        <f>167178472/(1000)</f>
        <v>167178.47200000001</v>
      </c>
      <c r="I1402">
        <f>25021000/(1000)</f>
        <v>25021</v>
      </c>
      <c r="J1402">
        <f t="shared" si="31"/>
        <v>6.6815263978258262E-3</v>
      </c>
      <c r="K1402">
        <f>15013001/(1000)</f>
        <v>15013.001</v>
      </c>
      <c r="L1402">
        <v>0</v>
      </c>
      <c r="M1402">
        <v>13.9893045425415</v>
      </c>
      <c r="N1402">
        <v>84.320445588068296</v>
      </c>
      <c r="O1402">
        <v>11.6860971450806</v>
      </c>
      <c r="P1402">
        <v>0</v>
      </c>
      <c r="Q1402">
        <v>0</v>
      </c>
      <c r="R1402">
        <v>15.5000001905963</v>
      </c>
      <c r="S1402">
        <v>0</v>
      </c>
      <c r="T1402">
        <v>0</v>
      </c>
      <c r="U1402">
        <v>0</v>
      </c>
      <c r="V1402">
        <v>0</v>
      </c>
      <c r="W1402">
        <v>0</v>
      </c>
    </row>
    <row r="1403" spans="1:23" x14ac:dyDescent="0.55000000000000004">
      <c r="A1403" t="s">
        <v>2814</v>
      </c>
      <c r="B1403" t="s">
        <v>2815</v>
      </c>
      <c r="C1403" t="s">
        <v>5</v>
      </c>
      <c r="D1403">
        <v>4.8600000000000003</v>
      </c>
      <c r="E1403">
        <f>139024192/(1000)</f>
        <v>139024.19200000001</v>
      </c>
      <c r="F1403">
        <f>151662048/(1000)</f>
        <v>151662.04800000001</v>
      </c>
      <c r="G1403">
        <f>26127290/(1000)</f>
        <v>26127.29</v>
      </c>
      <c r="H1403">
        <f>182535192/(1000)</f>
        <v>182535.19200000001</v>
      </c>
      <c r="I1403">
        <f>34026548/(1000)</f>
        <v>34026.548000000003</v>
      </c>
      <c r="J1403">
        <f t="shared" si="31"/>
        <v>5.3644933949808836E-3</v>
      </c>
      <c r="K1403">
        <f>19090509/(1000)</f>
        <v>19090.508999999998</v>
      </c>
      <c r="L1403">
        <v>0</v>
      </c>
      <c r="M1403">
        <v>12.383231163024901</v>
      </c>
      <c r="N1403">
        <v>71.0289506095544</v>
      </c>
      <c r="O1403">
        <v>73.874046325683594</v>
      </c>
      <c r="P1403">
        <v>0</v>
      </c>
      <c r="Q1403">
        <v>1.0253165333735701</v>
      </c>
      <c r="R1403">
        <v>9.5294122046940402</v>
      </c>
      <c r="S1403">
        <v>0</v>
      </c>
      <c r="T1403">
        <v>0</v>
      </c>
      <c r="U1403">
        <v>0</v>
      </c>
      <c r="V1403">
        <v>0</v>
      </c>
      <c r="W1403">
        <v>0</v>
      </c>
    </row>
    <row r="1404" spans="1:23" x14ac:dyDescent="0.55000000000000004">
      <c r="A1404" t="s">
        <v>2816</v>
      </c>
      <c r="B1404" t="s">
        <v>2817</v>
      </c>
      <c r="C1404" t="s">
        <v>5</v>
      </c>
      <c r="D1404">
        <v>6.45</v>
      </c>
      <c r="E1404">
        <f>278286528/(1000)</f>
        <v>278286.52799999999</v>
      </c>
      <c r="F1404">
        <f>151555248/(1000)</f>
        <v>151555.24799999999</v>
      </c>
      <c r="G1404">
        <f>56098788/(1000)</f>
        <v>56098.788</v>
      </c>
      <c r="H1404">
        <f>167439720/(1000)</f>
        <v>167439.72</v>
      </c>
      <c r="I1404">
        <f>60107464/(1000)</f>
        <v>60107.464</v>
      </c>
      <c r="J1404">
        <f t="shared" si="31"/>
        <v>2.7856726745284083E-3</v>
      </c>
      <c r="K1404">
        <f>41059877/(1000)</f>
        <v>41059.877</v>
      </c>
      <c r="L1404">
        <v>23.9542446136475</v>
      </c>
      <c r="M1404">
        <v>26.983739852905298</v>
      </c>
      <c r="N1404">
        <v>79.6679606038944</v>
      </c>
      <c r="O1404">
        <v>0</v>
      </c>
      <c r="P1404">
        <v>0</v>
      </c>
      <c r="Q1404">
        <v>1.6826101459054601</v>
      </c>
      <c r="R1404">
        <v>8.7162160216521105</v>
      </c>
      <c r="S1404">
        <v>213.18891529416601</v>
      </c>
      <c r="T1404">
        <v>0</v>
      </c>
      <c r="U1404">
        <v>0</v>
      </c>
      <c r="V1404">
        <v>0</v>
      </c>
      <c r="W1404">
        <v>0</v>
      </c>
    </row>
    <row r="1405" spans="1:23" x14ac:dyDescent="0.55000000000000004">
      <c r="A1405" t="s">
        <v>2818</v>
      </c>
      <c r="B1405" t="s">
        <v>2819</v>
      </c>
      <c r="C1405" t="s">
        <v>31</v>
      </c>
      <c r="D1405">
        <v>14.6</v>
      </c>
      <c r="E1405">
        <f>356806496/(1000)</f>
        <v>356806.49599999998</v>
      </c>
      <c r="F1405">
        <f>151464000/(1000)</f>
        <v>151464</v>
      </c>
      <c r="G1405">
        <f>7605000/(1000)</f>
        <v>7605</v>
      </c>
      <c r="H1405">
        <f>337695496/(1000)</f>
        <v>337695.49599999998</v>
      </c>
      <c r="I1405">
        <f>14673000/(1000)</f>
        <v>14673</v>
      </c>
      <c r="J1405">
        <f t="shared" si="31"/>
        <v>2.3014754719552919E-2</v>
      </c>
      <c r="K1405">
        <f>21711001/(1000)</f>
        <v>21711.001</v>
      </c>
      <c r="L1405">
        <v>0</v>
      </c>
      <c r="M1405">
        <v>72.019561767578097</v>
      </c>
      <c r="N1405">
        <v>96.701553329165705</v>
      </c>
      <c r="O1405">
        <v>8.0110864639282209</v>
      </c>
      <c r="P1405">
        <v>0</v>
      </c>
      <c r="Q1405">
        <v>7.3366835736189202</v>
      </c>
      <c r="R1405">
        <v>20.221607409431201</v>
      </c>
      <c r="S1405">
        <v>174.645052494152</v>
      </c>
      <c r="T1405">
        <v>0</v>
      </c>
      <c r="U1405">
        <v>0</v>
      </c>
      <c r="V1405">
        <v>0</v>
      </c>
      <c r="W1405">
        <v>0</v>
      </c>
    </row>
    <row r="1406" spans="1:23" x14ac:dyDescent="0.55000000000000004">
      <c r="A1406" t="s">
        <v>2820</v>
      </c>
      <c r="B1406" t="s">
        <v>2821</v>
      </c>
      <c r="C1406" t="s">
        <v>8</v>
      </c>
      <c r="D1406">
        <v>4.76</v>
      </c>
      <c r="E1406">
        <f>491945984/(1000)</f>
        <v>491945.984</v>
      </c>
      <c r="F1406">
        <f>151336000/(1000)</f>
        <v>151336</v>
      </c>
      <c r="G1406">
        <f>-144195008/(1000)</f>
        <v>-144195.008</v>
      </c>
      <c r="H1406">
        <f>0/(1000)</f>
        <v>0</v>
      </c>
      <c r="I1406">
        <f>-41670000/(1000)</f>
        <v>-41670</v>
      </c>
      <c r="J1406">
        <f t="shared" si="31"/>
        <v>0</v>
      </c>
      <c r="K1406">
        <f>-270350015/(1000)</f>
        <v>-270350.01500000001</v>
      </c>
      <c r="L1406">
        <v>0</v>
      </c>
      <c r="M1406">
        <v>-31.8900146484375</v>
      </c>
      <c r="N1406">
        <v>52.089405703745797</v>
      </c>
      <c r="O1406">
        <v>77.108688354492202</v>
      </c>
      <c r="P1406">
        <v>0</v>
      </c>
      <c r="Q1406">
        <v>0.40729016146284402</v>
      </c>
      <c r="R1406">
        <v>0</v>
      </c>
      <c r="S1406">
        <v>1763.5142307896699</v>
      </c>
      <c r="T1406">
        <v>0</v>
      </c>
      <c r="U1406">
        <v>0</v>
      </c>
      <c r="V1406">
        <v>0</v>
      </c>
      <c r="W1406">
        <v>0</v>
      </c>
    </row>
    <row r="1407" spans="1:23" x14ac:dyDescent="0.55000000000000004">
      <c r="A1407" t="s">
        <v>2822</v>
      </c>
      <c r="B1407" t="s">
        <v>2823</v>
      </c>
      <c r="C1407" t="s">
        <v>401</v>
      </c>
      <c r="D1407">
        <v>35.58</v>
      </c>
      <c r="E1407">
        <f>892008384/(1000)</f>
        <v>892008.38399999996</v>
      </c>
      <c r="F1407">
        <f>150730000/(1000)</f>
        <v>150730</v>
      </c>
      <c r="G1407">
        <f>53409000/(1000)</f>
        <v>53409</v>
      </c>
      <c r="H1407">
        <f>1561874368/(1000)</f>
        <v>1561874.368</v>
      </c>
      <c r="I1407">
        <f>101317000/(1000)</f>
        <v>101317</v>
      </c>
      <c r="J1407">
        <f t="shared" si="31"/>
        <v>1.5415718665179585E-2</v>
      </c>
      <c r="K1407">
        <f>-100309999/(1000)</f>
        <v>-100309.999</v>
      </c>
      <c r="L1407">
        <v>50.4030570983887</v>
      </c>
      <c r="M1407">
        <v>7.17972612380981</v>
      </c>
      <c r="N1407">
        <v>96.624720529159603</v>
      </c>
      <c r="O1407">
        <v>148.45773315429699</v>
      </c>
      <c r="P1407">
        <v>2.07999992370606</v>
      </c>
      <c r="Q1407">
        <v>0</v>
      </c>
      <c r="R1407">
        <v>30.410257541477598</v>
      </c>
      <c r="S1407">
        <v>42.476345315852598</v>
      </c>
      <c r="T1407">
        <v>0</v>
      </c>
      <c r="U1407">
        <v>0</v>
      </c>
      <c r="V1407">
        <v>0</v>
      </c>
      <c r="W1407">
        <v>0</v>
      </c>
    </row>
    <row r="1408" spans="1:23" x14ac:dyDescent="0.55000000000000004">
      <c r="A1408" t="s">
        <v>2824</v>
      </c>
      <c r="B1408" t="s">
        <v>2825</v>
      </c>
      <c r="C1408" t="s">
        <v>5</v>
      </c>
      <c r="D1408">
        <v>0.56999999999999995</v>
      </c>
      <c r="E1408">
        <f>53035992/(1000)</f>
        <v>53035.991999999998</v>
      </c>
      <c r="F1408">
        <f>150708992/(1000)</f>
        <v>150708.992</v>
      </c>
      <c r="G1408">
        <f>17435000/(1000)</f>
        <v>17435</v>
      </c>
      <c r="H1408">
        <f>141767992/(1000)</f>
        <v>141767.992</v>
      </c>
      <c r="I1408">
        <f>94510992/(1000)</f>
        <v>94510.991999999998</v>
      </c>
      <c r="J1408">
        <f t="shared" si="31"/>
        <v>1.5000159134928982E-3</v>
      </c>
      <c r="K1408">
        <f>-19705001/(1000)</f>
        <v>-19705.001</v>
      </c>
      <c r="L1408">
        <v>21.427295684814499</v>
      </c>
      <c r="M1408">
        <v>2.2088210582733199</v>
      </c>
      <c r="N1408">
        <v>99.542159019842501</v>
      </c>
      <c r="O1408">
        <v>23.864425659179702</v>
      </c>
      <c r="P1408">
        <v>0</v>
      </c>
      <c r="Q1408">
        <v>0</v>
      </c>
      <c r="R1408">
        <v>3.7999999900658898</v>
      </c>
      <c r="S1408">
        <v>40.860056826678601</v>
      </c>
      <c r="T1408">
        <v>0</v>
      </c>
      <c r="U1408">
        <v>0</v>
      </c>
      <c r="V1408">
        <v>0</v>
      </c>
      <c r="W1408">
        <v>0</v>
      </c>
    </row>
    <row r="1409" spans="1:23" x14ac:dyDescent="0.55000000000000004">
      <c r="A1409" t="s">
        <v>2826</v>
      </c>
      <c r="B1409" t="s">
        <v>2827</v>
      </c>
      <c r="C1409" t="s">
        <v>401</v>
      </c>
      <c r="D1409">
        <v>39.5</v>
      </c>
      <c r="E1409">
        <f>705588544/(1000)</f>
        <v>705588.54399999999</v>
      </c>
      <c r="F1409">
        <f>150584992/(1000)</f>
        <v>150584.992</v>
      </c>
      <c r="G1409">
        <f>79237000/(1000)</f>
        <v>79237</v>
      </c>
      <c r="H1409">
        <f>1430403520/(1000)</f>
        <v>1430403.52</v>
      </c>
      <c r="I1409">
        <f>105701000/(1000)</f>
        <v>105701</v>
      </c>
      <c r="J1409">
        <f t="shared" si="31"/>
        <v>1.353254481982195E-2</v>
      </c>
      <c r="K1409">
        <f>19161001/(1000)</f>
        <v>19161.001</v>
      </c>
      <c r="L1409">
        <v>31.8166618347168</v>
      </c>
      <c r="M1409">
        <v>70.985534667968807</v>
      </c>
      <c r="N1409">
        <v>63.055474733104099</v>
      </c>
      <c r="O1409">
        <v>346.99850463867199</v>
      </c>
      <c r="P1409">
        <v>1.5599999427795399</v>
      </c>
      <c r="Q1409">
        <v>0</v>
      </c>
      <c r="R1409">
        <v>26.6891893826648</v>
      </c>
      <c r="S1409">
        <v>60.259881016995998</v>
      </c>
      <c r="T1409">
        <v>0</v>
      </c>
      <c r="U1409">
        <v>0</v>
      </c>
      <c r="V1409">
        <v>0</v>
      </c>
      <c r="W1409">
        <v>0</v>
      </c>
    </row>
    <row r="1410" spans="1:23" x14ac:dyDescent="0.55000000000000004">
      <c r="A1410" t="s">
        <v>2828</v>
      </c>
      <c r="B1410" t="s">
        <v>2829</v>
      </c>
      <c r="C1410" t="s">
        <v>184</v>
      </c>
      <c r="D1410">
        <v>10.65</v>
      </c>
      <c r="E1410">
        <f>621633024/(1000)</f>
        <v>621633.02399999998</v>
      </c>
      <c r="F1410">
        <f>149884992/(1000)</f>
        <v>149884.992</v>
      </c>
      <c r="G1410">
        <f>0/(1000)</f>
        <v>0</v>
      </c>
      <c r="H1410">
        <f>0/(1000)</f>
        <v>0</v>
      </c>
      <c r="I1410">
        <f>0/(1000)</f>
        <v>0</v>
      </c>
      <c r="J1410">
        <f t="shared" ref="J1410:J1473" si="36">(IF(I1410=0,1000,H1410/I1410))/(1000)</f>
        <v>1</v>
      </c>
      <c r="K1410">
        <f>38027001/(1000)</f>
        <v>38027.000999999997</v>
      </c>
      <c r="L1410">
        <v>42.935550689697301</v>
      </c>
      <c r="M1410">
        <v>3.22112989425659</v>
      </c>
      <c r="N1410">
        <v>94.478431648524506</v>
      </c>
      <c r="O1410">
        <v>106.71897888183599</v>
      </c>
      <c r="P1410">
        <v>0.34000000357627902</v>
      </c>
      <c r="Q1410">
        <v>1.2648455489347099</v>
      </c>
      <c r="R1410">
        <v>46.304346827511999</v>
      </c>
      <c r="S1410">
        <v>97.222284796968296</v>
      </c>
      <c r="T1410">
        <v>0</v>
      </c>
      <c r="U1410">
        <v>0</v>
      </c>
      <c r="V1410">
        <v>0</v>
      </c>
      <c r="W1410">
        <v>0</v>
      </c>
    </row>
    <row r="1411" spans="1:23" x14ac:dyDescent="0.55000000000000004">
      <c r="A1411" t="s">
        <v>2830</v>
      </c>
      <c r="B1411" t="s">
        <v>2831</v>
      </c>
      <c r="C1411" t="s">
        <v>401</v>
      </c>
      <c r="D1411">
        <v>20.48</v>
      </c>
      <c r="E1411">
        <f>866424832/(1000)</f>
        <v>866424.83200000005</v>
      </c>
      <c r="F1411">
        <f>148612000/(1000)</f>
        <v>148612</v>
      </c>
      <c r="G1411">
        <f>28644000/(1000)</f>
        <v>28644</v>
      </c>
      <c r="H1411">
        <f>2112669824/(1000)</f>
        <v>2112669.824</v>
      </c>
      <c r="I1411">
        <f>58877000/(1000)</f>
        <v>58877</v>
      </c>
      <c r="J1411">
        <f t="shared" si="36"/>
        <v>3.5882769570460452E-2</v>
      </c>
      <c r="K1411">
        <f>-156943999/(1000)</f>
        <v>-156943.99900000001</v>
      </c>
      <c r="L1411">
        <v>0</v>
      </c>
      <c r="M1411">
        <v>-0.414326012134552</v>
      </c>
      <c r="N1411">
        <v>99.343589026673698</v>
      </c>
      <c r="O1411">
        <v>114.17115783691401</v>
      </c>
      <c r="P1411">
        <v>1.3500000238418599</v>
      </c>
      <c r="Q1411">
        <v>1.2100443406456101</v>
      </c>
      <c r="R1411">
        <v>341.33326975505599</v>
      </c>
      <c r="S1411">
        <v>167.653627260284</v>
      </c>
      <c r="T1411">
        <v>0</v>
      </c>
      <c r="U1411">
        <v>0</v>
      </c>
      <c r="V1411">
        <v>0</v>
      </c>
      <c r="W1411">
        <v>0</v>
      </c>
    </row>
    <row r="1412" spans="1:23" x14ac:dyDescent="0.55000000000000004">
      <c r="A1412" t="s">
        <v>2832</v>
      </c>
      <c r="B1412" t="s">
        <v>2833</v>
      </c>
      <c r="C1412" t="s">
        <v>38</v>
      </c>
      <c r="D1412">
        <v>31.52</v>
      </c>
      <c r="E1412">
        <f>792854080/(1000)</f>
        <v>792854.08</v>
      </c>
      <c r="F1412">
        <f>146651008/(1000)</f>
        <v>146651.008</v>
      </c>
      <c r="G1412">
        <f>28281000/(1000)</f>
        <v>28281</v>
      </c>
      <c r="H1412">
        <f>780156081/(1000)</f>
        <v>780156.08100000001</v>
      </c>
      <c r="I1412">
        <f>38839000/(1000)</f>
        <v>38839</v>
      </c>
      <c r="J1412">
        <f t="shared" si="36"/>
        <v>2.0086925023816267E-2</v>
      </c>
      <c r="K1412">
        <f>18004001/(1000)</f>
        <v>18004.001</v>
      </c>
      <c r="L1412">
        <v>41.058006286621101</v>
      </c>
      <c r="M1412">
        <v>12.1763772964478</v>
      </c>
      <c r="N1412">
        <v>97.151549066798907</v>
      </c>
      <c r="O1412">
        <v>17.027149200439499</v>
      </c>
      <c r="P1412">
        <v>0</v>
      </c>
      <c r="Q1412">
        <v>5.0151155486093204</v>
      </c>
      <c r="R1412">
        <v>45.681159748296899</v>
      </c>
      <c r="S1412">
        <v>113.73336053866601</v>
      </c>
      <c r="T1412">
        <v>0</v>
      </c>
      <c r="U1412">
        <v>0</v>
      </c>
      <c r="V1412">
        <v>0</v>
      </c>
      <c r="W1412">
        <v>0</v>
      </c>
    </row>
    <row r="1413" spans="1:23" x14ac:dyDescent="0.55000000000000004">
      <c r="A1413" t="s">
        <v>2834</v>
      </c>
      <c r="B1413" t="s">
        <v>2835</v>
      </c>
      <c r="C1413" t="s">
        <v>5</v>
      </c>
      <c r="D1413">
        <v>4.93</v>
      </c>
      <c r="E1413">
        <f>166176496/(1000)</f>
        <v>166176.49600000001</v>
      </c>
      <c r="F1413">
        <f>146608992/(1000)</f>
        <v>146608.992</v>
      </c>
      <c r="G1413">
        <f>-10616000/(1000)</f>
        <v>-10616</v>
      </c>
      <c r="H1413">
        <f>225706492/(1000)</f>
        <v>225706.492</v>
      </c>
      <c r="I1413">
        <f>-2236000/(1000)</f>
        <v>-2236</v>
      </c>
      <c r="J1413">
        <f t="shared" si="36"/>
        <v>-0.10094208050089445</v>
      </c>
      <c r="K1413">
        <f>-14386999/(1000)</f>
        <v>-14386.999</v>
      </c>
      <c r="L1413">
        <v>0</v>
      </c>
      <c r="M1413">
        <v>-123.002082824707</v>
      </c>
      <c r="N1413">
        <v>55.120569189714097</v>
      </c>
      <c r="O1413">
        <v>3.0061390399932901</v>
      </c>
      <c r="P1413">
        <v>0</v>
      </c>
      <c r="Q1413">
        <v>0</v>
      </c>
      <c r="R1413">
        <v>0</v>
      </c>
      <c r="S1413">
        <v>64.293549688466499</v>
      </c>
      <c r="T1413">
        <v>0</v>
      </c>
      <c r="U1413">
        <v>0</v>
      </c>
      <c r="V1413">
        <v>0</v>
      </c>
      <c r="W1413">
        <v>0</v>
      </c>
    </row>
    <row r="1414" spans="1:23" x14ac:dyDescent="0.55000000000000004">
      <c r="A1414" t="s">
        <v>2836</v>
      </c>
      <c r="B1414" t="s">
        <v>2837</v>
      </c>
      <c r="C1414" t="s">
        <v>8</v>
      </c>
      <c r="D1414">
        <v>51.95</v>
      </c>
      <c r="E1414">
        <f>158416336/(1000)</f>
        <v>158416.33600000001</v>
      </c>
      <c r="F1414">
        <f>146455008/(1000)</f>
        <v>146455.008</v>
      </c>
      <c r="G1414">
        <f>21004000/(1000)</f>
        <v>21004</v>
      </c>
      <c r="H1414">
        <f>258127336/(1000)</f>
        <v>258127.33600000001</v>
      </c>
      <c r="I1414">
        <f>85492000/(1000)</f>
        <v>85492</v>
      </c>
      <c r="J1414">
        <f t="shared" si="36"/>
        <v>3.0193156786599913E-3</v>
      </c>
      <c r="K1414">
        <f>-18435997/(1000)</f>
        <v>-18435.996999999999</v>
      </c>
      <c r="L1414">
        <v>15.6739149093628</v>
      </c>
      <c r="M1414">
        <v>14.4594841003418</v>
      </c>
      <c r="N1414">
        <v>40.8670545924113</v>
      </c>
      <c r="O1414">
        <v>302.46328735351602</v>
      </c>
      <c r="P1414">
        <v>0</v>
      </c>
      <c r="Q1414">
        <v>0</v>
      </c>
      <c r="R1414">
        <v>21.573920250459299</v>
      </c>
      <c r="S1414">
        <v>315.20428656479498</v>
      </c>
      <c r="T1414">
        <v>0</v>
      </c>
      <c r="U1414">
        <v>0</v>
      </c>
      <c r="V1414">
        <v>0</v>
      </c>
      <c r="W1414">
        <v>0</v>
      </c>
    </row>
    <row r="1415" spans="1:23" x14ac:dyDescent="0.55000000000000004">
      <c r="A1415" t="s">
        <v>2838</v>
      </c>
      <c r="B1415" t="s">
        <v>2839</v>
      </c>
      <c r="C1415" t="s">
        <v>8</v>
      </c>
      <c r="D1415">
        <v>12.7</v>
      </c>
      <c r="E1415">
        <f>317500000/(1000)</f>
        <v>317500</v>
      </c>
      <c r="F1415">
        <f>146307008/(1000)</f>
        <v>146307.008</v>
      </c>
      <c r="G1415">
        <f>48959000/(1000)</f>
        <v>48959</v>
      </c>
      <c r="H1415">
        <f>620354976/(1000)</f>
        <v>620354.97600000002</v>
      </c>
      <c r="I1415">
        <f>64626000/(1000)</f>
        <v>64626</v>
      </c>
      <c r="J1415">
        <f t="shared" si="36"/>
        <v>9.5991547674310652E-3</v>
      </c>
      <c r="K1415">
        <f>61048001/(1000)</f>
        <v>61048.000999999997</v>
      </c>
      <c r="L1415">
        <v>0</v>
      </c>
      <c r="M1415">
        <v>23.7113151550293</v>
      </c>
      <c r="N1415">
        <v>92</v>
      </c>
      <c r="O1415">
        <v>100.20565795898401</v>
      </c>
      <c r="P1415">
        <v>4.2800002098083496</v>
      </c>
      <c r="Q1415">
        <v>2.33885823402519</v>
      </c>
      <c r="R1415">
        <v>5.1004015713364401</v>
      </c>
      <c r="S1415">
        <v>0</v>
      </c>
      <c r="T1415">
        <v>0</v>
      </c>
      <c r="U1415">
        <v>0</v>
      </c>
      <c r="V1415">
        <v>0</v>
      </c>
      <c r="W1415">
        <v>0</v>
      </c>
    </row>
    <row r="1416" spans="1:23" x14ac:dyDescent="0.55000000000000004">
      <c r="A1416" t="s">
        <v>2840</v>
      </c>
      <c r="B1416" t="s">
        <v>2841</v>
      </c>
      <c r="C1416" t="s">
        <v>5</v>
      </c>
      <c r="D1416">
        <v>11.93</v>
      </c>
      <c r="E1416">
        <f>836116416/(1000)</f>
        <v>836116.41599999997</v>
      </c>
      <c r="F1416">
        <f>145796992/(1000)</f>
        <v>145796.992</v>
      </c>
      <c r="G1416">
        <f>6792000/(1000)</f>
        <v>6792</v>
      </c>
      <c r="H1416">
        <f>479729408/(1000)</f>
        <v>479729.408</v>
      </c>
      <c r="I1416">
        <f>13308000/(1000)</f>
        <v>13308</v>
      </c>
      <c r="J1416">
        <f t="shared" si="36"/>
        <v>3.6048197174631799E-2</v>
      </c>
      <c r="K1416">
        <f>-32286999/(1000)</f>
        <v>-32286.999</v>
      </c>
      <c r="L1416">
        <v>0</v>
      </c>
      <c r="M1416">
        <v>0</v>
      </c>
      <c r="N1416">
        <v>66.880599193987194</v>
      </c>
      <c r="O1416">
        <v>0</v>
      </c>
      <c r="P1416">
        <v>0</v>
      </c>
      <c r="Q1416">
        <v>2.5010482920082802</v>
      </c>
      <c r="R1416">
        <v>21.690909910226701</v>
      </c>
      <c r="S1416">
        <v>0</v>
      </c>
      <c r="T1416">
        <v>0</v>
      </c>
      <c r="U1416">
        <v>0</v>
      </c>
      <c r="V1416">
        <v>0</v>
      </c>
      <c r="W1416">
        <v>0</v>
      </c>
    </row>
    <row r="1417" spans="1:23" x14ac:dyDescent="0.55000000000000004">
      <c r="A1417" t="s">
        <v>2842</v>
      </c>
      <c r="B1417" t="s">
        <v>2843</v>
      </c>
      <c r="C1417" t="s">
        <v>5</v>
      </c>
      <c r="D1417">
        <v>6.26</v>
      </c>
      <c r="E1417">
        <f>137754432/(1000)</f>
        <v>137754.432</v>
      </c>
      <c r="F1417">
        <f>145558672/(1000)</f>
        <v>145558.67199999999</v>
      </c>
      <c r="G1417">
        <f>12489482/(1000)</f>
        <v>12489.482</v>
      </c>
      <c r="H1417">
        <f>103571952/(1000)</f>
        <v>103571.952</v>
      </c>
      <c r="I1417">
        <f>12816266/(1000)</f>
        <v>12816.266</v>
      </c>
      <c r="J1417">
        <f t="shared" si="36"/>
        <v>8.0812891992098172E-3</v>
      </c>
      <c r="K1417">
        <f>-22109651/(1000)</f>
        <v>-22109.651000000002</v>
      </c>
      <c r="L1417">
        <v>0</v>
      </c>
      <c r="M1417">
        <v>24.982143402099599</v>
      </c>
      <c r="N1417">
        <v>45.557699841036197</v>
      </c>
      <c r="O1417">
        <v>17.594657897949201</v>
      </c>
      <c r="P1417">
        <v>0</v>
      </c>
      <c r="Q1417">
        <v>0</v>
      </c>
      <c r="R1417">
        <v>6.3232324935139301</v>
      </c>
      <c r="S1417">
        <v>0</v>
      </c>
      <c r="T1417">
        <v>0</v>
      </c>
      <c r="U1417">
        <v>0</v>
      </c>
      <c r="V1417">
        <v>0</v>
      </c>
      <c r="W1417">
        <v>0</v>
      </c>
    </row>
    <row r="1418" spans="1:23" x14ac:dyDescent="0.55000000000000004">
      <c r="A1418" t="s">
        <v>2844</v>
      </c>
      <c r="B1418" t="s">
        <v>2845</v>
      </c>
      <c r="C1418" t="s">
        <v>31</v>
      </c>
      <c r="D1418">
        <v>11.16</v>
      </c>
      <c r="E1418">
        <f>274265920/(1000)</f>
        <v>274265.92</v>
      </c>
      <c r="F1418">
        <f>144536000/(1000)</f>
        <v>144536</v>
      </c>
      <c r="G1418">
        <f>30695000/(1000)</f>
        <v>30695</v>
      </c>
      <c r="H1418">
        <f>212022920/(1000)</f>
        <v>212022.92</v>
      </c>
      <c r="I1418">
        <f>77230000/(1000)</f>
        <v>77230</v>
      </c>
      <c r="J1418">
        <f t="shared" si="36"/>
        <v>2.7453440372912081E-3</v>
      </c>
      <c r="K1418">
        <f>-27194999/(1000)</f>
        <v>-27194.999</v>
      </c>
      <c r="L1418">
        <v>18.194736480712901</v>
      </c>
      <c r="M1418">
        <v>8.4485788345336896</v>
      </c>
      <c r="N1418">
        <v>71.454439088174993</v>
      </c>
      <c r="O1418">
        <v>0</v>
      </c>
      <c r="P1418">
        <v>0.60000002384185802</v>
      </c>
      <c r="Q1418">
        <v>0</v>
      </c>
      <c r="R1418">
        <v>15.9428568569981</v>
      </c>
      <c r="S1418">
        <v>32.850472443839799</v>
      </c>
      <c r="T1418">
        <v>0</v>
      </c>
      <c r="U1418">
        <v>0</v>
      </c>
      <c r="V1418">
        <v>0</v>
      </c>
      <c r="W1418">
        <v>0</v>
      </c>
    </row>
    <row r="1419" spans="1:23" x14ac:dyDescent="0.55000000000000004">
      <c r="A1419" t="s">
        <v>2846</v>
      </c>
      <c r="B1419" t="s">
        <v>2847</v>
      </c>
      <c r="C1419" t="s">
        <v>184</v>
      </c>
      <c r="D1419">
        <v>4.22</v>
      </c>
      <c r="E1419">
        <f>270394400/(1000)</f>
        <v>270394.40000000002</v>
      </c>
      <c r="F1419">
        <f>144391008/(1000)</f>
        <v>144391.008</v>
      </c>
      <c r="G1419">
        <f>1652000/(1000)</f>
        <v>1652</v>
      </c>
      <c r="H1419">
        <f>305188400/(1000)</f>
        <v>305188.40000000002</v>
      </c>
      <c r="I1419">
        <f>2020000/(1000)</f>
        <v>2020</v>
      </c>
      <c r="J1419">
        <f t="shared" si="36"/>
        <v>0.15108336633663366</v>
      </c>
      <c r="K1419">
        <f>79286001/(1000)</f>
        <v>79286.001000000004</v>
      </c>
      <c r="L1419">
        <v>0</v>
      </c>
      <c r="M1419">
        <v>0</v>
      </c>
      <c r="N1419">
        <v>99.643996558144394</v>
      </c>
      <c r="O1419">
        <v>422.80725097656301</v>
      </c>
      <c r="P1419">
        <v>0</v>
      </c>
      <c r="Q1419">
        <v>1.7224488604321999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23" x14ac:dyDescent="0.55000000000000004">
      <c r="A1420" t="s">
        <v>2848</v>
      </c>
      <c r="B1420" t="s">
        <v>2849</v>
      </c>
      <c r="C1420" t="s">
        <v>31</v>
      </c>
      <c r="D1420">
        <v>8.59</v>
      </c>
      <c r="E1420">
        <f>380231520/(1000)</f>
        <v>380231.52</v>
      </c>
      <c r="F1420">
        <f>144168000/(1000)</f>
        <v>144168</v>
      </c>
      <c r="G1420">
        <f>3430000/(1000)</f>
        <v>3430</v>
      </c>
      <c r="H1420">
        <f>353696522/(1000)</f>
        <v>353696.522</v>
      </c>
      <c r="I1420">
        <f>11300000/(1000)</f>
        <v>11300</v>
      </c>
      <c r="J1420">
        <f t="shared" si="36"/>
        <v>3.1300577168141594E-2</v>
      </c>
      <c r="K1420">
        <f>2892001/(1000)</f>
        <v>2892.0010000000002</v>
      </c>
      <c r="L1420">
        <v>0</v>
      </c>
      <c r="M1420">
        <v>-3.2604429721832302</v>
      </c>
      <c r="N1420">
        <v>96.360423185345596</v>
      </c>
      <c r="O1420">
        <v>36.623142242431598</v>
      </c>
      <c r="P1420">
        <v>0</v>
      </c>
      <c r="Q1420">
        <v>3.5349793895483801</v>
      </c>
      <c r="R1420">
        <v>25.116958950177501</v>
      </c>
      <c r="S1420">
        <v>56.627736433266399</v>
      </c>
      <c r="T1420">
        <v>0</v>
      </c>
      <c r="U1420">
        <v>0</v>
      </c>
      <c r="V1420">
        <v>0</v>
      </c>
      <c r="W1420">
        <v>0</v>
      </c>
    </row>
    <row r="1421" spans="1:23" x14ac:dyDescent="0.55000000000000004">
      <c r="A1421" t="s">
        <v>2850</v>
      </c>
      <c r="B1421" t="s">
        <v>2851</v>
      </c>
      <c r="C1421" t="s">
        <v>184</v>
      </c>
      <c r="D1421">
        <v>32.14</v>
      </c>
      <c r="E1421">
        <f>414776352/(1000)</f>
        <v>414776.35200000001</v>
      </c>
      <c r="F1421">
        <f>143412000/(1000)</f>
        <v>143412</v>
      </c>
      <c r="G1421">
        <f>0/(1000)</f>
        <v>0</v>
      </c>
      <c r="H1421">
        <f>0/(1000)</f>
        <v>0</v>
      </c>
      <c r="I1421">
        <f>0/(1000)</f>
        <v>0</v>
      </c>
      <c r="J1421">
        <f t="shared" si="36"/>
        <v>1</v>
      </c>
      <c r="K1421">
        <f>24959001/(1000)</f>
        <v>24959.001</v>
      </c>
      <c r="L1421">
        <v>14.4369897842407</v>
      </c>
      <c r="M1421">
        <v>13.307090759277299</v>
      </c>
      <c r="N1421">
        <v>91.156345625703693</v>
      </c>
      <c r="O1421">
        <v>105.033561706543</v>
      </c>
      <c r="P1421">
        <v>0.80000001192092896</v>
      </c>
      <c r="Q1421">
        <v>0</v>
      </c>
      <c r="R1421">
        <v>17.659340393383498</v>
      </c>
      <c r="S1421">
        <v>53.163948607862601</v>
      </c>
      <c r="T1421">
        <v>0</v>
      </c>
      <c r="U1421">
        <v>0</v>
      </c>
      <c r="V1421">
        <v>0</v>
      </c>
      <c r="W1421">
        <v>0</v>
      </c>
    </row>
    <row r="1422" spans="1:23" x14ac:dyDescent="0.55000000000000004">
      <c r="A1422" t="s">
        <v>2852</v>
      </c>
      <c r="B1422" t="s">
        <v>2853</v>
      </c>
      <c r="C1422" t="s">
        <v>5</v>
      </c>
      <c r="D1422">
        <v>10.64</v>
      </c>
      <c r="E1422">
        <f>775981632/(1000)</f>
        <v>775981.63199999998</v>
      </c>
      <c r="F1422">
        <f>143127008/(1000)</f>
        <v>143127.008</v>
      </c>
      <c r="G1422">
        <f>-13322000/(1000)</f>
        <v>-13322</v>
      </c>
      <c r="H1422">
        <f>711342632/(1000)</f>
        <v>711342.63199999998</v>
      </c>
      <c r="I1422">
        <f>7064000/(1000)</f>
        <v>7064</v>
      </c>
      <c r="J1422">
        <f t="shared" si="36"/>
        <v>0.10069969309173273</v>
      </c>
      <c r="K1422">
        <f>6030001/(1000)</f>
        <v>6030.0010000000002</v>
      </c>
      <c r="L1422">
        <v>0</v>
      </c>
      <c r="M1422">
        <v>-4.9954972267150897</v>
      </c>
      <c r="N1422">
        <v>87.084155846329594</v>
      </c>
      <c r="O1422">
        <v>2.6707890033721902</v>
      </c>
      <c r="P1422">
        <v>0</v>
      </c>
      <c r="Q1422">
        <v>1.17266763477609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</row>
    <row r="1423" spans="1:23" x14ac:dyDescent="0.55000000000000004">
      <c r="A1423" t="s">
        <v>2854</v>
      </c>
      <c r="B1423" t="s">
        <v>2855</v>
      </c>
      <c r="C1423" t="s">
        <v>81</v>
      </c>
      <c r="D1423">
        <v>4.08</v>
      </c>
      <c r="E1423">
        <f>253816384/(1000)</f>
        <v>253816.38399999999</v>
      </c>
      <c r="F1423">
        <f>142350000/(1000)</f>
        <v>142350</v>
      </c>
      <c r="G1423">
        <f>34872000/(1000)</f>
        <v>34872</v>
      </c>
      <c r="H1423">
        <f>275510384/(1000)</f>
        <v>275510.38400000002</v>
      </c>
      <c r="I1423">
        <f>56894000/(1000)</f>
        <v>56894</v>
      </c>
      <c r="J1423">
        <f t="shared" si="36"/>
        <v>4.8425208985130247E-3</v>
      </c>
      <c r="K1423">
        <f>52132001/(1000)</f>
        <v>52132.000999999997</v>
      </c>
      <c r="L1423">
        <v>0</v>
      </c>
      <c r="M1423">
        <v>-75.408981323242202</v>
      </c>
      <c r="N1423">
        <v>97.919141640838802</v>
      </c>
      <c r="O1423">
        <v>103.127822875977</v>
      </c>
      <c r="P1423">
        <v>0</v>
      </c>
      <c r="Q1423">
        <v>1.7398720144682001</v>
      </c>
      <c r="R1423">
        <v>8.3265304210929791</v>
      </c>
      <c r="S1423">
        <v>0</v>
      </c>
      <c r="T1423">
        <v>0</v>
      </c>
      <c r="U1423">
        <v>0</v>
      </c>
      <c r="V1423">
        <v>0</v>
      </c>
      <c r="W1423">
        <v>0</v>
      </c>
    </row>
    <row r="1424" spans="1:23" x14ac:dyDescent="0.55000000000000004">
      <c r="A1424" t="s">
        <v>2856</v>
      </c>
      <c r="B1424" t="s">
        <v>2857</v>
      </c>
      <c r="C1424" t="s">
        <v>184</v>
      </c>
      <c r="D1424">
        <v>15.24</v>
      </c>
      <c r="E1424">
        <f>193959488/(1000)</f>
        <v>193959.48800000001</v>
      </c>
      <c r="F1424">
        <f>142190000/(1000)</f>
        <v>142190</v>
      </c>
      <c r="G1424">
        <f>0/(1000)</f>
        <v>0</v>
      </c>
      <c r="H1424">
        <f>0/(1000)</f>
        <v>0</v>
      </c>
      <c r="I1424">
        <f>0/(1000)</f>
        <v>0</v>
      </c>
      <c r="J1424">
        <f t="shared" si="36"/>
        <v>1</v>
      </c>
      <c r="K1424">
        <f>21654001/(1000)</f>
        <v>21654.001</v>
      </c>
      <c r="L1424">
        <v>22.5149955749512</v>
      </c>
      <c r="M1424">
        <v>11.483522415161101</v>
      </c>
      <c r="N1424">
        <v>68.461537189288705</v>
      </c>
      <c r="O1424">
        <v>130.74751281738301</v>
      </c>
      <c r="P1424">
        <v>0.20999999344348899</v>
      </c>
      <c r="Q1424">
        <v>1.04742265095108</v>
      </c>
      <c r="R1424">
        <v>13.0256409760031</v>
      </c>
      <c r="S1424">
        <v>181.16348967808301</v>
      </c>
      <c r="T1424">
        <v>0</v>
      </c>
      <c r="U1424">
        <v>0</v>
      </c>
      <c r="V1424">
        <v>0</v>
      </c>
      <c r="W1424">
        <v>0</v>
      </c>
    </row>
    <row r="1425" spans="1:23" x14ac:dyDescent="0.55000000000000004">
      <c r="A1425" t="s">
        <v>2858</v>
      </c>
      <c r="B1425" t="s">
        <v>2859</v>
      </c>
      <c r="C1425" t="s">
        <v>20</v>
      </c>
      <c r="D1425">
        <v>26.89</v>
      </c>
      <c r="E1425">
        <f>174690880/(1000)</f>
        <v>174690.88</v>
      </c>
      <c r="F1425">
        <f>141914000/(1000)</f>
        <v>141914</v>
      </c>
      <c r="G1425">
        <f>6551000/(1000)</f>
        <v>6551</v>
      </c>
      <c r="H1425">
        <f>98989880/(1000)</f>
        <v>98989.88</v>
      </c>
      <c r="I1425">
        <f>7336000/(1000)</f>
        <v>7336</v>
      </c>
      <c r="J1425">
        <f t="shared" si="36"/>
        <v>1.3493713195201746E-2</v>
      </c>
      <c r="K1425">
        <f>8307001.5/(1000)</f>
        <v>8307.0015000000003</v>
      </c>
      <c r="L1425">
        <v>23.021335601806602</v>
      </c>
      <c r="M1425">
        <v>4.4381470680236799</v>
      </c>
      <c r="N1425">
        <v>97.789578774393803</v>
      </c>
      <c r="O1425">
        <v>0</v>
      </c>
      <c r="P1425">
        <v>0</v>
      </c>
      <c r="Q1425">
        <v>0</v>
      </c>
      <c r="R1425">
        <v>44.081966255612002</v>
      </c>
      <c r="S1425">
        <v>28.9693466743005</v>
      </c>
      <c r="T1425">
        <v>0</v>
      </c>
      <c r="U1425">
        <v>0</v>
      </c>
      <c r="V1425">
        <v>0</v>
      </c>
      <c r="W1425">
        <v>0</v>
      </c>
    </row>
    <row r="1426" spans="1:23" x14ac:dyDescent="0.55000000000000004">
      <c r="A1426" t="s">
        <v>2860</v>
      </c>
      <c r="B1426" t="s">
        <v>2861</v>
      </c>
      <c r="C1426" t="s">
        <v>81</v>
      </c>
      <c r="D1426">
        <v>28.05</v>
      </c>
      <c r="E1426">
        <f>660841216/(1000)</f>
        <v>660841.21600000001</v>
      </c>
      <c r="F1426">
        <f>141183008/(1000)</f>
        <v>141183.008</v>
      </c>
      <c r="G1426">
        <f>31185000/(1000)</f>
        <v>31185</v>
      </c>
      <c r="H1426">
        <f>672258216/(1000)</f>
        <v>672258.21600000001</v>
      </c>
      <c r="I1426">
        <f>60383000/(1000)</f>
        <v>60383</v>
      </c>
      <c r="J1426">
        <f t="shared" si="36"/>
        <v>1.1133236440720071E-2</v>
      </c>
      <c r="K1426">
        <f>14659001/(1000)</f>
        <v>14659.001</v>
      </c>
      <c r="L1426">
        <v>23.2988471984863</v>
      </c>
      <c r="M1426">
        <v>13.134575843811</v>
      </c>
      <c r="N1426">
        <v>94.319038147214599</v>
      </c>
      <c r="O1426">
        <v>14.4960432052612</v>
      </c>
      <c r="P1426">
        <v>0.15000000596046401</v>
      </c>
      <c r="Q1426">
        <v>0</v>
      </c>
      <c r="R1426">
        <v>28.3333327162145</v>
      </c>
      <c r="S1426">
        <v>51.8799100659445</v>
      </c>
      <c r="T1426">
        <v>0</v>
      </c>
      <c r="U1426">
        <v>0</v>
      </c>
      <c r="V1426">
        <v>0</v>
      </c>
      <c r="W1426">
        <v>0</v>
      </c>
    </row>
    <row r="1427" spans="1:23" x14ac:dyDescent="0.55000000000000004">
      <c r="A1427" t="s">
        <v>2862</v>
      </c>
      <c r="B1427" t="s">
        <v>2863</v>
      </c>
      <c r="C1427" t="s">
        <v>5</v>
      </c>
      <c r="D1427">
        <v>0.97</v>
      </c>
      <c r="E1427">
        <f>46979332/(1000)</f>
        <v>46979.332000000002</v>
      </c>
      <c r="F1427">
        <f>140707008/(1000)</f>
        <v>140707.008</v>
      </c>
      <c r="G1427">
        <f>-23776000/(1000)</f>
        <v>-23776</v>
      </c>
      <c r="H1427">
        <f>52982331.5/(1000)</f>
        <v>52982.3315</v>
      </c>
      <c r="I1427">
        <f>-9785999/(1000)</f>
        <v>-9785.9989999999998</v>
      </c>
      <c r="J1427">
        <f t="shared" si="36"/>
        <v>-5.4140953315037132E-3</v>
      </c>
      <c r="K1427">
        <f>-12198999/(1000)</f>
        <v>-12198.999</v>
      </c>
      <c r="L1427">
        <v>0</v>
      </c>
      <c r="M1427">
        <v>-16.128868103027301</v>
      </c>
      <c r="N1427">
        <v>90.929399355100301</v>
      </c>
      <c r="O1427">
        <v>9.1368827819824201</v>
      </c>
      <c r="P1427">
        <v>0</v>
      </c>
      <c r="Q1427">
        <v>0</v>
      </c>
      <c r="R1427">
        <v>0</v>
      </c>
      <c r="S1427">
        <v>444.67931715247897</v>
      </c>
      <c r="T1427">
        <v>0</v>
      </c>
      <c r="U1427">
        <v>0</v>
      </c>
      <c r="V1427">
        <v>0</v>
      </c>
      <c r="W1427">
        <v>0</v>
      </c>
    </row>
    <row r="1428" spans="1:23" x14ac:dyDescent="0.55000000000000004">
      <c r="A1428" t="s">
        <v>2864</v>
      </c>
      <c r="B1428" t="s">
        <v>2865</v>
      </c>
      <c r="C1428" t="s">
        <v>31</v>
      </c>
      <c r="D1428">
        <v>2.96</v>
      </c>
      <c r="E1428">
        <f>179198992/(1000)</f>
        <v>179198.992</v>
      </c>
      <c r="F1428">
        <f>140626000/(1000)</f>
        <v>140626</v>
      </c>
      <c r="G1428">
        <f>17832000/(1000)</f>
        <v>17832</v>
      </c>
      <c r="H1428">
        <f>113058992/(1000)</f>
        <v>113058.992</v>
      </c>
      <c r="I1428">
        <f>22146000/(1000)</f>
        <v>22146</v>
      </c>
      <c r="J1428">
        <f t="shared" si="36"/>
        <v>5.1051653571751107E-3</v>
      </c>
      <c r="K1428">
        <f>19964001/(1000)</f>
        <v>19964.001</v>
      </c>
      <c r="L1428">
        <v>0</v>
      </c>
      <c r="M1428">
        <v>22.5569553375244</v>
      </c>
      <c r="N1428">
        <v>93.493910944061994</v>
      </c>
      <c r="O1428">
        <v>0</v>
      </c>
      <c r="P1428">
        <v>0</v>
      </c>
      <c r="Q1428">
        <v>0</v>
      </c>
      <c r="R1428">
        <v>9.2500001105945593</v>
      </c>
      <c r="S1428">
        <v>28.8208566926826</v>
      </c>
      <c r="T1428">
        <v>0</v>
      </c>
      <c r="U1428">
        <v>0</v>
      </c>
      <c r="V1428">
        <v>0</v>
      </c>
      <c r="W1428">
        <v>0</v>
      </c>
    </row>
    <row r="1429" spans="1:23" x14ac:dyDescent="0.55000000000000004">
      <c r="A1429" t="s">
        <v>2866</v>
      </c>
      <c r="B1429" t="s">
        <v>2867</v>
      </c>
      <c r="C1429" t="s">
        <v>184</v>
      </c>
      <c r="D1429">
        <v>7.55</v>
      </c>
      <c r="E1429">
        <f>261031440/(1000)</f>
        <v>261031.44</v>
      </c>
      <c r="F1429">
        <f>140536992/(1000)</f>
        <v>140536.992</v>
      </c>
      <c r="G1429">
        <f>-77585000/(1000)</f>
        <v>-77585</v>
      </c>
      <c r="H1429">
        <f>68835440/(1000)</f>
        <v>68835.44</v>
      </c>
      <c r="I1429">
        <f>-72043000/(1000)</f>
        <v>-72043</v>
      </c>
      <c r="J1429">
        <f t="shared" si="36"/>
        <v>-9.5547714559360384E-4</v>
      </c>
      <c r="K1429">
        <f>-3301999/(1000)</f>
        <v>-3301.9989999999998</v>
      </c>
      <c r="L1429">
        <v>0</v>
      </c>
      <c r="M1429">
        <v>3.0872828960418701</v>
      </c>
      <c r="N1429">
        <v>82.554947952663497</v>
      </c>
      <c r="O1429">
        <v>0</v>
      </c>
      <c r="P1429">
        <v>0</v>
      </c>
      <c r="Q1429">
        <v>0.97293814021224201</v>
      </c>
      <c r="R1429">
        <v>0</v>
      </c>
      <c r="S1429">
        <v>3.2282411012031398</v>
      </c>
      <c r="T1429">
        <v>0</v>
      </c>
      <c r="U1429">
        <v>0</v>
      </c>
      <c r="V1429">
        <v>0</v>
      </c>
      <c r="W1429">
        <v>0</v>
      </c>
    </row>
    <row r="1430" spans="1:23" x14ac:dyDescent="0.55000000000000004">
      <c r="A1430" t="s">
        <v>2868</v>
      </c>
      <c r="B1430" t="s">
        <v>2869</v>
      </c>
      <c r="C1430" t="s">
        <v>2</v>
      </c>
      <c r="D1430">
        <v>9.56</v>
      </c>
      <c r="E1430">
        <f>123972168/(1000)</f>
        <v>123972.16800000001</v>
      </c>
      <c r="F1430">
        <f>140496000/(1000)</f>
        <v>140496</v>
      </c>
      <c r="G1430">
        <f>12157000/(1000)</f>
        <v>12157</v>
      </c>
      <c r="H1430">
        <f>176325168/(1000)</f>
        <v>176325.16800000001</v>
      </c>
      <c r="I1430">
        <f>16020000/(1000)</f>
        <v>16020</v>
      </c>
      <c r="J1430">
        <f t="shared" si="36"/>
        <v>1.1006564794007492E-2</v>
      </c>
      <c r="K1430">
        <f>-391999/(1000)</f>
        <v>-391.99900000000002</v>
      </c>
      <c r="L1430">
        <v>0</v>
      </c>
      <c r="M1430">
        <v>21.852277755737301</v>
      </c>
      <c r="N1430">
        <v>97.655730832601094</v>
      </c>
      <c r="O1430">
        <v>139.75915527343801</v>
      </c>
      <c r="P1430">
        <v>0</v>
      </c>
      <c r="Q1430">
        <v>0</v>
      </c>
      <c r="R1430">
        <v>16.203390136579401</v>
      </c>
      <c r="S1430">
        <v>116.634299604299</v>
      </c>
      <c r="T1430">
        <v>0</v>
      </c>
      <c r="U1430">
        <v>0</v>
      </c>
      <c r="V1430">
        <v>0</v>
      </c>
      <c r="W1430">
        <v>0</v>
      </c>
    </row>
    <row r="1431" spans="1:23" x14ac:dyDescent="0.55000000000000004">
      <c r="A1431" t="s">
        <v>2870</v>
      </c>
      <c r="B1431" t="s">
        <v>2871</v>
      </c>
      <c r="C1431" t="s">
        <v>38</v>
      </c>
      <c r="D1431">
        <v>25.47</v>
      </c>
      <c r="E1431">
        <f>1026820480/(1000)</f>
        <v>1026820.48</v>
      </c>
      <c r="F1431">
        <f>139639008/(1000)</f>
        <v>139639.008</v>
      </c>
      <c r="G1431">
        <f>44350000/(1000)</f>
        <v>44350</v>
      </c>
      <c r="H1431">
        <f>977523480/(1000)</f>
        <v>977523.48</v>
      </c>
      <c r="I1431">
        <f>48819000/(1000)</f>
        <v>48819</v>
      </c>
      <c r="J1431">
        <f t="shared" si="36"/>
        <v>2.002342284766177E-2</v>
      </c>
      <c r="K1431">
        <f>25664001/(1000)</f>
        <v>25664.001</v>
      </c>
      <c r="L1431">
        <v>40.5785942077637</v>
      </c>
      <c r="M1431">
        <v>25.018533706665</v>
      </c>
      <c r="N1431">
        <v>95.989573416144395</v>
      </c>
      <c r="O1431">
        <v>0</v>
      </c>
      <c r="P1431">
        <v>0.56000000238418601</v>
      </c>
      <c r="Q1431">
        <v>7.4256556319645801</v>
      </c>
      <c r="R1431">
        <v>34.4189175474461</v>
      </c>
      <c r="S1431">
        <v>112.011125956516</v>
      </c>
      <c r="T1431">
        <v>0</v>
      </c>
      <c r="U1431">
        <v>0</v>
      </c>
      <c r="V1431">
        <v>0</v>
      </c>
      <c r="W1431">
        <v>0</v>
      </c>
    </row>
    <row r="1432" spans="1:23" x14ac:dyDescent="0.55000000000000004">
      <c r="A1432" t="s">
        <v>2872</v>
      </c>
      <c r="B1432" t="s">
        <v>2873</v>
      </c>
      <c r="C1432" t="s">
        <v>401</v>
      </c>
      <c r="D1432">
        <v>5.56</v>
      </c>
      <c r="E1432">
        <f>189136192/(1000)</f>
        <v>189136.19200000001</v>
      </c>
      <c r="F1432">
        <f>139533328/(1000)</f>
        <v>139533.32800000001</v>
      </c>
      <c r="G1432">
        <f>42268020/(1000)</f>
        <v>42268.02</v>
      </c>
      <c r="H1432">
        <f>981660352/(1000)</f>
        <v>981660.35199999996</v>
      </c>
      <c r="I1432">
        <f>75154288/(1000)</f>
        <v>75154.288</v>
      </c>
      <c r="J1432">
        <f t="shared" si="36"/>
        <v>1.3061934030963077E-2</v>
      </c>
      <c r="K1432">
        <f>-67765719/(1000)</f>
        <v>-67765.718999999997</v>
      </c>
      <c r="L1432">
        <v>0</v>
      </c>
      <c r="M1432">
        <v>5.10736179351807</v>
      </c>
      <c r="N1432">
        <v>92.3265524342156</v>
      </c>
      <c r="O1432">
        <v>190.88174438476599</v>
      </c>
      <c r="P1432">
        <v>0.81999999284744296</v>
      </c>
      <c r="Q1432">
        <v>0.53512990943765804</v>
      </c>
      <c r="R1432">
        <v>14.256410087902699</v>
      </c>
      <c r="S1432">
        <v>387.94701356833099</v>
      </c>
      <c r="T1432">
        <v>0</v>
      </c>
      <c r="U1432">
        <v>0</v>
      </c>
      <c r="V1432">
        <v>0</v>
      </c>
      <c r="W1432">
        <v>0</v>
      </c>
    </row>
    <row r="1433" spans="1:23" x14ac:dyDescent="0.55000000000000004">
      <c r="A1433" t="s">
        <v>2874</v>
      </c>
      <c r="B1433" t="s">
        <v>2875</v>
      </c>
      <c r="C1433" t="s">
        <v>81</v>
      </c>
      <c r="D1433">
        <v>5.83</v>
      </c>
      <c r="E1433">
        <f>224322080/(1000)</f>
        <v>224322.08</v>
      </c>
      <c r="F1433">
        <f>139390656/(1000)</f>
        <v>139390.65599999999</v>
      </c>
      <c r="G1433">
        <f>-3320436/(1000)</f>
        <v>-3320.4360000000001</v>
      </c>
      <c r="H1433">
        <f>196198240/(1000)</f>
        <v>196198.24</v>
      </c>
      <c r="I1433">
        <f>22849640/(1000)</f>
        <v>22849.64</v>
      </c>
      <c r="J1433">
        <f t="shared" si="36"/>
        <v>8.5864915158400754E-3</v>
      </c>
      <c r="K1433">
        <f>33680177/(1000)</f>
        <v>33680.177000000003</v>
      </c>
      <c r="L1433">
        <v>0</v>
      </c>
      <c r="M1433">
        <v>-0.520196974277496</v>
      </c>
      <c r="N1433">
        <v>79.067883848718793</v>
      </c>
      <c r="O1433">
        <v>0</v>
      </c>
      <c r="P1433">
        <v>7.9999998211861004E-2</v>
      </c>
      <c r="Q1433">
        <v>0</v>
      </c>
      <c r="R1433">
        <v>30.684210509804799</v>
      </c>
      <c r="S1433">
        <v>0</v>
      </c>
      <c r="T1433">
        <v>0</v>
      </c>
      <c r="U1433">
        <v>0</v>
      </c>
      <c r="V1433">
        <v>0</v>
      </c>
      <c r="W1433">
        <v>0</v>
      </c>
    </row>
    <row r="1434" spans="1:23" x14ac:dyDescent="0.55000000000000004">
      <c r="A1434" t="s">
        <v>2876</v>
      </c>
      <c r="B1434" t="s">
        <v>2877</v>
      </c>
      <c r="C1434" t="s">
        <v>184</v>
      </c>
      <c r="D1434">
        <v>26.66</v>
      </c>
      <c r="E1434">
        <f>169941504/(1000)</f>
        <v>169941.50399999999</v>
      </c>
      <c r="F1434">
        <f>138810000/(1000)</f>
        <v>138810</v>
      </c>
      <c r="G1434">
        <f t="shared" ref="G1434:I1435" si="37">0/(1000)</f>
        <v>0</v>
      </c>
      <c r="H1434">
        <f t="shared" si="37"/>
        <v>0</v>
      </c>
      <c r="I1434">
        <f t="shared" si="37"/>
        <v>0</v>
      </c>
      <c r="J1434">
        <f t="shared" si="36"/>
        <v>1</v>
      </c>
      <c r="K1434">
        <f>12711001/(1000)</f>
        <v>12711.001</v>
      </c>
      <c r="L1434">
        <v>21.877090454101602</v>
      </c>
      <c r="M1434">
        <v>6.5095019340515101</v>
      </c>
      <c r="N1434">
        <v>69.840297173432305</v>
      </c>
      <c r="O1434">
        <v>264.15185546875</v>
      </c>
      <c r="P1434">
        <v>0</v>
      </c>
      <c r="Q1434">
        <v>1.4560349877126499</v>
      </c>
      <c r="R1434">
        <v>13.813471372337</v>
      </c>
      <c r="S1434">
        <v>179.28453583356799</v>
      </c>
      <c r="T1434">
        <v>0</v>
      </c>
      <c r="U1434">
        <v>0</v>
      </c>
      <c r="V1434">
        <v>0</v>
      </c>
      <c r="W1434">
        <v>0</v>
      </c>
    </row>
    <row r="1435" spans="1:23" x14ac:dyDescent="0.55000000000000004">
      <c r="A1435" t="s">
        <v>2878</v>
      </c>
      <c r="B1435" t="s">
        <v>2879</v>
      </c>
      <c r="C1435" t="s">
        <v>184</v>
      </c>
      <c r="D1435">
        <v>19.13</v>
      </c>
      <c r="E1435">
        <f>199451296/(1000)</f>
        <v>199451.296</v>
      </c>
      <c r="F1435">
        <f>138783008/(1000)</f>
        <v>138783.008</v>
      </c>
      <c r="G1435">
        <f t="shared" si="37"/>
        <v>0</v>
      </c>
      <c r="H1435">
        <f t="shared" si="37"/>
        <v>0</v>
      </c>
      <c r="I1435">
        <f t="shared" si="37"/>
        <v>0</v>
      </c>
      <c r="J1435">
        <f t="shared" si="36"/>
        <v>1</v>
      </c>
      <c r="K1435">
        <f>27854001/(1000)</f>
        <v>27854.001</v>
      </c>
      <c r="L1435">
        <v>14.97265625</v>
      </c>
      <c r="M1435">
        <v>9.1568861007690394</v>
      </c>
      <c r="N1435">
        <v>91.5347081259482</v>
      </c>
      <c r="O1435">
        <v>235.15550231933599</v>
      </c>
      <c r="P1435">
        <v>0.92000001668930098</v>
      </c>
      <c r="Q1435">
        <v>0</v>
      </c>
      <c r="R1435">
        <v>15.552844793394399</v>
      </c>
      <c r="S1435">
        <v>41.321135595291402</v>
      </c>
      <c r="T1435">
        <v>0</v>
      </c>
      <c r="U1435">
        <v>0</v>
      </c>
      <c r="V1435">
        <v>0</v>
      </c>
      <c r="W1435">
        <v>0</v>
      </c>
    </row>
    <row r="1436" spans="1:23" x14ac:dyDescent="0.55000000000000004">
      <c r="A1436" t="s">
        <v>2880</v>
      </c>
      <c r="B1436" t="s">
        <v>2881</v>
      </c>
      <c r="C1436" t="s">
        <v>5</v>
      </c>
      <c r="D1436">
        <v>11.13</v>
      </c>
      <c r="E1436">
        <f>895714560/(1000)</f>
        <v>895714.56</v>
      </c>
      <c r="F1436">
        <f>138668000/(1000)</f>
        <v>138668</v>
      </c>
      <c r="G1436">
        <f>-29623000/(1000)</f>
        <v>-29623</v>
      </c>
      <c r="H1436">
        <f>0/(1000)</f>
        <v>0</v>
      </c>
      <c r="I1436">
        <f>-16482999/(1000)</f>
        <v>-16482.999</v>
      </c>
      <c r="J1436">
        <f t="shared" si="36"/>
        <v>0</v>
      </c>
      <c r="K1436">
        <f>-11454999/(1000)</f>
        <v>-11454.999</v>
      </c>
      <c r="L1436">
        <v>0</v>
      </c>
      <c r="M1436">
        <v>0</v>
      </c>
      <c r="N1436">
        <v>98.680375380142493</v>
      </c>
      <c r="O1436">
        <v>0</v>
      </c>
      <c r="P1436">
        <v>0</v>
      </c>
      <c r="Q1436">
        <v>0</v>
      </c>
      <c r="R1436">
        <v>0</v>
      </c>
      <c r="S1436">
        <v>57.105954862684698</v>
      </c>
      <c r="T1436">
        <v>0</v>
      </c>
      <c r="U1436">
        <v>0</v>
      </c>
      <c r="V1436">
        <v>0</v>
      </c>
      <c r="W1436">
        <v>0</v>
      </c>
    </row>
    <row r="1437" spans="1:23" x14ac:dyDescent="0.55000000000000004">
      <c r="A1437" t="s">
        <v>2882</v>
      </c>
      <c r="B1437" t="s">
        <v>2883</v>
      </c>
      <c r="C1437" t="s">
        <v>184</v>
      </c>
      <c r="D1437">
        <v>24.42</v>
      </c>
      <c r="E1437">
        <f>179589568/(1000)</f>
        <v>179589.568</v>
      </c>
      <c r="F1437">
        <f>138414000/(1000)</f>
        <v>138414</v>
      </c>
      <c r="G1437">
        <f>0/(1000)</f>
        <v>0</v>
      </c>
      <c r="H1437">
        <f>0/(1000)</f>
        <v>0</v>
      </c>
      <c r="I1437">
        <f>0/(1000)</f>
        <v>0</v>
      </c>
      <c r="J1437">
        <f t="shared" si="36"/>
        <v>1</v>
      </c>
      <c r="K1437">
        <f>16809001/(1000)</f>
        <v>16809.001</v>
      </c>
      <c r="L1437">
        <v>17.014972686767599</v>
      </c>
      <c r="M1437">
        <v>9.0086822509765607</v>
      </c>
      <c r="N1437">
        <v>82.268636881255901</v>
      </c>
      <c r="O1437">
        <v>235.65887451171901</v>
      </c>
      <c r="P1437">
        <v>1.3200000524520901</v>
      </c>
      <c r="Q1437">
        <v>0</v>
      </c>
      <c r="R1437">
        <v>12.7187501266017</v>
      </c>
      <c r="S1437">
        <v>66.910656360413398</v>
      </c>
      <c r="T1437">
        <v>0</v>
      </c>
      <c r="U1437">
        <v>0</v>
      </c>
      <c r="V1437">
        <v>0</v>
      </c>
      <c r="W1437">
        <v>0</v>
      </c>
    </row>
    <row r="1438" spans="1:23" x14ac:dyDescent="0.55000000000000004">
      <c r="A1438" t="s">
        <v>2884</v>
      </c>
      <c r="B1438" t="s">
        <v>2885</v>
      </c>
      <c r="C1438" t="s">
        <v>2</v>
      </c>
      <c r="D1438">
        <v>13.41</v>
      </c>
      <c r="E1438">
        <f>234133248/(1000)</f>
        <v>234133.24799999999</v>
      </c>
      <c r="F1438">
        <f>137596000/(1000)</f>
        <v>137596</v>
      </c>
      <c r="G1438">
        <f>-199000/(1000)</f>
        <v>-199</v>
      </c>
      <c r="H1438">
        <f>234997247.625/(1000)</f>
        <v>234997.24762499999</v>
      </c>
      <c r="I1438">
        <f>5979000/(1000)</f>
        <v>5979</v>
      </c>
      <c r="J1438">
        <f t="shared" si="36"/>
        <v>3.9303771136477671E-2</v>
      </c>
      <c r="K1438">
        <f>-503998.9375/(1000)</f>
        <v>-503.99893750000001</v>
      </c>
      <c r="L1438">
        <v>0</v>
      </c>
      <c r="M1438">
        <v>10.883465766906699</v>
      </c>
      <c r="N1438">
        <v>97.159726248787507</v>
      </c>
      <c r="O1438">
        <v>47.053508758544901</v>
      </c>
      <c r="P1438">
        <v>0</v>
      </c>
      <c r="Q1438">
        <v>0</v>
      </c>
      <c r="R1438">
        <v>15.9642860310621</v>
      </c>
      <c r="S1438">
        <v>323.17699523296898</v>
      </c>
      <c r="T1438">
        <v>0</v>
      </c>
      <c r="U1438">
        <v>0</v>
      </c>
      <c r="V1438">
        <v>0</v>
      </c>
      <c r="W1438">
        <v>0</v>
      </c>
    </row>
    <row r="1439" spans="1:23" x14ac:dyDescent="0.55000000000000004">
      <c r="A1439" t="s">
        <v>2886</v>
      </c>
      <c r="B1439" t="s">
        <v>2887</v>
      </c>
      <c r="C1439" t="s">
        <v>31</v>
      </c>
      <c r="D1439">
        <v>8.15</v>
      </c>
      <c r="E1439">
        <f>329604736/(1000)</f>
        <v>329604.73599999998</v>
      </c>
      <c r="F1439">
        <f>137576992/(1000)</f>
        <v>137576.992</v>
      </c>
      <c r="G1439">
        <f>-19777000/(1000)</f>
        <v>-19777</v>
      </c>
      <c r="H1439">
        <f>261856736/(1000)</f>
        <v>261856.736</v>
      </c>
      <c r="I1439">
        <f>-15060000/(1000)</f>
        <v>-15060</v>
      </c>
      <c r="J1439">
        <f t="shared" si="36"/>
        <v>-1.7387565471447545E-2</v>
      </c>
      <c r="K1439">
        <f>-23691999/(1000)</f>
        <v>-23691.999</v>
      </c>
      <c r="L1439">
        <v>0</v>
      </c>
      <c r="M1439">
        <v>-9.2821846008300799</v>
      </c>
      <c r="N1439">
        <v>70.186415658008201</v>
      </c>
      <c r="O1439">
        <v>0</v>
      </c>
      <c r="P1439">
        <v>0</v>
      </c>
      <c r="Q1439">
        <v>2.3833891944199399</v>
      </c>
      <c r="R1439">
        <v>0</v>
      </c>
      <c r="S1439">
        <v>12.0023706791279</v>
      </c>
      <c r="T1439">
        <v>0</v>
      </c>
      <c r="U1439">
        <v>0</v>
      </c>
      <c r="V1439">
        <v>0</v>
      </c>
      <c r="W1439">
        <v>0</v>
      </c>
    </row>
    <row r="1440" spans="1:23" x14ac:dyDescent="0.55000000000000004">
      <c r="A1440" t="s">
        <v>2888</v>
      </c>
      <c r="B1440" t="s">
        <v>2889</v>
      </c>
      <c r="C1440" t="s">
        <v>184</v>
      </c>
      <c r="D1440">
        <v>23.82</v>
      </c>
      <c r="E1440">
        <f>293176544/(1000)</f>
        <v>293176.54399999999</v>
      </c>
      <c r="F1440">
        <f>137552992/(1000)</f>
        <v>137552.992</v>
      </c>
      <c r="G1440">
        <f>0/(1000)</f>
        <v>0</v>
      </c>
      <c r="H1440">
        <f>0/(1000)</f>
        <v>0</v>
      </c>
      <c r="I1440">
        <f>0/(1000)</f>
        <v>0</v>
      </c>
      <c r="J1440">
        <f t="shared" si="36"/>
        <v>1</v>
      </c>
      <c r="K1440">
        <f>28888001/(1000)</f>
        <v>28888.001</v>
      </c>
      <c r="L1440">
        <v>15.1079664230347</v>
      </c>
      <c r="M1440">
        <v>13.898001670837401</v>
      </c>
      <c r="N1440">
        <v>95.927854836321401</v>
      </c>
      <c r="O1440">
        <v>237.326171875</v>
      </c>
      <c r="P1440">
        <v>0.41333332657813998</v>
      </c>
      <c r="Q1440">
        <v>0</v>
      </c>
      <c r="R1440">
        <v>14.887500142026701</v>
      </c>
      <c r="S1440">
        <v>73.682406121366697</v>
      </c>
      <c r="T1440">
        <v>0</v>
      </c>
      <c r="U1440">
        <v>0</v>
      </c>
      <c r="V1440">
        <v>0</v>
      </c>
      <c r="W1440">
        <v>0</v>
      </c>
    </row>
    <row r="1441" spans="1:23" x14ac:dyDescent="0.55000000000000004">
      <c r="A1441" t="s">
        <v>2890</v>
      </c>
      <c r="B1441" t="s">
        <v>2891</v>
      </c>
      <c r="C1441" t="s">
        <v>5</v>
      </c>
      <c r="D1441">
        <v>7.39</v>
      </c>
      <c r="E1441">
        <f>264216896/(1000)</f>
        <v>264216.89600000001</v>
      </c>
      <c r="F1441">
        <f>137530000/(1000)</f>
        <v>137530</v>
      </c>
      <c r="G1441">
        <f>9608000/(1000)</f>
        <v>9608</v>
      </c>
      <c r="H1441">
        <f>392569896/(1000)</f>
        <v>392569.89600000001</v>
      </c>
      <c r="I1441">
        <f>35599000/(1000)</f>
        <v>35599</v>
      </c>
      <c r="J1441">
        <f t="shared" si="36"/>
        <v>1.1027554032416641E-2</v>
      </c>
      <c r="K1441">
        <f>4707001.5/(1000)</f>
        <v>4707.0015000000003</v>
      </c>
      <c r="L1441">
        <v>0</v>
      </c>
      <c r="M1441">
        <v>0</v>
      </c>
      <c r="N1441">
        <v>62.100320245466499</v>
      </c>
      <c r="O1441">
        <v>48.169200897216797</v>
      </c>
      <c r="P1441">
        <v>0</v>
      </c>
      <c r="Q1441">
        <v>0</v>
      </c>
      <c r="R1441">
        <v>56.846153275236603</v>
      </c>
      <c r="S1441">
        <v>0</v>
      </c>
      <c r="T1441">
        <v>0</v>
      </c>
      <c r="U1441">
        <v>0</v>
      </c>
      <c r="V1441">
        <v>0</v>
      </c>
      <c r="W1441">
        <v>0</v>
      </c>
    </row>
    <row r="1442" spans="1:23" x14ac:dyDescent="0.55000000000000004">
      <c r="A1442" t="s">
        <v>2892</v>
      </c>
      <c r="B1442" t="s">
        <v>2893</v>
      </c>
      <c r="C1442" t="s">
        <v>5</v>
      </c>
      <c r="D1442">
        <v>1.93</v>
      </c>
      <c r="E1442">
        <f>250116784/(1000)</f>
        <v>250116.78400000001</v>
      </c>
      <c r="F1442">
        <f>137060000/(1000)</f>
        <v>137060</v>
      </c>
      <c r="G1442">
        <f>-6050000/(1000)</f>
        <v>-6050</v>
      </c>
      <c r="H1442">
        <f>191884784/(1000)</f>
        <v>191884.78400000001</v>
      </c>
      <c r="I1442">
        <f>1812000/(1000)</f>
        <v>1812</v>
      </c>
      <c r="J1442">
        <f t="shared" si="36"/>
        <v>0.10589667991169979</v>
      </c>
      <c r="K1442">
        <f>21421001/(1000)</f>
        <v>21421.001</v>
      </c>
      <c r="L1442">
        <v>0</v>
      </c>
      <c r="M1442">
        <v>-3.94681596755981</v>
      </c>
      <c r="N1442">
        <v>99.078050889635506</v>
      </c>
      <c r="O1442">
        <v>0</v>
      </c>
      <c r="P1442">
        <v>0</v>
      </c>
      <c r="Q1442">
        <v>0</v>
      </c>
      <c r="R1442">
        <v>38.599999813735501</v>
      </c>
      <c r="S1442">
        <v>35.0437961238706</v>
      </c>
      <c r="T1442">
        <v>0</v>
      </c>
      <c r="U1442">
        <v>0</v>
      </c>
      <c r="V1442">
        <v>0</v>
      </c>
      <c r="W1442">
        <v>0</v>
      </c>
    </row>
    <row r="1443" spans="1:23" x14ac:dyDescent="0.55000000000000004">
      <c r="A1443" t="s">
        <v>2894</v>
      </c>
      <c r="B1443" t="s">
        <v>2895</v>
      </c>
      <c r="C1443" t="s">
        <v>5</v>
      </c>
      <c r="D1443">
        <v>7.91</v>
      </c>
      <c r="E1443">
        <f>269904224/(1000)</f>
        <v>269904.22399999999</v>
      </c>
      <c r="F1443">
        <f>136161616/(1000)</f>
        <v>136161.61600000001</v>
      </c>
      <c r="G1443">
        <f>-36357984/(1000)</f>
        <v>-36357.983999999997</v>
      </c>
      <c r="H1443">
        <f>225349028/(1000)</f>
        <v>225349.02799999999</v>
      </c>
      <c r="I1443">
        <f>-22505764/(1000)</f>
        <v>-22505.763999999999</v>
      </c>
      <c r="J1443">
        <f t="shared" si="36"/>
        <v>-1.0012947260977231E-2</v>
      </c>
      <c r="K1443">
        <f>-34432223/(1000)</f>
        <v>-34432.222999999998</v>
      </c>
      <c r="L1443">
        <v>0</v>
      </c>
      <c r="M1443">
        <v>0</v>
      </c>
      <c r="N1443">
        <v>96.078475395509699</v>
      </c>
      <c r="O1443">
        <v>0.24571199715137501</v>
      </c>
      <c r="P1443">
        <v>0</v>
      </c>
      <c r="Q1443">
        <v>1.4303796649740499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</row>
    <row r="1444" spans="1:23" x14ac:dyDescent="0.55000000000000004">
      <c r="A1444" t="s">
        <v>2896</v>
      </c>
      <c r="B1444" t="s">
        <v>2897</v>
      </c>
      <c r="C1444" t="s">
        <v>31</v>
      </c>
      <c r="D1444">
        <v>0.27</v>
      </c>
      <c r="E1444">
        <f>34135912/(1000)</f>
        <v>34135.911999999997</v>
      </c>
      <c r="F1444">
        <f>135824992/(1000)</f>
        <v>135824.992</v>
      </c>
      <c r="G1444">
        <f>-4739000/(1000)</f>
        <v>-4739</v>
      </c>
      <c r="H1444">
        <f>-34678088/(1000)</f>
        <v>-34678.088000000003</v>
      </c>
      <c r="I1444">
        <f>7194000/(1000)</f>
        <v>7194</v>
      </c>
      <c r="J1444">
        <f t="shared" si="36"/>
        <v>-4.8204181262162917E-3</v>
      </c>
      <c r="K1444">
        <f>2337001.25/(1000)</f>
        <v>2337.0012499999998</v>
      </c>
      <c r="L1444">
        <v>0</v>
      </c>
      <c r="M1444">
        <v>-0.52086001634597801</v>
      </c>
      <c r="N1444">
        <v>96.470202352362406</v>
      </c>
      <c r="O1444">
        <v>15.2626190185547</v>
      </c>
      <c r="P1444">
        <v>0</v>
      </c>
      <c r="Q1444">
        <v>0</v>
      </c>
      <c r="R1444">
        <v>0</v>
      </c>
      <c r="S1444">
        <v>13.709609959062</v>
      </c>
      <c r="T1444">
        <v>0</v>
      </c>
      <c r="U1444">
        <v>0</v>
      </c>
      <c r="V1444">
        <v>0</v>
      </c>
      <c r="W1444">
        <v>0</v>
      </c>
    </row>
    <row r="1445" spans="1:23" x14ac:dyDescent="0.55000000000000004">
      <c r="A1445" t="s">
        <v>2898</v>
      </c>
      <c r="B1445" t="s">
        <v>2899</v>
      </c>
      <c r="C1445" t="s">
        <v>5</v>
      </c>
      <c r="D1445">
        <v>4.74</v>
      </c>
      <c r="E1445">
        <f>139082032/(1000)</f>
        <v>139082.03200000001</v>
      </c>
      <c r="F1445">
        <f>135132000/(1000)</f>
        <v>135132</v>
      </c>
      <c r="G1445">
        <f>9474000/(1000)</f>
        <v>9474</v>
      </c>
      <c r="H1445">
        <f>289235024/(1000)</f>
        <v>289235.02399999998</v>
      </c>
      <c r="I1445">
        <f>29285000/(1000)</f>
        <v>29285</v>
      </c>
      <c r="J1445">
        <f t="shared" si="36"/>
        <v>9.8765587843605944E-3</v>
      </c>
      <c r="K1445">
        <f>1863000/(1000)</f>
        <v>1863</v>
      </c>
      <c r="L1445">
        <v>0</v>
      </c>
      <c r="M1445">
        <v>2.18960309028625</v>
      </c>
      <c r="N1445">
        <v>94.673544037307394</v>
      </c>
      <c r="O1445">
        <v>38.511726379394503</v>
      </c>
      <c r="P1445">
        <v>0</v>
      </c>
      <c r="Q1445">
        <v>1.0371990356829699</v>
      </c>
      <c r="R1445">
        <v>39.499995296821297</v>
      </c>
      <c r="S1445">
        <v>317.66705816900497</v>
      </c>
      <c r="T1445">
        <v>0</v>
      </c>
      <c r="U1445">
        <v>0</v>
      </c>
      <c r="V1445">
        <v>0</v>
      </c>
      <c r="W1445">
        <v>0</v>
      </c>
    </row>
    <row r="1446" spans="1:23" x14ac:dyDescent="0.55000000000000004">
      <c r="A1446" t="s">
        <v>2900</v>
      </c>
      <c r="B1446" t="s">
        <v>2901</v>
      </c>
      <c r="C1446" t="s">
        <v>184</v>
      </c>
      <c r="D1446">
        <v>0.93</v>
      </c>
      <c r="E1446">
        <f>24087962/(1000)</f>
        <v>24087.962</v>
      </c>
      <c r="F1446">
        <f>134640992/(1000)</f>
        <v>134640.992</v>
      </c>
      <c r="G1446">
        <f>117708000/(1000)</f>
        <v>117708</v>
      </c>
      <c r="H1446">
        <f>469678970/(1000)</f>
        <v>469678.97</v>
      </c>
      <c r="I1446">
        <f>121516000/(1000)</f>
        <v>121516</v>
      </c>
      <c r="J1446">
        <f t="shared" si="36"/>
        <v>3.8651615425129198E-3</v>
      </c>
      <c r="K1446">
        <f>6032001/(1000)</f>
        <v>6032.0010000000002</v>
      </c>
      <c r="L1446">
        <v>0</v>
      </c>
      <c r="M1446">
        <v>12.113588333129901</v>
      </c>
      <c r="N1446">
        <v>87.308479102701199</v>
      </c>
      <c r="O1446">
        <v>12023.541015625</v>
      </c>
      <c r="P1446">
        <v>1.8658534288406401</v>
      </c>
      <c r="Q1446">
        <v>0</v>
      </c>
      <c r="R1446">
        <v>0.71488166657131702</v>
      </c>
      <c r="S1446">
        <v>0</v>
      </c>
      <c r="T1446">
        <v>0</v>
      </c>
      <c r="U1446">
        <v>0</v>
      </c>
      <c r="V1446">
        <v>0</v>
      </c>
      <c r="W1446">
        <v>0</v>
      </c>
    </row>
    <row r="1447" spans="1:23" x14ac:dyDescent="0.55000000000000004">
      <c r="A1447" t="s">
        <v>2902</v>
      </c>
      <c r="B1447" t="s">
        <v>2903</v>
      </c>
      <c r="C1447" t="s">
        <v>8</v>
      </c>
      <c r="D1447">
        <v>17.47</v>
      </c>
      <c r="E1447">
        <f>103710656/(1000)</f>
        <v>103710.656</v>
      </c>
      <c r="F1447">
        <f>134495008/(1000)</f>
        <v>134495.008</v>
      </c>
      <c r="G1447">
        <f>19581000/(1000)</f>
        <v>19581</v>
      </c>
      <c r="H1447">
        <f>122418656/(1000)</f>
        <v>122418.656</v>
      </c>
      <c r="I1447">
        <f>24146000/(1000)</f>
        <v>24146</v>
      </c>
      <c r="J1447">
        <f t="shared" si="36"/>
        <v>5.0699352273668513E-3</v>
      </c>
      <c r="K1447">
        <f>-17817999/(1000)</f>
        <v>-17817.999</v>
      </c>
      <c r="L1447">
        <v>28.6536674499512</v>
      </c>
      <c r="M1447">
        <v>12.8810882568359</v>
      </c>
      <c r="N1447">
        <v>73.598921025116795</v>
      </c>
      <c r="O1447">
        <v>17.2712001800537</v>
      </c>
      <c r="P1447">
        <v>0</v>
      </c>
      <c r="Q1447">
        <v>0.79735278115111197</v>
      </c>
      <c r="R1447">
        <v>7.7644441392686598</v>
      </c>
      <c r="S1447">
        <v>164.47282023046401</v>
      </c>
      <c r="T1447">
        <v>0</v>
      </c>
      <c r="U1447">
        <v>0</v>
      </c>
      <c r="V1447">
        <v>0</v>
      </c>
      <c r="W1447">
        <v>0</v>
      </c>
    </row>
    <row r="1448" spans="1:23" x14ac:dyDescent="0.55000000000000004">
      <c r="A1448" t="s">
        <v>2904</v>
      </c>
      <c r="B1448" t="s">
        <v>2905</v>
      </c>
      <c r="C1448" t="s">
        <v>5</v>
      </c>
      <c r="D1448">
        <v>12.52</v>
      </c>
      <c r="E1448">
        <f>536940224/(1000)</f>
        <v>536940.22400000005</v>
      </c>
      <c r="F1448">
        <f>134288992/(1000)</f>
        <v>134288.992</v>
      </c>
      <c r="G1448">
        <f>13285000/(1000)</f>
        <v>13285</v>
      </c>
      <c r="H1448">
        <f>381615232/(1000)</f>
        <v>381615.23200000002</v>
      </c>
      <c r="I1448">
        <f>20213000/(1000)</f>
        <v>20213</v>
      </c>
      <c r="J1448">
        <f t="shared" si="36"/>
        <v>1.8879692870924655E-2</v>
      </c>
      <c r="K1448">
        <f>29042001/(1000)</f>
        <v>29042.001</v>
      </c>
      <c r="L1448">
        <v>0</v>
      </c>
      <c r="M1448">
        <v>19.182285308837901</v>
      </c>
      <c r="N1448">
        <v>96.073364465888901</v>
      </c>
      <c r="O1448">
        <v>0</v>
      </c>
      <c r="P1448">
        <v>0</v>
      </c>
      <c r="Q1448">
        <v>2.32713758205277</v>
      </c>
      <c r="R1448">
        <v>19.747634455390401</v>
      </c>
      <c r="S1448">
        <v>121.701433005349</v>
      </c>
      <c r="T1448">
        <v>0</v>
      </c>
      <c r="U1448">
        <v>0</v>
      </c>
      <c r="V1448">
        <v>0</v>
      </c>
      <c r="W1448">
        <v>0</v>
      </c>
    </row>
    <row r="1449" spans="1:23" x14ac:dyDescent="0.55000000000000004">
      <c r="A1449" t="s">
        <v>2906</v>
      </c>
      <c r="B1449" t="s">
        <v>2907</v>
      </c>
      <c r="C1449" t="s">
        <v>2</v>
      </c>
      <c r="D1449">
        <v>18.89</v>
      </c>
      <c r="E1449">
        <f>99316064/(1000)</f>
        <v>99316.063999999998</v>
      </c>
      <c r="F1449">
        <f>134086000/(1000)</f>
        <v>134086</v>
      </c>
      <c r="G1449">
        <f>10241000/(1000)</f>
        <v>10241</v>
      </c>
      <c r="H1449">
        <f>62994064/(1000)</f>
        <v>62994.063999999998</v>
      </c>
      <c r="I1449">
        <f>13012000/(1000)</f>
        <v>13012</v>
      </c>
      <c r="J1449">
        <f t="shared" si="36"/>
        <v>4.8412284045496459E-3</v>
      </c>
      <c r="K1449">
        <f>7629000.5/(1000)</f>
        <v>7629.0005000000001</v>
      </c>
      <c r="L1449">
        <v>146.16253662109401</v>
      </c>
      <c r="M1449">
        <v>13.493919372558601</v>
      </c>
      <c r="N1449">
        <v>76.230601968839807</v>
      </c>
      <c r="O1449">
        <v>0</v>
      </c>
      <c r="P1449">
        <v>0</v>
      </c>
      <c r="Q1449">
        <v>0</v>
      </c>
      <c r="R1449">
        <v>13.992592356708601</v>
      </c>
      <c r="S1449">
        <v>62.253146176185901</v>
      </c>
      <c r="T1449">
        <v>0</v>
      </c>
      <c r="U1449">
        <v>0</v>
      </c>
      <c r="V1449">
        <v>0</v>
      </c>
      <c r="W1449">
        <v>0</v>
      </c>
    </row>
    <row r="1450" spans="1:23" x14ac:dyDescent="0.55000000000000004">
      <c r="A1450" t="s">
        <v>2908</v>
      </c>
      <c r="B1450" t="s">
        <v>2909</v>
      </c>
      <c r="C1450" t="s">
        <v>31</v>
      </c>
      <c r="D1450">
        <v>12.61</v>
      </c>
      <c r="E1450">
        <f>425451328/(1000)</f>
        <v>425451.32799999998</v>
      </c>
      <c r="F1450">
        <f>134004000/(1000)</f>
        <v>134004</v>
      </c>
      <c r="G1450">
        <f>28840000/(1000)</f>
        <v>28840</v>
      </c>
      <c r="H1450">
        <f>340823328/(1000)</f>
        <v>340823.32799999998</v>
      </c>
      <c r="I1450">
        <f>33024000/(1000)</f>
        <v>33024</v>
      </c>
      <c r="J1450">
        <f t="shared" si="36"/>
        <v>1.0320473837209302E-2</v>
      </c>
      <c r="K1450">
        <f>17691001/(1000)</f>
        <v>17691.001</v>
      </c>
      <c r="L1450">
        <v>0</v>
      </c>
      <c r="M1450">
        <v>8.0004816055297905</v>
      </c>
      <c r="N1450">
        <v>76.741000218327102</v>
      </c>
      <c r="O1450">
        <v>0</v>
      </c>
      <c r="P1450">
        <v>0</v>
      </c>
      <c r="Q1450">
        <v>2.5270541553254602</v>
      </c>
      <c r="R1450">
        <v>12.9999998617418</v>
      </c>
      <c r="S1450">
        <v>997.85351466491898</v>
      </c>
      <c r="T1450">
        <v>0</v>
      </c>
      <c r="U1450">
        <v>0</v>
      </c>
      <c r="V1450">
        <v>0</v>
      </c>
      <c r="W1450">
        <v>0</v>
      </c>
    </row>
    <row r="1451" spans="1:23" x14ac:dyDescent="0.55000000000000004">
      <c r="A1451" t="s">
        <v>2910</v>
      </c>
      <c r="B1451" t="s">
        <v>2911</v>
      </c>
      <c r="C1451" t="s">
        <v>5</v>
      </c>
      <c r="D1451">
        <v>1.76</v>
      </c>
      <c r="E1451">
        <f>46750528/(1000)</f>
        <v>46750.527999999998</v>
      </c>
      <c r="F1451">
        <f>132873992/(1000)</f>
        <v>132873.992</v>
      </c>
      <c r="G1451">
        <f>-8284000.5/(1000)</f>
        <v>-8284.0005000000001</v>
      </c>
      <c r="H1451">
        <f>16819528/(1000)</f>
        <v>16819.527999999998</v>
      </c>
      <c r="I1451">
        <f>-591000.5625/(1000)</f>
        <v>-591.0005625</v>
      </c>
      <c r="J1451">
        <f t="shared" si="36"/>
        <v>-2.8459411153267722E-2</v>
      </c>
      <c r="K1451">
        <f>-845999.0625/(1000)</f>
        <v>-845.99906250000004</v>
      </c>
      <c r="L1451">
        <v>0</v>
      </c>
      <c r="M1451">
        <v>-3.7483708858489999</v>
      </c>
      <c r="N1451">
        <v>88.287757624515507</v>
      </c>
      <c r="O1451">
        <v>13.831067085266101</v>
      </c>
      <c r="P1451">
        <v>0</v>
      </c>
      <c r="Q1451">
        <v>0</v>
      </c>
      <c r="R1451">
        <v>0</v>
      </c>
      <c r="S1451">
        <v>306.11895630044398</v>
      </c>
      <c r="T1451">
        <v>0</v>
      </c>
      <c r="U1451">
        <v>0</v>
      </c>
      <c r="V1451">
        <v>0</v>
      </c>
      <c r="W1451">
        <v>0</v>
      </c>
    </row>
    <row r="1452" spans="1:23" x14ac:dyDescent="0.55000000000000004">
      <c r="A1452" t="s">
        <v>2912</v>
      </c>
      <c r="B1452" t="s">
        <v>2913</v>
      </c>
      <c r="C1452" t="s">
        <v>5</v>
      </c>
      <c r="D1452">
        <v>11.84</v>
      </c>
      <c r="E1452">
        <f>547015104/(1000)</f>
        <v>547015.10400000005</v>
      </c>
      <c r="F1452">
        <f>132761000/(1000)</f>
        <v>132761</v>
      </c>
      <c r="G1452">
        <f>10073000/(1000)</f>
        <v>10073</v>
      </c>
      <c r="H1452">
        <f>349974112/(1000)</f>
        <v>349974.11200000002</v>
      </c>
      <c r="I1452">
        <f>12773000/(1000)</f>
        <v>12773</v>
      </c>
      <c r="J1452">
        <f t="shared" si="36"/>
        <v>2.7399523369607767E-2</v>
      </c>
      <c r="K1452">
        <f>25575001/(1000)</f>
        <v>25575.001</v>
      </c>
      <c r="L1452">
        <v>0</v>
      </c>
      <c r="M1452">
        <v>12.7627620697021</v>
      </c>
      <c r="N1452">
        <v>71.407731144947505</v>
      </c>
      <c r="O1452">
        <v>2.7195990085601802</v>
      </c>
      <c r="P1452">
        <v>0</v>
      </c>
      <c r="Q1452">
        <v>0</v>
      </c>
      <c r="R1452">
        <v>23.215686329508301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55000000000000004">
      <c r="A1453" t="s">
        <v>2914</v>
      </c>
      <c r="B1453" t="s">
        <v>2915</v>
      </c>
      <c r="C1453" t="s">
        <v>8</v>
      </c>
      <c r="D1453">
        <v>16.100000000000001</v>
      </c>
      <c r="E1453">
        <f>495057280/(1000)</f>
        <v>495057.28</v>
      </c>
      <c r="F1453">
        <f>132389000/(1000)</f>
        <v>132389</v>
      </c>
      <c r="G1453">
        <f>46916000/(1000)</f>
        <v>46916</v>
      </c>
      <c r="H1453">
        <f>948091264/(1000)</f>
        <v>948091.26399999997</v>
      </c>
      <c r="I1453">
        <f>88815000/(1000)</f>
        <v>88815</v>
      </c>
      <c r="J1453">
        <f t="shared" si="36"/>
        <v>1.0674900230816867E-2</v>
      </c>
      <c r="K1453">
        <f>-151771999/(1000)</f>
        <v>-151771.99900000001</v>
      </c>
      <c r="L1453">
        <v>41.6523246765137</v>
      </c>
      <c r="M1453">
        <v>5.9155440330505398</v>
      </c>
      <c r="N1453">
        <v>89.322871655530506</v>
      </c>
      <c r="O1453">
        <v>81.906600952148395</v>
      </c>
      <c r="P1453">
        <v>0</v>
      </c>
      <c r="Q1453">
        <v>1.0176991587893101</v>
      </c>
      <c r="R1453">
        <v>9.3063586597202992</v>
      </c>
      <c r="S1453">
        <v>393.95194388478501</v>
      </c>
      <c r="T1453">
        <v>0</v>
      </c>
      <c r="U1453">
        <v>0</v>
      </c>
      <c r="V1453">
        <v>0</v>
      </c>
      <c r="W1453">
        <v>0</v>
      </c>
    </row>
    <row r="1454" spans="1:23" x14ac:dyDescent="0.55000000000000004">
      <c r="A1454" t="s">
        <v>2916</v>
      </c>
      <c r="B1454" t="s">
        <v>2917</v>
      </c>
      <c r="C1454" t="s">
        <v>184</v>
      </c>
      <c r="D1454">
        <v>23.5</v>
      </c>
      <c r="E1454">
        <f>328311456/(1000)</f>
        <v>328311.45600000001</v>
      </c>
      <c r="F1454">
        <f>132159000/(1000)</f>
        <v>132159</v>
      </c>
      <c r="G1454">
        <f>0/(1000)</f>
        <v>0</v>
      </c>
      <c r="H1454">
        <f>0/(1000)</f>
        <v>0</v>
      </c>
      <c r="I1454">
        <f>0/(1000)</f>
        <v>0</v>
      </c>
      <c r="J1454">
        <f t="shared" si="36"/>
        <v>1</v>
      </c>
      <c r="K1454">
        <f>18017001/(1000)</f>
        <v>18017.001</v>
      </c>
      <c r="L1454">
        <v>17.347490310668899</v>
      </c>
      <c r="M1454">
        <v>13.7355308532715</v>
      </c>
      <c r="N1454">
        <v>88.088640994840702</v>
      </c>
      <c r="O1454">
        <v>383.86535644531301</v>
      </c>
      <c r="P1454">
        <v>0.34337216615676902</v>
      </c>
      <c r="Q1454">
        <v>2.2231681726399</v>
      </c>
      <c r="R1454">
        <v>13.395765308461399</v>
      </c>
      <c r="S1454">
        <v>48.774090417867399</v>
      </c>
      <c r="T1454">
        <v>0</v>
      </c>
      <c r="U1454">
        <v>0</v>
      </c>
      <c r="V1454">
        <v>0</v>
      </c>
      <c r="W1454">
        <v>0</v>
      </c>
    </row>
    <row r="1455" spans="1:23" x14ac:dyDescent="0.55000000000000004">
      <c r="A1455" t="s">
        <v>2918</v>
      </c>
      <c r="B1455" t="s">
        <v>2919</v>
      </c>
      <c r="C1455" t="s">
        <v>38</v>
      </c>
      <c r="D1455">
        <v>44.98</v>
      </c>
      <c r="E1455">
        <f>366092224/(1000)</f>
        <v>366092.22399999999</v>
      </c>
      <c r="F1455">
        <f>132130056/(1000)</f>
        <v>132130.05600000001</v>
      </c>
      <c r="G1455">
        <f>13923533/(1000)</f>
        <v>13923.532999999999</v>
      </c>
      <c r="H1455">
        <f>400470416/(1000)</f>
        <v>400470.41600000003</v>
      </c>
      <c r="I1455">
        <f>14765734/(1000)</f>
        <v>14765.734</v>
      </c>
      <c r="J1455">
        <f t="shared" si="36"/>
        <v>2.7121605739342181E-2</v>
      </c>
      <c r="K1455">
        <f>6421590/(1000)</f>
        <v>6421.59</v>
      </c>
      <c r="L1455">
        <v>18.8859252929688</v>
      </c>
      <c r="M1455">
        <v>24.299617767333999</v>
      </c>
      <c r="N1455">
        <v>88.010812799085102</v>
      </c>
      <c r="O1455">
        <v>48.9085502624512</v>
      </c>
      <c r="P1455">
        <v>0</v>
      </c>
      <c r="Q1455">
        <v>3.6658514966701499</v>
      </c>
      <c r="R1455">
        <v>23.798941736869299</v>
      </c>
      <c r="S1455">
        <v>54.051598461000303</v>
      </c>
      <c r="T1455">
        <v>0</v>
      </c>
      <c r="U1455">
        <v>0</v>
      </c>
      <c r="V1455">
        <v>0</v>
      </c>
      <c r="W1455">
        <v>0</v>
      </c>
    </row>
    <row r="1456" spans="1:23" x14ac:dyDescent="0.55000000000000004">
      <c r="A1456" t="s">
        <v>2920</v>
      </c>
      <c r="B1456" t="s">
        <v>2921</v>
      </c>
      <c r="C1456" t="s">
        <v>5</v>
      </c>
      <c r="D1456">
        <v>11.95</v>
      </c>
      <c r="E1456">
        <f>173444688/(1000)</f>
        <v>173444.68799999999</v>
      </c>
      <c r="F1456">
        <f>131316256/(1000)</f>
        <v>131316.25599999999</v>
      </c>
      <c r="G1456">
        <f>9457139/(1000)</f>
        <v>9457.1389999999992</v>
      </c>
      <c r="H1456">
        <f>178480442/(1000)</f>
        <v>178480.44200000001</v>
      </c>
      <c r="I1456">
        <f>16825892/(1000)</f>
        <v>16825.892</v>
      </c>
      <c r="J1456">
        <f t="shared" si="36"/>
        <v>1.0607487674353313E-2</v>
      </c>
      <c r="K1456">
        <f>-428724.25/(1000)</f>
        <v>-428.72424999999998</v>
      </c>
      <c r="L1456">
        <v>29.9584865570068</v>
      </c>
      <c r="M1456">
        <v>5.8134689331054696</v>
      </c>
      <c r="N1456">
        <v>92.059499015785406</v>
      </c>
      <c r="O1456">
        <v>0</v>
      </c>
      <c r="P1456">
        <v>0</v>
      </c>
      <c r="Q1456">
        <v>0</v>
      </c>
      <c r="R1456">
        <v>22.547169083768502</v>
      </c>
      <c r="S1456">
        <v>73.882754237288097</v>
      </c>
      <c r="T1456">
        <v>0</v>
      </c>
      <c r="U1456">
        <v>0</v>
      </c>
      <c r="V1456">
        <v>0</v>
      </c>
      <c r="W1456">
        <v>0</v>
      </c>
    </row>
    <row r="1457" spans="1:23" x14ac:dyDescent="0.55000000000000004">
      <c r="A1457" t="s">
        <v>2922</v>
      </c>
      <c r="B1457" t="s">
        <v>2923</v>
      </c>
      <c r="C1457" t="s">
        <v>184</v>
      </c>
      <c r="D1457">
        <v>9.74</v>
      </c>
      <c r="E1457">
        <f>549876608/(1000)</f>
        <v>549876.60800000001</v>
      </c>
      <c r="F1457">
        <f>131283000/(1000)</f>
        <v>131283</v>
      </c>
      <c r="G1457">
        <f>0/(1000)</f>
        <v>0</v>
      </c>
      <c r="H1457">
        <f>0/(1000)</f>
        <v>0</v>
      </c>
      <c r="I1457">
        <f>0/(1000)</f>
        <v>0</v>
      </c>
      <c r="J1457">
        <f t="shared" si="36"/>
        <v>1</v>
      </c>
      <c r="K1457">
        <f>0/(1000)</f>
        <v>0</v>
      </c>
      <c r="L1457">
        <v>0</v>
      </c>
      <c r="M1457">
        <v>0</v>
      </c>
      <c r="N1457">
        <v>66.328699537976703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55000000000000004">
      <c r="A1458" t="s">
        <v>2924</v>
      </c>
      <c r="B1458" t="s">
        <v>2925</v>
      </c>
      <c r="C1458" t="s">
        <v>31</v>
      </c>
      <c r="D1458">
        <v>7.1</v>
      </c>
      <c r="E1458">
        <f>178669360/(1000)</f>
        <v>178669.36</v>
      </c>
      <c r="F1458">
        <f>131241000/(1000)</f>
        <v>131241</v>
      </c>
      <c r="G1458">
        <f>-7879000/(1000)</f>
        <v>-7879</v>
      </c>
      <c r="H1458">
        <f>148294360/(1000)</f>
        <v>148294.35999999999</v>
      </c>
      <c r="I1458">
        <f>7030999.5/(1000)</f>
        <v>7030.9994999999999</v>
      </c>
      <c r="J1458">
        <f t="shared" si="36"/>
        <v>2.1091504842234734E-2</v>
      </c>
      <c r="K1458">
        <f>11210001/(1000)</f>
        <v>11210.001</v>
      </c>
      <c r="L1458">
        <v>64.961570739746094</v>
      </c>
      <c r="M1458">
        <v>-3.7753720283508301</v>
      </c>
      <c r="N1458">
        <v>92.777582937117003</v>
      </c>
      <c r="O1458">
        <v>0</v>
      </c>
      <c r="P1458">
        <v>0</v>
      </c>
      <c r="Q1458">
        <v>0</v>
      </c>
      <c r="R1458">
        <v>238.319026647794</v>
      </c>
      <c r="S1458">
        <v>84.159124394864193</v>
      </c>
      <c r="T1458">
        <v>0</v>
      </c>
      <c r="U1458">
        <v>0</v>
      </c>
      <c r="V1458">
        <v>0</v>
      </c>
      <c r="W1458">
        <v>0</v>
      </c>
    </row>
    <row r="1459" spans="1:23" x14ac:dyDescent="0.55000000000000004">
      <c r="A1459" t="s">
        <v>2926</v>
      </c>
      <c r="B1459" t="s">
        <v>2927</v>
      </c>
      <c r="C1459" t="s">
        <v>38</v>
      </c>
      <c r="D1459">
        <v>15</v>
      </c>
      <c r="E1459">
        <f>715680000/(1000)</f>
        <v>715680</v>
      </c>
      <c r="F1459">
        <f>130614000/(1000)</f>
        <v>130614</v>
      </c>
      <c r="G1459">
        <f>13357000/(1000)</f>
        <v>13357</v>
      </c>
      <c r="H1459">
        <f>539076000/(1000)</f>
        <v>539076</v>
      </c>
      <c r="I1459">
        <f>21259000/(1000)</f>
        <v>21259</v>
      </c>
      <c r="J1459">
        <f t="shared" si="36"/>
        <v>2.5357542687802812E-2</v>
      </c>
      <c r="K1459">
        <f>-4864999/(1000)</f>
        <v>-4864.9989999999998</v>
      </c>
      <c r="L1459">
        <v>0</v>
      </c>
      <c r="M1459">
        <v>-14.678048133850099</v>
      </c>
      <c r="N1459">
        <v>84.335593732198006</v>
      </c>
      <c r="O1459">
        <v>8.5001997649669994E-2</v>
      </c>
      <c r="P1459">
        <v>0</v>
      </c>
      <c r="Q1459">
        <v>3.1578947368421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55000000000000004">
      <c r="A1460" t="s">
        <v>2928</v>
      </c>
      <c r="B1460" t="s">
        <v>2929</v>
      </c>
      <c r="C1460" t="s">
        <v>38</v>
      </c>
      <c r="D1460">
        <v>7.95</v>
      </c>
      <c r="E1460">
        <f>116185272/(1000)</f>
        <v>116185.272</v>
      </c>
      <c r="F1460">
        <f>130058000/(1000)</f>
        <v>130058</v>
      </c>
      <c r="G1460">
        <f>8338999.5/(1000)</f>
        <v>8338.9994999999999</v>
      </c>
      <c r="H1460">
        <f>83803272/(1000)</f>
        <v>83803.271999999997</v>
      </c>
      <c r="I1460">
        <f>12210000/(1000)</f>
        <v>12210</v>
      </c>
      <c r="J1460">
        <f t="shared" si="36"/>
        <v>6.8634948402948402E-3</v>
      </c>
      <c r="K1460">
        <f>8725001/(1000)</f>
        <v>8725.0010000000002</v>
      </c>
      <c r="L1460">
        <v>0</v>
      </c>
      <c r="M1460">
        <v>6.3396530151367196</v>
      </c>
      <c r="N1460">
        <v>90.225990952145906</v>
      </c>
      <c r="O1460">
        <v>25.971529006958001</v>
      </c>
      <c r="P1460">
        <v>0</v>
      </c>
      <c r="Q1460">
        <v>0</v>
      </c>
      <c r="R1460">
        <v>42.5892869193626</v>
      </c>
      <c r="S1460">
        <v>69.152533555301204</v>
      </c>
      <c r="T1460">
        <v>0</v>
      </c>
      <c r="U1460">
        <v>0</v>
      </c>
      <c r="V1460">
        <v>0</v>
      </c>
      <c r="W1460">
        <v>0</v>
      </c>
    </row>
    <row r="1461" spans="1:23" x14ac:dyDescent="0.55000000000000004">
      <c r="A1461" t="s">
        <v>2930</v>
      </c>
      <c r="B1461" t="s">
        <v>2931</v>
      </c>
      <c r="C1461" t="s">
        <v>38</v>
      </c>
      <c r="D1461">
        <v>10.38</v>
      </c>
      <c r="E1461">
        <f>598382080/(1000)</f>
        <v>598382.07999999996</v>
      </c>
      <c r="F1461">
        <f>129473000/(1000)</f>
        <v>129473</v>
      </c>
      <c r="G1461">
        <f>-24487000/(1000)</f>
        <v>-24487</v>
      </c>
      <c r="H1461">
        <f>573993080/(1000)</f>
        <v>573993.07999999996</v>
      </c>
      <c r="I1461">
        <f>-14718000/(1000)</f>
        <v>-14718</v>
      </c>
      <c r="J1461">
        <f t="shared" si="36"/>
        <v>-3.8999393939393938E-2</v>
      </c>
      <c r="K1461">
        <f>-21802999/(1000)</f>
        <v>-21802.999</v>
      </c>
      <c r="L1461">
        <v>0</v>
      </c>
      <c r="M1461">
        <v>-16.502016067504901</v>
      </c>
      <c r="N1461">
        <v>97.728616098547604</v>
      </c>
      <c r="O1461">
        <v>3.151000011712E-3</v>
      </c>
      <c r="P1461">
        <v>0</v>
      </c>
      <c r="Q1461">
        <v>5.5115142769413099</v>
      </c>
      <c r="R1461">
        <v>0</v>
      </c>
      <c r="S1461">
        <v>783.53350620990898</v>
      </c>
      <c r="T1461">
        <v>0</v>
      </c>
      <c r="U1461">
        <v>0</v>
      </c>
      <c r="V1461">
        <v>0</v>
      </c>
      <c r="W1461">
        <v>0</v>
      </c>
    </row>
    <row r="1462" spans="1:23" x14ac:dyDescent="0.55000000000000004">
      <c r="A1462" t="s">
        <v>2932</v>
      </c>
      <c r="B1462" t="s">
        <v>2933</v>
      </c>
      <c r="C1462" t="s">
        <v>401</v>
      </c>
      <c r="D1462">
        <v>14.75</v>
      </c>
      <c r="E1462">
        <f>1039590272/(1000)</f>
        <v>1039590.272</v>
      </c>
      <c r="F1462">
        <f>129370000/(1000)</f>
        <v>129370</v>
      </c>
      <c r="G1462">
        <f>44901000/(1000)</f>
        <v>44901</v>
      </c>
      <c r="H1462">
        <f>1110181272/(1000)</f>
        <v>1110181.2720000001</v>
      </c>
      <c r="I1462">
        <f>80412000/(1000)</f>
        <v>80412</v>
      </c>
      <c r="J1462">
        <f t="shared" si="36"/>
        <v>1.3806164154603793E-2</v>
      </c>
      <c r="K1462">
        <f>-7779999/(1000)</f>
        <v>-7779.9989999999998</v>
      </c>
      <c r="L1462">
        <v>0</v>
      </c>
      <c r="M1462">
        <v>6.7401161193847701</v>
      </c>
      <c r="N1462">
        <v>84.335430830286001</v>
      </c>
      <c r="O1462">
        <v>9.5158643722534197</v>
      </c>
      <c r="P1462">
        <v>0.75999999046325695</v>
      </c>
      <c r="Q1462">
        <v>0</v>
      </c>
      <c r="R1462">
        <v>30.1020406881679</v>
      </c>
      <c r="S1462">
        <v>139.760554505356</v>
      </c>
      <c r="T1462">
        <v>0</v>
      </c>
      <c r="U1462">
        <v>0</v>
      </c>
      <c r="V1462">
        <v>0</v>
      </c>
      <c r="W1462">
        <v>0</v>
      </c>
    </row>
    <row r="1463" spans="1:23" x14ac:dyDescent="0.55000000000000004">
      <c r="A1463" t="s">
        <v>2934</v>
      </c>
      <c r="B1463" t="s">
        <v>2935</v>
      </c>
      <c r="C1463" t="s">
        <v>31</v>
      </c>
      <c r="D1463">
        <v>4.49</v>
      </c>
      <c r="E1463">
        <f>196567264/(1000)</f>
        <v>196567.264</v>
      </c>
      <c r="F1463">
        <f>128729000/(1000)</f>
        <v>128729</v>
      </c>
      <c r="G1463">
        <f>-607000/(1000)</f>
        <v>-607</v>
      </c>
      <c r="H1463">
        <f>89460264/(1000)</f>
        <v>89460.263999999996</v>
      </c>
      <c r="I1463">
        <f>999000/(1000)</f>
        <v>999</v>
      </c>
      <c r="J1463">
        <f t="shared" si="36"/>
        <v>8.9549813813813814E-2</v>
      </c>
      <c r="K1463">
        <f>5746001/(1000)</f>
        <v>5746.0010000000002</v>
      </c>
      <c r="L1463">
        <v>0</v>
      </c>
      <c r="M1463">
        <v>0</v>
      </c>
      <c r="N1463">
        <v>67.469945341630506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55000000000000004">
      <c r="A1464" t="s">
        <v>2936</v>
      </c>
      <c r="B1464" t="s">
        <v>2937</v>
      </c>
      <c r="C1464" t="s">
        <v>121</v>
      </c>
      <c r="D1464">
        <v>45.75</v>
      </c>
      <c r="E1464">
        <f>568599296/(1000)</f>
        <v>568599.29599999997</v>
      </c>
      <c r="F1464">
        <f>128255000/(1000)</f>
        <v>128255</v>
      </c>
      <c r="G1464">
        <f>19959000/(1000)</f>
        <v>19959</v>
      </c>
      <c r="H1464">
        <f>624595296/(1000)</f>
        <v>624595.29599999997</v>
      </c>
      <c r="I1464">
        <f>34291000/(1000)</f>
        <v>34291</v>
      </c>
      <c r="J1464">
        <f t="shared" si="36"/>
        <v>1.8214554722813567E-2</v>
      </c>
      <c r="K1464">
        <f>7675001/(1000)</f>
        <v>7675.0010000000002</v>
      </c>
      <c r="L1464">
        <v>50.629013061523402</v>
      </c>
      <c r="M1464">
        <v>5.2217388153076199</v>
      </c>
      <c r="N1464">
        <v>86.493031811703403</v>
      </c>
      <c r="O1464">
        <v>32.097427368164098</v>
      </c>
      <c r="P1464">
        <v>0.30000001192092901</v>
      </c>
      <c r="Q1464">
        <v>0</v>
      </c>
      <c r="R1464">
        <v>91.500002386048493</v>
      </c>
      <c r="S1464">
        <v>22.717965401102301</v>
      </c>
      <c r="T1464">
        <v>0</v>
      </c>
      <c r="U1464">
        <v>0</v>
      </c>
      <c r="V1464">
        <v>0</v>
      </c>
      <c r="W1464">
        <v>0</v>
      </c>
    </row>
    <row r="1465" spans="1:23" x14ac:dyDescent="0.55000000000000004">
      <c r="A1465" t="s">
        <v>2938</v>
      </c>
      <c r="B1465" t="s">
        <v>2939</v>
      </c>
      <c r="C1465" t="s">
        <v>5</v>
      </c>
      <c r="D1465">
        <v>5.27</v>
      </c>
      <c r="E1465">
        <f>144945552/(1000)</f>
        <v>144945.552</v>
      </c>
      <c r="F1465">
        <f>128222080/(1000)</f>
        <v>128222.08</v>
      </c>
      <c r="G1465">
        <f>29991716/(1000)</f>
        <v>29991.716</v>
      </c>
      <c r="H1465">
        <f>166986114/(1000)</f>
        <v>166986.114</v>
      </c>
      <c r="I1465">
        <f>35282300/(1000)</f>
        <v>35282.300000000003</v>
      </c>
      <c r="J1465">
        <f t="shared" si="36"/>
        <v>4.7328579486031232E-3</v>
      </c>
      <c r="K1465">
        <f>-17545781/(1000)</f>
        <v>-17545.780999999999</v>
      </c>
      <c r="L1465">
        <v>0</v>
      </c>
      <c r="M1465">
        <v>28.1781826019287</v>
      </c>
      <c r="N1465">
        <v>56.412362254693399</v>
      </c>
      <c r="O1465">
        <v>58.106067657470703</v>
      </c>
      <c r="P1465">
        <v>0</v>
      </c>
      <c r="Q1465">
        <v>0</v>
      </c>
      <c r="R1465">
        <v>4.0538461949345601</v>
      </c>
      <c r="S1465">
        <v>0</v>
      </c>
      <c r="T1465">
        <v>0</v>
      </c>
      <c r="U1465">
        <v>0</v>
      </c>
      <c r="V1465">
        <v>0</v>
      </c>
      <c r="W1465">
        <v>0</v>
      </c>
    </row>
    <row r="1466" spans="1:23" x14ac:dyDescent="0.55000000000000004">
      <c r="A1466" t="s">
        <v>2940</v>
      </c>
      <c r="B1466" t="s">
        <v>2941</v>
      </c>
      <c r="C1466" t="s">
        <v>5</v>
      </c>
      <c r="D1466">
        <v>7.83</v>
      </c>
      <c r="E1466">
        <f>236054144/(1000)</f>
        <v>236054.144</v>
      </c>
      <c r="F1466">
        <f>127941000/(1000)</f>
        <v>127941</v>
      </c>
      <c r="G1466">
        <f>3682000/(1000)</f>
        <v>3682</v>
      </c>
      <c r="H1466">
        <f>189033144/(1000)</f>
        <v>189033.144</v>
      </c>
      <c r="I1466">
        <f>10393000/(1000)</f>
        <v>10393</v>
      </c>
      <c r="J1466">
        <f t="shared" si="36"/>
        <v>1.8188506109881649E-2</v>
      </c>
      <c r="K1466">
        <f>16989001/(1000)</f>
        <v>16989.001</v>
      </c>
      <c r="L1466">
        <v>0</v>
      </c>
      <c r="M1466">
        <v>4.3255472183227504</v>
      </c>
      <c r="N1466">
        <v>85.481998724528495</v>
      </c>
      <c r="O1466">
        <v>5.2714001387358003E-2</v>
      </c>
      <c r="P1466">
        <v>0</v>
      </c>
      <c r="Q1466">
        <v>1.21899390670076</v>
      </c>
      <c r="R1466">
        <v>55.928572133715697</v>
      </c>
      <c r="S1466">
        <v>350.68690996195602</v>
      </c>
      <c r="T1466">
        <v>0</v>
      </c>
      <c r="U1466">
        <v>0</v>
      </c>
      <c r="V1466">
        <v>0</v>
      </c>
      <c r="W1466">
        <v>0</v>
      </c>
    </row>
    <row r="1467" spans="1:23" x14ac:dyDescent="0.55000000000000004">
      <c r="A1467" t="s">
        <v>2942</v>
      </c>
      <c r="B1467" t="s">
        <v>2943</v>
      </c>
      <c r="C1467" t="s">
        <v>184</v>
      </c>
      <c r="D1467">
        <v>8.58</v>
      </c>
      <c r="E1467">
        <f>76913696/(1000)</f>
        <v>76913.695999999996</v>
      </c>
      <c r="F1467">
        <f>127400000/(1000)</f>
        <v>127400</v>
      </c>
      <c r="G1467">
        <f>58800000/(1000)</f>
        <v>58800</v>
      </c>
      <c r="H1467">
        <f>349913696/(1000)</f>
        <v>349913.696</v>
      </c>
      <c r="I1467">
        <f>60000000/(1000)</f>
        <v>60000</v>
      </c>
      <c r="J1467">
        <f t="shared" si="36"/>
        <v>5.8318949333333332E-3</v>
      </c>
      <c r="K1467">
        <f>-29699999/(1000)</f>
        <v>-29699.999</v>
      </c>
      <c r="L1467">
        <v>0</v>
      </c>
      <c r="M1467">
        <v>50.362316131591797</v>
      </c>
      <c r="N1467">
        <v>55.907320292561003</v>
      </c>
      <c r="O1467">
        <v>377.68392944335898</v>
      </c>
      <c r="P1467">
        <v>0</v>
      </c>
      <c r="Q1467">
        <v>0</v>
      </c>
      <c r="R1467">
        <v>2.9183672789805399</v>
      </c>
      <c r="S1467">
        <v>1079.7388647097</v>
      </c>
      <c r="T1467">
        <v>0</v>
      </c>
      <c r="U1467">
        <v>0</v>
      </c>
      <c r="V1467">
        <v>0</v>
      </c>
      <c r="W1467">
        <v>0</v>
      </c>
    </row>
    <row r="1468" spans="1:23" x14ac:dyDescent="0.55000000000000004">
      <c r="A1468" t="s">
        <v>2944</v>
      </c>
      <c r="B1468" t="s">
        <v>2945</v>
      </c>
      <c r="C1468" t="s">
        <v>5</v>
      </c>
      <c r="D1468">
        <v>6.64</v>
      </c>
      <c r="E1468">
        <f>380422912/(1000)</f>
        <v>380422.91200000001</v>
      </c>
      <c r="F1468">
        <f>126686000/(1000)</f>
        <v>126686</v>
      </c>
      <c r="G1468">
        <f>403000/(1000)</f>
        <v>403</v>
      </c>
      <c r="H1468">
        <f>227544912/(1000)</f>
        <v>227544.91200000001</v>
      </c>
      <c r="I1468">
        <f>3703000/(1000)</f>
        <v>3703</v>
      </c>
      <c r="J1468">
        <f t="shared" si="36"/>
        <v>6.1448801512287342E-2</v>
      </c>
      <c r="K1468">
        <f>25795001/(1000)</f>
        <v>25795.001</v>
      </c>
      <c r="L1468">
        <v>0</v>
      </c>
      <c r="M1468">
        <v>0</v>
      </c>
      <c r="N1468">
        <v>67.115485549713298</v>
      </c>
      <c r="O1468">
        <v>0</v>
      </c>
      <c r="P1468">
        <v>0</v>
      </c>
      <c r="Q1468">
        <v>0</v>
      </c>
      <c r="R1468">
        <v>35.499998949675103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55000000000000004">
      <c r="A1469" t="s">
        <v>2946</v>
      </c>
      <c r="B1469" t="s">
        <v>2947</v>
      </c>
      <c r="C1469" t="s">
        <v>184</v>
      </c>
      <c r="D1469">
        <v>14.35</v>
      </c>
      <c r="E1469">
        <f>154951312/(1000)</f>
        <v>154951.31200000001</v>
      </c>
      <c r="F1469">
        <f>125803000/(1000)</f>
        <v>125803</v>
      </c>
      <c r="G1469">
        <f>0/(1000)</f>
        <v>0</v>
      </c>
      <c r="H1469">
        <f>0/(1000)</f>
        <v>0</v>
      </c>
      <c r="I1469">
        <f>0/(1000)</f>
        <v>0</v>
      </c>
      <c r="J1469">
        <f t="shared" si="36"/>
        <v>1</v>
      </c>
      <c r="K1469">
        <f>19306001/(1000)</f>
        <v>19306.001</v>
      </c>
      <c r="L1469">
        <v>29.741693496704102</v>
      </c>
      <c r="M1469">
        <v>8.71576023101807</v>
      </c>
      <c r="N1469">
        <v>93.094088604272301</v>
      </c>
      <c r="O1469">
        <v>34.921821594238303</v>
      </c>
      <c r="P1469">
        <v>0.40000000596046398</v>
      </c>
      <c r="Q1469">
        <v>0</v>
      </c>
      <c r="R1469">
        <v>84.411751263903099</v>
      </c>
      <c r="S1469">
        <v>-10.541997326279301</v>
      </c>
      <c r="T1469">
        <v>0</v>
      </c>
      <c r="U1469">
        <v>0</v>
      </c>
      <c r="V1469">
        <v>0</v>
      </c>
      <c r="W1469">
        <v>0</v>
      </c>
    </row>
    <row r="1470" spans="1:23" x14ac:dyDescent="0.55000000000000004">
      <c r="A1470" t="s">
        <v>2948</v>
      </c>
      <c r="B1470" t="s">
        <v>2949</v>
      </c>
      <c r="C1470" t="s">
        <v>184</v>
      </c>
      <c r="D1470">
        <v>12.99</v>
      </c>
      <c r="E1470">
        <f>471089472/(1000)</f>
        <v>471089.47200000001</v>
      </c>
      <c r="F1470">
        <f>125689000/(1000)</f>
        <v>125689</v>
      </c>
      <c r="G1470">
        <f>0/(1000)</f>
        <v>0</v>
      </c>
      <c r="H1470">
        <f>630775472/(1000)</f>
        <v>630775.47199999995</v>
      </c>
      <c r="I1470">
        <f>0/(1000)</f>
        <v>0</v>
      </c>
      <c r="J1470">
        <f t="shared" si="36"/>
        <v>1</v>
      </c>
      <c r="K1470">
        <f>-273718015/(1000)</f>
        <v>-273718.01500000001</v>
      </c>
      <c r="L1470">
        <v>0</v>
      </c>
      <c r="M1470">
        <v>7.6981830596923801</v>
      </c>
      <c r="N1470">
        <v>83.278577300131701</v>
      </c>
      <c r="O1470">
        <v>54.939876556396499</v>
      </c>
      <c r="P1470">
        <v>0</v>
      </c>
      <c r="Q1470">
        <v>0.80558138115461497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55000000000000004">
      <c r="A1471" t="s">
        <v>2950</v>
      </c>
      <c r="B1471" t="s">
        <v>2951</v>
      </c>
      <c r="C1471" t="s">
        <v>184</v>
      </c>
      <c r="D1471">
        <v>3.13</v>
      </c>
      <c r="E1471">
        <f>186391504/(1000)</f>
        <v>186391.50399999999</v>
      </c>
      <c r="F1471">
        <f>125590000/(1000)</f>
        <v>125590</v>
      </c>
      <c r="G1471">
        <f>0/(1000)</f>
        <v>0</v>
      </c>
      <c r="H1471">
        <f>364723504/(1000)</f>
        <v>364723.50400000002</v>
      </c>
      <c r="I1471">
        <f>0/(1000)</f>
        <v>0</v>
      </c>
      <c r="J1471">
        <f t="shared" si="36"/>
        <v>1</v>
      </c>
      <c r="K1471">
        <f>124420001/(1000)</f>
        <v>124420.001</v>
      </c>
      <c r="L1471">
        <v>0</v>
      </c>
      <c r="M1471">
        <v>0</v>
      </c>
      <c r="N1471">
        <v>90.827708972225693</v>
      </c>
      <c r="O1471">
        <v>0</v>
      </c>
      <c r="P1471">
        <v>0.239999994635582</v>
      </c>
      <c r="Q1471">
        <v>0.37140316813389002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</row>
    <row r="1472" spans="1:23" x14ac:dyDescent="0.55000000000000004">
      <c r="A1472" t="s">
        <v>2952</v>
      </c>
      <c r="B1472" t="s">
        <v>2953</v>
      </c>
      <c r="C1472" t="s">
        <v>121</v>
      </c>
      <c r="D1472">
        <v>23.95</v>
      </c>
      <c r="E1472">
        <f>151881312/(1000)</f>
        <v>151881.31200000001</v>
      </c>
      <c r="F1472">
        <f>125236000/(1000)</f>
        <v>125236</v>
      </c>
      <c r="G1472">
        <f>18372000/(1000)</f>
        <v>18372</v>
      </c>
      <c r="H1472">
        <f>203360312/(1000)</f>
        <v>203360.31200000001</v>
      </c>
      <c r="I1472">
        <f>31253000/(1000)</f>
        <v>31253</v>
      </c>
      <c r="J1472">
        <f t="shared" si="36"/>
        <v>6.5069053210891755E-3</v>
      </c>
      <c r="K1472">
        <f>6246001.5/(1000)</f>
        <v>6246.0015000000003</v>
      </c>
      <c r="L1472">
        <v>15.143317222595201</v>
      </c>
      <c r="M1472">
        <v>13.5488138198853</v>
      </c>
      <c r="N1472">
        <v>30.134351231595002</v>
      </c>
      <c r="O1472">
        <v>72.256286621093807</v>
      </c>
      <c r="P1472">
        <v>0</v>
      </c>
      <c r="Q1472">
        <v>0</v>
      </c>
      <c r="R1472">
        <v>9.8966947056444301</v>
      </c>
      <c r="S1472">
        <v>219.789591951381</v>
      </c>
      <c r="T1472">
        <v>0</v>
      </c>
      <c r="U1472">
        <v>0</v>
      </c>
      <c r="V1472">
        <v>0</v>
      </c>
      <c r="W1472">
        <v>0</v>
      </c>
    </row>
    <row r="1473" spans="1:23" x14ac:dyDescent="0.55000000000000004">
      <c r="A1473" t="s">
        <v>2954</v>
      </c>
      <c r="B1473" t="s">
        <v>2955</v>
      </c>
      <c r="C1473" t="s">
        <v>5</v>
      </c>
      <c r="D1473">
        <v>5.94</v>
      </c>
      <c r="E1473">
        <f>200759536/(1000)</f>
        <v>200759.53599999999</v>
      </c>
      <c r="F1473">
        <f>125072000/(1000)</f>
        <v>125072</v>
      </c>
      <c r="G1473">
        <f>-14224000/(1000)</f>
        <v>-14224</v>
      </c>
      <c r="H1473">
        <f>137525536/(1000)</f>
        <v>137525.53599999999</v>
      </c>
      <c r="I1473">
        <f>-494999.875/(1000)</f>
        <v>-494.99987499999997</v>
      </c>
      <c r="J1473">
        <f t="shared" si="36"/>
        <v>-0.27782943581551411</v>
      </c>
      <c r="K1473">
        <f>-22447999/(1000)</f>
        <v>-22447.999</v>
      </c>
      <c r="L1473">
        <v>62.375732421875</v>
      </c>
      <c r="M1473">
        <v>7.8166189193725604</v>
      </c>
      <c r="N1473">
        <v>97.996913623457203</v>
      </c>
      <c r="O1473">
        <v>0</v>
      </c>
      <c r="P1473">
        <v>0</v>
      </c>
      <c r="Q1473">
        <v>0</v>
      </c>
      <c r="R1473">
        <v>0</v>
      </c>
      <c r="S1473">
        <v>92.949815646163998</v>
      </c>
      <c r="T1473">
        <v>0</v>
      </c>
      <c r="U1473">
        <v>0</v>
      </c>
      <c r="V1473">
        <v>0</v>
      </c>
      <c r="W1473">
        <v>0</v>
      </c>
    </row>
    <row r="1474" spans="1:23" x14ac:dyDescent="0.55000000000000004">
      <c r="A1474" t="s">
        <v>2956</v>
      </c>
      <c r="B1474" t="s">
        <v>2957</v>
      </c>
      <c r="C1474" t="s">
        <v>8</v>
      </c>
      <c r="D1474">
        <v>7.44</v>
      </c>
      <c r="E1474">
        <f>433348000/(1000)</f>
        <v>433348</v>
      </c>
      <c r="F1474">
        <f>125044000/(1000)</f>
        <v>125044</v>
      </c>
      <c r="G1474">
        <f>68673000/(1000)</f>
        <v>68673</v>
      </c>
      <c r="H1474">
        <f>343971000/(1000)</f>
        <v>343971</v>
      </c>
      <c r="I1474">
        <f>86625000/(1000)</f>
        <v>86625</v>
      </c>
      <c r="J1474">
        <f t="shared" ref="J1474:J1537" si="38">(IF(I1474=0,1000,H1474/I1474))/(1000)</f>
        <v>3.9708051948051954E-3</v>
      </c>
      <c r="K1474">
        <f>20659001/(1000)</f>
        <v>20659.001</v>
      </c>
      <c r="L1474">
        <v>10.5756731033325</v>
      </c>
      <c r="M1474">
        <v>14.400931358337401</v>
      </c>
      <c r="N1474">
        <v>96.880798393530398</v>
      </c>
      <c r="O1474">
        <v>3.31727790832519</v>
      </c>
      <c r="P1474">
        <v>0</v>
      </c>
      <c r="Q1474">
        <v>0</v>
      </c>
      <c r="R1474">
        <v>11.272727484134901</v>
      </c>
      <c r="S1474">
        <v>1152.94589178357</v>
      </c>
      <c r="T1474">
        <v>0</v>
      </c>
      <c r="U1474">
        <v>0</v>
      </c>
      <c r="V1474">
        <v>0</v>
      </c>
      <c r="W1474">
        <v>0</v>
      </c>
    </row>
    <row r="1475" spans="1:23" x14ac:dyDescent="0.55000000000000004">
      <c r="A1475" t="s">
        <v>2958</v>
      </c>
      <c r="B1475" t="s">
        <v>2959</v>
      </c>
      <c r="C1475" t="s">
        <v>38</v>
      </c>
      <c r="D1475">
        <v>18.36</v>
      </c>
      <c r="E1475">
        <f>1462386816/(1000)</f>
        <v>1462386.8160000001</v>
      </c>
      <c r="F1475">
        <f>125024000/(1000)</f>
        <v>125024</v>
      </c>
      <c r="G1475">
        <f>-114454000/(1000)</f>
        <v>-114454</v>
      </c>
      <c r="H1475">
        <f>916281792/(1000)</f>
        <v>916281.79200000002</v>
      </c>
      <c r="I1475">
        <f>-102967000/(1000)</f>
        <v>-102967</v>
      </c>
      <c r="J1475">
        <f t="shared" si="38"/>
        <v>-8.8987907970514823E-3</v>
      </c>
      <c r="K1475">
        <f>8926001/(1000)</f>
        <v>8926.0010000000002</v>
      </c>
      <c r="L1475">
        <v>0</v>
      </c>
      <c r="M1475">
        <v>-31.201478958129901</v>
      </c>
      <c r="N1475">
        <v>78.611763047420396</v>
      </c>
      <c r="O1475">
        <v>43.453037261962898</v>
      </c>
      <c r="P1475">
        <v>0</v>
      </c>
      <c r="Q1475">
        <v>1.98916592859366</v>
      </c>
      <c r="R1475">
        <v>0</v>
      </c>
      <c r="S1475">
        <v>468.60105512097499</v>
      </c>
      <c r="T1475">
        <v>0</v>
      </c>
      <c r="U1475">
        <v>0</v>
      </c>
      <c r="V1475">
        <v>0</v>
      </c>
      <c r="W1475">
        <v>0</v>
      </c>
    </row>
    <row r="1476" spans="1:23" x14ac:dyDescent="0.55000000000000004">
      <c r="A1476" t="s">
        <v>2960</v>
      </c>
      <c r="B1476" t="s">
        <v>2961</v>
      </c>
      <c r="C1476" t="s">
        <v>2</v>
      </c>
      <c r="D1476">
        <v>6.82</v>
      </c>
      <c r="E1476">
        <f>319774112/(1000)</f>
        <v>319774.11200000002</v>
      </c>
      <c r="F1476">
        <f>124814800/(1000)</f>
        <v>124814.8</v>
      </c>
      <c r="G1476">
        <f>59459132/(1000)</f>
        <v>59459.131999999998</v>
      </c>
      <c r="H1476">
        <f>1028757600/(1000)</f>
        <v>1028757.6</v>
      </c>
      <c r="I1476">
        <f>86137136/(1000)</f>
        <v>86137.135999999999</v>
      </c>
      <c r="J1476">
        <f t="shared" si="38"/>
        <v>1.1943252907781842E-2</v>
      </c>
      <c r="K1476">
        <f>-375372671/(1000)</f>
        <v>-375372.67099999997</v>
      </c>
      <c r="L1476">
        <v>0</v>
      </c>
      <c r="M1476">
        <v>12.4903888702393</v>
      </c>
      <c r="N1476">
        <v>95.659844340673004</v>
      </c>
      <c r="O1476">
        <v>115.976028442383</v>
      </c>
      <c r="P1476">
        <v>0</v>
      </c>
      <c r="Q1476">
        <v>0.61407695960445097</v>
      </c>
      <c r="R1476">
        <v>4.6394559028517302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55000000000000004">
      <c r="A1477" t="s">
        <v>2962</v>
      </c>
      <c r="B1477" t="s">
        <v>2963</v>
      </c>
      <c r="C1477" t="s">
        <v>5</v>
      </c>
      <c r="D1477">
        <v>3.2</v>
      </c>
      <c r="E1477">
        <f>148834880/(1000)</f>
        <v>148834.88</v>
      </c>
      <c r="F1477">
        <f>124812000/(1000)</f>
        <v>124812</v>
      </c>
      <c r="G1477">
        <f>42220000/(1000)</f>
        <v>42220</v>
      </c>
      <c r="H1477">
        <f>381842880/(1000)</f>
        <v>381842.88</v>
      </c>
      <c r="I1477">
        <f>101912000/(1000)</f>
        <v>101912</v>
      </c>
      <c r="J1477">
        <f t="shared" si="38"/>
        <v>3.7467901719130232E-3</v>
      </c>
      <c r="K1477">
        <f>-43189999/(1000)</f>
        <v>-43189.999000000003</v>
      </c>
      <c r="L1477">
        <v>18.687719345092798</v>
      </c>
      <c r="M1477">
        <v>3.74650001525879</v>
      </c>
      <c r="N1477">
        <v>92.352763120242301</v>
      </c>
      <c r="O1477">
        <v>64.005630493164105</v>
      </c>
      <c r="P1477">
        <v>0</v>
      </c>
      <c r="Q1477">
        <v>0.62135922105364705</v>
      </c>
      <c r="R1477">
        <v>7.2727272973572896</v>
      </c>
      <c r="S1477">
        <v>255.58974358974399</v>
      </c>
      <c r="T1477">
        <v>0</v>
      </c>
      <c r="U1477">
        <v>0</v>
      </c>
      <c r="V1477">
        <v>0</v>
      </c>
      <c r="W1477">
        <v>0</v>
      </c>
    </row>
    <row r="1478" spans="1:23" x14ac:dyDescent="0.55000000000000004">
      <c r="A1478" t="s">
        <v>2964</v>
      </c>
      <c r="B1478" t="s">
        <v>2965</v>
      </c>
      <c r="C1478" t="s">
        <v>5</v>
      </c>
      <c r="D1478">
        <v>5.2</v>
      </c>
      <c r="E1478">
        <f>81971760/(1000)</f>
        <v>81971.759999999995</v>
      </c>
      <c r="F1478">
        <f>124581000/(1000)</f>
        <v>124581</v>
      </c>
      <c r="G1478">
        <f>0/(1000)</f>
        <v>0</v>
      </c>
      <c r="H1478">
        <f>0/(1000)</f>
        <v>0</v>
      </c>
      <c r="I1478">
        <f>0/(1000)</f>
        <v>0</v>
      </c>
      <c r="J1478">
        <f t="shared" si="38"/>
        <v>1</v>
      </c>
      <c r="K1478">
        <f>45712001/(1000)</f>
        <v>45712.000999999997</v>
      </c>
      <c r="L1478">
        <v>0</v>
      </c>
      <c r="M1478">
        <v>20.656867980956999</v>
      </c>
      <c r="N1478">
        <v>80.927189314743302</v>
      </c>
      <c r="O1478">
        <v>62.401042938232401</v>
      </c>
      <c r="P1478">
        <v>0.239999994635582</v>
      </c>
      <c r="Q1478">
        <v>0.41041829344536002</v>
      </c>
      <c r="R1478">
        <v>6.4197530682503698</v>
      </c>
      <c r="S1478">
        <v>64.988279542835997</v>
      </c>
      <c r="T1478">
        <v>0</v>
      </c>
      <c r="U1478">
        <v>0</v>
      </c>
      <c r="V1478">
        <v>0</v>
      </c>
      <c r="W1478">
        <v>0</v>
      </c>
    </row>
    <row r="1479" spans="1:23" x14ac:dyDescent="0.55000000000000004">
      <c r="A1479" t="s">
        <v>2966</v>
      </c>
      <c r="B1479" t="s">
        <v>2967</v>
      </c>
      <c r="C1479" t="s">
        <v>401</v>
      </c>
      <c r="D1479">
        <v>9.3000000000000007</v>
      </c>
      <c r="E1479">
        <f>254380096/(1000)</f>
        <v>254380.09599999999</v>
      </c>
      <c r="F1479">
        <f>124570000/(1000)</f>
        <v>124570</v>
      </c>
      <c r="G1479">
        <f>35455000/(1000)</f>
        <v>35455</v>
      </c>
      <c r="H1479">
        <f>912551104/(1000)</f>
        <v>912551.10400000005</v>
      </c>
      <c r="I1479">
        <f>77338000/(1000)</f>
        <v>77338</v>
      </c>
      <c r="J1479">
        <f t="shared" si="38"/>
        <v>1.1799517753239031E-2</v>
      </c>
      <c r="K1479">
        <f>-72426999/(1000)</f>
        <v>-72426.998999999996</v>
      </c>
      <c r="L1479">
        <v>0</v>
      </c>
      <c r="M1479">
        <v>0.15351399779319799</v>
      </c>
      <c r="N1479">
        <v>96.901588135356405</v>
      </c>
      <c r="O1479">
        <v>197.59226989746099</v>
      </c>
      <c r="P1479">
        <v>1.3600000143051201</v>
      </c>
      <c r="Q1479">
        <v>0</v>
      </c>
      <c r="R1479">
        <v>116.250004982576</v>
      </c>
      <c r="S1479">
        <v>926.28110067556395</v>
      </c>
      <c r="T1479">
        <v>0</v>
      </c>
      <c r="U1479">
        <v>0</v>
      </c>
      <c r="V1479">
        <v>0</v>
      </c>
      <c r="W1479">
        <v>0</v>
      </c>
    </row>
    <row r="1480" spans="1:23" x14ac:dyDescent="0.55000000000000004">
      <c r="A1480" t="s">
        <v>2968</v>
      </c>
      <c r="B1480" t="s">
        <v>2969</v>
      </c>
      <c r="C1480" t="s">
        <v>38</v>
      </c>
      <c r="D1480">
        <v>9.1300000000000008</v>
      </c>
      <c r="E1480">
        <f>116265984/(1000)</f>
        <v>116265.984</v>
      </c>
      <c r="F1480">
        <f>124315000/(1000)</f>
        <v>124315</v>
      </c>
      <c r="G1480">
        <f>19577000/(1000)</f>
        <v>19577</v>
      </c>
      <c r="H1480">
        <f>44293984/(1000)</f>
        <v>44293.983999999997</v>
      </c>
      <c r="I1480">
        <f>22369000/(1000)</f>
        <v>22369</v>
      </c>
      <c r="J1480">
        <f t="shared" si="38"/>
        <v>1.9801503866958736E-3</v>
      </c>
      <c r="K1480">
        <f>17200001/(1000)</f>
        <v>17200.001</v>
      </c>
      <c r="L1480">
        <v>0</v>
      </c>
      <c r="M1480">
        <v>14.0383462905884</v>
      </c>
      <c r="N1480">
        <v>99.707966884072107</v>
      </c>
      <c r="O1480">
        <v>1.0580919981002801</v>
      </c>
      <c r="P1480">
        <v>0</v>
      </c>
      <c r="Q1480">
        <v>0.81445139013131695</v>
      </c>
      <c r="R1480">
        <v>6.1689189167419798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55000000000000004">
      <c r="A1481" t="s">
        <v>2970</v>
      </c>
      <c r="B1481" t="s">
        <v>2971</v>
      </c>
      <c r="C1481" t="s">
        <v>38</v>
      </c>
      <c r="D1481">
        <v>16.84</v>
      </c>
      <c r="E1481">
        <f>213756864/(1000)</f>
        <v>213756.864</v>
      </c>
      <c r="F1481">
        <f>124209000/(1000)</f>
        <v>124209</v>
      </c>
      <c r="G1481">
        <f>16486000/(1000)</f>
        <v>16486</v>
      </c>
      <c r="H1481">
        <f>231905864/(1000)</f>
        <v>231905.864</v>
      </c>
      <c r="I1481">
        <f>23394000/(1000)</f>
        <v>23394</v>
      </c>
      <c r="J1481">
        <f t="shared" si="38"/>
        <v>9.9130488159357103E-3</v>
      </c>
      <c r="K1481">
        <f>14204001/(1000)</f>
        <v>14204.001</v>
      </c>
      <c r="L1481">
        <v>25.039958953857401</v>
      </c>
      <c r="M1481">
        <v>10.3098554611206</v>
      </c>
      <c r="N1481">
        <v>63.761480421292397</v>
      </c>
      <c r="O1481">
        <v>12.1762247085571</v>
      </c>
      <c r="P1481">
        <v>0</v>
      </c>
      <c r="Q1481">
        <v>0</v>
      </c>
      <c r="R1481">
        <v>18.711111466531399</v>
      </c>
      <c r="S1481">
        <v>109.45162051870101</v>
      </c>
      <c r="T1481">
        <v>0</v>
      </c>
      <c r="U1481">
        <v>0</v>
      </c>
      <c r="V1481">
        <v>0</v>
      </c>
      <c r="W1481">
        <v>0</v>
      </c>
    </row>
    <row r="1482" spans="1:23" x14ac:dyDescent="0.55000000000000004">
      <c r="A1482" t="s">
        <v>2972</v>
      </c>
      <c r="B1482" t="s">
        <v>2973</v>
      </c>
      <c r="C1482" t="s">
        <v>5</v>
      </c>
      <c r="D1482">
        <v>11.53</v>
      </c>
      <c r="E1482">
        <f>209244144/(1000)</f>
        <v>209244.144</v>
      </c>
      <c r="F1482">
        <f>123818640/(1000)</f>
        <v>123818.64</v>
      </c>
      <c r="G1482">
        <f>26171232/(1000)</f>
        <v>26171.232</v>
      </c>
      <c r="H1482">
        <f>81453336/(1000)</f>
        <v>81453.335999999996</v>
      </c>
      <c r="I1482">
        <f>26756764/(1000)</f>
        <v>26756.763999999999</v>
      </c>
      <c r="J1482">
        <f t="shared" si="38"/>
        <v>3.0442147637883264E-3</v>
      </c>
      <c r="K1482">
        <f>22308357/(1000)</f>
        <v>22308.357</v>
      </c>
      <c r="L1482">
        <v>32.915859222412102</v>
      </c>
      <c r="M1482">
        <v>15.6653957366943</v>
      </c>
      <c r="N1482">
        <v>92.949005311164598</v>
      </c>
      <c r="O1482">
        <v>0</v>
      </c>
      <c r="P1482">
        <v>0</v>
      </c>
      <c r="Q1482">
        <v>0</v>
      </c>
      <c r="R1482">
        <v>25.065216051625899</v>
      </c>
      <c r="S1482">
        <v>387.12975057046202</v>
      </c>
      <c r="T1482">
        <v>0</v>
      </c>
      <c r="U1482">
        <v>0</v>
      </c>
      <c r="V1482">
        <v>0</v>
      </c>
      <c r="W1482">
        <v>0</v>
      </c>
    </row>
    <row r="1483" spans="1:23" x14ac:dyDescent="0.55000000000000004">
      <c r="A1483" t="s">
        <v>2974</v>
      </c>
      <c r="B1483" t="s">
        <v>2975</v>
      </c>
      <c r="C1483" t="s">
        <v>5</v>
      </c>
      <c r="D1483">
        <v>18.8</v>
      </c>
      <c r="E1483">
        <f>1125273984/(1000)</f>
        <v>1125273.9839999999</v>
      </c>
      <c r="F1483">
        <f>123622000/(1000)</f>
        <v>123622</v>
      </c>
      <c r="G1483">
        <f>-7189000/(1000)</f>
        <v>-7189</v>
      </c>
      <c r="H1483">
        <f>911333984/(1000)</f>
        <v>911333.98400000005</v>
      </c>
      <c r="I1483">
        <f>-2708000/(1000)</f>
        <v>-2708</v>
      </c>
      <c r="J1483">
        <f t="shared" si="38"/>
        <v>-0.3365339675036928</v>
      </c>
      <c r="K1483">
        <f>7474001/(1000)</f>
        <v>7474.0010000000002</v>
      </c>
      <c r="L1483">
        <v>0</v>
      </c>
      <c r="M1483">
        <v>0</v>
      </c>
      <c r="N1483">
        <v>78.746972450881302</v>
      </c>
      <c r="O1483">
        <v>0</v>
      </c>
      <c r="P1483">
        <v>0</v>
      </c>
      <c r="Q1483">
        <v>4.4655579730909798</v>
      </c>
      <c r="R1483">
        <v>156.66666137882399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55000000000000004">
      <c r="A1484" t="s">
        <v>2976</v>
      </c>
      <c r="B1484" t="s">
        <v>2977</v>
      </c>
      <c r="C1484" t="s">
        <v>31</v>
      </c>
      <c r="D1484">
        <v>10.66</v>
      </c>
      <c r="E1484">
        <f>328274688/(1000)</f>
        <v>328274.68800000002</v>
      </c>
      <c r="F1484">
        <f>123538000/(1000)</f>
        <v>123538</v>
      </c>
      <c r="G1484">
        <f>33836000/(1000)</f>
        <v>33836</v>
      </c>
      <c r="H1484">
        <f>254988688/(1000)</f>
        <v>254988.68799999999</v>
      </c>
      <c r="I1484">
        <f>39073000/(1000)</f>
        <v>39073</v>
      </c>
      <c r="J1484">
        <f t="shared" si="38"/>
        <v>6.5259562357638263E-3</v>
      </c>
      <c r="K1484">
        <f>13036001/(1000)</f>
        <v>13036.001</v>
      </c>
      <c r="L1484">
        <v>0</v>
      </c>
      <c r="M1484">
        <v>21.395633697509801</v>
      </c>
      <c r="N1484">
        <v>52.655301054805001</v>
      </c>
      <c r="O1484">
        <v>0</v>
      </c>
      <c r="P1484">
        <v>0</v>
      </c>
      <c r="Q1484">
        <v>2.7427076491073801</v>
      </c>
      <c r="R1484">
        <v>22.208333167118099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55000000000000004">
      <c r="A1485" t="s">
        <v>2978</v>
      </c>
      <c r="B1485" t="s">
        <v>2979</v>
      </c>
      <c r="C1485" t="s">
        <v>8</v>
      </c>
      <c r="D1485">
        <v>0.44</v>
      </c>
      <c r="E1485">
        <f>14231755/(1000)</f>
        <v>14231.754999999999</v>
      </c>
      <c r="F1485">
        <f>122879000/(1000)</f>
        <v>122879</v>
      </c>
      <c r="G1485">
        <f>14428000/(1000)</f>
        <v>14428</v>
      </c>
      <c r="H1485">
        <f>576646731/(1000)</f>
        <v>576646.73100000003</v>
      </c>
      <c r="I1485">
        <f>58548000/(1000)</f>
        <v>58548</v>
      </c>
      <c r="J1485">
        <f t="shared" si="38"/>
        <v>9.8491277413404396E-3</v>
      </c>
      <c r="K1485">
        <f>-233557983/(1000)</f>
        <v>-233557.98300000001</v>
      </c>
      <c r="L1485">
        <v>0</v>
      </c>
      <c r="M1485">
        <v>-29.075508117675799</v>
      </c>
      <c r="N1485">
        <v>87.129660464338997</v>
      </c>
      <c r="O1485">
        <v>60.471485137939503</v>
      </c>
      <c r="P1485">
        <v>0</v>
      </c>
      <c r="Q1485">
        <v>0</v>
      </c>
      <c r="R1485">
        <v>0</v>
      </c>
      <c r="S1485">
        <v>2378.3985478015302</v>
      </c>
      <c r="T1485">
        <v>0</v>
      </c>
      <c r="U1485">
        <v>0</v>
      </c>
      <c r="V1485">
        <v>0</v>
      </c>
      <c r="W1485">
        <v>0</v>
      </c>
    </row>
    <row r="1486" spans="1:23" x14ac:dyDescent="0.55000000000000004">
      <c r="A1486" t="s">
        <v>2980</v>
      </c>
      <c r="B1486" t="s">
        <v>2981</v>
      </c>
      <c r="C1486" t="s">
        <v>184</v>
      </c>
      <c r="D1486">
        <v>9.31</v>
      </c>
      <c r="E1486">
        <f>1324080256/(1000)</f>
        <v>1324080.2560000001</v>
      </c>
      <c r="F1486">
        <f>122834000/(1000)</f>
        <v>122834</v>
      </c>
      <c r="G1486">
        <f>22334000/(1000)</f>
        <v>22334</v>
      </c>
      <c r="H1486">
        <f>2572221312/(1000)</f>
        <v>2572221.3119999999</v>
      </c>
      <c r="I1486">
        <f>22334000/(1000)</f>
        <v>22334</v>
      </c>
      <c r="J1486">
        <f t="shared" si="38"/>
        <v>0.11517065066714426</v>
      </c>
      <c r="K1486">
        <f>-1888839935/(1000)</f>
        <v>-1888839.9350000001</v>
      </c>
      <c r="L1486">
        <v>0</v>
      </c>
      <c r="M1486">
        <v>-1.7844749689102199</v>
      </c>
      <c r="N1486">
        <v>99.878289524886497</v>
      </c>
      <c r="O1486">
        <v>86.364669799804702</v>
      </c>
      <c r="P1486">
        <v>6.2400007247924796</v>
      </c>
      <c r="Q1486">
        <v>0.64787755697706295</v>
      </c>
      <c r="R1486">
        <v>6.3322394594930502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55000000000000004">
      <c r="A1487" t="s">
        <v>2982</v>
      </c>
      <c r="B1487" t="s">
        <v>2983</v>
      </c>
      <c r="C1487" t="s">
        <v>5</v>
      </c>
      <c r="D1487">
        <v>15.04</v>
      </c>
      <c r="E1487">
        <f>254964096/(1000)</f>
        <v>254964.09599999999</v>
      </c>
      <c r="F1487">
        <f>122799192/(1000)</f>
        <v>122799.192</v>
      </c>
      <c r="G1487">
        <f>17695578/(1000)</f>
        <v>17695.578000000001</v>
      </c>
      <c r="H1487">
        <f>290760304/(1000)</f>
        <v>290760.304</v>
      </c>
      <c r="I1487">
        <f>19509642/(1000)</f>
        <v>19509.642</v>
      </c>
      <c r="J1487">
        <f t="shared" si="38"/>
        <v>1.4903415654679876E-2</v>
      </c>
      <c r="K1487">
        <f>-1483194.25/(1000)</f>
        <v>-1483.19425</v>
      </c>
      <c r="L1487">
        <v>0</v>
      </c>
      <c r="M1487">
        <v>44.318927764892599</v>
      </c>
      <c r="N1487">
        <v>42.974445570064603</v>
      </c>
      <c r="O1487">
        <v>58.855655670166001</v>
      </c>
      <c r="P1487">
        <v>0</v>
      </c>
      <c r="Q1487">
        <v>2.9090908587827902</v>
      </c>
      <c r="R1487">
        <v>14.745097846720901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55000000000000004">
      <c r="A1488" t="s">
        <v>2984</v>
      </c>
      <c r="B1488" t="s">
        <v>2985</v>
      </c>
      <c r="C1488" t="s">
        <v>31</v>
      </c>
      <c r="D1488">
        <v>0.5</v>
      </c>
      <c r="E1488">
        <f>34552100/(1000)</f>
        <v>34552.1</v>
      </c>
      <c r="F1488">
        <f>122545000/(1000)</f>
        <v>122545</v>
      </c>
      <c r="G1488">
        <f>-10597000/(1000)</f>
        <v>-10597</v>
      </c>
      <c r="H1488">
        <f>2508100/(1000)</f>
        <v>2508.1</v>
      </c>
      <c r="I1488">
        <f>-3862000/(1000)</f>
        <v>-3862</v>
      </c>
      <c r="J1488">
        <f t="shared" si="38"/>
        <v>-6.4943034697048164E-4</v>
      </c>
      <c r="K1488">
        <f>-7106999/(1000)</f>
        <v>-7106.9989999999998</v>
      </c>
      <c r="L1488">
        <v>0</v>
      </c>
      <c r="M1488">
        <v>0</v>
      </c>
      <c r="N1488">
        <v>67.501683642049301</v>
      </c>
      <c r="O1488">
        <v>4.61716985702515</v>
      </c>
      <c r="P1488">
        <v>0</v>
      </c>
      <c r="Q1488">
        <v>0.19157088892589499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55000000000000004">
      <c r="A1489" t="s">
        <v>2986</v>
      </c>
      <c r="B1489" t="s">
        <v>2987</v>
      </c>
      <c r="C1489" t="s">
        <v>184</v>
      </c>
      <c r="D1489">
        <v>27.5</v>
      </c>
      <c r="E1489">
        <f>370202240/(1000)</f>
        <v>370202.24</v>
      </c>
      <c r="F1489">
        <f>121562000/(1000)</f>
        <v>121562</v>
      </c>
      <c r="G1489">
        <f>0/(1000)</f>
        <v>0</v>
      </c>
      <c r="H1489">
        <f>0/(1000)</f>
        <v>0</v>
      </c>
      <c r="I1489">
        <f>0/(1000)</f>
        <v>0</v>
      </c>
      <c r="J1489">
        <f t="shared" si="38"/>
        <v>1</v>
      </c>
      <c r="K1489">
        <f>12440001/(1000)</f>
        <v>12440.001</v>
      </c>
      <c r="L1489">
        <v>16.521522521972699</v>
      </c>
      <c r="M1489">
        <v>17.785467147827099</v>
      </c>
      <c r="N1489">
        <v>94.329925410664998</v>
      </c>
      <c r="O1489">
        <v>157.45579528808599</v>
      </c>
      <c r="P1489">
        <v>0.45333334803581199</v>
      </c>
      <c r="Q1489">
        <v>2.6252982337497102</v>
      </c>
      <c r="R1489">
        <v>16.566265095931101</v>
      </c>
      <c r="S1489">
        <v>42.086377184267398</v>
      </c>
      <c r="T1489">
        <v>0</v>
      </c>
      <c r="U1489">
        <v>0</v>
      </c>
      <c r="V1489">
        <v>0</v>
      </c>
      <c r="W1489">
        <v>0</v>
      </c>
    </row>
    <row r="1490" spans="1:23" x14ac:dyDescent="0.55000000000000004">
      <c r="A1490" t="s">
        <v>2988</v>
      </c>
      <c r="B1490" t="s">
        <v>2989</v>
      </c>
      <c r="C1490" t="s">
        <v>5</v>
      </c>
      <c r="D1490">
        <v>5.48</v>
      </c>
      <c r="E1490">
        <f>114477200/(1000)</f>
        <v>114477.2</v>
      </c>
      <c r="F1490">
        <f>121131000/(1000)</f>
        <v>121131</v>
      </c>
      <c r="G1490">
        <f>-3679000/(1000)</f>
        <v>-3679</v>
      </c>
      <c r="H1490">
        <f>67196200/(1000)</f>
        <v>67196.2</v>
      </c>
      <c r="I1490">
        <f>1654000.25/(1000)</f>
        <v>1654.0002500000001</v>
      </c>
      <c r="J1490">
        <f t="shared" si="38"/>
        <v>4.0626475116917297E-2</v>
      </c>
      <c r="K1490">
        <f>11806001/(1000)</f>
        <v>11806.001</v>
      </c>
      <c r="L1490">
        <v>0</v>
      </c>
      <c r="M1490">
        <v>-15.845435142517101</v>
      </c>
      <c r="N1490">
        <v>56.434180681890403</v>
      </c>
      <c r="O1490">
        <v>0</v>
      </c>
      <c r="P1490">
        <v>0</v>
      </c>
      <c r="Q1490">
        <v>1.8639455484413801</v>
      </c>
      <c r="R1490">
        <v>0</v>
      </c>
      <c r="S1490">
        <v>286.901111536987</v>
      </c>
      <c r="T1490">
        <v>0</v>
      </c>
      <c r="U1490">
        <v>0</v>
      </c>
      <c r="V1490">
        <v>0</v>
      </c>
      <c r="W1490">
        <v>0</v>
      </c>
    </row>
    <row r="1491" spans="1:23" x14ac:dyDescent="0.55000000000000004">
      <c r="A1491" t="s">
        <v>2990</v>
      </c>
      <c r="B1491" t="s">
        <v>2991</v>
      </c>
      <c r="C1491" t="s">
        <v>8</v>
      </c>
      <c r="D1491">
        <v>29.95</v>
      </c>
      <c r="E1491">
        <f>1123942656/(1000)</f>
        <v>1123942.656</v>
      </c>
      <c r="F1491">
        <f>121005000/(1000)</f>
        <v>121005</v>
      </c>
      <c r="G1491">
        <f>-17805000/(1000)</f>
        <v>-17805</v>
      </c>
      <c r="H1491">
        <f>0/(1000)</f>
        <v>0</v>
      </c>
      <c r="I1491">
        <f>61961000/(1000)</f>
        <v>61961</v>
      </c>
      <c r="J1491">
        <f t="shared" si="38"/>
        <v>0</v>
      </c>
      <c r="K1491">
        <f>-205560991/(1000)</f>
        <v>-205560.99100000001</v>
      </c>
      <c r="L1491">
        <v>0</v>
      </c>
      <c r="M1491">
        <v>-21.0966281890869</v>
      </c>
      <c r="N1491">
        <v>63.678972004939801</v>
      </c>
      <c r="O1491">
        <v>75.983283996582003</v>
      </c>
      <c r="P1491">
        <v>0</v>
      </c>
      <c r="Q1491">
        <v>1.68163962161886</v>
      </c>
      <c r="R1491">
        <v>0</v>
      </c>
      <c r="S1491">
        <v>537.909220306816</v>
      </c>
      <c r="T1491">
        <v>0</v>
      </c>
      <c r="U1491">
        <v>0</v>
      </c>
      <c r="V1491">
        <v>0</v>
      </c>
      <c r="W1491">
        <v>0</v>
      </c>
    </row>
    <row r="1492" spans="1:23" x14ac:dyDescent="0.55000000000000004">
      <c r="A1492" t="s">
        <v>2992</v>
      </c>
      <c r="B1492" t="s">
        <v>2993</v>
      </c>
      <c r="C1492" t="s">
        <v>184</v>
      </c>
      <c r="D1492">
        <v>26.98</v>
      </c>
      <c r="E1492">
        <f>206030080/(1000)</f>
        <v>206030.07999999999</v>
      </c>
      <c r="F1492">
        <f>120388000/(1000)</f>
        <v>120388</v>
      </c>
      <c r="G1492">
        <f>0/(1000)</f>
        <v>0</v>
      </c>
      <c r="H1492">
        <f>0/(1000)</f>
        <v>0</v>
      </c>
      <c r="I1492">
        <f>0/(1000)</f>
        <v>0</v>
      </c>
      <c r="J1492">
        <f t="shared" si="38"/>
        <v>1</v>
      </c>
      <c r="K1492">
        <f>18884001/(1000)</f>
        <v>18884.001</v>
      </c>
      <c r="L1492">
        <v>12.937737464904799</v>
      </c>
      <c r="M1492">
        <v>17.8504314422607</v>
      </c>
      <c r="N1492">
        <v>97.390128634381497</v>
      </c>
      <c r="O1492">
        <v>382.79660034179699</v>
      </c>
      <c r="P1492">
        <v>0.66666668653488204</v>
      </c>
      <c r="Q1492">
        <v>0</v>
      </c>
      <c r="R1492">
        <v>8.0778440935955693</v>
      </c>
      <c r="S1492">
        <v>35.220316518965298</v>
      </c>
      <c r="T1492">
        <v>0</v>
      </c>
      <c r="U1492">
        <v>0</v>
      </c>
      <c r="V1492">
        <v>0</v>
      </c>
      <c r="W1492">
        <v>0</v>
      </c>
    </row>
    <row r="1493" spans="1:23" x14ac:dyDescent="0.55000000000000004">
      <c r="A1493" t="s">
        <v>2994</v>
      </c>
      <c r="B1493" t="s">
        <v>2995</v>
      </c>
      <c r="C1493" t="s">
        <v>31</v>
      </c>
      <c r="D1493">
        <v>10.33</v>
      </c>
      <c r="E1493">
        <f>385673664/(1000)</f>
        <v>385673.66399999999</v>
      </c>
      <c r="F1493">
        <f>119980000/(1000)</f>
        <v>119980</v>
      </c>
      <c r="G1493">
        <f>30893000/(1000)</f>
        <v>30893</v>
      </c>
      <c r="H1493">
        <f>334978664/(1000)</f>
        <v>334978.66399999999</v>
      </c>
      <c r="I1493">
        <f>33897000/(1000)</f>
        <v>33897</v>
      </c>
      <c r="J1493">
        <f t="shared" si="38"/>
        <v>9.8822510546656035E-3</v>
      </c>
      <c r="K1493">
        <f>22948001/(1000)</f>
        <v>22948.001</v>
      </c>
      <c r="L1493">
        <v>0</v>
      </c>
      <c r="M1493">
        <v>36.8596382141113</v>
      </c>
      <c r="N1493">
        <v>75.041313892344405</v>
      </c>
      <c r="O1493">
        <v>0</v>
      </c>
      <c r="P1493">
        <v>0</v>
      </c>
      <c r="Q1493">
        <v>3.7838827294997102</v>
      </c>
      <c r="R1493">
        <v>15.6515151207276</v>
      </c>
      <c r="S1493">
        <v>590.73114565342598</v>
      </c>
      <c r="T1493">
        <v>0</v>
      </c>
      <c r="U1493">
        <v>0</v>
      </c>
      <c r="V1493">
        <v>0</v>
      </c>
      <c r="W1493">
        <v>0</v>
      </c>
    </row>
    <row r="1494" spans="1:23" x14ac:dyDescent="0.55000000000000004">
      <c r="A1494" t="s">
        <v>2996</v>
      </c>
      <c r="B1494" t="s">
        <v>2997</v>
      </c>
      <c r="C1494" t="s">
        <v>401</v>
      </c>
      <c r="D1494">
        <v>5.22</v>
      </c>
      <c r="E1494">
        <f>148848304/(1000)</f>
        <v>148848.304</v>
      </c>
      <c r="F1494">
        <f>119953000/(1000)</f>
        <v>119953</v>
      </c>
      <c r="G1494">
        <f>20388000/(1000)</f>
        <v>20388</v>
      </c>
      <c r="H1494">
        <f>608703312/(1000)</f>
        <v>608703.31200000003</v>
      </c>
      <c r="I1494">
        <f>53322000/(1000)</f>
        <v>53322</v>
      </c>
      <c r="J1494">
        <f t="shared" si="38"/>
        <v>1.1415612917745021E-2</v>
      </c>
      <c r="K1494">
        <f>11320001/(1000)</f>
        <v>11320.001</v>
      </c>
      <c r="L1494">
        <v>0</v>
      </c>
      <c r="M1494">
        <v>-1.8028750419616699</v>
      </c>
      <c r="N1494">
        <v>92.132563781632598</v>
      </c>
      <c r="O1494">
        <v>136.87408447265599</v>
      </c>
      <c r="P1494">
        <v>0.81999999284744296</v>
      </c>
      <c r="Q1494">
        <v>0.54947421372485294</v>
      </c>
      <c r="R1494">
        <v>0</v>
      </c>
      <c r="S1494">
        <v>385.40385237941098</v>
      </c>
      <c r="T1494">
        <v>0</v>
      </c>
      <c r="U1494">
        <v>0</v>
      </c>
      <c r="V1494">
        <v>0</v>
      </c>
      <c r="W1494">
        <v>0</v>
      </c>
    </row>
    <row r="1495" spans="1:23" x14ac:dyDescent="0.55000000000000004">
      <c r="A1495" t="s">
        <v>2998</v>
      </c>
      <c r="B1495" t="s">
        <v>2999</v>
      </c>
      <c r="C1495" t="s">
        <v>5</v>
      </c>
      <c r="D1495">
        <v>14.76</v>
      </c>
      <c r="E1495">
        <f>260679312/(1000)</f>
        <v>260679.31200000001</v>
      </c>
      <c r="F1495">
        <f>118646000/(1000)</f>
        <v>118646</v>
      </c>
      <c r="G1495">
        <f>0/(1000)</f>
        <v>0</v>
      </c>
      <c r="H1495">
        <f>0/(1000)</f>
        <v>0</v>
      </c>
      <c r="I1495">
        <f>0/(1000)</f>
        <v>0</v>
      </c>
      <c r="J1495">
        <f t="shared" si="38"/>
        <v>1</v>
      </c>
      <c r="K1495">
        <f>12041001/(1000)</f>
        <v>12041.001</v>
      </c>
      <c r="L1495">
        <v>22.660884857177699</v>
      </c>
      <c r="M1495">
        <v>3.1883060932159402</v>
      </c>
      <c r="N1495">
        <v>91.618918274150303</v>
      </c>
      <c r="O1495">
        <v>56.724510192871101</v>
      </c>
      <c r="P1495">
        <v>0.519999980926514</v>
      </c>
      <c r="Q1495">
        <v>1.06034483821724</v>
      </c>
      <c r="R1495">
        <v>52.714287008634003</v>
      </c>
      <c r="S1495">
        <v>172.90626797009801</v>
      </c>
      <c r="T1495">
        <v>0</v>
      </c>
      <c r="U1495">
        <v>0</v>
      </c>
      <c r="V1495">
        <v>0</v>
      </c>
      <c r="W1495">
        <v>0</v>
      </c>
    </row>
    <row r="1496" spans="1:23" x14ac:dyDescent="0.55000000000000004">
      <c r="A1496" t="s">
        <v>3000</v>
      </c>
      <c r="B1496" t="s">
        <v>3001</v>
      </c>
      <c r="C1496" t="s">
        <v>38</v>
      </c>
      <c r="D1496">
        <v>12.95</v>
      </c>
      <c r="E1496">
        <f>362328064/(1000)</f>
        <v>362328.06400000001</v>
      </c>
      <c r="F1496">
        <f>118374000/(1000)</f>
        <v>118374</v>
      </c>
      <c r="G1496">
        <f>16212999/(1000)</f>
        <v>16212.999</v>
      </c>
      <c r="H1496">
        <f>294891064/(1000)</f>
        <v>294891.06400000001</v>
      </c>
      <c r="I1496">
        <f>21160000/(1000)</f>
        <v>21160</v>
      </c>
      <c r="J1496">
        <f t="shared" si="38"/>
        <v>1.393625066162571E-2</v>
      </c>
      <c r="K1496">
        <f>8812001/(1000)</f>
        <v>8812.0010000000002</v>
      </c>
      <c r="L1496">
        <v>0</v>
      </c>
      <c r="M1496">
        <v>9.0244712829589808</v>
      </c>
      <c r="N1496">
        <v>98.172915079595498</v>
      </c>
      <c r="O1496">
        <v>31.815273284912099</v>
      </c>
      <c r="P1496">
        <v>0</v>
      </c>
      <c r="Q1496">
        <v>1.1794171538396601</v>
      </c>
      <c r="R1496">
        <v>23.124999560947899</v>
      </c>
      <c r="S1496">
        <v>338.211231629216</v>
      </c>
      <c r="T1496">
        <v>0</v>
      </c>
      <c r="U1496">
        <v>0</v>
      </c>
      <c r="V1496">
        <v>0</v>
      </c>
      <c r="W1496">
        <v>0</v>
      </c>
    </row>
    <row r="1497" spans="1:23" x14ac:dyDescent="0.55000000000000004">
      <c r="A1497" t="s">
        <v>3002</v>
      </c>
      <c r="B1497" t="s">
        <v>3003</v>
      </c>
      <c r="C1497" t="s">
        <v>38</v>
      </c>
      <c r="D1497">
        <v>13.07</v>
      </c>
      <c r="E1497">
        <f>425397120/(1000)</f>
        <v>425397.12</v>
      </c>
      <c r="F1497">
        <f>118065000/(1000)</f>
        <v>118065</v>
      </c>
      <c r="G1497">
        <f>19486000/(1000)</f>
        <v>19486</v>
      </c>
      <c r="H1497">
        <f>370569120/(1000)</f>
        <v>370569.12</v>
      </c>
      <c r="I1497">
        <f>29338000/(1000)</f>
        <v>29338</v>
      </c>
      <c r="J1497">
        <f t="shared" si="38"/>
        <v>1.2631028699979549E-2</v>
      </c>
      <c r="K1497">
        <f>24233001/(1000)</f>
        <v>24233.001</v>
      </c>
      <c r="L1497">
        <v>0</v>
      </c>
      <c r="M1497">
        <v>12.921664237976101</v>
      </c>
      <c r="N1497">
        <v>88.5607546601927</v>
      </c>
      <c r="O1497">
        <v>7.2087121009826696</v>
      </c>
      <c r="P1497">
        <v>0</v>
      </c>
      <c r="Q1497">
        <v>2.3256227688559798</v>
      </c>
      <c r="R1497">
        <v>20.4218746230144</v>
      </c>
      <c r="S1497">
        <v>58.215295552309598</v>
      </c>
      <c r="T1497">
        <v>0</v>
      </c>
      <c r="U1497">
        <v>0</v>
      </c>
      <c r="V1497">
        <v>0</v>
      </c>
      <c r="W1497">
        <v>0</v>
      </c>
    </row>
    <row r="1498" spans="1:23" x14ac:dyDescent="0.55000000000000004">
      <c r="A1498" t="s">
        <v>3004</v>
      </c>
      <c r="B1498" t="s">
        <v>3005</v>
      </c>
      <c r="C1498" t="s">
        <v>184</v>
      </c>
      <c r="D1498">
        <v>5.69</v>
      </c>
      <c r="E1498">
        <f>137045920/(1000)</f>
        <v>137045.92000000001</v>
      </c>
      <c r="F1498">
        <f>118040000/(1000)</f>
        <v>118040</v>
      </c>
      <c r="G1498">
        <f>0/(1000)</f>
        <v>0</v>
      </c>
      <c r="H1498">
        <f>0/(1000)</f>
        <v>0</v>
      </c>
      <c r="I1498">
        <f>0/(1000)</f>
        <v>0</v>
      </c>
      <c r="J1498">
        <f t="shared" si="38"/>
        <v>1</v>
      </c>
      <c r="K1498">
        <f>170075009/(1000)</f>
        <v>170075.00899999999</v>
      </c>
      <c r="L1498">
        <v>37.682868957519503</v>
      </c>
      <c r="M1498">
        <v>2.8426818847656299</v>
      </c>
      <c r="N1498">
        <v>94.318551284851395</v>
      </c>
      <c r="O1498">
        <v>256.77618408203102</v>
      </c>
      <c r="P1498">
        <v>3.9999999105930002E-2</v>
      </c>
      <c r="Q1498">
        <v>0.87808642599881004</v>
      </c>
      <c r="R1498">
        <v>19.6206896609309</v>
      </c>
      <c r="S1498">
        <v>410.86297931273299</v>
      </c>
      <c r="T1498">
        <v>0</v>
      </c>
      <c r="U1498">
        <v>0</v>
      </c>
      <c r="V1498">
        <v>0</v>
      </c>
      <c r="W1498">
        <v>0</v>
      </c>
    </row>
    <row r="1499" spans="1:23" x14ac:dyDescent="0.55000000000000004">
      <c r="A1499" t="s">
        <v>3006</v>
      </c>
      <c r="B1499" t="s">
        <v>3007</v>
      </c>
      <c r="C1499" t="s">
        <v>5</v>
      </c>
      <c r="D1499">
        <v>7.63</v>
      </c>
      <c r="E1499">
        <f>465351424/(1000)</f>
        <v>465351.424</v>
      </c>
      <c r="F1499">
        <f>118018000/(1000)</f>
        <v>118018</v>
      </c>
      <c r="G1499">
        <f>-11996000/(1000)</f>
        <v>-11996</v>
      </c>
      <c r="H1499">
        <f>357027424/(1000)</f>
        <v>357027.424</v>
      </c>
      <c r="I1499">
        <f>-9193000/(1000)</f>
        <v>-9193</v>
      </c>
      <c r="J1499">
        <f t="shared" si="38"/>
        <v>-3.8836878494506691E-2</v>
      </c>
      <c r="K1499">
        <f>-14171999/(1000)</f>
        <v>-14171.999</v>
      </c>
      <c r="L1499">
        <v>0</v>
      </c>
      <c r="M1499">
        <v>0</v>
      </c>
      <c r="N1499">
        <v>62.104092663010803</v>
      </c>
      <c r="O1499">
        <v>4.1950168609619096</v>
      </c>
      <c r="P1499">
        <v>0</v>
      </c>
      <c r="Q1499">
        <v>3.7401962044696502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55000000000000004">
      <c r="A1500" t="s">
        <v>3008</v>
      </c>
      <c r="B1500" t="s">
        <v>3009</v>
      </c>
      <c r="C1500" t="s">
        <v>8</v>
      </c>
      <c r="D1500">
        <v>6.04</v>
      </c>
      <c r="E1500">
        <f>303180832/(1000)</f>
        <v>303180.83199999999</v>
      </c>
      <c r="F1500">
        <f>117716232/(1000)</f>
        <v>117716.232</v>
      </c>
      <c r="G1500">
        <f>-10985732/(1000)</f>
        <v>-10985.732</v>
      </c>
      <c r="H1500">
        <f>298806432/(1000)</f>
        <v>298806.43199999997</v>
      </c>
      <c r="I1500">
        <f>-3877790/(1000)</f>
        <v>-3877.79</v>
      </c>
      <c r="J1500">
        <f t="shared" si="38"/>
        <v>-7.7055857073229844E-2</v>
      </c>
      <c r="K1500">
        <f>-30981349/(1000)</f>
        <v>-30981.348999999998</v>
      </c>
      <c r="L1500">
        <v>0</v>
      </c>
      <c r="M1500">
        <v>-5.0272169113159197</v>
      </c>
      <c r="N1500">
        <v>57.449971278529901</v>
      </c>
      <c r="O1500">
        <v>9.7386002540588004E-2</v>
      </c>
      <c r="P1500">
        <v>0</v>
      </c>
      <c r="Q1500">
        <v>1.11851849170052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55000000000000004">
      <c r="A1501" t="s">
        <v>3010</v>
      </c>
      <c r="B1501" t="s">
        <v>3011</v>
      </c>
      <c r="C1501" t="s">
        <v>184</v>
      </c>
      <c r="D1501">
        <v>16.600000000000001</v>
      </c>
      <c r="E1501">
        <f>205252368/(1000)</f>
        <v>205252.36799999999</v>
      </c>
      <c r="F1501">
        <f>117495000/(1000)</f>
        <v>117495</v>
      </c>
      <c r="G1501">
        <f>0/(1000)</f>
        <v>0</v>
      </c>
      <c r="H1501">
        <f>0/(1000)</f>
        <v>0</v>
      </c>
      <c r="I1501">
        <f>0/(1000)</f>
        <v>0</v>
      </c>
      <c r="J1501">
        <f t="shared" si="38"/>
        <v>1</v>
      </c>
      <c r="K1501">
        <f>63450001/(1000)</f>
        <v>63450.000999999997</v>
      </c>
      <c r="L1501">
        <v>18.055536270141602</v>
      </c>
      <c r="M1501">
        <v>0.83779501914978005</v>
      </c>
      <c r="N1501">
        <v>62.744446937781198</v>
      </c>
      <c r="O1501">
        <v>404.089111328125</v>
      </c>
      <c r="P1501">
        <v>0.80000001192092896</v>
      </c>
      <c r="Q1501">
        <v>1.69215083296789</v>
      </c>
      <c r="R1501">
        <v>12.9687502859451</v>
      </c>
      <c r="S1501">
        <v>-1.52372331598401</v>
      </c>
      <c r="T1501">
        <v>0</v>
      </c>
      <c r="U1501">
        <v>0</v>
      </c>
      <c r="V1501">
        <v>0</v>
      </c>
      <c r="W1501">
        <v>0</v>
      </c>
    </row>
    <row r="1502" spans="1:23" x14ac:dyDescent="0.55000000000000004">
      <c r="A1502" t="s">
        <v>3012</v>
      </c>
      <c r="B1502" t="s">
        <v>3013</v>
      </c>
      <c r="C1502" t="s">
        <v>5</v>
      </c>
      <c r="D1502">
        <v>11.99</v>
      </c>
      <c r="E1502">
        <f>833692288/(1000)</f>
        <v>833692.28799999994</v>
      </c>
      <c r="F1502">
        <f>116999000/(1000)</f>
        <v>116999</v>
      </c>
      <c r="G1502">
        <f>825000/(1000)</f>
        <v>825</v>
      </c>
      <c r="H1502">
        <f>760528288/(1000)</f>
        <v>760528.28799999994</v>
      </c>
      <c r="I1502">
        <f>7403000/(1000)</f>
        <v>7403</v>
      </c>
      <c r="J1502">
        <f t="shared" si="38"/>
        <v>0.10273244468458732</v>
      </c>
      <c r="K1502">
        <f>9241001/(1000)</f>
        <v>9241.0010000000002</v>
      </c>
      <c r="L1502">
        <v>0</v>
      </c>
      <c r="M1502">
        <v>0.83493500947952304</v>
      </c>
      <c r="N1502">
        <v>95.504099924751003</v>
      </c>
      <c r="O1502">
        <v>0</v>
      </c>
      <c r="P1502">
        <v>0</v>
      </c>
      <c r="Q1502">
        <v>1.66296805931775</v>
      </c>
      <c r="R1502">
        <v>29.243901604435301</v>
      </c>
      <c r="S1502">
        <v>317.49571795603799</v>
      </c>
      <c r="T1502">
        <v>0</v>
      </c>
      <c r="U1502">
        <v>0</v>
      </c>
      <c r="V1502">
        <v>0</v>
      </c>
      <c r="W1502">
        <v>0</v>
      </c>
    </row>
    <row r="1503" spans="1:23" x14ac:dyDescent="0.55000000000000004">
      <c r="A1503" t="s">
        <v>3014</v>
      </c>
      <c r="B1503" t="s">
        <v>3015</v>
      </c>
      <c r="C1503" t="s">
        <v>8</v>
      </c>
      <c r="D1503">
        <v>56.3</v>
      </c>
      <c r="E1503">
        <f>940733568/(1000)</f>
        <v>940733.56799999997</v>
      </c>
      <c r="F1503">
        <f>116497712/(1000)</f>
        <v>116497.712</v>
      </c>
      <c r="G1503">
        <f>75163976/(1000)</f>
        <v>75163.975999999995</v>
      </c>
      <c r="H1503">
        <f>818885728/(1000)</f>
        <v>818885.728</v>
      </c>
      <c r="I1503">
        <f>90337264/(1000)</f>
        <v>90337.263999999996</v>
      </c>
      <c r="J1503">
        <f t="shared" si="38"/>
        <v>9.0647612263306983E-3</v>
      </c>
      <c r="K1503">
        <f>-316228703/(1000)</f>
        <v>-316228.70299999998</v>
      </c>
      <c r="L1503">
        <v>0</v>
      </c>
      <c r="M1503">
        <v>126.79099273681599</v>
      </c>
      <c r="N1503">
        <v>81.504316420837398</v>
      </c>
      <c r="O1503">
        <v>4.3859839439392099</v>
      </c>
      <c r="P1503">
        <v>0</v>
      </c>
      <c r="Q1503">
        <v>0</v>
      </c>
      <c r="R1503">
        <v>5.6365054900831</v>
      </c>
      <c r="S1503">
        <v>312.96601205246401</v>
      </c>
      <c r="T1503">
        <v>0</v>
      </c>
      <c r="U1503">
        <v>0</v>
      </c>
      <c r="V1503">
        <v>0</v>
      </c>
      <c r="W1503">
        <v>0</v>
      </c>
    </row>
    <row r="1504" spans="1:23" x14ac:dyDescent="0.55000000000000004">
      <c r="A1504" t="s">
        <v>3016</v>
      </c>
      <c r="B1504" t="s">
        <v>3017</v>
      </c>
      <c r="C1504" t="s">
        <v>5</v>
      </c>
      <c r="D1504">
        <v>4.8</v>
      </c>
      <c r="E1504">
        <f>117651840/(1000)</f>
        <v>117651.84</v>
      </c>
      <c r="F1504">
        <f>116474000/(1000)</f>
        <v>116474</v>
      </c>
      <c r="G1504">
        <f>-7800000/(1000)</f>
        <v>-7800</v>
      </c>
      <c r="H1504">
        <f>69980840/(1000)</f>
        <v>69980.84</v>
      </c>
      <c r="I1504">
        <f>-6196000/(1000)</f>
        <v>-6196</v>
      </c>
      <c r="J1504">
        <f t="shared" si="38"/>
        <v>-1.1294519044544867E-2</v>
      </c>
      <c r="K1504">
        <f>28748001/(1000)</f>
        <v>28748.001</v>
      </c>
      <c r="L1504">
        <v>0</v>
      </c>
      <c r="M1504">
        <v>33.3047904968262</v>
      </c>
      <c r="N1504">
        <v>91.222238931707906</v>
      </c>
      <c r="O1504">
        <v>0</v>
      </c>
      <c r="P1504">
        <v>0</v>
      </c>
      <c r="Q1504">
        <v>0.88397796362426095</v>
      </c>
      <c r="R1504">
        <v>0</v>
      </c>
      <c r="S1504">
        <v>236.018232697689</v>
      </c>
      <c r="T1504">
        <v>0</v>
      </c>
      <c r="U1504">
        <v>0</v>
      </c>
      <c r="V1504">
        <v>0</v>
      </c>
      <c r="W1504">
        <v>0</v>
      </c>
    </row>
    <row r="1505" spans="1:23" x14ac:dyDescent="0.55000000000000004">
      <c r="A1505" t="s">
        <v>3018</v>
      </c>
      <c r="B1505" t="s">
        <v>3019</v>
      </c>
      <c r="C1505" t="s">
        <v>17</v>
      </c>
      <c r="D1505">
        <v>40.99</v>
      </c>
      <c r="E1505">
        <f>302387328/(1000)</f>
        <v>302387.32799999998</v>
      </c>
      <c r="F1505">
        <f>116382000/(1000)</f>
        <v>116382</v>
      </c>
      <c r="G1505">
        <f>2579000/(1000)</f>
        <v>2579</v>
      </c>
      <c r="H1505">
        <f>361508328/(1000)</f>
        <v>361508.32799999998</v>
      </c>
      <c r="I1505">
        <f>10896000/(1000)</f>
        <v>10896</v>
      </c>
      <c r="J1505">
        <f t="shared" si="38"/>
        <v>3.3178077092511013E-2</v>
      </c>
      <c r="K1505">
        <f>7642001/(1000)</f>
        <v>7642.0010000000002</v>
      </c>
      <c r="L1505">
        <v>0</v>
      </c>
      <c r="M1505">
        <v>4.0206618309020996</v>
      </c>
      <c r="N1505">
        <v>47.880603548597698</v>
      </c>
      <c r="O1505">
        <v>119.27822875976599</v>
      </c>
      <c r="P1505">
        <v>1.1000000238418599</v>
      </c>
      <c r="Q1505">
        <v>0</v>
      </c>
      <c r="R1505">
        <v>53.934216584040698</v>
      </c>
      <c r="S1505">
        <v>141.03137620378999</v>
      </c>
      <c r="T1505">
        <v>0</v>
      </c>
      <c r="U1505">
        <v>0</v>
      </c>
      <c r="V1505">
        <v>0</v>
      </c>
      <c r="W1505">
        <v>0</v>
      </c>
    </row>
    <row r="1506" spans="1:23" x14ac:dyDescent="0.55000000000000004">
      <c r="A1506" t="s">
        <v>3020</v>
      </c>
      <c r="B1506" t="s">
        <v>3021</v>
      </c>
      <c r="C1506" t="s">
        <v>5</v>
      </c>
      <c r="D1506">
        <v>9.74</v>
      </c>
      <c r="E1506">
        <f>141298176/(1000)</f>
        <v>141298.17600000001</v>
      </c>
      <c r="F1506">
        <f>116256376/(1000)</f>
        <v>116256.376</v>
      </c>
      <c r="G1506">
        <f t="shared" ref="G1506:I1507" si="39">0/(1000)</f>
        <v>0</v>
      </c>
      <c r="H1506">
        <f t="shared" si="39"/>
        <v>0</v>
      </c>
      <c r="I1506">
        <f t="shared" si="39"/>
        <v>0</v>
      </c>
      <c r="J1506">
        <f t="shared" si="38"/>
        <v>1</v>
      </c>
      <c r="K1506">
        <f>-52938111/(1000)</f>
        <v>-52938.110999999997</v>
      </c>
      <c r="L1506">
        <v>0</v>
      </c>
      <c r="M1506">
        <v>5.7209391593933097</v>
      </c>
      <c r="N1506">
        <v>80.4046324156445</v>
      </c>
      <c r="O1506">
        <v>149.29145812988301</v>
      </c>
      <c r="P1506">
        <v>0.40000000596046398</v>
      </c>
      <c r="Q1506">
        <v>0</v>
      </c>
      <c r="R1506">
        <v>15.4603173968683</v>
      </c>
      <c r="S1506">
        <v>62.34656612205</v>
      </c>
      <c r="T1506">
        <v>0</v>
      </c>
      <c r="U1506">
        <v>0</v>
      </c>
      <c r="V1506">
        <v>0</v>
      </c>
      <c r="W1506">
        <v>0</v>
      </c>
    </row>
    <row r="1507" spans="1:23" x14ac:dyDescent="0.55000000000000004">
      <c r="A1507" t="s">
        <v>3022</v>
      </c>
      <c r="B1507" t="s">
        <v>3023</v>
      </c>
      <c r="C1507" t="s">
        <v>5</v>
      </c>
      <c r="D1507">
        <v>16.899999999999999</v>
      </c>
      <c r="E1507">
        <f>381926464/(1000)</f>
        <v>381926.46399999998</v>
      </c>
      <c r="F1507">
        <f>116126000/(1000)</f>
        <v>116126</v>
      </c>
      <c r="G1507">
        <f t="shared" si="39"/>
        <v>0</v>
      </c>
      <c r="H1507">
        <f t="shared" si="39"/>
        <v>0</v>
      </c>
      <c r="I1507">
        <f t="shared" si="39"/>
        <v>0</v>
      </c>
      <c r="J1507">
        <f t="shared" si="38"/>
        <v>1</v>
      </c>
      <c r="K1507">
        <f>9384001/(1000)</f>
        <v>9384.0010000000002</v>
      </c>
      <c r="L1507">
        <v>15.0554037094116</v>
      </c>
      <c r="M1507">
        <v>10.8493404388428</v>
      </c>
      <c r="N1507">
        <v>97.915858482883394</v>
      </c>
      <c r="O1507">
        <v>171.56689453125</v>
      </c>
      <c r="P1507">
        <v>0.63999998569488503</v>
      </c>
      <c r="Q1507">
        <v>1.04838701852909</v>
      </c>
      <c r="R1507">
        <v>16.899999618530298</v>
      </c>
      <c r="S1507">
        <v>51.741170013981602</v>
      </c>
      <c r="T1507">
        <v>0</v>
      </c>
      <c r="U1507">
        <v>0</v>
      </c>
      <c r="V1507">
        <v>0</v>
      </c>
      <c r="W1507">
        <v>0</v>
      </c>
    </row>
    <row r="1508" spans="1:23" x14ac:dyDescent="0.55000000000000004">
      <c r="A1508" t="s">
        <v>3024</v>
      </c>
      <c r="B1508" t="s">
        <v>3025</v>
      </c>
      <c r="C1508" t="s">
        <v>5</v>
      </c>
      <c r="D1508">
        <v>2.0099999999999998</v>
      </c>
      <c r="E1508">
        <f>83610368/(1000)</f>
        <v>83610.368000000002</v>
      </c>
      <c r="F1508">
        <f>116031000/(1000)</f>
        <v>116031</v>
      </c>
      <c r="G1508">
        <f>48965000/(1000)</f>
        <v>48965</v>
      </c>
      <c r="H1508">
        <f>381151360/(1000)</f>
        <v>381151.36</v>
      </c>
      <c r="I1508">
        <f>79080000/(1000)</f>
        <v>79080</v>
      </c>
      <c r="J1508">
        <f t="shared" si="38"/>
        <v>4.819819929185635E-3</v>
      </c>
      <c r="K1508">
        <f>-73057999/(1000)</f>
        <v>-73057.998999999996</v>
      </c>
      <c r="L1508">
        <v>0</v>
      </c>
      <c r="M1508">
        <v>-2.22458696365356</v>
      </c>
      <c r="N1508">
        <v>97.520028934960195</v>
      </c>
      <c r="O1508">
        <v>87.299690246582003</v>
      </c>
      <c r="P1508">
        <v>0</v>
      </c>
      <c r="Q1508">
        <v>0</v>
      </c>
      <c r="R1508">
        <v>4.6744187476990904</v>
      </c>
      <c r="S1508">
        <v>858.45861556253101</v>
      </c>
      <c r="T1508">
        <v>0</v>
      </c>
      <c r="U1508">
        <v>0</v>
      </c>
      <c r="V1508">
        <v>0</v>
      </c>
      <c r="W1508">
        <v>0</v>
      </c>
    </row>
    <row r="1509" spans="1:23" x14ac:dyDescent="0.55000000000000004">
      <c r="A1509" t="s">
        <v>3026</v>
      </c>
      <c r="B1509" t="s">
        <v>3027</v>
      </c>
      <c r="C1509" t="s">
        <v>5</v>
      </c>
      <c r="D1509">
        <v>2.69</v>
      </c>
      <c r="E1509">
        <f>763620800/(1000)</f>
        <v>763620.8</v>
      </c>
      <c r="F1509">
        <f>115496000/(1000)</f>
        <v>115496</v>
      </c>
      <c r="G1509">
        <f>-31487000/(1000)</f>
        <v>-31487</v>
      </c>
      <c r="H1509">
        <f>-58915200/(1000)</f>
        <v>-58915.199999999997</v>
      </c>
      <c r="I1509">
        <f>-18668000/(1000)</f>
        <v>-18668</v>
      </c>
      <c r="J1509">
        <f t="shared" si="38"/>
        <v>3.1559460038568673E-3</v>
      </c>
      <c r="K1509">
        <f>5795001/(1000)</f>
        <v>5795.0010000000002</v>
      </c>
      <c r="L1509">
        <v>0</v>
      </c>
      <c r="M1509">
        <v>-1.1629999615252001E-2</v>
      </c>
      <c r="N1509">
        <v>68.160897873356006</v>
      </c>
      <c r="O1509">
        <v>0.192835003137589</v>
      </c>
      <c r="P1509">
        <v>0</v>
      </c>
      <c r="Q1509">
        <v>0.71542554894768295</v>
      </c>
      <c r="R1509">
        <v>0</v>
      </c>
      <c r="S1509">
        <v>201.74521893614801</v>
      </c>
      <c r="T1509">
        <v>0</v>
      </c>
      <c r="U1509">
        <v>0</v>
      </c>
      <c r="V1509">
        <v>0</v>
      </c>
      <c r="W1509">
        <v>0</v>
      </c>
    </row>
    <row r="1510" spans="1:23" x14ac:dyDescent="0.55000000000000004">
      <c r="A1510" t="s">
        <v>3028</v>
      </c>
      <c r="B1510" t="s">
        <v>3029</v>
      </c>
      <c r="C1510" t="s">
        <v>20</v>
      </c>
      <c r="D1510">
        <v>9.1999999999999993</v>
      </c>
      <c r="E1510">
        <f>175026304/(1000)</f>
        <v>175026.304</v>
      </c>
      <c r="F1510">
        <f>114533000/(1000)</f>
        <v>114533</v>
      </c>
      <c r="G1510">
        <f>41828000/(1000)</f>
        <v>41828</v>
      </c>
      <c r="H1510">
        <f>113210304/(1000)</f>
        <v>113210.304</v>
      </c>
      <c r="I1510">
        <f>44360000/(1000)</f>
        <v>44360</v>
      </c>
      <c r="J1510">
        <f t="shared" si="38"/>
        <v>2.5520807935076645E-3</v>
      </c>
      <c r="K1510">
        <f>-2834998/(1000)</f>
        <v>-2834.998</v>
      </c>
      <c r="L1510">
        <v>21.024581909179702</v>
      </c>
      <c r="M1510">
        <v>39.690120697021499</v>
      </c>
      <c r="N1510">
        <v>82.399633957797207</v>
      </c>
      <c r="O1510">
        <v>0.27348101139068598</v>
      </c>
      <c r="P1510">
        <v>0.46000000834464999</v>
      </c>
      <c r="Q1510">
        <v>0</v>
      </c>
      <c r="R1510">
        <v>10.109889940023001</v>
      </c>
      <c r="S1510">
        <v>217.35383762815201</v>
      </c>
      <c r="T1510">
        <v>0</v>
      </c>
      <c r="U1510">
        <v>0</v>
      </c>
      <c r="V1510">
        <v>0</v>
      </c>
      <c r="W1510">
        <v>0</v>
      </c>
    </row>
    <row r="1511" spans="1:23" x14ac:dyDescent="0.55000000000000004">
      <c r="A1511" t="s">
        <v>3030</v>
      </c>
      <c r="B1511" t="s">
        <v>3031</v>
      </c>
      <c r="C1511" t="s">
        <v>184</v>
      </c>
      <c r="D1511">
        <v>27</v>
      </c>
      <c r="E1511">
        <f>212425200/(1000)</f>
        <v>212425.2</v>
      </c>
      <c r="F1511">
        <f>113928000/(1000)</f>
        <v>113928</v>
      </c>
      <c r="G1511">
        <f>0/(1000)</f>
        <v>0</v>
      </c>
      <c r="H1511">
        <f>0/(1000)</f>
        <v>0</v>
      </c>
      <c r="I1511">
        <f>0/(1000)</f>
        <v>0</v>
      </c>
      <c r="J1511">
        <f t="shared" si="38"/>
        <v>1</v>
      </c>
      <c r="K1511">
        <f>16198001/(1000)</f>
        <v>16198.001</v>
      </c>
      <c r="L1511">
        <v>17.838384628295898</v>
      </c>
      <c r="M1511">
        <v>6.1602888107299796</v>
      </c>
      <c r="N1511">
        <v>36.746911550876597</v>
      </c>
      <c r="O1511">
        <v>377.83441162109398</v>
      </c>
      <c r="P1511">
        <v>0.89999997615814198</v>
      </c>
      <c r="Q1511">
        <v>0</v>
      </c>
      <c r="R1511">
        <v>23.275862439722701</v>
      </c>
      <c r="S1511">
        <v>28.2121113224322</v>
      </c>
      <c r="T1511">
        <v>0</v>
      </c>
      <c r="U1511">
        <v>0</v>
      </c>
      <c r="V1511">
        <v>0</v>
      </c>
      <c r="W1511">
        <v>0</v>
      </c>
    </row>
    <row r="1512" spans="1:23" x14ac:dyDescent="0.55000000000000004">
      <c r="A1512" t="s">
        <v>3032</v>
      </c>
      <c r="B1512" t="s">
        <v>3033</v>
      </c>
      <c r="C1512" t="s">
        <v>38</v>
      </c>
      <c r="D1512">
        <v>25.08</v>
      </c>
      <c r="E1512">
        <f>633563456/(1000)</f>
        <v>633563.45600000001</v>
      </c>
      <c r="F1512">
        <f>113822000/(1000)</f>
        <v>113822</v>
      </c>
      <c r="G1512">
        <f>20773000/(1000)</f>
        <v>20773</v>
      </c>
      <c r="H1512">
        <f>508493456/(1000)</f>
        <v>508493.45600000001</v>
      </c>
      <c r="I1512">
        <f>22780000/(1000)</f>
        <v>22780</v>
      </c>
      <c r="J1512">
        <f t="shared" si="38"/>
        <v>2.2321925197541701E-2</v>
      </c>
      <c r="K1512">
        <f>31114001/(1000)</f>
        <v>31114.001</v>
      </c>
      <c r="L1512">
        <v>0</v>
      </c>
      <c r="M1512">
        <v>27.001945495605501</v>
      </c>
      <c r="N1512">
        <v>96.219574736685104</v>
      </c>
      <c r="O1512">
        <v>0.144180998206139</v>
      </c>
      <c r="P1512">
        <v>0</v>
      </c>
      <c r="Q1512">
        <v>7.3548385021804101</v>
      </c>
      <c r="R1512">
        <v>0</v>
      </c>
      <c r="S1512">
        <v>16812.630014858802</v>
      </c>
      <c r="T1512">
        <v>0</v>
      </c>
      <c r="U1512">
        <v>0</v>
      </c>
      <c r="V1512">
        <v>0</v>
      </c>
      <c r="W1512">
        <v>0</v>
      </c>
    </row>
    <row r="1513" spans="1:23" x14ac:dyDescent="0.55000000000000004">
      <c r="A1513" t="s">
        <v>3034</v>
      </c>
      <c r="B1513" t="s">
        <v>3035</v>
      </c>
      <c r="C1513" t="s">
        <v>38</v>
      </c>
      <c r="D1513">
        <v>5.0199999999999996</v>
      </c>
      <c r="E1513">
        <f>530110496/(1000)</f>
        <v>530110.49600000004</v>
      </c>
      <c r="F1513">
        <f>113470000/(1000)</f>
        <v>113470</v>
      </c>
      <c r="G1513">
        <f>-157046992/(1000)</f>
        <v>-157046.992</v>
      </c>
      <c r="H1513">
        <f>566609492/(1000)</f>
        <v>566609.49199999997</v>
      </c>
      <c r="I1513">
        <f>-145714992/(1000)</f>
        <v>-145714.992</v>
      </c>
      <c r="J1513">
        <f t="shared" si="38"/>
        <v>-3.8884776660455091E-3</v>
      </c>
      <c r="K1513">
        <f>-86137999/(1000)</f>
        <v>-86137.998999999996</v>
      </c>
      <c r="L1513">
        <v>0</v>
      </c>
      <c r="M1513">
        <v>-138.629959106445</v>
      </c>
      <c r="N1513">
        <v>97.497814004660299</v>
      </c>
      <c r="O1513">
        <v>142.10336303710901</v>
      </c>
      <c r="P1513">
        <v>0</v>
      </c>
      <c r="Q1513">
        <v>0</v>
      </c>
      <c r="R1513">
        <v>0</v>
      </c>
      <c r="S1513">
        <v>156.01281530616799</v>
      </c>
      <c r="T1513">
        <v>0</v>
      </c>
      <c r="U1513">
        <v>0</v>
      </c>
      <c r="V1513">
        <v>0</v>
      </c>
      <c r="W1513">
        <v>0</v>
      </c>
    </row>
    <row r="1514" spans="1:23" x14ac:dyDescent="0.55000000000000004">
      <c r="A1514" t="s">
        <v>3036</v>
      </c>
      <c r="B1514" t="s">
        <v>3037</v>
      </c>
      <c r="C1514" t="s">
        <v>5</v>
      </c>
      <c r="D1514">
        <v>5.26</v>
      </c>
      <c r="E1514">
        <f>290720192/(1000)</f>
        <v>290720.19199999998</v>
      </c>
      <c r="F1514">
        <f>113052000/(1000)</f>
        <v>113052</v>
      </c>
      <c r="G1514">
        <f>24532000/(1000)</f>
        <v>24532</v>
      </c>
      <c r="H1514">
        <f>163683192/(1000)</f>
        <v>163683.19200000001</v>
      </c>
      <c r="I1514">
        <f>29508000/(1000)</f>
        <v>29508</v>
      </c>
      <c r="J1514">
        <f t="shared" si="38"/>
        <v>5.5470784871899147E-3</v>
      </c>
      <c r="K1514">
        <f>10941001/(1000)</f>
        <v>10941.001</v>
      </c>
      <c r="L1514">
        <v>0</v>
      </c>
      <c r="M1514">
        <v>13.3020973205566</v>
      </c>
      <c r="N1514">
        <v>44.834267766898897</v>
      </c>
      <c r="O1514">
        <v>0</v>
      </c>
      <c r="P1514">
        <v>0</v>
      </c>
      <c r="Q1514">
        <v>2.1646090882216402</v>
      </c>
      <c r="R1514">
        <v>26.30000173226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55000000000000004">
      <c r="A1515" t="s">
        <v>3038</v>
      </c>
      <c r="B1515" t="s">
        <v>3039</v>
      </c>
      <c r="C1515" t="s">
        <v>5</v>
      </c>
      <c r="D1515">
        <v>2.66</v>
      </c>
      <c r="E1515">
        <f>80003488/(1000)</f>
        <v>80003.487999999998</v>
      </c>
      <c r="F1515">
        <f>112964000/(1000)</f>
        <v>112964</v>
      </c>
      <c r="G1515">
        <f>-1633000/(1000)</f>
        <v>-1633</v>
      </c>
      <c r="H1515">
        <f>24487488/(1000)</f>
        <v>24487.488000000001</v>
      </c>
      <c r="I1515">
        <f>2282000/(1000)</f>
        <v>2282</v>
      </c>
      <c r="J1515">
        <f t="shared" si="38"/>
        <v>1.0730713409290096E-2</v>
      </c>
      <c r="K1515">
        <f>-15033999/(1000)</f>
        <v>-15033.999</v>
      </c>
      <c r="L1515">
        <v>0</v>
      </c>
      <c r="M1515">
        <v>1.59894299507141</v>
      </c>
      <c r="N1515">
        <v>86.502419007520402</v>
      </c>
      <c r="O1515">
        <v>0</v>
      </c>
      <c r="P1515">
        <v>0</v>
      </c>
      <c r="Q1515">
        <v>0</v>
      </c>
      <c r="R1515">
        <v>38.000001064368703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55000000000000004">
      <c r="A1516" t="s">
        <v>3040</v>
      </c>
      <c r="B1516" t="s">
        <v>3041</v>
      </c>
      <c r="C1516" t="s">
        <v>2</v>
      </c>
      <c r="D1516">
        <v>16.309999999999999</v>
      </c>
      <c r="E1516">
        <f>705842944/(1000)</f>
        <v>705842.94400000002</v>
      </c>
      <c r="F1516">
        <f>112396000/(1000)</f>
        <v>112396</v>
      </c>
      <c r="G1516">
        <f>-17428000/(1000)</f>
        <v>-17428</v>
      </c>
      <c r="H1516">
        <f>584239944/(1000)</f>
        <v>584239.94400000002</v>
      </c>
      <c r="I1516">
        <f>-7332999/(1000)</f>
        <v>-7332.9989999999998</v>
      </c>
      <c r="J1516">
        <f t="shared" si="38"/>
        <v>-7.9672715624262327E-2</v>
      </c>
      <c r="K1516">
        <f>-26420999/(1000)</f>
        <v>-26420.999</v>
      </c>
      <c r="L1516">
        <v>0</v>
      </c>
      <c r="M1516">
        <v>-16.413539886474599</v>
      </c>
      <c r="N1516">
        <v>90.257577039976397</v>
      </c>
      <c r="O1516">
        <v>0</v>
      </c>
      <c r="P1516">
        <v>0</v>
      </c>
      <c r="Q1516">
        <v>3.35596687610545</v>
      </c>
      <c r="R1516">
        <v>0</v>
      </c>
      <c r="S1516">
        <v>434.70980019029503</v>
      </c>
      <c r="T1516">
        <v>0</v>
      </c>
      <c r="U1516">
        <v>0</v>
      </c>
      <c r="V1516">
        <v>0</v>
      </c>
      <c r="W1516">
        <v>0</v>
      </c>
    </row>
    <row r="1517" spans="1:23" x14ac:dyDescent="0.55000000000000004">
      <c r="A1517" t="s">
        <v>3042</v>
      </c>
      <c r="B1517" t="s">
        <v>3043</v>
      </c>
      <c r="C1517" t="s">
        <v>5</v>
      </c>
      <c r="D1517">
        <v>11</v>
      </c>
      <c r="E1517">
        <f>112200000/(1000)</f>
        <v>112200</v>
      </c>
      <c r="F1517">
        <f>112393000/(1000)</f>
        <v>112393</v>
      </c>
      <c r="G1517">
        <f>0/(1000)</f>
        <v>0</v>
      </c>
      <c r="H1517">
        <f>0/(1000)</f>
        <v>0</v>
      </c>
      <c r="I1517">
        <f>0/(1000)</f>
        <v>0</v>
      </c>
      <c r="J1517">
        <f t="shared" si="38"/>
        <v>1</v>
      </c>
      <c r="K1517">
        <f>62596005/(1000)</f>
        <v>62596.004999999997</v>
      </c>
      <c r="L1517">
        <v>0</v>
      </c>
      <c r="M1517">
        <v>5.6118798255920401</v>
      </c>
      <c r="N1517">
        <v>57.5068638204474</v>
      </c>
      <c r="O1517">
        <v>123.199920654297</v>
      </c>
      <c r="P1517">
        <v>0</v>
      </c>
      <c r="Q1517">
        <v>0.69444443775481002</v>
      </c>
      <c r="R1517">
        <v>29.729729645917502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55000000000000004">
      <c r="A1518" t="s">
        <v>3044</v>
      </c>
      <c r="B1518" t="s">
        <v>3045</v>
      </c>
      <c r="C1518" t="s">
        <v>31</v>
      </c>
      <c r="D1518">
        <v>11.96</v>
      </c>
      <c r="E1518">
        <f>280849504/(1000)</f>
        <v>280849.50400000002</v>
      </c>
      <c r="F1518">
        <f>112310000/(1000)</f>
        <v>112310</v>
      </c>
      <c r="G1518">
        <f>-5767000/(1000)</f>
        <v>-5767</v>
      </c>
      <c r="H1518">
        <f>129443504/(1000)</f>
        <v>129443.504</v>
      </c>
      <c r="I1518">
        <f>1798000/(1000)</f>
        <v>1798</v>
      </c>
      <c r="J1518">
        <f t="shared" si="38"/>
        <v>7.1993050055617361E-2</v>
      </c>
      <c r="K1518">
        <f>5203001/(1000)</f>
        <v>5203.0010000000002</v>
      </c>
      <c r="L1518">
        <v>0</v>
      </c>
      <c r="M1518">
        <v>-0.59401202201843295</v>
      </c>
      <c r="N1518">
        <v>94.746274455813406</v>
      </c>
      <c r="O1518">
        <v>0</v>
      </c>
      <c r="P1518">
        <v>0</v>
      </c>
      <c r="Q1518">
        <v>0</v>
      </c>
      <c r="R1518">
        <v>28.476190445779899</v>
      </c>
      <c r="S1518">
        <v>63.941844509969897</v>
      </c>
      <c r="T1518">
        <v>0</v>
      </c>
      <c r="U1518">
        <v>0</v>
      </c>
      <c r="V1518">
        <v>0</v>
      </c>
      <c r="W1518">
        <v>0</v>
      </c>
    </row>
    <row r="1519" spans="1:23" x14ac:dyDescent="0.55000000000000004">
      <c r="A1519" t="s">
        <v>3046</v>
      </c>
      <c r="B1519" t="s">
        <v>3047</v>
      </c>
      <c r="C1519" t="s">
        <v>5</v>
      </c>
      <c r="D1519">
        <v>10.75</v>
      </c>
      <c r="E1519">
        <f>217331680/(1000)</f>
        <v>217331.68</v>
      </c>
      <c r="F1519">
        <f>112242584/(1000)</f>
        <v>112242.584</v>
      </c>
      <c r="G1519">
        <f>0/(1000)</f>
        <v>0</v>
      </c>
      <c r="H1519">
        <f>0/(1000)</f>
        <v>0</v>
      </c>
      <c r="I1519">
        <f>0/(1000)</f>
        <v>0</v>
      </c>
      <c r="J1519">
        <f t="shared" si="38"/>
        <v>1</v>
      </c>
      <c r="K1519">
        <f>0/(1000)</f>
        <v>0</v>
      </c>
      <c r="L1519">
        <v>0</v>
      </c>
      <c r="M1519">
        <v>0</v>
      </c>
      <c r="N1519">
        <v>93.3135155221795</v>
      </c>
      <c r="O1519">
        <v>0</v>
      </c>
      <c r="P1519">
        <v>0</v>
      </c>
      <c r="Q1519">
        <v>0</v>
      </c>
      <c r="R1519">
        <v>14.144736742265399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55000000000000004">
      <c r="A1520" t="s">
        <v>3048</v>
      </c>
      <c r="B1520" t="s">
        <v>3049</v>
      </c>
      <c r="C1520" t="s">
        <v>5</v>
      </c>
      <c r="D1520">
        <v>7.73</v>
      </c>
      <c r="E1520">
        <f>258985936/(1000)</f>
        <v>258985.93599999999</v>
      </c>
      <c r="F1520">
        <f>112077000/(1000)</f>
        <v>112077</v>
      </c>
      <c r="G1520">
        <f>-22048000/(1000)</f>
        <v>-22048</v>
      </c>
      <c r="H1520">
        <f>161475936/(1000)</f>
        <v>161475.93599999999</v>
      </c>
      <c r="I1520">
        <f>-14782000/(1000)</f>
        <v>-14782</v>
      </c>
      <c r="J1520">
        <f t="shared" si="38"/>
        <v>-1.0923821945609523E-2</v>
      </c>
      <c r="K1520">
        <f>14347001/(1000)</f>
        <v>14347.001</v>
      </c>
      <c r="L1520">
        <v>0</v>
      </c>
      <c r="M1520">
        <v>-43.525772094726598</v>
      </c>
      <c r="N1520">
        <v>68.869086933170905</v>
      </c>
      <c r="O1520">
        <v>0.29072099924087502</v>
      </c>
      <c r="P1520">
        <v>0</v>
      </c>
      <c r="Q1520">
        <v>7.2018854376706596</v>
      </c>
      <c r="R1520">
        <v>0</v>
      </c>
      <c r="S1520">
        <v>316.009056827883</v>
      </c>
      <c r="T1520">
        <v>0</v>
      </c>
      <c r="U1520">
        <v>0</v>
      </c>
      <c r="V1520">
        <v>0</v>
      </c>
      <c r="W1520">
        <v>0</v>
      </c>
    </row>
    <row r="1521" spans="1:23" x14ac:dyDescent="0.55000000000000004">
      <c r="A1521" t="s">
        <v>3050</v>
      </c>
      <c r="B1521" t="s">
        <v>3051</v>
      </c>
      <c r="C1521" t="s">
        <v>2</v>
      </c>
      <c r="D1521">
        <v>3.29</v>
      </c>
      <c r="E1521">
        <f>56130032/(1000)</f>
        <v>56130.031999999999</v>
      </c>
      <c r="F1521">
        <f>111112536/(1000)</f>
        <v>111112.53599999999</v>
      </c>
      <c r="G1521">
        <f>6595229/(1000)</f>
        <v>6595.2290000000003</v>
      </c>
      <c r="H1521">
        <f>50309263/(1000)</f>
        <v>50309.262999999999</v>
      </c>
      <c r="I1521">
        <f>8095335/(1000)</f>
        <v>8095.335</v>
      </c>
      <c r="J1521">
        <f t="shared" si="38"/>
        <v>6.2145992722969466E-3</v>
      </c>
      <c r="K1521">
        <f>14459175/(1000)</f>
        <v>14459.174999999999</v>
      </c>
      <c r="L1521">
        <v>36.267402648925803</v>
      </c>
      <c r="M1521">
        <v>-2.74368095397949</v>
      </c>
      <c r="N1521">
        <v>90.836300163234995</v>
      </c>
      <c r="O1521">
        <v>1.1339999735355001E-2</v>
      </c>
      <c r="P1521">
        <v>0</v>
      </c>
      <c r="Q1521">
        <v>0</v>
      </c>
      <c r="R1521">
        <v>3.28999996185303</v>
      </c>
      <c r="S1521">
        <v>310.91914201183403</v>
      </c>
      <c r="T1521">
        <v>0</v>
      </c>
      <c r="U1521">
        <v>0</v>
      </c>
      <c r="V1521">
        <v>0</v>
      </c>
      <c r="W1521">
        <v>0</v>
      </c>
    </row>
    <row r="1522" spans="1:23" x14ac:dyDescent="0.55000000000000004">
      <c r="A1522" t="s">
        <v>3052</v>
      </c>
      <c r="B1522" t="s">
        <v>3053</v>
      </c>
      <c r="C1522" t="s">
        <v>17</v>
      </c>
      <c r="D1522">
        <v>6.8</v>
      </c>
      <c r="E1522">
        <f>425888768/(1000)</f>
        <v>425888.76799999998</v>
      </c>
      <c r="F1522">
        <f>111038288/(1000)</f>
        <v>111038.288</v>
      </c>
      <c r="G1522">
        <f>-11449892/(1000)</f>
        <v>-11449.892</v>
      </c>
      <c r="H1522">
        <f>503008472/(1000)</f>
        <v>503008.47200000001</v>
      </c>
      <c r="I1522">
        <f>-7426349/(1000)</f>
        <v>-7426.3490000000002</v>
      </c>
      <c r="J1522">
        <f t="shared" si="38"/>
        <v>-6.7732942795982257E-2</v>
      </c>
      <c r="K1522">
        <f>-1027439.9375/(1000)</f>
        <v>-1027.4399375</v>
      </c>
      <c r="L1522">
        <v>0</v>
      </c>
      <c r="M1522">
        <v>-72.171821594238295</v>
      </c>
      <c r="N1522">
        <v>95.010914456109901</v>
      </c>
      <c r="O1522">
        <v>28.993288040161101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55000000000000004">
      <c r="A1523" t="s">
        <v>3054</v>
      </c>
      <c r="B1523" t="s">
        <v>3055</v>
      </c>
      <c r="C1523" t="s">
        <v>184</v>
      </c>
      <c r="D1523">
        <v>16.05</v>
      </c>
      <c r="E1523">
        <f>400113632/(1000)</f>
        <v>400113.63199999998</v>
      </c>
      <c r="F1523">
        <f>110157000/(1000)</f>
        <v>110157</v>
      </c>
      <c r="G1523">
        <f>0/(1000)</f>
        <v>0</v>
      </c>
      <c r="H1523">
        <f>0/(1000)</f>
        <v>0</v>
      </c>
      <c r="I1523">
        <f>0/(1000)</f>
        <v>0</v>
      </c>
      <c r="J1523">
        <f t="shared" si="38"/>
        <v>1</v>
      </c>
      <c r="K1523">
        <f>6322001/(1000)</f>
        <v>6322.0010000000002</v>
      </c>
      <c r="L1523">
        <v>0</v>
      </c>
      <c r="M1523">
        <v>2.4210889339446999</v>
      </c>
      <c r="N1523">
        <v>40.600180981294699</v>
      </c>
      <c r="O1523">
        <v>63.029823303222699</v>
      </c>
      <c r="P1523">
        <v>0.22857142984867099</v>
      </c>
      <c r="Q1523">
        <v>1.9664297748302699</v>
      </c>
      <c r="R1523">
        <v>76.428568148035197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55000000000000004">
      <c r="A1524" t="s">
        <v>3056</v>
      </c>
      <c r="B1524" t="s">
        <v>3057</v>
      </c>
      <c r="C1524" t="s">
        <v>38</v>
      </c>
      <c r="D1524">
        <v>26.8</v>
      </c>
      <c r="E1524">
        <f>291712640/(1000)</f>
        <v>291712.64000000001</v>
      </c>
      <c r="F1524">
        <f>110012792/(1000)</f>
        <v>110012.792</v>
      </c>
      <c r="G1524">
        <f>19047600/(1000)</f>
        <v>19047.599999999999</v>
      </c>
      <c r="H1524">
        <f>267630156/(1000)</f>
        <v>267630.15600000002</v>
      </c>
      <c r="I1524">
        <f>21016100/(1000)</f>
        <v>21016.1</v>
      </c>
      <c r="J1524">
        <f t="shared" si="38"/>
        <v>1.2734530003188034E-2</v>
      </c>
      <c r="K1524">
        <f>17915655/(1000)</f>
        <v>17915.654999999999</v>
      </c>
      <c r="L1524">
        <v>26.707199096679702</v>
      </c>
      <c r="M1524">
        <v>33.510105133056598</v>
      </c>
      <c r="N1524">
        <v>84.884426321719602</v>
      </c>
      <c r="O1524">
        <v>0</v>
      </c>
      <c r="P1524">
        <v>1.4400000572204601</v>
      </c>
      <c r="Q1524">
        <v>7.5920678340711998</v>
      </c>
      <c r="R1524">
        <v>19.851850936115198</v>
      </c>
      <c r="S1524">
        <v>49.182024300282102</v>
      </c>
      <c r="T1524">
        <v>0</v>
      </c>
      <c r="U1524">
        <v>0</v>
      </c>
      <c r="V1524">
        <v>0</v>
      </c>
      <c r="W1524">
        <v>0</v>
      </c>
    </row>
    <row r="1525" spans="1:23" x14ac:dyDescent="0.55000000000000004">
      <c r="A1525" t="s">
        <v>3058</v>
      </c>
      <c r="B1525" t="s">
        <v>3059</v>
      </c>
      <c r="C1525" t="s">
        <v>5</v>
      </c>
      <c r="D1525">
        <v>1.23</v>
      </c>
      <c r="E1525">
        <f>171537888/(1000)</f>
        <v>171537.88800000001</v>
      </c>
      <c r="F1525">
        <f>109977000/(1000)</f>
        <v>109977</v>
      </c>
      <c r="G1525">
        <f>-4810000/(1000)</f>
        <v>-4810</v>
      </c>
      <c r="H1525">
        <f>75379888/(1000)</f>
        <v>75379.888000000006</v>
      </c>
      <c r="I1525">
        <f>4897000/(1000)</f>
        <v>4897</v>
      </c>
      <c r="J1525">
        <f t="shared" si="38"/>
        <v>1.5393074943843172E-2</v>
      </c>
      <c r="K1525">
        <f>13209001/(1000)</f>
        <v>13209.001</v>
      </c>
      <c r="L1525">
        <v>0</v>
      </c>
      <c r="M1525">
        <v>-3.0510489940643302</v>
      </c>
      <c r="N1525">
        <v>74.313786866887298</v>
      </c>
      <c r="O1525">
        <v>0</v>
      </c>
      <c r="P1525">
        <v>0</v>
      </c>
      <c r="Q1525">
        <v>0</v>
      </c>
      <c r="R1525">
        <v>8.7857142676580295</v>
      </c>
      <c r="S1525">
        <v>84.259290285829195</v>
      </c>
      <c r="T1525">
        <v>0</v>
      </c>
      <c r="U1525">
        <v>0</v>
      </c>
      <c r="V1525">
        <v>0</v>
      </c>
      <c r="W1525">
        <v>0</v>
      </c>
    </row>
    <row r="1526" spans="1:23" x14ac:dyDescent="0.55000000000000004">
      <c r="A1526" t="s">
        <v>3060</v>
      </c>
      <c r="B1526" t="s">
        <v>3061</v>
      </c>
      <c r="C1526" t="s">
        <v>31</v>
      </c>
      <c r="D1526">
        <v>6.41</v>
      </c>
      <c r="E1526">
        <f>109301400/(1000)</f>
        <v>109301.4</v>
      </c>
      <c r="F1526">
        <f>109901000/(1000)</f>
        <v>109901</v>
      </c>
      <c r="G1526">
        <f>7994000/(1000)</f>
        <v>7994</v>
      </c>
      <c r="H1526">
        <f>59980396/(1000)</f>
        <v>59980.396000000001</v>
      </c>
      <c r="I1526">
        <f>10653000/(1000)</f>
        <v>10653</v>
      </c>
      <c r="J1526">
        <f t="shared" si="38"/>
        <v>5.6303760443067678E-3</v>
      </c>
      <c r="K1526">
        <f>16068000/(1000)</f>
        <v>16068</v>
      </c>
      <c r="L1526">
        <v>0</v>
      </c>
      <c r="M1526">
        <v>47.892234802246101</v>
      </c>
      <c r="N1526">
        <v>59.2427713908789</v>
      </c>
      <c r="O1526">
        <v>0</v>
      </c>
      <c r="P1526">
        <v>0</v>
      </c>
      <c r="Q1526">
        <v>2.61632641741059</v>
      </c>
      <c r="R1526">
        <v>24.653845764784801</v>
      </c>
      <c r="S1526">
        <v>129.88955361251701</v>
      </c>
      <c r="T1526">
        <v>0</v>
      </c>
      <c r="U1526">
        <v>0</v>
      </c>
      <c r="V1526">
        <v>0</v>
      </c>
      <c r="W1526">
        <v>0</v>
      </c>
    </row>
    <row r="1527" spans="1:23" x14ac:dyDescent="0.55000000000000004">
      <c r="A1527" t="s">
        <v>3062</v>
      </c>
      <c r="B1527" t="s">
        <v>3063</v>
      </c>
      <c r="C1527" t="s">
        <v>5</v>
      </c>
      <c r="D1527">
        <v>3.02</v>
      </c>
      <c r="E1527">
        <f>138340768/(1000)</f>
        <v>138340.76800000001</v>
      </c>
      <c r="F1527">
        <f>109610000/(1000)</f>
        <v>109610</v>
      </c>
      <c r="G1527">
        <f>1928000/(1000)</f>
        <v>1928</v>
      </c>
      <c r="H1527">
        <f>27538768/(1000)</f>
        <v>27538.768</v>
      </c>
      <c r="I1527">
        <f>4649000/(1000)</f>
        <v>4649</v>
      </c>
      <c r="J1527">
        <f t="shared" si="38"/>
        <v>5.9235895891589585E-3</v>
      </c>
      <c r="K1527">
        <f>5311001/(1000)</f>
        <v>5311.0010000000002</v>
      </c>
      <c r="L1527">
        <v>0</v>
      </c>
      <c r="M1527">
        <v>1.2439479827880899</v>
      </c>
      <c r="N1527">
        <v>93.0289756465191</v>
      </c>
      <c r="O1527">
        <v>0.12206699699163399</v>
      </c>
      <c r="P1527">
        <v>0</v>
      </c>
      <c r="Q1527">
        <v>0</v>
      </c>
      <c r="R1527">
        <v>148.76846532727501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55000000000000004">
      <c r="A1528" t="s">
        <v>3064</v>
      </c>
      <c r="B1528" t="s">
        <v>3065</v>
      </c>
      <c r="C1528" t="s">
        <v>5</v>
      </c>
      <c r="D1528">
        <v>22.01</v>
      </c>
      <c r="E1528">
        <f>480506944/(1000)</f>
        <v>480506.94400000002</v>
      </c>
      <c r="F1528">
        <f>109033000/(1000)</f>
        <v>109033</v>
      </c>
      <c r="G1528">
        <f>-546000/(1000)</f>
        <v>-546</v>
      </c>
      <c r="H1528">
        <f>395995944/(1000)</f>
        <v>395995.94400000002</v>
      </c>
      <c r="I1528">
        <f>8588000/(1000)</f>
        <v>8588</v>
      </c>
      <c r="J1528">
        <f t="shared" si="38"/>
        <v>4.611038006520727E-2</v>
      </c>
      <c r="K1528">
        <f>22687001/(1000)</f>
        <v>22687.001</v>
      </c>
      <c r="L1528">
        <v>0</v>
      </c>
      <c r="M1528">
        <v>1.6506999731063801</v>
      </c>
      <c r="N1528">
        <v>80.732706738637802</v>
      </c>
      <c r="O1528">
        <v>0</v>
      </c>
      <c r="P1528">
        <v>0</v>
      </c>
      <c r="Q1528">
        <v>2.5430388108545898</v>
      </c>
      <c r="R1528">
        <v>26.841463927886501</v>
      </c>
      <c r="S1528">
        <v>3666.2521588946502</v>
      </c>
      <c r="T1528">
        <v>0</v>
      </c>
      <c r="U1528">
        <v>0</v>
      </c>
      <c r="V1528">
        <v>0</v>
      </c>
      <c r="W1528">
        <v>0</v>
      </c>
    </row>
    <row r="1529" spans="1:23" x14ac:dyDescent="0.55000000000000004">
      <c r="A1529" t="s">
        <v>3066</v>
      </c>
      <c r="B1529" t="s">
        <v>3067</v>
      </c>
      <c r="C1529" t="s">
        <v>31</v>
      </c>
      <c r="D1529">
        <v>13.41</v>
      </c>
      <c r="E1529">
        <f>125423728/(1000)</f>
        <v>125423.728</v>
      </c>
      <c r="F1529">
        <f>108874000/(1000)</f>
        <v>108874</v>
      </c>
      <c r="G1529">
        <f>20881000/(1000)</f>
        <v>20881</v>
      </c>
      <c r="H1529">
        <f>68802724/(1000)</f>
        <v>68802.724000000002</v>
      </c>
      <c r="I1529">
        <f>22406000/(1000)</f>
        <v>22406</v>
      </c>
      <c r="J1529">
        <f t="shared" si="38"/>
        <v>3.0707276622333308E-3</v>
      </c>
      <c r="K1529">
        <f>24853001/(1000)</f>
        <v>24853.001</v>
      </c>
      <c r="L1529">
        <v>20.286457061767599</v>
      </c>
      <c r="M1529">
        <v>15.7187948226929</v>
      </c>
      <c r="N1529">
        <v>95.804557892458206</v>
      </c>
      <c r="O1529">
        <v>0</v>
      </c>
      <c r="P1529">
        <v>0</v>
      </c>
      <c r="Q1529">
        <v>0</v>
      </c>
      <c r="R1529">
        <v>10.8145161827214</v>
      </c>
      <c r="S1529">
        <v>133.73049097271399</v>
      </c>
      <c r="T1529">
        <v>0</v>
      </c>
      <c r="U1529">
        <v>0</v>
      </c>
      <c r="V1529">
        <v>0</v>
      </c>
      <c r="W1529">
        <v>0</v>
      </c>
    </row>
    <row r="1530" spans="1:23" x14ac:dyDescent="0.55000000000000004">
      <c r="A1530" t="s">
        <v>3068</v>
      </c>
      <c r="B1530" t="s">
        <v>3069</v>
      </c>
      <c r="C1530" t="s">
        <v>31</v>
      </c>
      <c r="D1530">
        <v>8.44</v>
      </c>
      <c r="E1530">
        <f>513448224/(1000)</f>
        <v>513448.22399999999</v>
      </c>
      <c r="F1530">
        <f>108541000/(1000)</f>
        <v>108541</v>
      </c>
      <c r="G1530">
        <f>-23580000/(1000)</f>
        <v>-23580</v>
      </c>
      <c r="H1530">
        <f>381017224/(1000)</f>
        <v>381017.22399999999</v>
      </c>
      <c r="I1530">
        <f>-447000/(1000)</f>
        <v>-447</v>
      </c>
      <c r="J1530">
        <f t="shared" si="38"/>
        <v>-0.85238752572706933</v>
      </c>
      <c r="K1530">
        <f>-544999/(1000)</f>
        <v>-544.99900000000002</v>
      </c>
      <c r="L1530">
        <v>0</v>
      </c>
      <c r="M1530">
        <v>0</v>
      </c>
      <c r="N1530">
        <v>23.013852856199399</v>
      </c>
      <c r="O1530">
        <v>0</v>
      </c>
      <c r="P1530">
        <v>0</v>
      </c>
      <c r="Q1530">
        <v>4.9069764186009204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55000000000000004">
      <c r="A1531" t="s">
        <v>3070</v>
      </c>
      <c r="B1531" t="s">
        <v>3071</v>
      </c>
      <c r="C1531" t="s">
        <v>5</v>
      </c>
      <c r="D1531">
        <v>4.91</v>
      </c>
      <c r="E1531">
        <f>151177920/(1000)</f>
        <v>151177.92000000001</v>
      </c>
      <c r="F1531">
        <f>108106000/(1000)</f>
        <v>108106</v>
      </c>
      <c r="G1531">
        <f>-17143000/(1000)</f>
        <v>-17143</v>
      </c>
      <c r="H1531">
        <f>150550920/(1000)</f>
        <v>150550.92000000001</v>
      </c>
      <c r="I1531">
        <f>-13074000/(1000)</f>
        <v>-13074</v>
      </c>
      <c r="J1531">
        <f t="shared" si="38"/>
        <v>-1.1515291418081689E-2</v>
      </c>
      <c r="K1531">
        <f>-18046999/(1000)</f>
        <v>-18046.999</v>
      </c>
      <c r="L1531">
        <v>0</v>
      </c>
      <c r="M1531">
        <v>-44.504695892333999</v>
      </c>
      <c r="N1531">
        <v>67.655845651319197</v>
      </c>
      <c r="O1531">
        <v>27.686344146728501</v>
      </c>
      <c r="P1531">
        <v>0</v>
      </c>
      <c r="Q1531">
        <v>0</v>
      </c>
      <c r="R1531">
        <v>0</v>
      </c>
      <c r="S1531">
        <v>1252.00100050025</v>
      </c>
      <c r="T1531">
        <v>0</v>
      </c>
      <c r="U1531">
        <v>0</v>
      </c>
      <c r="V1531">
        <v>0</v>
      </c>
      <c r="W1531">
        <v>0</v>
      </c>
    </row>
    <row r="1532" spans="1:23" x14ac:dyDescent="0.55000000000000004">
      <c r="A1532" t="s">
        <v>3072</v>
      </c>
      <c r="B1532" t="s">
        <v>3073</v>
      </c>
      <c r="C1532" t="s">
        <v>5</v>
      </c>
      <c r="D1532">
        <v>8.99</v>
      </c>
      <c r="E1532">
        <f>262261680/(1000)</f>
        <v>262261.68</v>
      </c>
      <c r="F1532">
        <f>107932000/(1000)</f>
        <v>107932</v>
      </c>
      <c r="G1532">
        <f>10930000/(1000)</f>
        <v>10930</v>
      </c>
      <c r="H1532">
        <f>232555680/(1000)</f>
        <v>232555.68</v>
      </c>
      <c r="I1532">
        <f>14768000/(1000)</f>
        <v>14768</v>
      </c>
      <c r="J1532">
        <f t="shared" si="38"/>
        <v>1.5747269772481039E-2</v>
      </c>
      <c r="K1532">
        <f>23806001/(1000)</f>
        <v>23806.001</v>
      </c>
      <c r="L1532">
        <v>32.6536254882813</v>
      </c>
      <c r="M1532">
        <v>11.001905441284199</v>
      </c>
      <c r="N1532">
        <v>19.562877633796099</v>
      </c>
      <c r="O1532">
        <v>0</v>
      </c>
      <c r="P1532">
        <v>0.28000000119209301</v>
      </c>
      <c r="Q1532">
        <v>0</v>
      </c>
      <c r="R1532">
        <v>23.051280988802802</v>
      </c>
      <c r="S1532">
        <v>-17.754810884833599</v>
      </c>
      <c r="T1532">
        <v>0</v>
      </c>
      <c r="U1532">
        <v>0</v>
      </c>
      <c r="V1532">
        <v>0</v>
      </c>
      <c r="W1532">
        <v>0</v>
      </c>
    </row>
    <row r="1533" spans="1:23" x14ac:dyDescent="0.55000000000000004">
      <c r="A1533" t="s">
        <v>3074</v>
      </c>
      <c r="B1533" t="s">
        <v>3075</v>
      </c>
      <c r="C1533" t="s">
        <v>5</v>
      </c>
      <c r="D1533">
        <v>13.32</v>
      </c>
      <c r="E1533">
        <f>194473328/(1000)</f>
        <v>194473.32800000001</v>
      </c>
      <c r="F1533">
        <f>106867848/(1000)</f>
        <v>106867.848</v>
      </c>
      <c r="G1533">
        <f>14083551/(1000)</f>
        <v>14083.550999999999</v>
      </c>
      <c r="H1533">
        <f>180286440/(1000)</f>
        <v>180286.44</v>
      </c>
      <c r="I1533">
        <f>15822176/(1000)</f>
        <v>15822.175999999999</v>
      </c>
      <c r="J1533">
        <f t="shared" si="38"/>
        <v>1.1394541433491829E-2</v>
      </c>
      <c r="K1533">
        <f>4418727/(1000)</f>
        <v>4418.7269999999999</v>
      </c>
      <c r="L1533">
        <v>274.560546875</v>
      </c>
      <c r="M1533">
        <v>15.3078527450562</v>
      </c>
      <c r="N1533">
        <v>97.253446376499895</v>
      </c>
      <c r="O1533">
        <v>7.3329310417175302</v>
      </c>
      <c r="P1533">
        <v>0.239999994635582</v>
      </c>
      <c r="Q1533">
        <v>0</v>
      </c>
      <c r="R1533">
        <v>18.4999996067749</v>
      </c>
      <c r="S1533">
        <v>53.503853833005401</v>
      </c>
      <c r="T1533">
        <v>0</v>
      </c>
      <c r="U1533">
        <v>0</v>
      </c>
      <c r="V1533">
        <v>0</v>
      </c>
      <c r="W1533">
        <v>0</v>
      </c>
    </row>
    <row r="1534" spans="1:23" x14ac:dyDescent="0.55000000000000004">
      <c r="A1534" t="s">
        <v>3076</v>
      </c>
      <c r="B1534" t="s">
        <v>3077</v>
      </c>
      <c r="C1534" t="s">
        <v>8</v>
      </c>
      <c r="D1534">
        <v>3.95</v>
      </c>
      <c r="E1534">
        <f>168378624/(1000)</f>
        <v>168378.62400000001</v>
      </c>
      <c r="F1534">
        <f>105838000/(1000)</f>
        <v>105838</v>
      </c>
      <c r="G1534">
        <f>40464000/(1000)</f>
        <v>40464</v>
      </c>
      <c r="H1534">
        <f>259800624/(1000)</f>
        <v>259800.62400000001</v>
      </c>
      <c r="I1534">
        <f>70145000/(1000)</f>
        <v>70145</v>
      </c>
      <c r="J1534">
        <f t="shared" si="38"/>
        <v>3.7037654002423552E-3</v>
      </c>
      <c r="K1534">
        <f>-151599007/(1000)</f>
        <v>-151599.00700000001</v>
      </c>
      <c r="L1534">
        <v>0</v>
      </c>
      <c r="M1534">
        <v>17.6547145843506</v>
      </c>
      <c r="N1534">
        <v>62.028270135074003</v>
      </c>
      <c r="O1534">
        <v>21.8770751953125</v>
      </c>
      <c r="P1534">
        <v>0</v>
      </c>
      <c r="Q1534">
        <v>0</v>
      </c>
      <c r="R1534">
        <v>3.40517242165564</v>
      </c>
      <c r="S1534">
        <v>794.73328261053302</v>
      </c>
      <c r="T1534">
        <v>0</v>
      </c>
      <c r="U1534">
        <v>0</v>
      </c>
      <c r="V1534">
        <v>0</v>
      </c>
      <c r="W1534">
        <v>0</v>
      </c>
    </row>
    <row r="1535" spans="1:23" x14ac:dyDescent="0.55000000000000004">
      <c r="A1535" t="s">
        <v>3078</v>
      </c>
      <c r="B1535" t="s">
        <v>3079</v>
      </c>
      <c r="C1535" t="s">
        <v>5</v>
      </c>
      <c r="D1535">
        <v>13.57</v>
      </c>
      <c r="E1535">
        <f>1217233152/(1000)</f>
        <v>1217233.152</v>
      </c>
      <c r="F1535">
        <f>105794000/(1000)</f>
        <v>105794</v>
      </c>
      <c r="G1535">
        <f>25164000/(1000)</f>
        <v>25164</v>
      </c>
      <c r="H1535">
        <f>836487168/(1000)</f>
        <v>836487.16799999995</v>
      </c>
      <c r="I1535">
        <f>29622000/(1000)</f>
        <v>29622</v>
      </c>
      <c r="J1535">
        <f t="shared" si="38"/>
        <v>2.8238713388697587E-2</v>
      </c>
      <c r="K1535">
        <f>33805001/(1000)</f>
        <v>33805.000999999997</v>
      </c>
      <c r="L1535">
        <v>0</v>
      </c>
      <c r="M1535">
        <v>5.7239642143249503</v>
      </c>
      <c r="N1535">
        <v>47.389583974004701</v>
      </c>
      <c r="O1535">
        <v>0</v>
      </c>
      <c r="P1535">
        <v>0</v>
      </c>
      <c r="Q1535">
        <v>2.4362655792839298</v>
      </c>
      <c r="R1535">
        <v>35.710525960803402</v>
      </c>
      <c r="S1535">
        <v>546.78119459558604</v>
      </c>
      <c r="T1535">
        <v>0</v>
      </c>
      <c r="U1535">
        <v>0</v>
      </c>
      <c r="V1535">
        <v>0</v>
      </c>
      <c r="W1535">
        <v>0</v>
      </c>
    </row>
    <row r="1536" spans="1:23" x14ac:dyDescent="0.55000000000000004">
      <c r="A1536" t="s">
        <v>3080</v>
      </c>
      <c r="B1536" t="s">
        <v>3081</v>
      </c>
      <c r="C1536" t="s">
        <v>31</v>
      </c>
      <c r="D1536">
        <v>5.8</v>
      </c>
      <c r="E1536">
        <f>200120880/(1000)</f>
        <v>200120.88</v>
      </c>
      <c r="F1536">
        <f>105152000/(1000)</f>
        <v>105152</v>
      </c>
      <c r="G1536">
        <f>32261000/(1000)</f>
        <v>32261</v>
      </c>
      <c r="H1536">
        <f>288214880/(1000)</f>
        <v>288214.88</v>
      </c>
      <c r="I1536">
        <f>43828000/(1000)</f>
        <v>43828</v>
      </c>
      <c r="J1536">
        <f t="shared" si="38"/>
        <v>6.5760445377384324E-3</v>
      </c>
      <c r="K1536">
        <f>26042001/(1000)</f>
        <v>26042.001</v>
      </c>
      <c r="L1536">
        <v>0</v>
      </c>
      <c r="M1536">
        <v>0</v>
      </c>
      <c r="N1536">
        <v>90.856893263306503</v>
      </c>
      <c r="O1536">
        <v>128.81468200683599</v>
      </c>
      <c r="P1536">
        <v>0</v>
      </c>
      <c r="Q1536">
        <v>1.7058823611909499</v>
      </c>
      <c r="R1536">
        <v>12.8888892273844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55000000000000004">
      <c r="A1537" t="s">
        <v>3082</v>
      </c>
      <c r="B1537" t="s">
        <v>3083</v>
      </c>
      <c r="C1537" t="s">
        <v>5</v>
      </c>
      <c r="D1537">
        <v>1.1100000000000001</v>
      </c>
      <c r="E1537">
        <f>49591804/(1000)</f>
        <v>49591.803999999996</v>
      </c>
      <c r="F1537">
        <f>104793000/(1000)</f>
        <v>104793</v>
      </c>
      <c r="G1537">
        <f>-17100000/(1000)</f>
        <v>-17100</v>
      </c>
      <c r="H1537">
        <f>51489804/(1000)</f>
        <v>51489.803999999996</v>
      </c>
      <c r="I1537">
        <f>-3927000/(1000)</f>
        <v>-3927</v>
      </c>
      <c r="J1537">
        <f t="shared" si="38"/>
        <v>-1.3111740259740259E-2</v>
      </c>
      <c r="K1537">
        <f>-1230999/(1000)</f>
        <v>-1230.999</v>
      </c>
      <c r="L1537">
        <v>0</v>
      </c>
      <c r="M1537">
        <v>-135.35281372070301</v>
      </c>
      <c r="N1537">
        <v>99.434165667254604</v>
      </c>
      <c r="O1537">
        <v>107.161590576172</v>
      </c>
      <c r="P1537">
        <v>0</v>
      </c>
      <c r="Q1537">
        <v>0</v>
      </c>
      <c r="R1537">
        <v>0</v>
      </c>
      <c r="S1537">
        <v>168.08135072908701</v>
      </c>
      <c r="T1537">
        <v>0</v>
      </c>
      <c r="U1537">
        <v>0</v>
      </c>
      <c r="V1537">
        <v>0</v>
      </c>
      <c r="W1537">
        <v>0</v>
      </c>
    </row>
    <row r="1538" spans="1:23" x14ac:dyDescent="0.55000000000000004">
      <c r="A1538" t="s">
        <v>3084</v>
      </c>
      <c r="B1538" t="s">
        <v>3085</v>
      </c>
      <c r="C1538" t="s">
        <v>184</v>
      </c>
      <c r="D1538">
        <v>3.35</v>
      </c>
      <c r="E1538">
        <f>104690512/(1000)</f>
        <v>104690.512</v>
      </c>
      <c r="F1538">
        <f>103817000/(1000)</f>
        <v>103817</v>
      </c>
      <c r="G1538">
        <f>0/(1000)</f>
        <v>0</v>
      </c>
      <c r="H1538">
        <f>0/(1000)</f>
        <v>0</v>
      </c>
      <c r="I1538">
        <f>0/(1000)</f>
        <v>0</v>
      </c>
      <c r="J1538">
        <f t="shared" ref="J1538:J1601" si="40">(IF(I1538=0,1000,H1538/I1538))/(1000)</f>
        <v>1</v>
      </c>
      <c r="K1538">
        <f>-2345999/(1000)</f>
        <v>-2345.9989999999998</v>
      </c>
      <c r="L1538">
        <v>0</v>
      </c>
      <c r="M1538">
        <v>0.70324200391769398</v>
      </c>
      <c r="N1538">
        <v>24.334978943477701</v>
      </c>
      <c r="O1538">
        <v>235.59922790527301</v>
      </c>
      <c r="P1538">
        <v>0</v>
      </c>
      <c r="Q1538">
        <v>0.62305062192796201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55000000000000004">
      <c r="A1539" t="s">
        <v>3086</v>
      </c>
      <c r="B1539" t="s">
        <v>3087</v>
      </c>
      <c r="C1539" t="s">
        <v>31</v>
      </c>
      <c r="D1539">
        <v>2.4500000000000002</v>
      </c>
      <c r="E1539">
        <f>203550656/(1000)</f>
        <v>203550.65599999999</v>
      </c>
      <c r="F1539">
        <f>103111000/(1000)</f>
        <v>103111</v>
      </c>
      <c r="G1539">
        <f>-26080000/(1000)</f>
        <v>-26080</v>
      </c>
      <c r="H1539">
        <f>26895648/(1000)</f>
        <v>26895.648000000001</v>
      </c>
      <c r="I1539">
        <f>-4484000/(1000)</f>
        <v>-4484</v>
      </c>
      <c r="J1539">
        <f t="shared" si="40"/>
        <v>-5.9981373773416594E-3</v>
      </c>
      <c r="K1539">
        <f>2276001/(1000)</f>
        <v>2276.0010000000002</v>
      </c>
      <c r="L1539">
        <v>0</v>
      </c>
      <c r="M1539">
        <v>0</v>
      </c>
      <c r="N1539">
        <v>76.8825686558624</v>
      </c>
      <c r="O1539">
        <v>0</v>
      </c>
      <c r="P1539">
        <v>0</v>
      </c>
      <c r="Q1539">
        <v>1.3279132843858099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55000000000000004">
      <c r="A1540" t="s">
        <v>3088</v>
      </c>
      <c r="B1540" t="s">
        <v>3089</v>
      </c>
      <c r="C1540" t="s">
        <v>184</v>
      </c>
      <c r="D1540">
        <v>25.14</v>
      </c>
      <c r="E1540">
        <f>264367216/(1000)</f>
        <v>264367.21600000001</v>
      </c>
      <c r="F1540">
        <f>102865000/(1000)</f>
        <v>102865</v>
      </c>
      <c r="G1540">
        <f>0/(1000)</f>
        <v>0</v>
      </c>
      <c r="H1540">
        <f>0/(1000)</f>
        <v>0</v>
      </c>
      <c r="I1540">
        <f>0/(1000)</f>
        <v>0</v>
      </c>
      <c r="J1540">
        <f t="shared" si="40"/>
        <v>1</v>
      </c>
      <c r="K1540">
        <f>18807001/(1000)</f>
        <v>18807.001</v>
      </c>
      <c r="L1540">
        <v>15.0031442642212</v>
      </c>
      <c r="M1540">
        <v>14.4201412200928</v>
      </c>
      <c r="N1540">
        <v>94.392243582255901</v>
      </c>
      <c r="O1540">
        <v>191.171798706055</v>
      </c>
      <c r="P1540">
        <v>0.77370601892471302</v>
      </c>
      <c r="Q1540">
        <v>0</v>
      </c>
      <c r="R1540">
        <v>12.958762388836799</v>
      </c>
      <c r="S1540">
        <v>19.346791971226398</v>
      </c>
      <c r="T1540">
        <v>0</v>
      </c>
      <c r="U1540">
        <v>0</v>
      </c>
      <c r="V1540">
        <v>0</v>
      </c>
      <c r="W1540">
        <v>0</v>
      </c>
    </row>
    <row r="1541" spans="1:23" x14ac:dyDescent="0.55000000000000004">
      <c r="A1541" t="s">
        <v>3090</v>
      </c>
      <c r="B1541" t="s">
        <v>3091</v>
      </c>
      <c r="C1541" t="s">
        <v>5</v>
      </c>
      <c r="D1541">
        <v>7.46</v>
      </c>
      <c r="E1541">
        <f>169121936/(1000)</f>
        <v>169121.93599999999</v>
      </c>
      <c r="F1541">
        <f>102648000/(1000)</f>
        <v>102648</v>
      </c>
      <c r="G1541">
        <f>27702000/(1000)</f>
        <v>27702</v>
      </c>
      <c r="H1541">
        <f>144819936/(1000)</f>
        <v>144819.93599999999</v>
      </c>
      <c r="I1541">
        <f>30490000/(1000)</f>
        <v>30490</v>
      </c>
      <c r="J1541">
        <f t="shared" si="40"/>
        <v>4.7497519186618558E-3</v>
      </c>
      <c r="K1541">
        <f>13692001/(1000)</f>
        <v>13692.001</v>
      </c>
      <c r="L1541">
        <v>0</v>
      </c>
      <c r="M1541">
        <v>44.948040008544901</v>
      </c>
      <c r="N1541">
        <v>88.060696388173795</v>
      </c>
      <c r="O1541">
        <v>0.193046003580093</v>
      </c>
      <c r="P1541">
        <v>0</v>
      </c>
      <c r="Q1541">
        <v>2.6738351756794598</v>
      </c>
      <c r="R1541">
        <v>10.970588416402499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55000000000000004">
      <c r="A1542" t="s">
        <v>3092</v>
      </c>
      <c r="B1542" t="s">
        <v>3093</v>
      </c>
      <c r="C1542" t="s">
        <v>38</v>
      </c>
      <c r="D1542">
        <v>24.98</v>
      </c>
      <c r="E1542">
        <f>364233376/(1000)</f>
        <v>364233.37599999999</v>
      </c>
      <c r="F1542">
        <f>102418000/(1000)</f>
        <v>102418</v>
      </c>
      <c r="G1542">
        <f>18019000/(1000)</f>
        <v>18019</v>
      </c>
      <c r="H1542">
        <f>354579376/(1000)</f>
        <v>354579.37599999999</v>
      </c>
      <c r="I1542">
        <f>21535000/(1000)</f>
        <v>21535</v>
      </c>
      <c r="J1542">
        <f t="shared" si="40"/>
        <v>1.6465260088228465E-2</v>
      </c>
      <c r="K1542">
        <f>5402001/(1000)</f>
        <v>5402.0010000000002</v>
      </c>
      <c r="L1542">
        <v>25.9026203155518</v>
      </c>
      <c r="M1542">
        <v>11.907890319824199</v>
      </c>
      <c r="N1542">
        <v>91.598653724009495</v>
      </c>
      <c r="O1542">
        <v>0</v>
      </c>
      <c r="P1542">
        <v>0</v>
      </c>
      <c r="Q1542">
        <v>0</v>
      </c>
      <c r="R1542">
        <v>29.046511115755099</v>
      </c>
      <c r="S1542">
        <v>114.780329243997</v>
      </c>
      <c r="T1542">
        <v>0</v>
      </c>
      <c r="U1542">
        <v>0</v>
      </c>
      <c r="V1542">
        <v>0</v>
      </c>
      <c r="W1542">
        <v>0</v>
      </c>
    </row>
    <row r="1543" spans="1:23" x14ac:dyDescent="0.55000000000000004">
      <c r="A1543" t="s">
        <v>3094</v>
      </c>
      <c r="B1543" t="s">
        <v>3095</v>
      </c>
      <c r="C1543" t="s">
        <v>5</v>
      </c>
      <c r="D1543">
        <v>3.92</v>
      </c>
      <c r="E1543">
        <f>105683200/(1000)</f>
        <v>105683.2</v>
      </c>
      <c r="F1543">
        <f>102083728/(1000)</f>
        <v>102083.728</v>
      </c>
      <c r="G1543">
        <f>17631760/(1000)</f>
        <v>17631.759999999998</v>
      </c>
      <c r="H1543">
        <f>135334778/(1000)</f>
        <v>135334.77799999999</v>
      </c>
      <c r="I1543">
        <f>19736516/(1000)</f>
        <v>19736.516</v>
      </c>
      <c r="J1543">
        <f t="shared" si="40"/>
        <v>6.857075382504187E-3</v>
      </c>
      <c r="K1543">
        <f>4146726.75/(1000)</f>
        <v>4146.7267499999998</v>
      </c>
      <c r="L1543">
        <v>0</v>
      </c>
      <c r="M1543">
        <v>24.882368087768601</v>
      </c>
      <c r="N1543">
        <v>48.942138160529097</v>
      </c>
      <c r="O1543">
        <v>34.173015594482401</v>
      </c>
      <c r="P1543">
        <v>0</v>
      </c>
      <c r="Q1543">
        <v>0</v>
      </c>
      <c r="R1543">
        <v>5.0909091190576801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55000000000000004">
      <c r="A1544" t="s">
        <v>3096</v>
      </c>
      <c r="B1544" t="s">
        <v>3097</v>
      </c>
      <c r="C1544" t="s">
        <v>31</v>
      </c>
      <c r="D1544">
        <v>2.99</v>
      </c>
      <c r="E1544">
        <f>90094384/(1000)</f>
        <v>90094.384000000005</v>
      </c>
      <c r="F1544">
        <f>101657000/(1000)</f>
        <v>101657</v>
      </c>
      <c r="G1544">
        <f>-14185000/(1000)</f>
        <v>-14185</v>
      </c>
      <c r="H1544">
        <f>48717384/(1000)</f>
        <v>48717.383999999998</v>
      </c>
      <c r="I1544">
        <f>-12381000/(1000)</f>
        <v>-12381</v>
      </c>
      <c r="J1544">
        <f t="shared" si="40"/>
        <v>-3.9348504967288587E-3</v>
      </c>
      <c r="K1544">
        <f>-5790999/(1000)</f>
        <v>-5790.9989999999998</v>
      </c>
      <c r="L1544">
        <v>0</v>
      </c>
      <c r="M1544">
        <v>-22.2738952636719</v>
      </c>
      <c r="N1544">
        <v>89.622291638946606</v>
      </c>
      <c r="O1544">
        <v>0</v>
      </c>
      <c r="P1544">
        <v>0</v>
      </c>
      <c r="Q1544">
        <v>0</v>
      </c>
      <c r="R1544">
        <v>0</v>
      </c>
      <c r="S1544">
        <v>282.37042052207897</v>
      </c>
      <c r="T1544">
        <v>0</v>
      </c>
      <c r="U1544">
        <v>0</v>
      </c>
      <c r="V1544">
        <v>0</v>
      </c>
      <c r="W1544">
        <v>0</v>
      </c>
    </row>
    <row r="1545" spans="1:23" x14ac:dyDescent="0.55000000000000004">
      <c r="A1545" t="s">
        <v>3098</v>
      </c>
      <c r="B1545" t="s">
        <v>3099</v>
      </c>
      <c r="C1545" t="s">
        <v>184</v>
      </c>
      <c r="D1545">
        <v>10.19</v>
      </c>
      <c r="E1545">
        <f>221721152/(1000)</f>
        <v>221721.152</v>
      </c>
      <c r="F1545">
        <f>101592000/(1000)</f>
        <v>101592</v>
      </c>
      <c r="G1545">
        <f>0/(1000)</f>
        <v>0</v>
      </c>
      <c r="H1545">
        <f>0/(1000)</f>
        <v>0</v>
      </c>
      <c r="I1545">
        <f>0/(1000)</f>
        <v>0</v>
      </c>
      <c r="J1545">
        <f t="shared" si="40"/>
        <v>1</v>
      </c>
      <c r="K1545">
        <f>15619001/(1000)</f>
        <v>15619.001</v>
      </c>
      <c r="L1545">
        <v>0</v>
      </c>
      <c r="M1545">
        <v>2.3187160491943399</v>
      </c>
      <c r="N1545">
        <v>85.122275210217495</v>
      </c>
      <c r="O1545">
        <v>33.122894287109403</v>
      </c>
      <c r="P1545">
        <v>0.28000000119209301</v>
      </c>
      <c r="Q1545">
        <v>0</v>
      </c>
      <c r="R1545">
        <v>0</v>
      </c>
      <c r="S1545">
        <v>14.075255173652801</v>
      </c>
      <c r="T1545">
        <v>0</v>
      </c>
      <c r="U1545">
        <v>0</v>
      </c>
      <c r="V1545">
        <v>0</v>
      </c>
      <c r="W1545">
        <v>0</v>
      </c>
    </row>
    <row r="1546" spans="1:23" x14ac:dyDescent="0.55000000000000004">
      <c r="A1546" t="s">
        <v>3100</v>
      </c>
      <c r="B1546" t="s">
        <v>3101</v>
      </c>
      <c r="C1546" t="s">
        <v>401</v>
      </c>
      <c r="D1546">
        <v>14.27</v>
      </c>
      <c r="E1546">
        <f>461711552/(1000)</f>
        <v>461711.55200000003</v>
      </c>
      <c r="F1546">
        <f>101569000/(1000)</f>
        <v>101569</v>
      </c>
      <c r="G1546">
        <f>25446000/(1000)</f>
        <v>25446</v>
      </c>
      <c r="H1546">
        <f>1370560576/(1000)</f>
        <v>1370560.5759999999</v>
      </c>
      <c r="I1546">
        <f>53874000/(1000)</f>
        <v>53874</v>
      </c>
      <c r="J1546">
        <f t="shared" si="40"/>
        <v>2.5440111667965993E-2</v>
      </c>
      <c r="K1546">
        <f>-105061999/(1000)</f>
        <v>-105061.999</v>
      </c>
      <c r="L1546">
        <v>41.540901184082003</v>
      </c>
      <c r="M1546">
        <v>11.3187580108643</v>
      </c>
      <c r="N1546">
        <v>97.8210744308915</v>
      </c>
      <c r="O1546">
        <v>125.75131225585901</v>
      </c>
      <c r="P1546">
        <v>0.83999997377395597</v>
      </c>
      <c r="Q1546">
        <v>0</v>
      </c>
      <c r="R1546">
        <v>19.597321353359099</v>
      </c>
      <c r="S1546">
        <v>46.464879518940997</v>
      </c>
      <c r="T1546">
        <v>0</v>
      </c>
      <c r="U1546">
        <v>0</v>
      </c>
      <c r="V1546">
        <v>0</v>
      </c>
      <c r="W1546">
        <v>0</v>
      </c>
    </row>
    <row r="1547" spans="1:23" x14ac:dyDescent="0.55000000000000004">
      <c r="A1547" t="s">
        <v>3102</v>
      </c>
      <c r="B1547" t="s">
        <v>3103</v>
      </c>
      <c r="C1547" t="s">
        <v>5</v>
      </c>
      <c r="D1547">
        <v>8.01</v>
      </c>
      <c r="E1547">
        <f>252041056/(1000)</f>
        <v>252041.05600000001</v>
      </c>
      <c r="F1547">
        <f>101545000/(1000)</f>
        <v>101545</v>
      </c>
      <c r="G1547">
        <f>-1350000/(1000)</f>
        <v>-1350</v>
      </c>
      <c r="H1547">
        <f>176363056/(1000)</f>
        <v>176363.05600000001</v>
      </c>
      <c r="I1547">
        <f>1167999.875/(1000)</f>
        <v>1167.999875</v>
      </c>
      <c r="J1547">
        <f t="shared" si="40"/>
        <v>0.15099578328293917</v>
      </c>
      <c r="K1547">
        <f>9501000/(1000)</f>
        <v>9501</v>
      </c>
      <c r="L1547">
        <v>0</v>
      </c>
      <c r="M1547">
        <v>-6.7079591751098597</v>
      </c>
      <c r="N1547">
        <v>44.520400871884398</v>
      </c>
      <c r="O1547">
        <v>0</v>
      </c>
      <c r="P1547">
        <v>0</v>
      </c>
      <c r="Q1547">
        <v>4.1182519346380104</v>
      </c>
      <c r="R1547">
        <v>100.12499810534101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55000000000000004">
      <c r="A1548" t="s">
        <v>3104</v>
      </c>
      <c r="B1548" t="s">
        <v>3105</v>
      </c>
      <c r="C1548" t="s">
        <v>5</v>
      </c>
      <c r="D1548">
        <v>9.86</v>
      </c>
      <c r="E1548">
        <f>202597360/(1000)</f>
        <v>202597.36</v>
      </c>
      <c r="F1548">
        <f>101346000/(1000)</f>
        <v>101346</v>
      </c>
      <c r="G1548">
        <f>-3418000/(1000)</f>
        <v>-3418</v>
      </c>
      <c r="H1548">
        <f>114861360/(1000)</f>
        <v>114861.36</v>
      </c>
      <c r="I1548">
        <f>600000.125/(1000)</f>
        <v>600.00012500000003</v>
      </c>
      <c r="J1548">
        <f t="shared" si="40"/>
        <v>0.19143556011759164</v>
      </c>
      <c r="K1548">
        <f>8343000.5/(1000)</f>
        <v>8343.0005000000001</v>
      </c>
      <c r="L1548">
        <v>67.305885314941406</v>
      </c>
      <c r="M1548">
        <v>0.47692298889160201</v>
      </c>
      <c r="N1548">
        <v>63.681537835029197</v>
      </c>
      <c r="O1548">
        <v>0</v>
      </c>
      <c r="P1548">
        <v>0</v>
      </c>
      <c r="Q1548">
        <v>0</v>
      </c>
      <c r="R1548">
        <v>75.846150727049903</v>
      </c>
      <c r="S1548">
        <v>118.29108062119001</v>
      </c>
      <c r="T1548">
        <v>0</v>
      </c>
      <c r="U1548">
        <v>0</v>
      </c>
      <c r="V1548">
        <v>0</v>
      </c>
      <c r="W1548">
        <v>0</v>
      </c>
    </row>
    <row r="1549" spans="1:23" x14ac:dyDescent="0.55000000000000004">
      <c r="A1549" t="s">
        <v>3106</v>
      </c>
      <c r="B1549" t="s">
        <v>3107</v>
      </c>
      <c r="C1549" t="s">
        <v>184</v>
      </c>
      <c r="D1549">
        <v>21</v>
      </c>
      <c r="E1549">
        <f>202998608/(1000)</f>
        <v>202998.60800000001</v>
      </c>
      <c r="F1549">
        <f>100851000/(1000)</f>
        <v>100851</v>
      </c>
      <c r="G1549">
        <f>0/(1000)</f>
        <v>0</v>
      </c>
      <c r="H1549">
        <f>0/(1000)</f>
        <v>0</v>
      </c>
      <c r="I1549">
        <f>0/(1000)</f>
        <v>0</v>
      </c>
      <c r="J1549">
        <f t="shared" si="40"/>
        <v>1</v>
      </c>
      <c r="K1549">
        <f>32312001/(1000)</f>
        <v>32312.001</v>
      </c>
      <c r="L1549">
        <v>15.0854406356812</v>
      </c>
      <c r="M1549">
        <v>22.147655487060501</v>
      </c>
      <c r="N1549">
        <v>52.772431672136399</v>
      </c>
      <c r="O1549">
        <v>269.45428466796898</v>
      </c>
      <c r="P1549">
        <v>0.68000000715255704</v>
      </c>
      <c r="Q1549">
        <v>1.8197573717000199</v>
      </c>
      <c r="R1549">
        <v>10.096153927162399</v>
      </c>
      <c r="S1549">
        <v>99.282707925780997</v>
      </c>
      <c r="T1549">
        <v>0</v>
      </c>
      <c r="U1549">
        <v>0</v>
      </c>
      <c r="V1549">
        <v>0</v>
      </c>
      <c r="W1549">
        <v>0</v>
      </c>
    </row>
    <row r="1550" spans="1:23" x14ac:dyDescent="0.55000000000000004">
      <c r="A1550" t="s">
        <v>3108</v>
      </c>
      <c r="B1550" t="s">
        <v>3109</v>
      </c>
      <c r="C1550" t="s">
        <v>38</v>
      </c>
      <c r="D1550">
        <v>37.619999999999997</v>
      </c>
      <c r="E1550">
        <f>1248254080/(1000)</f>
        <v>1248254.08</v>
      </c>
      <c r="F1550">
        <f>100773000/(1000)</f>
        <v>100773</v>
      </c>
      <c r="G1550">
        <f>4487000/(1000)</f>
        <v>4487</v>
      </c>
      <c r="H1550">
        <f>1178205080/(1000)</f>
        <v>1178205.08</v>
      </c>
      <c r="I1550">
        <f>9954000/(1000)</f>
        <v>9954</v>
      </c>
      <c r="J1550">
        <f t="shared" si="40"/>
        <v>0.11836498693992366</v>
      </c>
      <c r="K1550">
        <f>4130001/(1000)</f>
        <v>4130.0010000000002</v>
      </c>
      <c r="L1550">
        <v>0</v>
      </c>
      <c r="M1550">
        <v>0</v>
      </c>
      <c r="N1550">
        <v>83.8586422797176</v>
      </c>
      <c r="O1550">
        <v>1.85118997097015</v>
      </c>
      <c r="P1550">
        <v>0</v>
      </c>
      <c r="Q1550">
        <v>13.8308818147721</v>
      </c>
      <c r="R1550">
        <v>87.488370427622996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55000000000000004">
      <c r="A1551" t="s">
        <v>3110</v>
      </c>
      <c r="B1551" t="s">
        <v>3111</v>
      </c>
      <c r="C1551" t="s">
        <v>2</v>
      </c>
      <c r="D1551">
        <v>3.88</v>
      </c>
      <c r="E1551">
        <f>266762816/(1000)</f>
        <v>266762.81599999999</v>
      </c>
      <c r="F1551">
        <f>100735000/(1000)</f>
        <v>100735</v>
      </c>
      <c r="G1551">
        <f>-92801000/(1000)</f>
        <v>-92801</v>
      </c>
      <c r="H1551">
        <f>276440817/(1000)</f>
        <v>276440.81699999998</v>
      </c>
      <c r="I1551">
        <f>-63960000/(1000)</f>
        <v>-63960</v>
      </c>
      <c r="J1551">
        <f t="shared" si="40"/>
        <v>-4.3220890712945591E-3</v>
      </c>
      <c r="K1551">
        <f>-60377999/(1000)</f>
        <v>-60377.999000000003</v>
      </c>
      <c r="L1551">
        <v>0</v>
      </c>
      <c r="M1551">
        <v>-109.16851806640599</v>
      </c>
      <c r="N1551">
        <v>84.144029496096906</v>
      </c>
      <c r="O1551">
        <v>4.04770803451538</v>
      </c>
      <c r="P1551">
        <v>0</v>
      </c>
      <c r="Q1551">
        <v>0</v>
      </c>
      <c r="R1551">
        <v>0</v>
      </c>
      <c r="S1551">
        <v>198.120745782776</v>
      </c>
      <c r="T1551">
        <v>0</v>
      </c>
      <c r="U1551">
        <v>0</v>
      </c>
      <c r="V1551">
        <v>0</v>
      </c>
      <c r="W1551">
        <v>0</v>
      </c>
    </row>
    <row r="1552" spans="1:23" x14ac:dyDescent="0.55000000000000004">
      <c r="A1552" t="s">
        <v>3112</v>
      </c>
      <c r="B1552" t="s">
        <v>3113</v>
      </c>
      <c r="C1552" t="s">
        <v>2</v>
      </c>
      <c r="D1552">
        <v>5.28</v>
      </c>
      <c r="E1552">
        <f>325831424/(1000)</f>
        <v>325831.424</v>
      </c>
      <c r="F1552">
        <f>100727192/(1000)</f>
        <v>100727.192</v>
      </c>
      <c r="G1552">
        <f>20374002/(1000)</f>
        <v>20374.002</v>
      </c>
      <c r="H1552">
        <f>0/(1000)</f>
        <v>0</v>
      </c>
      <c r="I1552">
        <f>22895240/(1000)</f>
        <v>22895.24</v>
      </c>
      <c r="J1552">
        <f t="shared" si="40"/>
        <v>0</v>
      </c>
      <c r="K1552">
        <f>9774420/(1000)</f>
        <v>9774.42</v>
      </c>
      <c r="L1552">
        <v>129.858642578125</v>
      </c>
      <c r="M1552">
        <v>13.6625881195068</v>
      </c>
      <c r="N1552">
        <v>93.542915894919403</v>
      </c>
      <c r="O1552">
        <v>2.5657000020145999E-2</v>
      </c>
      <c r="P1552">
        <v>0</v>
      </c>
      <c r="Q1552">
        <v>3.1242603733945198</v>
      </c>
      <c r="R1552">
        <v>44.0000020489097</v>
      </c>
      <c r="S1552">
        <v>923.33833180940803</v>
      </c>
      <c r="T1552">
        <v>0</v>
      </c>
      <c r="U1552">
        <v>0</v>
      </c>
      <c r="V1552">
        <v>0</v>
      </c>
      <c r="W1552">
        <v>0</v>
      </c>
    </row>
    <row r="1553" spans="1:23" x14ac:dyDescent="0.55000000000000004">
      <c r="A1553" t="s">
        <v>3114</v>
      </c>
      <c r="B1553" t="s">
        <v>3115</v>
      </c>
      <c r="C1553" t="s">
        <v>5</v>
      </c>
      <c r="D1553">
        <v>3.52</v>
      </c>
      <c r="E1553">
        <f>190791040/(1000)</f>
        <v>190791.04000000001</v>
      </c>
      <c r="F1553">
        <f>100654792/(1000)</f>
        <v>100654.792</v>
      </c>
      <c r="G1553">
        <f>29555876/(1000)</f>
        <v>29555.876</v>
      </c>
      <c r="H1553">
        <f>173350870/(1000)</f>
        <v>173350.87</v>
      </c>
      <c r="I1553">
        <f>31684856/(1000)</f>
        <v>31684.856</v>
      </c>
      <c r="J1553">
        <f t="shared" si="40"/>
        <v>5.471095402800631E-3</v>
      </c>
      <c r="K1553">
        <f>-5329826.5/(1000)</f>
        <v>-5329.8265000000001</v>
      </c>
      <c r="L1553">
        <v>0</v>
      </c>
      <c r="M1553">
        <v>36.994308471679702</v>
      </c>
      <c r="N1553">
        <v>55.594074363723898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55000000000000004">
      <c r="A1554" t="s">
        <v>3116</v>
      </c>
      <c r="B1554" t="s">
        <v>3117</v>
      </c>
      <c r="C1554" t="s">
        <v>38</v>
      </c>
      <c r="D1554">
        <v>16.03</v>
      </c>
      <c r="E1554">
        <f>350832576/(1000)</f>
        <v>350832.576</v>
      </c>
      <c r="F1554">
        <f>100551000/(1000)</f>
        <v>100551</v>
      </c>
      <c r="G1554">
        <f>17708000/(1000)</f>
        <v>17708</v>
      </c>
      <c r="H1554">
        <f>281262576/(1000)</f>
        <v>281262.576</v>
      </c>
      <c r="I1554">
        <f>21205000/(1000)</f>
        <v>21205</v>
      </c>
      <c r="J1554">
        <f t="shared" si="40"/>
        <v>1.3263974345673191E-2</v>
      </c>
      <c r="K1554">
        <f>11347001/(1000)</f>
        <v>11347.001</v>
      </c>
      <c r="L1554">
        <v>60.1961059570313</v>
      </c>
      <c r="M1554">
        <v>12.9927625656128</v>
      </c>
      <c r="N1554">
        <v>96.000184170783996</v>
      </c>
      <c r="O1554">
        <v>0</v>
      </c>
      <c r="P1554">
        <v>0</v>
      </c>
      <c r="Q1554">
        <v>0</v>
      </c>
      <c r="R1554">
        <v>28.625000723438099</v>
      </c>
      <c r="S1554">
        <v>189.10580793559501</v>
      </c>
      <c r="T1554">
        <v>0</v>
      </c>
      <c r="U1554">
        <v>0</v>
      </c>
      <c r="V1554">
        <v>0</v>
      </c>
      <c r="W1554">
        <v>0</v>
      </c>
    </row>
    <row r="1555" spans="1:23" x14ac:dyDescent="0.55000000000000004">
      <c r="A1555" t="s">
        <v>3118</v>
      </c>
      <c r="B1555" t="s">
        <v>3119</v>
      </c>
      <c r="C1555" t="s">
        <v>5</v>
      </c>
      <c r="D1555">
        <v>28.09</v>
      </c>
      <c r="E1555">
        <f>1071616640/(1000)</f>
        <v>1071616.6399999999</v>
      </c>
      <c r="F1555">
        <f>100089696/(1000)</f>
        <v>100089.696</v>
      </c>
      <c r="G1555">
        <f>56958672/(1000)</f>
        <v>56958.671999999999</v>
      </c>
      <c r="H1555">
        <f>992373408/(1000)</f>
        <v>992373.40800000005</v>
      </c>
      <c r="I1555">
        <f>74926736/(1000)</f>
        <v>74926.736000000004</v>
      </c>
      <c r="J1555">
        <f t="shared" si="40"/>
        <v>1.3244583455497115E-2</v>
      </c>
      <c r="K1555">
        <f>-118710143/(1000)</f>
        <v>-118710.143</v>
      </c>
      <c r="L1555">
        <v>37.099521636962898</v>
      </c>
      <c r="M1555">
        <v>18.230241775512699</v>
      </c>
      <c r="N1555">
        <v>95.033214511557105</v>
      </c>
      <c r="O1555">
        <v>13.5758380889893</v>
      </c>
      <c r="P1555">
        <v>0</v>
      </c>
      <c r="Q1555">
        <v>0</v>
      </c>
      <c r="R1555">
        <v>13.065116313820299</v>
      </c>
      <c r="S1555">
        <v>5940.4161738080902</v>
      </c>
      <c r="T1555">
        <v>0</v>
      </c>
      <c r="U1555">
        <v>0</v>
      </c>
      <c r="V1555">
        <v>0</v>
      </c>
      <c r="W1555">
        <v>0</v>
      </c>
    </row>
    <row r="1556" spans="1:23" x14ac:dyDescent="0.55000000000000004">
      <c r="A1556" t="s">
        <v>3120</v>
      </c>
      <c r="B1556" t="s">
        <v>3121</v>
      </c>
      <c r="C1556" t="s">
        <v>184</v>
      </c>
      <c r="D1556">
        <v>12.8</v>
      </c>
      <c r="E1556">
        <f>898248896/(1000)</f>
        <v>898248.89599999995</v>
      </c>
      <c r="F1556">
        <f>100075000/(1000)</f>
        <v>100075</v>
      </c>
      <c r="G1556">
        <f t="shared" ref="G1556:I1557" si="41">0/(1000)</f>
        <v>0</v>
      </c>
      <c r="H1556">
        <f t="shared" si="41"/>
        <v>0</v>
      </c>
      <c r="I1556">
        <f t="shared" si="41"/>
        <v>0</v>
      </c>
      <c r="J1556">
        <f t="shared" si="40"/>
        <v>1</v>
      </c>
      <c r="K1556">
        <f>14811001/(1000)</f>
        <v>14811.001</v>
      </c>
      <c r="L1556">
        <v>0</v>
      </c>
      <c r="M1556">
        <v>1.2642899751663199</v>
      </c>
      <c r="N1556">
        <v>23.080212405451601</v>
      </c>
      <c r="O1556">
        <v>46.248073577880902</v>
      </c>
      <c r="P1556">
        <v>0.20000000298023199</v>
      </c>
      <c r="Q1556">
        <v>0</v>
      </c>
      <c r="R1556">
        <v>116.36364069852</v>
      </c>
      <c r="S1556">
        <v>1.7653219983933199</v>
      </c>
      <c r="T1556">
        <v>0</v>
      </c>
      <c r="U1556">
        <v>0</v>
      </c>
      <c r="V1556">
        <v>0</v>
      </c>
      <c r="W1556">
        <v>0</v>
      </c>
    </row>
    <row r="1557" spans="1:23" x14ac:dyDescent="0.55000000000000004">
      <c r="A1557" t="s">
        <v>3122</v>
      </c>
      <c r="B1557" t="s">
        <v>3123</v>
      </c>
      <c r="C1557" t="s">
        <v>184</v>
      </c>
      <c r="D1557">
        <v>35.93</v>
      </c>
      <c r="E1557">
        <f>344306400/(1000)</f>
        <v>344306.4</v>
      </c>
      <c r="F1557">
        <f>99676184/(1000)</f>
        <v>99676.183999999994</v>
      </c>
      <c r="G1557">
        <f t="shared" si="41"/>
        <v>0</v>
      </c>
      <c r="H1557">
        <f t="shared" si="41"/>
        <v>0</v>
      </c>
      <c r="I1557">
        <f t="shared" si="41"/>
        <v>0</v>
      </c>
      <c r="J1557">
        <f t="shared" si="40"/>
        <v>1</v>
      </c>
      <c r="K1557">
        <f>17483869/(1000)</f>
        <v>17483.868999999999</v>
      </c>
      <c r="L1557">
        <v>16.7295322418213</v>
      </c>
      <c r="M1557">
        <v>20.342777252197301</v>
      </c>
      <c r="N1557">
        <v>96.924668594509896</v>
      </c>
      <c r="O1557">
        <v>181.97605895996099</v>
      </c>
      <c r="P1557">
        <v>0.87999999523162797</v>
      </c>
      <c r="Q1557">
        <v>0</v>
      </c>
      <c r="R1557">
        <v>14.035156356138</v>
      </c>
      <c r="S1557">
        <v>12.627183873628599</v>
      </c>
      <c r="T1557">
        <v>0</v>
      </c>
      <c r="U1557">
        <v>0</v>
      </c>
      <c r="V1557">
        <v>0</v>
      </c>
      <c r="W1557">
        <v>0</v>
      </c>
    </row>
    <row r="1558" spans="1:23" x14ac:dyDescent="0.55000000000000004">
      <c r="A1558" t="s">
        <v>3124</v>
      </c>
      <c r="B1558" t="s">
        <v>3125</v>
      </c>
      <c r="C1558" t="s">
        <v>5</v>
      </c>
      <c r="D1558">
        <v>1.58</v>
      </c>
      <c r="E1558">
        <f>97074248/(1000)</f>
        <v>97074.248000000007</v>
      </c>
      <c r="F1558">
        <f>99665000/(1000)</f>
        <v>99665</v>
      </c>
      <c r="G1558">
        <f>-6955000/(1000)</f>
        <v>-6955</v>
      </c>
      <c r="H1558">
        <f>73678248/(1000)</f>
        <v>73678.248000000007</v>
      </c>
      <c r="I1558">
        <f>2876999.75/(1000)</f>
        <v>2876.9997499999999</v>
      </c>
      <c r="J1558">
        <f t="shared" si="40"/>
        <v>2.5609403685210613E-2</v>
      </c>
      <c r="K1558">
        <f>-4904999/(1000)</f>
        <v>-4904.9989999999998</v>
      </c>
      <c r="L1558">
        <v>0</v>
      </c>
      <c r="M1558">
        <v>-10.521664619445801</v>
      </c>
      <c r="N1558">
        <v>99.038076996293896</v>
      </c>
      <c r="O1558">
        <v>0</v>
      </c>
      <c r="P1558">
        <v>0</v>
      </c>
      <c r="Q1558">
        <v>1.5879397340135299</v>
      </c>
      <c r="R1558">
        <v>52.666669274369902</v>
      </c>
      <c r="S1558">
        <v>-2.9996009615852599</v>
      </c>
      <c r="T1558">
        <v>0</v>
      </c>
      <c r="U1558">
        <v>0</v>
      </c>
      <c r="V1558">
        <v>0</v>
      </c>
      <c r="W1558">
        <v>0</v>
      </c>
    </row>
    <row r="1559" spans="1:23" x14ac:dyDescent="0.55000000000000004">
      <c r="A1559" t="s">
        <v>3126</v>
      </c>
      <c r="B1559" t="s">
        <v>3127</v>
      </c>
      <c r="C1559" t="s">
        <v>5</v>
      </c>
      <c r="D1559">
        <v>6.63</v>
      </c>
      <c r="E1559">
        <f>337409984/(1000)</f>
        <v>337409.984</v>
      </c>
      <c r="F1559">
        <f>98698000/(1000)</f>
        <v>98698</v>
      </c>
      <c r="G1559">
        <f>22251000/(1000)</f>
        <v>22251</v>
      </c>
      <c r="H1559">
        <f>275093984/(1000)</f>
        <v>275093.984</v>
      </c>
      <c r="I1559">
        <f>37380000/(1000)</f>
        <v>37380</v>
      </c>
      <c r="J1559">
        <f t="shared" si="40"/>
        <v>7.3593896201177098E-3</v>
      </c>
      <c r="K1559">
        <f>24928001/(1000)</f>
        <v>24928.001</v>
      </c>
      <c r="L1559">
        <v>44.230098724365199</v>
      </c>
      <c r="M1559">
        <v>14.726697921752899</v>
      </c>
      <c r="N1559">
        <v>93.921174459696203</v>
      </c>
      <c r="O1559">
        <v>1.0087039470672601</v>
      </c>
      <c r="P1559">
        <v>0</v>
      </c>
      <c r="Q1559">
        <v>0</v>
      </c>
      <c r="R1559">
        <v>14.106383481612299</v>
      </c>
      <c r="S1559">
        <v>137.677599576169</v>
      </c>
      <c r="T1559">
        <v>0</v>
      </c>
      <c r="U1559">
        <v>0</v>
      </c>
      <c r="V1559">
        <v>0</v>
      </c>
      <c r="W1559">
        <v>0</v>
      </c>
    </row>
    <row r="1560" spans="1:23" x14ac:dyDescent="0.55000000000000004">
      <c r="A1560" t="s">
        <v>3128</v>
      </c>
      <c r="B1560" t="s">
        <v>3129</v>
      </c>
      <c r="C1560" t="s">
        <v>81</v>
      </c>
      <c r="D1560">
        <v>8.32</v>
      </c>
      <c r="E1560">
        <f>268740992/(1000)</f>
        <v>268740.99200000003</v>
      </c>
      <c r="F1560">
        <f>98687920/(1000)</f>
        <v>98687.92</v>
      </c>
      <c r="G1560">
        <f>16366077/(1000)</f>
        <v>16366.076999999999</v>
      </c>
      <c r="H1560">
        <f>199770360/(1000)</f>
        <v>199770.36</v>
      </c>
      <c r="I1560">
        <f>24805452/(1000)</f>
        <v>24805.452000000001</v>
      </c>
      <c r="J1560">
        <f t="shared" si="40"/>
        <v>8.0534859836458531E-3</v>
      </c>
      <c r="K1560">
        <f>23300973/(1000)</f>
        <v>23300.973000000002</v>
      </c>
      <c r="L1560">
        <v>65.007011413574205</v>
      </c>
      <c r="M1560">
        <v>6.6548428535461399</v>
      </c>
      <c r="N1560">
        <v>81.042152479247505</v>
      </c>
      <c r="O1560">
        <v>2.9618000611663E-2</v>
      </c>
      <c r="P1560">
        <v>0</v>
      </c>
      <c r="Q1560">
        <v>1.5252061982013201</v>
      </c>
      <c r="R1560">
        <v>25.212120708574201</v>
      </c>
      <c r="S1560">
        <v>234.80770796580299</v>
      </c>
      <c r="T1560">
        <v>0</v>
      </c>
      <c r="U1560">
        <v>0</v>
      </c>
      <c r="V1560">
        <v>0</v>
      </c>
      <c r="W1560">
        <v>0</v>
      </c>
    </row>
    <row r="1561" spans="1:23" x14ac:dyDescent="0.55000000000000004">
      <c r="A1561" t="s">
        <v>3130</v>
      </c>
      <c r="B1561" t="s">
        <v>3131</v>
      </c>
      <c r="C1561" t="s">
        <v>81</v>
      </c>
      <c r="D1561">
        <v>0.2</v>
      </c>
      <c r="E1561">
        <f>23954700/(1000)</f>
        <v>23954.7</v>
      </c>
      <c r="F1561">
        <f>98398000/(1000)</f>
        <v>98398</v>
      </c>
      <c r="G1561">
        <f>-5523000/(1000)</f>
        <v>-5523</v>
      </c>
      <c r="H1561">
        <f>296017708/(1000)</f>
        <v>296017.70799999998</v>
      </c>
      <c r="I1561">
        <f>15723001/(1000)</f>
        <v>15723.001</v>
      </c>
      <c r="J1561">
        <f t="shared" si="40"/>
        <v>1.8827048856640025E-2</v>
      </c>
      <c r="K1561">
        <f>-177657999/(1000)</f>
        <v>-177657.99900000001</v>
      </c>
      <c r="L1561">
        <v>0</v>
      </c>
      <c r="M1561">
        <v>-8.3210411071777308</v>
      </c>
      <c r="N1561">
        <v>37.227433902594299</v>
      </c>
      <c r="O1561">
        <v>12.3291177749634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55000000000000004">
      <c r="A1562" t="s">
        <v>3132</v>
      </c>
      <c r="B1562" t="s">
        <v>3133</v>
      </c>
      <c r="C1562" t="s">
        <v>31</v>
      </c>
      <c r="D1562">
        <v>2.04</v>
      </c>
      <c r="E1562">
        <f>138305072/(1000)</f>
        <v>138305.07199999999</v>
      </c>
      <c r="F1562">
        <f>98149112/(1000)</f>
        <v>98149.111999999994</v>
      </c>
      <c r="G1562">
        <f>-9942217/(1000)</f>
        <v>-9942.2170000000006</v>
      </c>
      <c r="H1562">
        <f>49421280/(1000)</f>
        <v>49421.279999999999</v>
      </c>
      <c r="I1562">
        <f>-6485197/(1000)</f>
        <v>-6485.1970000000001</v>
      </c>
      <c r="J1562">
        <f t="shared" si="40"/>
        <v>-7.6206289492824963E-3</v>
      </c>
      <c r="K1562">
        <f>-11768050/(1000)</f>
        <v>-11768.05</v>
      </c>
      <c r="L1562">
        <v>0</v>
      </c>
      <c r="M1562">
        <v>-4.7090082168579102</v>
      </c>
      <c r="N1562">
        <v>96.018383918680499</v>
      </c>
      <c r="O1562">
        <v>0</v>
      </c>
      <c r="P1562">
        <v>0</v>
      </c>
      <c r="Q1562">
        <v>0</v>
      </c>
      <c r="R1562">
        <v>40.799998629093203</v>
      </c>
      <c r="S1562">
        <v>27.7966588976706</v>
      </c>
      <c r="T1562">
        <v>0</v>
      </c>
      <c r="U1562">
        <v>0</v>
      </c>
      <c r="V1562">
        <v>0</v>
      </c>
      <c r="W1562">
        <v>0</v>
      </c>
    </row>
    <row r="1563" spans="1:23" x14ac:dyDescent="0.55000000000000004">
      <c r="A1563" t="s">
        <v>3134</v>
      </c>
      <c r="B1563" t="s">
        <v>3135</v>
      </c>
      <c r="C1563" t="s">
        <v>184</v>
      </c>
      <c r="D1563">
        <v>12.25</v>
      </c>
      <c r="E1563">
        <f>213197776/(1000)</f>
        <v>213197.77600000001</v>
      </c>
      <c r="F1563">
        <f>98079000/(1000)</f>
        <v>98079</v>
      </c>
      <c r="G1563">
        <f>0/(1000)</f>
        <v>0</v>
      </c>
      <c r="H1563">
        <f>0/(1000)</f>
        <v>0</v>
      </c>
      <c r="I1563">
        <f>0/(1000)</f>
        <v>0</v>
      </c>
      <c r="J1563">
        <f t="shared" si="40"/>
        <v>1</v>
      </c>
      <c r="K1563">
        <f>23147001/(1000)</f>
        <v>23147.001</v>
      </c>
      <c r="L1563">
        <v>15.1021432876587</v>
      </c>
      <c r="M1563">
        <v>16.0735378265381</v>
      </c>
      <c r="N1563">
        <v>78.6955790640217</v>
      </c>
      <c r="O1563">
        <v>241.12379455566401</v>
      </c>
      <c r="P1563">
        <v>0.63999998569488503</v>
      </c>
      <c r="Q1563">
        <v>1.8504532041945001</v>
      </c>
      <c r="R1563">
        <v>15.5063292777151</v>
      </c>
      <c r="S1563">
        <v>91.358723221602204</v>
      </c>
      <c r="T1563">
        <v>0</v>
      </c>
      <c r="U1563">
        <v>0</v>
      </c>
      <c r="V1563">
        <v>0</v>
      </c>
      <c r="W1563">
        <v>0</v>
      </c>
    </row>
    <row r="1564" spans="1:23" x14ac:dyDescent="0.55000000000000004">
      <c r="A1564" t="s">
        <v>3136</v>
      </c>
      <c r="B1564" t="s">
        <v>3137</v>
      </c>
      <c r="C1564" t="s">
        <v>5</v>
      </c>
      <c r="D1564">
        <v>12.48</v>
      </c>
      <c r="E1564">
        <f>265082688/(1000)</f>
        <v>265082.68800000002</v>
      </c>
      <c r="F1564">
        <f>97687000/(1000)</f>
        <v>97687</v>
      </c>
      <c r="G1564">
        <f>19052000/(1000)</f>
        <v>19052</v>
      </c>
      <c r="H1564">
        <f>412105696/(1000)</f>
        <v>412105.696</v>
      </c>
      <c r="I1564">
        <f>31917000/(1000)</f>
        <v>31917</v>
      </c>
      <c r="J1564">
        <f t="shared" si="40"/>
        <v>1.2911792962997775E-2</v>
      </c>
      <c r="K1564">
        <f>14890001/(1000)</f>
        <v>14890.001</v>
      </c>
      <c r="L1564">
        <v>0</v>
      </c>
      <c r="M1564">
        <v>6.2350487709045401</v>
      </c>
      <c r="N1564">
        <v>78.298633471836695</v>
      </c>
      <c r="O1564">
        <v>23.3046550750732</v>
      </c>
      <c r="P1564">
        <v>0</v>
      </c>
      <c r="Q1564">
        <v>0</v>
      </c>
      <c r="R1564">
        <v>15.9999993886703</v>
      </c>
      <c r="S1564">
        <v>47.354210034090599</v>
      </c>
      <c r="T1564">
        <v>0</v>
      </c>
      <c r="U1564">
        <v>0</v>
      </c>
      <c r="V1564">
        <v>0</v>
      </c>
      <c r="W1564">
        <v>0</v>
      </c>
    </row>
    <row r="1565" spans="1:23" x14ac:dyDescent="0.55000000000000004">
      <c r="A1565" t="s">
        <v>3138</v>
      </c>
      <c r="B1565" t="s">
        <v>3139</v>
      </c>
      <c r="C1565" t="s">
        <v>31</v>
      </c>
      <c r="D1565">
        <v>30.46</v>
      </c>
      <c r="E1565">
        <f>279281664/(1000)</f>
        <v>279281.66399999999</v>
      </c>
      <c r="F1565">
        <f>97546000/(1000)</f>
        <v>97546</v>
      </c>
      <c r="G1565">
        <f>33907000/(1000)</f>
        <v>33907</v>
      </c>
      <c r="H1565">
        <f>177051664/(1000)</f>
        <v>177051.66399999999</v>
      </c>
      <c r="I1565">
        <f>37993000/(1000)</f>
        <v>37993</v>
      </c>
      <c r="J1565">
        <f t="shared" si="40"/>
        <v>4.660112757613244E-3</v>
      </c>
      <c r="K1565">
        <f>21540001/(1000)</f>
        <v>21540.001</v>
      </c>
      <c r="L1565">
        <v>15.771995544433601</v>
      </c>
      <c r="M1565">
        <v>19.408527374267599</v>
      </c>
      <c r="N1565">
        <v>65.365148859227205</v>
      </c>
      <c r="O1565">
        <v>3.7083220481872599</v>
      </c>
      <c r="P1565">
        <v>0.325569748878479</v>
      </c>
      <c r="Q1565">
        <v>0</v>
      </c>
      <c r="R1565">
        <v>15.3838380048098</v>
      </c>
      <c r="S1565">
        <v>63.538820058008</v>
      </c>
      <c r="T1565">
        <v>0</v>
      </c>
      <c r="U1565">
        <v>0</v>
      </c>
      <c r="V1565">
        <v>0</v>
      </c>
      <c r="W1565">
        <v>0</v>
      </c>
    </row>
    <row r="1566" spans="1:23" x14ac:dyDescent="0.55000000000000004">
      <c r="A1566" t="s">
        <v>3140</v>
      </c>
      <c r="B1566" t="s">
        <v>3141</v>
      </c>
      <c r="C1566" t="s">
        <v>5</v>
      </c>
      <c r="D1566">
        <v>2.59</v>
      </c>
      <c r="E1566">
        <f>65536248/(1000)</f>
        <v>65536.248000000007</v>
      </c>
      <c r="F1566">
        <f>97482000/(1000)</f>
        <v>97482</v>
      </c>
      <c r="G1566">
        <f>22564000/(1000)</f>
        <v>22564</v>
      </c>
      <c r="H1566">
        <f>477218232/(1000)</f>
        <v>477218.23200000002</v>
      </c>
      <c r="I1566">
        <f>34152000/(1000)</f>
        <v>34152</v>
      </c>
      <c r="J1566">
        <f t="shared" si="40"/>
        <v>1.3973361208713985E-2</v>
      </c>
      <c r="K1566">
        <f>-79973999/(1000)</f>
        <v>-79973.998999999996</v>
      </c>
      <c r="L1566">
        <v>0</v>
      </c>
      <c r="M1566">
        <v>-0.881749987602234</v>
      </c>
      <c r="N1566">
        <v>93.494561265613498</v>
      </c>
      <c r="O1566">
        <v>163.37191772460901</v>
      </c>
      <c r="P1566">
        <v>0.239999994635582</v>
      </c>
      <c r="Q1566">
        <v>0.44655169465454098</v>
      </c>
      <c r="R1566">
        <v>129.49996242114401</v>
      </c>
      <c r="S1566">
        <v>152.05429864253401</v>
      </c>
      <c r="T1566">
        <v>0</v>
      </c>
      <c r="U1566">
        <v>0</v>
      </c>
      <c r="V1566">
        <v>0</v>
      </c>
      <c r="W1566">
        <v>0</v>
      </c>
    </row>
    <row r="1567" spans="1:23" x14ac:dyDescent="0.55000000000000004">
      <c r="A1567" t="s">
        <v>3142</v>
      </c>
      <c r="B1567" t="s">
        <v>3143</v>
      </c>
      <c r="C1567" t="s">
        <v>38</v>
      </c>
      <c r="D1567">
        <v>25.27</v>
      </c>
      <c r="E1567">
        <f>446447648/(1000)</f>
        <v>446447.64799999999</v>
      </c>
      <c r="F1567">
        <f>97051000/(1000)</f>
        <v>97051</v>
      </c>
      <c r="G1567">
        <f>27261000/(1000)</f>
        <v>27261</v>
      </c>
      <c r="H1567">
        <f>421820648/(1000)</f>
        <v>421820.64799999999</v>
      </c>
      <c r="I1567">
        <f>33332000/(1000)</f>
        <v>33332</v>
      </c>
      <c r="J1567">
        <f t="shared" si="40"/>
        <v>1.26551256450258E-2</v>
      </c>
      <c r="K1567">
        <f>15956000/(1000)</f>
        <v>15956</v>
      </c>
      <c r="L1567">
        <v>31.656978607177699</v>
      </c>
      <c r="M1567">
        <v>10.808570861816399</v>
      </c>
      <c r="N1567">
        <v>80.522549089358805</v>
      </c>
      <c r="O1567">
        <v>0</v>
      </c>
      <c r="P1567">
        <v>0</v>
      </c>
      <c r="Q1567">
        <v>0</v>
      </c>
      <c r="R1567">
        <v>24.298077558194802</v>
      </c>
      <c r="S1567">
        <v>124.48880458919299</v>
      </c>
      <c r="T1567">
        <v>0</v>
      </c>
      <c r="U1567">
        <v>0</v>
      </c>
      <c r="V1567">
        <v>0</v>
      </c>
      <c r="W1567">
        <v>0</v>
      </c>
    </row>
    <row r="1568" spans="1:23" x14ac:dyDescent="0.55000000000000004">
      <c r="A1568" t="s">
        <v>3144</v>
      </c>
      <c r="B1568" t="s">
        <v>3145</v>
      </c>
      <c r="C1568" t="s">
        <v>401</v>
      </c>
      <c r="D1568">
        <v>6.31</v>
      </c>
      <c r="E1568">
        <f>418597184/(1000)</f>
        <v>418597.18400000001</v>
      </c>
      <c r="F1568">
        <f>96650920/(1000)</f>
        <v>96650.92</v>
      </c>
      <c r="G1568">
        <f>68246448/(1000)</f>
        <v>68246.448000000004</v>
      </c>
      <c r="H1568">
        <f>1014647232/(1000)</f>
        <v>1014647.232</v>
      </c>
      <c r="I1568">
        <f>81419000/(1000)</f>
        <v>81419</v>
      </c>
      <c r="J1568">
        <f t="shared" si="40"/>
        <v>1.2462044878959458E-2</v>
      </c>
      <c r="K1568">
        <f>-176151231/(1000)</f>
        <v>-176151.231</v>
      </c>
      <c r="L1568">
        <v>0</v>
      </c>
      <c r="M1568">
        <v>9.6259660720825195</v>
      </c>
      <c r="N1568">
        <v>92.351825719775206</v>
      </c>
      <c r="O1568">
        <v>93.633483886718807</v>
      </c>
      <c r="P1568">
        <v>0.80000001192092896</v>
      </c>
      <c r="Q1568">
        <v>0.54116638296354902</v>
      </c>
      <c r="R1568">
        <v>11.070175477122101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55000000000000004">
      <c r="A1569" t="s">
        <v>3146</v>
      </c>
      <c r="B1569" t="s">
        <v>3147</v>
      </c>
      <c r="C1569" t="s">
        <v>184</v>
      </c>
      <c r="D1569">
        <v>59.14</v>
      </c>
      <c r="E1569">
        <f>787626496/(1000)</f>
        <v>787626.49600000004</v>
      </c>
      <c r="F1569">
        <f>96254000/(1000)</f>
        <v>96254</v>
      </c>
      <c r="G1569">
        <f>0/(1000)</f>
        <v>0</v>
      </c>
      <c r="H1569">
        <f>-527611520/(1000)</f>
        <v>-527611.52</v>
      </c>
      <c r="I1569">
        <f>0/(1000)</f>
        <v>0</v>
      </c>
      <c r="J1569">
        <f t="shared" si="40"/>
        <v>1</v>
      </c>
      <c r="K1569">
        <f>73674001/(1000)</f>
        <v>73674.001000000004</v>
      </c>
      <c r="L1569">
        <v>0</v>
      </c>
      <c r="M1569">
        <v>16.0645542144775</v>
      </c>
      <c r="N1569">
        <v>67.094159089175903</v>
      </c>
      <c r="O1569">
        <v>11.716493606567401</v>
      </c>
      <c r="P1569">
        <v>0</v>
      </c>
      <c r="Q1569">
        <v>1.28036373994285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55000000000000004">
      <c r="A1570" t="s">
        <v>3148</v>
      </c>
      <c r="B1570" t="s">
        <v>3149</v>
      </c>
      <c r="C1570" t="s">
        <v>184</v>
      </c>
      <c r="D1570">
        <v>0.72</v>
      </c>
      <c r="E1570">
        <f>123634800/(1000)</f>
        <v>123634.8</v>
      </c>
      <c r="F1570">
        <f>95826000/(1000)</f>
        <v>95826</v>
      </c>
      <c r="G1570">
        <f>14041000/(1000)</f>
        <v>14041</v>
      </c>
      <c r="H1570">
        <f>147999800/(1000)</f>
        <v>147999.79999999999</v>
      </c>
      <c r="I1570">
        <f>15443000/(1000)</f>
        <v>15443</v>
      </c>
      <c r="J1570">
        <f t="shared" si="40"/>
        <v>9.583617172829113E-3</v>
      </c>
      <c r="K1570">
        <f>-3254999/(1000)</f>
        <v>-3254.9989999999998</v>
      </c>
      <c r="L1570">
        <v>0</v>
      </c>
      <c r="M1570">
        <v>22.7834587097168</v>
      </c>
      <c r="N1570">
        <v>50.9111037850044</v>
      </c>
      <c r="O1570">
        <v>75.437591552734403</v>
      </c>
      <c r="P1570">
        <v>0</v>
      </c>
      <c r="Q1570">
        <v>0</v>
      </c>
      <c r="R1570">
        <v>0</v>
      </c>
      <c r="S1570">
        <v>20.425269877973701</v>
      </c>
      <c r="T1570">
        <v>0</v>
      </c>
      <c r="U1570">
        <v>0</v>
      </c>
      <c r="V1570">
        <v>0</v>
      </c>
      <c r="W1570">
        <v>0</v>
      </c>
    </row>
    <row r="1571" spans="1:23" x14ac:dyDescent="0.55000000000000004">
      <c r="A1571" t="s">
        <v>3150</v>
      </c>
      <c r="B1571" t="s">
        <v>3151</v>
      </c>
      <c r="C1571" t="s">
        <v>38</v>
      </c>
      <c r="D1571">
        <v>28.44</v>
      </c>
      <c r="E1571">
        <f>1201780480/(1000)</f>
        <v>1201780.48</v>
      </c>
      <c r="F1571">
        <f>95734000/(1000)</f>
        <v>95734</v>
      </c>
      <c r="G1571">
        <f>-44445000/(1000)</f>
        <v>-44445</v>
      </c>
      <c r="H1571">
        <f>1155390480/(1000)</f>
        <v>1155390.48</v>
      </c>
      <c r="I1571">
        <f>-43041000/(1000)</f>
        <v>-43041</v>
      </c>
      <c r="J1571">
        <f t="shared" si="40"/>
        <v>-2.6843950651704186E-2</v>
      </c>
      <c r="K1571">
        <f>-34933999/(1000)</f>
        <v>-34933.999000000003</v>
      </c>
      <c r="L1571">
        <v>0</v>
      </c>
      <c r="M1571">
        <v>-76.552726745605497</v>
      </c>
      <c r="N1571">
        <v>96.593442801250106</v>
      </c>
      <c r="O1571">
        <v>7.8110001049939998E-3</v>
      </c>
      <c r="P1571">
        <v>0</v>
      </c>
      <c r="Q1571">
        <v>25.280000474717902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55000000000000004">
      <c r="A1572" t="s">
        <v>3152</v>
      </c>
      <c r="B1572" t="s">
        <v>3153</v>
      </c>
      <c r="C1572" t="s">
        <v>5</v>
      </c>
      <c r="D1572">
        <v>38</v>
      </c>
      <c r="E1572">
        <f>714023808/(1000)</f>
        <v>714023.80799999996</v>
      </c>
      <c r="F1572">
        <f>95592000/(1000)</f>
        <v>95592</v>
      </c>
      <c r="G1572">
        <f>27646000/(1000)</f>
        <v>27646</v>
      </c>
      <c r="H1572">
        <f>672808808/(1000)</f>
        <v>672808.80799999996</v>
      </c>
      <c r="I1572">
        <f>30377000/(1000)</f>
        <v>30377</v>
      </c>
      <c r="J1572">
        <f t="shared" si="40"/>
        <v>2.2148625868255587E-2</v>
      </c>
      <c r="K1572">
        <f>27539001/(1000)</f>
        <v>27539.001</v>
      </c>
      <c r="L1572">
        <v>39.120025634765597</v>
      </c>
      <c r="M1572">
        <v>10.352576255798301</v>
      </c>
      <c r="N1572">
        <v>74.248140922571196</v>
      </c>
      <c r="O1572">
        <v>0</v>
      </c>
      <c r="P1572">
        <v>0</v>
      </c>
      <c r="Q1572">
        <v>2.9827316077467101</v>
      </c>
      <c r="R1572">
        <v>34.8623861599105</v>
      </c>
      <c r="S1572">
        <v>259.76064130066601</v>
      </c>
      <c r="T1572">
        <v>0</v>
      </c>
      <c r="U1572">
        <v>0</v>
      </c>
      <c r="V1572">
        <v>0</v>
      </c>
      <c r="W1572">
        <v>0</v>
      </c>
    </row>
    <row r="1573" spans="1:23" x14ac:dyDescent="0.55000000000000004">
      <c r="A1573" t="s">
        <v>3154</v>
      </c>
      <c r="B1573" t="s">
        <v>3155</v>
      </c>
      <c r="C1573" t="s">
        <v>38</v>
      </c>
      <c r="D1573">
        <v>9.7100000000000009</v>
      </c>
      <c r="E1573">
        <f>273186976/(1000)</f>
        <v>273186.97600000002</v>
      </c>
      <c r="F1573">
        <f>94763000/(1000)</f>
        <v>94763</v>
      </c>
      <c r="G1573">
        <f>8299000/(1000)</f>
        <v>8299</v>
      </c>
      <c r="H1573">
        <f>259087976/(1000)</f>
        <v>259087.976</v>
      </c>
      <c r="I1573">
        <f>12755000/(1000)</f>
        <v>12755</v>
      </c>
      <c r="J1573">
        <f t="shared" si="40"/>
        <v>2.0312659819678558E-2</v>
      </c>
      <c r="K1573">
        <f>8085001/(1000)</f>
        <v>8085.0010000000002</v>
      </c>
      <c r="L1573">
        <v>0</v>
      </c>
      <c r="M1573">
        <v>12.131251335144</v>
      </c>
      <c r="N1573">
        <v>90.970194301492</v>
      </c>
      <c r="O1573">
        <v>7.3929772377014196</v>
      </c>
      <c r="P1573">
        <v>0</v>
      </c>
      <c r="Q1573">
        <v>0</v>
      </c>
      <c r="R1573">
        <v>21.577777719644899</v>
      </c>
      <c r="S1573">
        <v>21.811170383700802</v>
      </c>
      <c r="T1573">
        <v>0</v>
      </c>
      <c r="U1573">
        <v>0</v>
      </c>
      <c r="V1573">
        <v>0</v>
      </c>
      <c r="W1573">
        <v>0</v>
      </c>
    </row>
    <row r="1574" spans="1:23" x14ac:dyDescent="0.55000000000000004">
      <c r="A1574" t="s">
        <v>3156</v>
      </c>
      <c r="B1574" t="s">
        <v>3157</v>
      </c>
      <c r="C1574" t="s">
        <v>81</v>
      </c>
      <c r="D1574">
        <v>4.32</v>
      </c>
      <c r="E1574">
        <f>179499024/(1000)</f>
        <v>179499.024</v>
      </c>
      <c r="F1574">
        <f>94665000/(1000)</f>
        <v>94665</v>
      </c>
      <c r="G1574">
        <f>12381000/(1000)</f>
        <v>12381</v>
      </c>
      <c r="H1574">
        <f>123940024/(1000)</f>
        <v>123940.024</v>
      </c>
      <c r="I1574">
        <f>18731000/(1000)</f>
        <v>18731</v>
      </c>
      <c r="J1574">
        <f t="shared" si="40"/>
        <v>6.6168396775399072E-3</v>
      </c>
      <c r="K1574">
        <f>10593001/(1000)</f>
        <v>10593.001</v>
      </c>
      <c r="L1574">
        <v>0</v>
      </c>
      <c r="M1574">
        <v>0</v>
      </c>
      <c r="N1574">
        <v>66.887439288809205</v>
      </c>
      <c r="O1574">
        <v>3.3213760852813698</v>
      </c>
      <c r="P1574">
        <v>0</v>
      </c>
      <c r="Q1574">
        <v>0.972972999096265</v>
      </c>
      <c r="R1574">
        <v>36.0000022351742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55000000000000004">
      <c r="A1575" t="s">
        <v>3158</v>
      </c>
      <c r="B1575" t="s">
        <v>3159</v>
      </c>
      <c r="C1575" t="s">
        <v>38</v>
      </c>
      <c r="D1575">
        <v>2.76</v>
      </c>
      <c r="E1575">
        <f>149230160/(1000)</f>
        <v>149230.16</v>
      </c>
      <c r="F1575">
        <f>94207000/(1000)</f>
        <v>94207</v>
      </c>
      <c r="G1575">
        <f>1420000/(1000)</f>
        <v>1420</v>
      </c>
      <c r="H1575">
        <f>135798159/(1000)</f>
        <v>135798.15900000001</v>
      </c>
      <c r="I1575">
        <f>6672999.5/(1000)</f>
        <v>6672.9994999999999</v>
      </c>
      <c r="J1575">
        <f t="shared" si="40"/>
        <v>2.0350392503401211E-2</v>
      </c>
      <c r="K1575">
        <f>4889000.5/(1000)</f>
        <v>4889.0005000000001</v>
      </c>
      <c r="L1575">
        <v>0</v>
      </c>
      <c r="M1575">
        <v>-1.8922690153121999</v>
      </c>
      <c r="N1575">
        <v>89.717377359611405</v>
      </c>
      <c r="O1575">
        <v>3.0230290889739999</v>
      </c>
      <c r="P1575">
        <v>0</v>
      </c>
      <c r="Q1575">
        <v>0</v>
      </c>
      <c r="R1575">
        <v>39.428572173629497</v>
      </c>
      <c r="S1575">
        <v>36.413263828554904</v>
      </c>
      <c r="T1575">
        <v>0</v>
      </c>
      <c r="U1575">
        <v>0</v>
      </c>
      <c r="V1575">
        <v>0</v>
      </c>
      <c r="W1575">
        <v>0</v>
      </c>
    </row>
    <row r="1576" spans="1:23" x14ac:dyDescent="0.55000000000000004">
      <c r="A1576" t="s">
        <v>3160</v>
      </c>
      <c r="B1576" t="s">
        <v>3161</v>
      </c>
      <c r="C1576" t="s">
        <v>5</v>
      </c>
      <c r="D1576">
        <v>1.49</v>
      </c>
      <c r="E1576">
        <f>54358776/(1000)</f>
        <v>54358.775999999998</v>
      </c>
      <c r="F1576">
        <f>93711000/(1000)</f>
        <v>93711</v>
      </c>
      <c r="G1576">
        <f>12390000/(1000)</f>
        <v>12390</v>
      </c>
      <c r="H1576">
        <f>177957776/(1000)</f>
        <v>177957.77600000001</v>
      </c>
      <c r="I1576">
        <f>49146000/(1000)</f>
        <v>49146</v>
      </c>
      <c r="J1576">
        <f t="shared" si="40"/>
        <v>3.6210022382289508E-3</v>
      </c>
      <c r="K1576">
        <f>-51024003/(1000)</f>
        <v>-51024.002999999997</v>
      </c>
      <c r="L1576">
        <v>307.13101196289102</v>
      </c>
      <c r="M1576">
        <v>0.63210701942443803</v>
      </c>
      <c r="N1576">
        <v>83.872225647927806</v>
      </c>
      <c r="O1576">
        <v>57.464111328125</v>
      </c>
      <c r="P1576">
        <v>0</v>
      </c>
      <c r="Q1576">
        <v>0</v>
      </c>
      <c r="R1576">
        <v>2.4426229390060699</v>
      </c>
      <c r="S1576">
        <v>402.55268944066103</v>
      </c>
      <c r="T1576">
        <v>0</v>
      </c>
      <c r="U1576">
        <v>0</v>
      </c>
      <c r="V1576">
        <v>0</v>
      </c>
      <c r="W1576">
        <v>0</v>
      </c>
    </row>
    <row r="1577" spans="1:23" x14ac:dyDescent="0.55000000000000004">
      <c r="A1577" t="s">
        <v>3162</v>
      </c>
      <c r="B1577" t="s">
        <v>3163</v>
      </c>
      <c r="C1577" t="s">
        <v>5</v>
      </c>
      <c r="D1577">
        <v>1.27</v>
      </c>
      <c r="E1577">
        <f>43414696/(1000)</f>
        <v>43414.696000000004</v>
      </c>
      <c r="F1577">
        <f>92780032/(1000)</f>
        <v>92780.032000000007</v>
      </c>
      <c r="G1577">
        <f>-17348534/(1000)</f>
        <v>-17348.534</v>
      </c>
      <c r="H1577">
        <f>140604416/(1000)</f>
        <v>140604.416</v>
      </c>
      <c r="I1577">
        <f>-822950.375/(1000)</f>
        <v>-822.95037500000001</v>
      </c>
      <c r="J1577">
        <f t="shared" si="40"/>
        <v>-0.17085406395251962</v>
      </c>
      <c r="K1577">
        <f>-12499562/(1000)</f>
        <v>-12499.562</v>
      </c>
      <c r="L1577">
        <v>0</v>
      </c>
      <c r="M1577">
        <v>0</v>
      </c>
      <c r="N1577">
        <v>87.116205746015694</v>
      </c>
      <c r="O1577">
        <v>1366.58471679688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55000000000000004">
      <c r="A1578" t="s">
        <v>3164</v>
      </c>
      <c r="B1578" t="s">
        <v>3165</v>
      </c>
      <c r="C1578" t="s">
        <v>38</v>
      </c>
      <c r="D1578">
        <v>5.75</v>
      </c>
      <c r="E1578">
        <f>240588048/(1000)</f>
        <v>240588.04800000001</v>
      </c>
      <c r="F1578">
        <f>91891000/(1000)</f>
        <v>91891</v>
      </c>
      <c r="G1578">
        <f>18407000/(1000)</f>
        <v>18407</v>
      </c>
      <c r="H1578">
        <f>134107048/(1000)</f>
        <v>134107.04800000001</v>
      </c>
      <c r="I1578">
        <f>18658000/(1000)</f>
        <v>18658</v>
      </c>
      <c r="J1578">
        <f t="shared" si="40"/>
        <v>7.1876432629435104E-3</v>
      </c>
      <c r="K1578">
        <f>3418001.25/(1000)</f>
        <v>3418.0012499999998</v>
      </c>
      <c r="L1578">
        <v>0</v>
      </c>
      <c r="M1578">
        <v>25.1782417297363</v>
      </c>
      <c r="N1578">
        <v>53.774982831254398</v>
      </c>
      <c r="O1578">
        <v>0</v>
      </c>
      <c r="P1578">
        <v>0</v>
      </c>
      <c r="Q1578">
        <v>2.024647948513</v>
      </c>
      <c r="R1578">
        <v>8.9843752792603606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55000000000000004">
      <c r="A1579" t="s">
        <v>3166</v>
      </c>
      <c r="B1579" t="s">
        <v>3167</v>
      </c>
      <c r="C1579" t="s">
        <v>5</v>
      </c>
      <c r="D1579">
        <v>6.69</v>
      </c>
      <c r="E1579">
        <f>149875408/(1000)</f>
        <v>149875.408</v>
      </c>
      <c r="F1579">
        <f>91265000/(1000)</f>
        <v>91265</v>
      </c>
      <c r="G1579">
        <f>0/(1000)</f>
        <v>0</v>
      </c>
      <c r="H1579">
        <f>0/(1000)</f>
        <v>0</v>
      </c>
      <c r="I1579">
        <f>0/(1000)</f>
        <v>0</v>
      </c>
      <c r="J1579">
        <f t="shared" si="40"/>
        <v>1</v>
      </c>
      <c r="K1579">
        <f>9004001/(1000)</f>
        <v>9004.0010000000002</v>
      </c>
      <c r="L1579">
        <v>18.886337280273398</v>
      </c>
      <c r="M1579">
        <v>13.1939811706543</v>
      </c>
      <c r="N1579">
        <v>81.995185576317596</v>
      </c>
      <c r="O1579">
        <v>65.393379211425795</v>
      </c>
      <c r="P1579">
        <v>2.2857143878936799</v>
      </c>
      <c r="Q1579">
        <v>1.0477600403870799</v>
      </c>
      <c r="R1579">
        <v>18.5833334268968</v>
      </c>
      <c r="S1579">
        <v>141.12285336855999</v>
      </c>
      <c r="T1579">
        <v>0</v>
      </c>
      <c r="U1579">
        <v>0</v>
      </c>
      <c r="V1579">
        <v>0</v>
      </c>
      <c r="W1579">
        <v>0</v>
      </c>
    </row>
    <row r="1580" spans="1:23" x14ac:dyDescent="0.55000000000000004">
      <c r="A1580" t="s">
        <v>3168</v>
      </c>
      <c r="B1580" t="s">
        <v>3169</v>
      </c>
      <c r="C1580" t="s">
        <v>5</v>
      </c>
      <c r="D1580">
        <v>2.04</v>
      </c>
      <c r="E1580">
        <f>108018816/(1000)</f>
        <v>108018.81600000001</v>
      </c>
      <c r="F1580">
        <f>91141000/(1000)</f>
        <v>91141</v>
      </c>
      <c r="G1580">
        <f>-2569000/(1000)</f>
        <v>-2569</v>
      </c>
      <c r="H1580">
        <f>25805816/(1000)</f>
        <v>25805.815999999999</v>
      </c>
      <c r="I1580">
        <f>-1073000/(1000)</f>
        <v>-1073</v>
      </c>
      <c r="J1580">
        <f t="shared" si="40"/>
        <v>-2.4050154706430567E-2</v>
      </c>
      <c r="K1580">
        <f>2538001/(1000)</f>
        <v>2538.0010000000002</v>
      </c>
      <c r="L1580">
        <v>0</v>
      </c>
      <c r="M1580">
        <v>1.1355290412902801</v>
      </c>
      <c r="N1580">
        <v>91.086184070895897</v>
      </c>
      <c r="O1580">
        <v>0</v>
      </c>
      <c r="P1580">
        <v>0</v>
      </c>
      <c r="Q1580">
        <v>0</v>
      </c>
      <c r="R1580">
        <v>21.935483819281401</v>
      </c>
      <c r="S1580">
        <v>38.499528918335699</v>
      </c>
      <c r="T1580">
        <v>0</v>
      </c>
      <c r="U1580">
        <v>0</v>
      </c>
      <c r="V1580">
        <v>0</v>
      </c>
      <c r="W1580">
        <v>0</v>
      </c>
    </row>
    <row r="1581" spans="1:23" x14ac:dyDescent="0.55000000000000004">
      <c r="A1581" t="s">
        <v>3170</v>
      </c>
      <c r="B1581" t="s">
        <v>3171</v>
      </c>
      <c r="C1581" t="s">
        <v>184</v>
      </c>
      <c r="D1581">
        <v>10.97</v>
      </c>
      <c r="E1581">
        <f>266539184/(1000)</f>
        <v>266539.18400000001</v>
      </c>
      <c r="F1581">
        <f>90910128/(1000)</f>
        <v>90910.127999999997</v>
      </c>
      <c r="G1581">
        <f>67479072/(1000)</f>
        <v>67479.072</v>
      </c>
      <c r="H1581">
        <f>322774720/(1000)</f>
        <v>322774.71999999997</v>
      </c>
      <c r="I1581">
        <f>67479072/(1000)</f>
        <v>67479.072</v>
      </c>
      <c r="J1581">
        <f t="shared" si="40"/>
        <v>4.7833307488283176E-3</v>
      </c>
      <c r="K1581">
        <f>-49785867/(1000)</f>
        <v>-49785.866999999998</v>
      </c>
      <c r="L1581">
        <v>6.7411861419677699</v>
      </c>
      <c r="M1581">
        <v>16.170484542846701</v>
      </c>
      <c r="N1581">
        <v>94.477118407420306</v>
      </c>
      <c r="O1581">
        <v>16.355718612670898</v>
      </c>
      <c r="P1581">
        <v>0.479999989271164</v>
      </c>
      <c r="Q1581">
        <v>0.63264130164333399</v>
      </c>
      <c r="R1581">
        <v>4.17110277069132</v>
      </c>
      <c r="S1581">
        <v>306.15943941764698</v>
      </c>
      <c r="T1581">
        <v>0</v>
      </c>
      <c r="U1581">
        <v>0</v>
      </c>
      <c r="V1581">
        <v>0</v>
      </c>
      <c r="W1581">
        <v>0</v>
      </c>
    </row>
    <row r="1582" spans="1:23" x14ac:dyDescent="0.55000000000000004">
      <c r="A1582" t="s">
        <v>3172</v>
      </c>
      <c r="B1582" t="s">
        <v>3173</v>
      </c>
      <c r="C1582" t="s">
        <v>184</v>
      </c>
      <c r="D1582">
        <v>14.25</v>
      </c>
      <c r="E1582">
        <f>164349504/(1000)</f>
        <v>164349.50399999999</v>
      </c>
      <c r="F1582">
        <f>90073104/(1000)</f>
        <v>90073.104000000007</v>
      </c>
      <c r="G1582">
        <f>0/(1000)</f>
        <v>0</v>
      </c>
      <c r="H1582">
        <f>0/(1000)</f>
        <v>0</v>
      </c>
      <c r="I1582">
        <f>0/(1000)</f>
        <v>0</v>
      </c>
      <c r="J1582">
        <f t="shared" si="40"/>
        <v>1</v>
      </c>
      <c r="K1582">
        <f>2232639/(1000)</f>
        <v>2232.6390000000001</v>
      </c>
      <c r="L1582">
        <v>14.796089172363301</v>
      </c>
      <c r="M1582">
        <v>11.4005031585693</v>
      </c>
      <c r="N1582">
        <v>91.257486020224704</v>
      </c>
      <c r="O1582">
        <v>78.187072753906307</v>
      </c>
      <c r="P1582">
        <v>0.519999980926514</v>
      </c>
      <c r="Q1582">
        <v>1.07263832620787</v>
      </c>
      <c r="R1582">
        <v>14.843749870972999</v>
      </c>
      <c r="S1582">
        <v>168.97130130024499</v>
      </c>
      <c r="T1582">
        <v>0</v>
      </c>
      <c r="U1582">
        <v>0</v>
      </c>
      <c r="V1582">
        <v>0</v>
      </c>
      <c r="W1582">
        <v>0</v>
      </c>
    </row>
    <row r="1583" spans="1:23" x14ac:dyDescent="0.55000000000000004">
      <c r="A1583" t="s">
        <v>3174</v>
      </c>
      <c r="B1583" t="s">
        <v>3175</v>
      </c>
      <c r="C1583" t="s">
        <v>38</v>
      </c>
      <c r="D1583">
        <v>73.3</v>
      </c>
      <c r="E1583">
        <f>684233472/(1000)</f>
        <v>684233.47199999995</v>
      </c>
      <c r="F1583">
        <f>89954000/(1000)</f>
        <v>89954</v>
      </c>
      <c r="G1583">
        <f>34451000/(1000)</f>
        <v>34451</v>
      </c>
      <c r="H1583">
        <f>650840472/(1000)</f>
        <v>650840.47199999995</v>
      </c>
      <c r="I1583">
        <f>40828000/(1000)</f>
        <v>40828</v>
      </c>
      <c r="J1583">
        <f t="shared" si="40"/>
        <v>1.5941032428725382E-2</v>
      </c>
      <c r="K1583">
        <f>27118001/(1000)</f>
        <v>27118.001</v>
      </c>
      <c r="L1583">
        <v>24.533515930175799</v>
      </c>
      <c r="M1583">
        <v>35.5595092773438</v>
      </c>
      <c r="N1583">
        <v>98.320249853342901</v>
      </c>
      <c r="O1583">
        <v>0</v>
      </c>
      <c r="P1583">
        <v>2.0999999046325701</v>
      </c>
      <c r="Q1583">
        <v>0</v>
      </c>
      <c r="R1583">
        <v>29.556453326498001</v>
      </c>
      <c r="S1583">
        <v>38.779351414730499</v>
      </c>
      <c r="T1583">
        <v>0</v>
      </c>
      <c r="U1583">
        <v>0</v>
      </c>
      <c r="V1583">
        <v>0</v>
      </c>
      <c r="W1583">
        <v>0</v>
      </c>
    </row>
    <row r="1584" spans="1:23" x14ac:dyDescent="0.55000000000000004">
      <c r="A1584" t="s">
        <v>3176</v>
      </c>
      <c r="B1584" t="s">
        <v>3177</v>
      </c>
      <c r="C1584" t="s">
        <v>5</v>
      </c>
      <c r="D1584">
        <v>5.82</v>
      </c>
      <c r="E1584">
        <f>255749600/(1000)</f>
        <v>255749.6</v>
      </c>
      <c r="F1584">
        <f>89889000/(1000)</f>
        <v>89889</v>
      </c>
      <c r="G1584">
        <f>4855000/(1000)</f>
        <v>4855</v>
      </c>
      <c r="H1584">
        <f>202574600/(1000)</f>
        <v>202574.6</v>
      </c>
      <c r="I1584">
        <f>12885000/(1000)</f>
        <v>12885</v>
      </c>
      <c r="J1584">
        <f t="shared" si="40"/>
        <v>1.5721738455568492E-2</v>
      </c>
      <c r="K1584">
        <f>33856001/(1000)</f>
        <v>33856.000999999997</v>
      </c>
      <c r="L1584">
        <v>0</v>
      </c>
      <c r="M1584">
        <v>0.16325600445270499</v>
      </c>
      <c r="N1584">
        <v>42.803200973741497</v>
      </c>
      <c r="O1584">
        <v>0</v>
      </c>
      <c r="P1584">
        <v>0</v>
      </c>
      <c r="Q1584">
        <v>0</v>
      </c>
      <c r="R1584">
        <v>22.384616224458899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55000000000000004">
      <c r="A1585" t="s">
        <v>3178</v>
      </c>
      <c r="B1585" t="s">
        <v>3179</v>
      </c>
      <c r="C1585" t="s">
        <v>31</v>
      </c>
      <c r="D1585">
        <v>6.67</v>
      </c>
      <c r="E1585">
        <f>286148320/(1000)</f>
        <v>286148.32</v>
      </c>
      <c r="F1585">
        <f>89743000/(1000)</f>
        <v>89743</v>
      </c>
      <c r="G1585">
        <f>-28447000/(1000)</f>
        <v>-28447</v>
      </c>
      <c r="H1585">
        <f>42116320/(1000)</f>
        <v>42116.32</v>
      </c>
      <c r="I1585">
        <f>-15832000/(1000)</f>
        <v>-15832</v>
      </c>
      <c r="J1585">
        <f t="shared" si="40"/>
        <v>-2.660202122283982E-3</v>
      </c>
      <c r="K1585">
        <f>8897001/(1000)</f>
        <v>8897.0010000000002</v>
      </c>
      <c r="L1585">
        <v>0</v>
      </c>
      <c r="M1585">
        <v>-50.365310668945298</v>
      </c>
      <c r="N1585">
        <v>97.973000918444598</v>
      </c>
      <c r="O1585">
        <v>4.4139089584350604</v>
      </c>
      <c r="P1585">
        <v>0</v>
      </c>
      <c r="Q1585">
        <v>0.781030457387341</v>
      </c>
      <c r="R1585">
        <v>0</v>
      </c>
      <c r="S1585">
        <v>33.928776627938397</v>
      </c>
      <c r="T1585">
        <v>0</v>
      </c>
      <c r="U1585">
        <v>0</v>
      </c>
      <c r="V1585">
        <v>0</v>
      </c>
      <c r="W1585">
        <v>0</v>
      </c>
    </row>
    <row r="1586" spans="1:23" x14ac:dyDescent="0.55000000000000004">
      <c r="A1586" t="s">
        <v>3180</v>
      </c>
      <c r="B1586" t="s">
        <v>3181</v>
      </c>
      <c r="C1586" t="s">
        <v>31</v>
      </c>
      <c r="D1586">
        <v>4.7</v>
      </c>
      <c r="E1586">
        <f>119406792/(1000)</f>
        <v>119406.792</v>
      </c>
      <c r="F1586">
        <f>89001000/(1000)</f>
        <v>89001</v>
      </c>
      <c r="G1586">
        <f>8095000.5/(1000)</f>
        <v>8095.0005000000001</v>
      </c>
      <c r="H1586">
        <f>65357792/(1000)</f>
        <v>65357.792000000001</v>
      </c>
      <c r="I1586">
        <f>12122000/(1000)</f>
        <v>12122</v>
      </c>
      <c r="J1586">
        <f t="shared" si="40"/>
        <v>5.3916673816201948E-3</v>
      </c>
      <c r="K1586">
        <f>9540001/(1000)</f>
        <v>9540.0010000000002</v>
      </c>
      <c r="L1586">
        <v>27.061506271362301</v>
      </c>
      <c r="M1586">
        <v>7.7210359573364302</v>
      </c>
      <c r="N1586">
        <v>98.650922165377807</v>
      </c>
      <c r="O1586">
        <v>0</v>
      </c>
      <c r="P1586">
        <v>0.36000001430511502</v>
      </c>
      <c r="Q1586">
        <v>0</v>
      </c>
      <c r="R1586">
        <v>30.322579910182</v>
      </c>
      <c r="S1586">
        <v>50.080941620855903</v>
      </c>
      <c r="T1586">
        <v>0</v>
      </c>
      <c r="U1586">
        <v>0</v>
      </c>
      <c r="V1586">
        <v>0</v>
      </c>
      <c r="W1586">
        <v>0</v>
      </c>
    </row>
    <row r="1587" spans="1:23" x14ac:dyDescent="0.55000000000000004">
      <c r="A1587" t="s">
        <v>3182</v>
      </c>
      <c r="B1587" t="s">
        <v>3183</v>
      </c>
      <c r="C1587" t="s">
        <v>5</v>
      </c>
      <c r="D1587">
        <v>3.29</v>
      </c>
      <c r="E1587">
        <f>210020432/(1000)</f>
        <v>210020.432</v>
      </c>
      <c r="F1587">
        <f>88998000/(1000)</f>
        <v>88998</v>
      </c>
      <c r="G1587">
        <f>-31181000/(1000)</f>
        <v>-31181</v>
      </c>
      <c r="H1587">
        <f>133303432/(1000)</f>
        <v>133303.432</v>
      </c>
      <c r="I1587">
        <f>-25844000/(1000)</f>
        <v>-25844</v>
      </c>
      <c r="J1587">
        <f t="shared" si="40"/>
        <v>-5.1580030954960533E-3</v>
      </c>
      <c r="K1587">
        <f>-14233999/(1000)</f>
        <v>-14233.999</v>
      </c>
      <c r="L1587">
        <v>0</v>
      </c>
      <c r="M1587">
        <v>-27.0951137542725</v>
      </c>
      <c r="N1587">
        <v>51.9326097511304</v>
      </c>
      <c r="O1587">
        <v>0</v>
      </c>
      <c r="P1587">
        <v>0</v>
      </c>
      <c r="Q1587">
        <v>3.0462961399260902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55000000000000004">
      <c r="A1588" t="s">
        <v>3184</v>
      </c>
      <c r="B1588" t="s">
        <v>3185</v>
      </c>
      <c r="C1588" t="s">
        <v>38</v>
      </c>
      <c r="D1588">
        <v>97.1</v>
      </c>
      <c r="E1588">
        <f>190985984/(1000)</f>
        <v>190985.984</v>
      </c>
      <c r="F1588">
        <f>88540000/(1000)</f>
        <v>88540</v>
      </c>
      <c r="G1588">
        <f>18797000/(1000)</f>
        <v>18797</v>
      </c>
      <c r="H1588">
        <f>180140984/(1000)</f>
        <v>180140.984</v>
      </c>
      <c r="I1588">
        <f>24331000/(1000)</f>
        <v>24331</v>
      </c>
      <c r="J1588">
        <f t="shared" si="40"/>
        <v>7.4037640869672426E-3</v>
      </c>
      <c r="K1588">
        <f>14812001/(1000)</f>
        <v>14812.001</v>
      </c>
      <c r="L1588">
        <v>15.749758720397899</v>
      </c>
      <c r="M1588">
        <v>17.91770362854</v>
      </c>
      <c r="N1588">
        <v>77.868727794019605</v>
      </c>
      <c r="O1588">
        <v>0</v>
      </c>
      <c r="P1588">
        <v>1.20000004768372</v>
      </c>
      <c r="Q1588">
        <v>0</v>
      </c>
      <c r="R1588">
        <v>13.0335567587426</v>
      </c>
      <c r="S1588">
        <v>48.724236977810598</v>
      </c>
      <c r="T1588">
        <v>0</v>
      </c>
      <c r="U1588">
        <v>0</v>
      </c>
      <c r="V1588">
        <v>0</v>
      </c>
      <c r="W1588">
        <v>0</v>
      </c>
    </row>
    <row r="1589" spans="1:23" x14ac:dyDescent="0.55000000000000004">
      <c r="A1589" t="s">
        <v>3186</v>
      </c>
      <c r="B1589" t="s">
        <v>3187</v>
      </c>
      <c r="C1589" t="s">
        <v>184</v>
      </c>
      <c r="D1589">
        <v>8.16</v>
      </c>
      <c r="E1589">
        <f>274636992/(1000)</f>
        <v>274636.99200000003</v>
      </c>
      <c r="F1589">
        <f>88401000/(1000)</f>
        <v>88401</v>
      </c>
      <c r="G1589">
        <f>12009000/(1000)</f>
        <v>12009</v>
      </c>
      <c r="H1589">
        <f>171953992/(1000)</f>
        <v>171953.992</v>
      </c>
      <c r="I1589">
        <f>19179000/(1000)</f>
        <v>19179</v>
      </c>
      <c r="J1589">
        <f t="shared" si="40"/>
        <v>8.9657433651389538E-3</v>
      </c>
      <c r="K1589">
        <f>27587001/(1000)</f>
        <v>27587.001</v>
      </c>
      <c r="L1589">
        <v>0</v>
      </c>
      <c r="M1589">
        <v>5.7384018898010298</v>
      </c>
      <c r="N1589">
        <v>93.497429321264093</v>
      </c>
      <c r="O1589">
        <v>0</v>
      </c>
      <c r="P1589">
        <v>0</v>
      </c>
      <c r="Q1589">
        <v>1.6</v>
      </c>
      <c r="R1589">
        <v>32.639999876022301</v>
      </c>
      <c r="S1589">
        <v>392.236559532554</v>
      </c>
      <c r="T1589">
        <v>0</v>
      </c>
      <c r="U1589">
        <v>0</v>
      </c>
      <c r="V1589">
        <v>0</v>
      </c>
      <c r="W1589">
        <v>0</v>
      </c>
    </row>
    <row r="1590" spans="1:23" x14ac:dyDescent="0.55000000000000004">
      <c r="A1590" t="s">
        <v>3188</v>
      </c>
      <c r="B1590" t="s">
        <v>3189</v>
      </c>
      <c r="C1590" t="s">
        <v>2</v>
      </c>
      <c r="D1590">
        <v>14.65</v>
      </c>
      <c r="E1590">
        <f>250825584/(1000)</f>
        <v>250825.584</v>
      </c>
      <c r="F1590">
        <f>88160000/(1000)</f>
        <v>88160</v>
      </c>
      <c r="G1590">
        <f>41247000/(1000)</f>
        <v>41247</v>
      </c>
      <c r="H1590">
        <f>281445580/(1000)</f>
        <v>281445.58</v>
      </c>
      <c r="I1590">
        <f>58263004/(1000)</f>
        <v>58263.004000000001</v>
      </c>
      <c r="J1590">
        <f t="shared" si="40"/>
        <v>4.830605370090427E-3</v>
      </c>
      <c r="K1590">
        <f>14727002/(1000)</f>
        <v>14727.002</v>
      </c>
      <c r="L1590">
        <v>8.2043104171752894</v>
      </c>
      <c r="M1590">
        <v>42.368640899658203</v>
      </c>
      <c r="N1590">
        <v>99.9999967203034</v>
      </c>
      <c r="O1590">
        <v>50.615520477294901</v>
      </c>
      <c r="P1590">
        <v>10</v>
      </c>
      <c r="Q1590">
        <v>1.1119797687589299</v>
      </c>
      <c r="R1590">
        <v>4.8509931860642101</v>
      </c>
      <c r="S1590">
        <v>118.889661336776</v>
      </c>
      <c r="T1590">
        <v>0</v>
      </c>
      <c r="U1590">
        <v>0</v>
      </c>
      <c r="V1590">
        <v>0</v>
      </c>
      <c r="W1590">
        <v>0</v>
      </c>
    </row>
    <row r="1591" spans="1:23" x14ac:dyDescent="0.55000000000000004">
      <c r="A1591" t="s">
        <v>3190</v>
      </c>
      <c r="B1591" t="s">
        <v>3191</v>
      </c>
      <c r="C1591" t="s">
        <v>5</v>
      </c>
      <c r="D1591">
        <v>16.03</v>
      </c>
      <c r="E1591">
        <f>189146000/(1000)</f>
        <v>189146</v>
      </c>
      <c r="F1591">
        <f>87879000/(1000)</f>
        <v>87879</v>
      </c>
      <c r="G1591">
        <f>0/(1000)</f>
        <v>0</v>
      </c>
      <c r="H1591">
        <f>0/(1000)</f>
        <v>0</v>
      </c>
      <c r="I1591">
        <f>0/(1000)</f>
        <v>0</v>
      </c>
      <c r="J1591">
        <f t="shared" si="40"/>
        <v>1</v>
      </c>
      <c r="K1591">
        <f>10742001/(1000)</f>
        <v>10742.001</v>
      </c>
      <c r="L1591">
        <v>16.245283126831101</v>
      </c>
      <c r="M1591">
        <v>19.433799743652301</v>
      </c>
      <c r="N1591">
        <v>83.500992511480703</v>
      </c>
      <c r="O1591">
        <v>48.833984375</v>
      </c>
      <c r="P1591">
        <v>0.15999999642372101</v>
      </c>
      <c r="Q1591">
        <v>0</v>
      </c>
      <c r="R1591">
        <v>10.0817614154656</v>
      </c>
      <c r="S1591">
        <v>178.38882377165999</v>
      </c>
      <c r="T1591">
        <v>0</v>
      </c>
      <c r="U1591">
        <v>0</v>
      </c>
      <c r="V1591">
        <v>0</v>
      </c>
      <c r="W1591">
        <v>0</v>
      </c>
    </row>
    <row r="1592" spans="1:23" x14ac:dyDescent="0.55000000000000004">
      <c r="A1592" t="s">
        <v>3192</v>
      </c>
      <c r="B1592" t="s">
        <v>3193</v>
      </c>
      <c r="C1592" t="s">
        <v>184</v>
      </c>
      <c r="D1592">
        <v>13.28</v>
      </c>
      <c r="E1592">
        <f>333026528/(1000)</f>
        <v>333026.52799999999</v>
      </c>
      <c r="F1592">
        <f>87791000/(1000)</f>
        <v>87791</v>
      </c>
      <c r="G1592">
        <f>16016001/(1000)</f>
        <v>16016.001</v>
      </c>
      <c r="H1592">
        <f>189770528/(1000)</f>
        <v>189770.52799999999</v>
      </c>
      <c r="I1592">
        <f>17725000/(1000)</f>
        <v>17725</v>
      </c>
      <c r="J1592">
        <f t="shared" si="40"/>
        <v>1.0706376755994357E-2</v>
      </c>
      <c r="K1592">
        <f>24415001/(1000)</f>
        <v>24415.001</v>
      </c>
      <c r="L1592">
        <v>0</v>
      </c>
      <c r="M1592">
        <v>27.280105590820298</v>
      </c>
      <c r="N1592">
        <v>89.799144214053101</v>
      </c>
      <c r="O1592">
        <v>0</v>
      </c>
      <c r="P1592">
        <v>0</v>
      </c>
      <c r="Q1592">
        <v>0</v>
      </c>
      <c r="R1592">
        <v>24.5925928174387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55000000000000004">
      <c r="A1593" t="s">
        <v>3194</v>
      </c>
      <c r="B1593" t="s">
        <v>3195</v>
      </c>
      <c r="C1593" t="s">
        <v>121</v>
      </c>
      <c r="D1593">
        <v>1.25</v>
      </c>
      <c r="E1593">
        <f>58203748/(1000)</f>
        <v>58203.748</v>
      </c>
      <c r="F1593">
        <f>87739328/(1000)</f>
        <v>87739.327999999994</v>
      </c>
      <c r="G1593">
        <f>18379696/(1000)</f>
        <v>18379.696</v>
      </c>
      <c r="H1593">
        <f>65269653/(1000)</f>
        <v>65269.652999999998</v>
      </c>
      <c r="I1593">
        <f>20594340/(1000)</f>
        <v>20594.34</v>
      </c>
      <c r="J1593">
        <f t="shared" si="40"/>
        <v>3.1693005456839111E-3</v>
      </c>
      <c r="K1593">
        <f>-27311821/(1000)</f>
        <v>-27311.821</v>
      </c>
      <c r="L1593">
        <v>0</v>
      </c>
      <c r="M1593">
        <v>22.0152893066406</v>
      </c>
      <c r="N1593">
        <v>63.287589231416703</v>
      </c>
      <c r="O1593">
        <v>14.517815589904799</v>
      </c>
      <c r="P1593">
        <v>0</v>
      </c>
      <c r="Q1593">
        <v>0</v>
      </c>
      <c r="R1593">
        <v>3.20512813899879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55000000000000004">
      <c r="A1594" t="s">
        <v>3196</v>
      </c>
      <c r="B1594" t="s">
        <v>3197</v>
      </c>
      <c r="C1594" t="s">
        <v>81</v>
      </c>
      <c r="D1594">
        <v>12.75</v>
      </c>
      <c r="E1594">
        <f>370959968/(1000)</f>
        <v>370959.96799999999</v>
      </c>
      <c r="F1594">
        <f>87153000/(1000)</f>
        <v>87153</v>
      </c>
      <c r="G1594">
        <f>10658000/(1000)</f>
        <v>10658</v>
      </c>
      <c r="H1594">
        <f>304669968/(1000)</f>
        <v>304669.96799999999</v>
      </c>
      <c r="I1594">
        <f>15388000/(1000)</f>
        <v>15388</v>
      </c>
      <c r="J1594">
        <f t="shared" si="40"/>
        <v>1.9799192097738498E-2</v>
      </c>
      <c r="K1594">
        <f>17576001/(1000)</f>
        <v>17576.001</v>
      </c>
      <c r="L1594">
        <v>0</v>
      </c>
      <c r="M1594">
        <v>0</v>
      </c>
      <c r="N1594">
        <v>62.9282105022602</v>
      </c>
      <c r="O1594">
        <v>1.7972559928894001</v>
      </c>
      <c r="P1594">
        <v>0</v>
      </c>
      <c r="Q1594">
        <v>3.3347893716519499</v>
      </c>
      <c r="R1594">
        <v>28.333333614799699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55000000000000004">
      <c r="A1595" t="s">
        <v>3198</v>
      </c>
      <c r="B1595" t="s">
        <v>3199</v>
      </c>
      <c r="C1595" t="s">
        <v>184</v>
      </c>
      <c r="D1595">
        <v>11.24</v>
      </c>
      <c r="E1595">
        <f>112400000/(1000)</f>
        <v>112400</v>
      </c>
      <c r="F1595">
        <f>86764000/(1000)</f>
        <v>86764</v>
      </c>
      <c r="G1595">
        <f>0/(1000)</f>
        <v>0</v>
      </c>
      <c r="H1595">
        <f>0/(1000)</f>
        <v>0</v>
      </c>
      <c r="I1595">
        <f>0/(1000)</f>
        <v>0</v>
      </c>
      <c r="J1595">
        <f t="shared" si="40"/>
        <v>1</v>
      </c>
      <c r="K1595">
        <f>33827001/(1000)</f>
        <v>33827.000999999997</v>
      </c>
      <c r="L1595">
        <v>18.7207431793213</v>
      </c>
      <c r="M1595">
        <v>9.8010044097900408</v>
      </c>
      <c r="N1595">
        <v>83.753</v>
      </c>
      <c r="O1595">
        <v>57.395767211914098</v>
      </c>
      <c r="P1595">
        <v>0.31999999284744302</v>
      </c>
      <c r="Q1595">
        <v>0.92969393128685895</v>
      </c>
      <c r="R1595">
        <v>35.124998434214</v>
      </c>
      <c r="S1595">
        <v>40.426633865276898</v>
      </c>
      <c r="T1595">
        <v>0</v>
      </c>
      <c r="U1595">
        <v>0</v>
      </c>
      <c r="V1595">
        <v>0</v>
      </c>
      <c r="W1595">
        <v>0</v>
      </c>
    </row>
    <row r="1596" spans="1:23" x14ac:dyDescent="0.55000000000000004">
      <c r="A1596" t="s">
        <v>3200</v>
      </c>
      <c r="B1596" t="s">
        <v>3201</v>
      </c>
      <c r="C1596" t="s">
        <v>81</v>
      </c>
      <c r="D1596">
        <v>2.46</v>
      </c>
      <c r="E1596">
        <f>129043976/(1000)</f>
        <v>129043.976</v>
      </c>
      <c r="F1596">
        <f>86617240/(1000)</f>
        <v>86617.24</v>
      </c>
      <c r="G1596">
        <f>16529997/(1000)</f>
        <v>16529.996999999999</v>
      </c>
      <c r="H1596">
        <f>157404164/(1000)</f>
        <v>157404.16399999999</v>
      </c>
      <c r="I1596">
        <f>16864374/(1000)</f>
        <v>16864.374</v>
      </c>
      <c r="J1596">
        <f t="shared" si="40"/>
        <v>9.3335313839695427E-3</v>
      </c>
      <c r="K1596">
        <f>-14436875/(1000)</f>
        <v>-14436.875</v>
      </c>
      <c r="L1596">
        <v>0</v>
      </c>
      <c r="M1596">
        <v>32.975532531738303</v>
      </c>
      <c r="N1596">
        <v>36.857495255344602</v>
      </c>
      <c r="O1596">
        <v>12.3667612075806</v>
      </c>
      <c r="P1596">
        <v>0</v>
      </c>
      <c r="Q1596">
        <v>0</v>
      </c>
      <c r="R1596">
        <v>5.2340425231733096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55000000000000004">
      <c r="A1597" t="s">
        <v>3202</v>
      </c>
      <c r="B1597" t="s">
        <v>3203</v>
      </c>
      <c r="C1597" t="s">
        <v>2</v>
      </c>
      <c r="D1597">
        <v>10.82</v>
      </c>
      <c r="E1597">
        <f>109558992/(1000)</f>
        <v>109558.992</v>
      </c>
      <c r="F1597">
        <f>86428000/(1000)</f>
        <v>86428</v>
      </c>
      <c r="G1597">
        <f>21088000/(1000)</f>
        <v>21088</v>
      </c>
      <c r="H1597">
        <f>66776992/(1000)</f>
        <v>66776.991999999998</v>
      </c>
      <c r="I1597">
        <f>22077000/(1000)</f>
        <v>22077</v>
      </c>
      <c r="J1597">
        <f t="shared" si="40"/>
        <v>3.0247312587761018E-3</v>
      </c>
      <c r="K1597">
        <f>18675001/(1000)</f>
        <v>18675.001</v>
      </c>
      <c r="L1597">
        <v>0</v>
      </c>
      <c r="M1597">
        <v>37.969440460205099</v>
      </c>
      <c r="N1597">
        <v>96.843645161493896</v>
      </c>
      <c r="O1597">
        <v>0.115377999842167</v>
      </c>
      <c r="P1597">
        <v>7.9999998211861004E-2</v>
      </c>
      <c r="Q1597">
        <v>1.58651017924952</v>
      </c>
      <c r="R1597">
        <v>7.3058741725428504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55000000000000004">
      <c r="A1598" t="s">
        <v>3204</v>
      </c>
      <c r="B1598" t="s">
        <v>3205</v>
      </c>
      <c r="C1598" t="s">
        <v>184</v>
      </c>
      <c r="D1598">
        <v>26.64</v>
      </c>
      <c r="E1598">
        <f>220808304/(1000)</f>
        <v>220808.304</v>
      </c>
      <c r="F1598">
        <f>86395000/(1000)</f>
        <v>86395</v>
      </c>
      <c r="G1598">
        <f>0/(1000)</f>
        <v>0</v>
      </c>
      <c r="H1598">
        <f>0/(1000)</f>
        <v>0</v>
      </c>
      <c r="I1598">
        <f>0/(1000)</f>
        <v>0</v>
      </c>
      <c r="J1598">
        <f t="shared" si="40"/>
        <v>1</v>
      </c>
      <c r="K1598">
        <f>7597001/(1000)</f>
        <v>7597.0010000000002</v>
      </c>
      <c r="L1598">
        <v>18.971359252929702</v>
      </c>
      <c r="M1598">
        <v>11.233380317688001</v>
      </c>
      <c r="N1598">
        <v>81.261009410984201</v>
      </c>
      <c r="O1598">
        <v>41.719646453857401</v>
      </c>
      <c r="P1598">
        <v>0.60952383279800404</v>
      </c>
      <c r="Q1598">
        <v>0</v>
      </c>
      <c r="R1598">
        <v>15.578947206980301</v>
      </c>
      <c r="S1598">
        <v>66.352170982959507</v>
      </c>
      <c r="T1598">
        <v>0</v>
      </c>
      <c r="U1598">
        <v>0</v>
      </c>
      <c r="V1598">
        <v>0</v>
      </c>
      <c r="W1598">
        <v>0</v>
      </c>
    </row>
    <row r="1599" spans="1:23" x14ac:dyDescent="0.55000000000000004">
      <c r="A1599" t="s">
        <v>3206</v>
      </c>
      <c r="B1599" t="s">
        <v>3207</v>
      </c>
      <c r="C1599" t="s">
        <v>38</v>
      </c>
      <c r="D1599">
        <v>6.21</v>
      </c>
      <c r="E1599">
        <f>294159008/(1000)</f>
        <v>294159.00799999997</v>
      </c>
      <c r="F1599">
        <f>86248000/(1000)</f>
        <v>86248</v>
      </c>
      <c r="G1599">
        <f>8141000/(1000)</f>
        <v>8141</v>
      </c>
      <c r="H1599">
        <f>535582992/(1000)</f>
        <v>535582.99199999997</v>
      </c>
      <c r="I1599">
        <f>12221000/(1000)</f>
        <v>12221</v>
      </c>
      <c r="J1599">
        <f t="shared" si="40"/>
        <v>4.382480909909172E-2</v>
      </c>
      <c r="K1599">
        <f>27442001/(1000)</f>
        <v>27442.001</v>
      </c>
      <c r="L1599">
        <v>0</v>
      </c>
      <c r="M1599">
        <v>0</v>
      </c>
      <c r="N1599">
        <v>98.428074811832502</v>
      </c>
      <c r="O1599">
        <v>0</v>
      </c>
      <c r="P1599">
        <v>0</v>
      </c>
      <c r="Q1599">
        <v>0</v>
      </c>
      <c r="R1599">
        <v>0</v>
      </c>
      <c r="S1599">
        <v>3904.0854224698201</v>
      </c>
      <c r="T1599">
        <v>0</v>
      </c>
      <c r="U1599">
        <v>0</v>
      </c>
      <c r="V1599">
        <v>0</v>
      </c>
      <c r="W1599">
        <v>0</v>
      </c>
    </row>
    <row r="1600" spans="1:23" x14ac:dyDescent="0.55000000000000004">
      <c r="A1600" t="s">
        <v>3208</v>
      </c>
      <c r="B1600" t="s">
        <v>3209</v>
      </c>
      <c r="C1600" t="s">
        <v>5</v>
      </c>
      <c r="D1600">
        <v>8.48</v>
      </c>
      <c r="E1600">
        <f>134391888/(1000)</f>
        <v>134391.88800000001</v>
      </c>
      <c r="F1600">
        <f>86243000/(1000)</f>
        <v>86243</v>
      </c>
      <c r="G1600">
        <f>9230000/(1000)</f>
        <v>9230</v>
      </c>
      <c r="H1600">
        <f>99654888/(1000)</f>
        <v>99654.888000000006</v>
      </c>
      <c r="I1600">
        <f>11717999/(1000)</f>
        <v>11717.999</v>
      </c>
      <c r="J1600">
        <f t="shared" si="40"/>
        <v>8.5044287851535078E-3</v>
      </c>
      <c r="K1600">
        <f>1810001/(1000)</f>
        <v>1810.001</v>
      </c>
      <c r="L1600">
        <v>0</v>
      </c>
      <c r="M1600">
        <v>0</v>
      </c>
      <c r="N1600">
        <v>65.273440918689204</v>
      </c>
      <c r="O1600">
        <v>0</v>
      </c>
      <c r="P1600">
        <v>0</v>
      </c>
      <c r="Q1600">
        <v>2.5775074895320498</v>
      </c>
      <c r="R1600">
        <v>15.9999995501536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55000000000000004">
      <c r="A1601" t="s">
        <v>3210</v>
      </c>
      <c r="B1601" t="s">
        <v>3211</v>
      </c>
      <c r="C1601" t="s">
        <v>94</v>
      </c>
      <c r="D1601">
        <v>17.23</v>
      </c>
      <c r="E1601">
        <f>230721760/(1000)</f>
        <v>230721.76</v>
      </c>
      <c r="F1601">
        <f>86114000/(1000)</f>
        <v>86114</v>
      </c>
      <c r="G1601">
        <f>22671000/(1000)</f>
        <v>22671</v>
      </c>
      <c r="H1601">
        <f>380995760/(1000)</f>
        <v>380995.76</v>
      </c>
      <c r="I1601">
        <f>30847000/(1000)</f>
        <v>30847</v>
      </c>
      <c r="J1601">
        <f t="shared" si="40"/>
        <v>1.2351144681816709E-2</v>
      </c>
      <c r="K1601">
        <f>-3111999/(1000)</f>
        <v>-3111.9989999999998</v>
      </c>
      <c r="L1601">
        <v>25.6539001464844</v>
      </c>
      <c r="M1601">
        <v>8.8335447311401403</v>
      </c>
      <c r="N1601">
        <v>91.422402778914304</v>
      </c>
      <c r="O1601">
        <v>102.517211914063</v>
      </c>
      <c r="P1601">
        <v>0.70999997854232799</v>
      </c>
      <c r="Q1601">
        <v>0</v>
      </c>
      <c r="R1601">
        <v>17.947916312408399</v>
      </c>
      <c r="S1601">
        <v>39.044290339023</v>
      </c>
      <c r="T1601">
        <v>0</v>
      </c>
      <c r="U1601">
        <v>0</v>
      </c>
      <c r="V1601">
        <v>0</v>
      </c>
      <c r="W1601">
        <v>0</v>
      </c>
    </row>
    <row r="1602" spans="1:23" x14ac:dyDescent="0.55000000000000004">
      <c r="A1602" t="s">
        <v>3212</v>
      </c>
      <c r="B1602" t="s">
        <v>3213</v>
      </c>
      <c r="C1602" t="s">
        <v>5</v>
      </c>
      <c r="D1602">
        <v>13.37</v>
      </c>
      <c r="E1602">
        <f>238554240/(1000)</f>
        <v>238554.23999999999</v>
      </c>
      <c r="F1602">
        <f>86104000/(1000)</f>
        <v>86104</v>
      </c>
      <c r="G1602">
        <f>0/(1000)</f>
        <v>0</v>
      </c>
      <c r="H1602">
        <f>0/(1000)</f>
        <v>0</v>
      </c>
      <c r="I1602">
        <f>0/(1000)</f>
        <v>0</v>
      </c>
      <c r="J1602">
        <f t="shared" ref="J1602:J1665" si="42">(IF(I1602=0,1000,H1602/I1602))/(1000)</f>
        <v>1</v>
      </c>
      <c r="K1602">
        <f>454001/(1000)</f>
        <v>454.00099999999998</v>
      </c>
      <c r="L1602">
        <v>0</v>
      </c>
      <c r="M1602">
        <v>6.2839617729187003</v>
      </c>
      <c r="N1602">
        <v>86.422863424863607</v>
      </c>
      <c r="O1602">
        <v>492.08935546875</v>
      </c>
      <c r="P1602">
        <v>7.9999998211861004E-2</v>
      </c>
      <c r="Q1602">
        <v>1.04290173196782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55000000000000004">
      <c r="A1603" t="s">
        <v>3214</v>
      </c>
      <c r="B1603" t="s">
        <v>3215</v>
      </c>
      <c r="C1603" t="s">
        <v>20</v>
      </c>
      <c r="D1603">
        <v>1.3</v>
      </c>
      <c r="E1603">
        <f>48604140/(1000)</f>
        <v>48604.14</v>
      </c>
      <c r="F1603">
        <f>86052000/(1000)</f>
        <v>86052</v>
      </c>
      <c r="G1603">
        <f>11491000/(1000)</f>
        <v>11491</v>
      </c>
      <c r="H1603">
        <f>94169140/(1000)</f>
        <v>94169.14</v>
      </c>
      <c r="I1603">
        <f>18043000/(1000)</f>
        <v>18043</v>
      </c>
      <c r="J1603">
        <f t="shared" si="42"/>
        <v>5.2191509172532279E-3</v>
      </c>
      <c r="K1603">
        <f>290000.96875/(1000)</f>
        <v>290.00096875000003</v>
      </c>
      <c r="L1603">
        <v>0</v>
      </c>
      <c r="M1603">
        <v>4.9795179367065403</v>
      </c>
      <c r="N1603">
        <v>88.006911464122197</v>
      </c>
      <c r="O1603">
        <v>61.102790832519503</v>
      </c>
      <c r="P1603">
        <v>5.9999998658895E-2</v>
      </c>
      <c r="Q1603">
        <v>0</v>
      </c>
      <c r="R1603">
        <v>18.571429787850001</v>
      </c>
      <c r="S1603">
        <v>-8.1925936989896595</v>
      </c>
      <c r="T1603">
        <v>0</v>
      </c>
      <c r="U1603">
        <v>0</v>
      </c>
      <c r="V1603">
        <v>0</v>
      </c>
      <c r="W1603">
        <v>0</v>
      </c>
    </row>
    <row r="1604" spans="1:23" x14ac:dyDescent="0.55000000000000004">
      <c r="A1604" t="s">
        <v>3216</v>
      </c>
      <c r="B1604" t="s">
        <v>3217</v>
      </c>
      <c r="C1604" t="s">
        <v>20</v>
      </c>
      <c r="D1604">
        <v>9.83</v>
      </c>
      <c r="E1604">
        <f>176913456/(1000)</f>
        <v>176913.45600000001</v>
      </c>
      <c r="F1604">
        <f>85811000/(1000)</f>
        <v>85811</v>
      </c>
      <c r="G1604">
        <f>6592000/(1000)</f>
        <v>6592</v>
      </c>
      <c r="H1604">
        <f>94069456/(1000)</f>
        <v>94069.456000000006</v>
      </c>
      <c r="I1604">
        <f>9639000/(1000)</f>
        <v>9639</v>
      </c>
      <c r="J1604">
        <f t="shared" si="42"/>
        <v>9.7592546944703824E-3</v>
      </c>
      <c r="K1604">
        <f>16215000/(1000)</f>
        <v>16215</v>
      </c>
      <c r="L1604">
        <v>0</v>
      </c>
      <c r="M1604">
        <v>10.509564399719199</v>
      </c>
      <c r="N1604">
        <v>82.624063974442805</v>
      </c>
      <c r="O1604">
        <v>0</v>
      </c>
      <c r="P1604">
        <v>0</v>
      </c>
      <c r="Q1604">
        <v>0</v>
      </c>
      <c r="R1604">
        <v>22.509732220806502</v>
      </c>
      <c r="S1604">
        <v>425.51289117520997</v>
      </c>
      <c r="T1604">
        <v>0</v>
      </c>
      <c r="U1604">
        <v>0</v>
      </c>
      <c r="V1604">
        <v>0</v>
      </c>
      <c r="W1604">
        <v>0</v>
      </c>
    </row>
    <row r="1605" spans="1:23" x14ac:dyDescent="0.55000000000000004">
      <c r="A1605" t="s">
        <v>3218</v>
      </c>
      <c r="B1605" t="s">
        <v>3219</v>
      </c>
      <c r="C1605" t="s">
        <v>31</v>
      </c>
      <c r="D1605">
        <v>4.5999999999999996</v>
      </c>
      <c r="E1605">
        <f>288763168/(1000)</f>
        <v>288763.16800000001</v>
      </c>
      <c r="F1605">
        <f>85754936/(1000)</f>
        <v>85754.936000000002</v>
      </c>
      <c r="G1605">
        <f>16126966/(1000)</f>
        <v>16126.966</v>
      </c>
      <c r="H1605">
        <f>226399168/(1000)</f>
        <v>226399.16800000001</v>
      </c>
      <c r="I1605">
        <f>18628582/(1000)</f>
        <v>18628.581999999999</v>
      </c>
      <c r="J1605">
        <f t="shared" si="42"/>
        <v>1.2153322673727932E-2</v>
      </c>
      <c r="K1605">
        <f>19738151/(1000)</f>
        <v>19738.151000000002</v>
      </c>
      <c r="L1605">
        <v>51.979835510253899</v>
      </c>
      <c r="M1605">
        <v>14.3935499191284</v>
      </c>
      <c r="N1605">
        <v>76.162172680638704</v>
      </c>
      <c r="O1605">
        <v>0</v>
      </c>
      <c r="P1605">
        <v>0</v>
      </c>
      <c r="Q1605">
        <v>0</v>
      </c>
      <c r="R1605">
        <v>24.210525642966999</v>
      </c>
      <c r="S1605">
        <v>80.365834472604902</v>
      </c>
      <c r="T1605">
        <v>0</v>
      </c>
      <c r="U1605">
        <v>0</v>
      </c>
      <c r="V1605">
        <v>0</v>
      </c>
      <c r="W1605">
        <v>0</v>
      </c>
    </row>
    <row r="1606" spans="1:23" x14ac:dyDescent="0.55000000000000004">
      <c r="A1606" t="s">
        <v>3220</v>
      </c>
      <c r="B1606" t="s">
        <v>3221</v>
      </c>
      <c r="C1606" t="s">
        <v>81</v>
      </c>
      <c r="D1606">
        <v>16.22</v>
      </c>
      <c r="E1606">
        <f>523266944/(1000)</f>
        <v>523266.94400000002</v>
      </c>
      <c r="F1606">
        <f>85555000/(1000)</f>
        <v>85555</v>
      </c>
      <c r="G1606">
        <f>17584000/(1000)</f>
        <v>17584</v>
      </c>
      <c r="H1606">
        <f>421189944/(1000)</f>
        <v>421189.94400000002</v>
      </c>
      <c r="I1606">
        <f>28660000/(1000)</f>
        <v>28660</v>
      </c>
      <c r="J1606">
        <f t="shared" si="42"/>
        <v>1.4696090160502443E-2</v>
      </c>
      <c r="K1606">
        <f>3992001.5/(1000)</f>
        <v>3992.0014999999999</v>
      </c>
      <c r="L1606">
        <v>0</v>
      </c>
      <c r="M1606">
        <v>0</v>
      </c>
      <c r="N1606">
        <v>79.200942243414104</v>
      </c>
      <c r="O1606">
        <v>5.2667422294616699</v>
      </c>
      <c r="P1606">
        <v>0</v>
      </c>
      <c r="Q1606">
        <v>3.08952367873419</v>
      </c>
      <c r="R1606">
        <v>26.590163159533802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55000000000000004">
      <c r="A1607" t="s">
        <v>3222</v>
      </c>
      <c r="B1607" t="s">
        <v>3223</v>
      </c>
      <c r="C1607" t="s">
        <v>20</v>
      </c>
      <c r="D1607">
        <v>16.41</v>
      </c>
      <c r="E1607">
        <f>726907200/(1000)</f>
        <v>726907.2</v>
      </c>
      <c r="F1607">
        <f>85126344/(1000)</f>
        <v>85126.343999999997</v>
      </c>
      <c r="G1607">
        <f>20933700/(1000)</f>
        <v>20933.7</v>
      </c>
      <c r="H1607">
        <f>714512380/(1000)</f>
        <v>714512.38</v>
      </c>
      <c r="I1607">
        <f>23241348/(1000)</f>
        <v>23241.348000000002</v>
      </c>
      <c r="J1607">
        <f t="shared" si="42"/>
        <v>3.074315568959253E-2</v>
      </c>
      <c r="K1607">
        <f>3703771/(1000)</f>
        <v>3703.7710000000002</v>
      </c>
      <c r="L1607">
        <v>0</v>
      </c>
      <c r="M1607">
        <v>0</v>
      </c>
      <c r="N1607">
        <v>67.496376176274197</v>
      </c>
      <c r="O1607">
        <v>10.5954999923706</v>
      </c>
      <c r="P1607">
        <v>0</v>
      </c>
      <c r="Q1607">
        <v>0</v>
      </c>
      <c r="R1607">
        <v>41.0250001534354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55000000000000004">
      <c r="A1608" t="s">
        <v>3224</v>
      </c>
      <c r="B1608" t="s">
        <v>3225</v>
      </c>
      <c r="C1608" t="s">
        <v>5</v>
      </c>
      <c r="D1608">
        <v>5.23</v>
      </c>
      <c r="E1608">
        <f>168800336/(1000)</f>
        <v>168800.33600000001</v>
      </c>
      <c r="F1608">
        <f>84862000/(1000)</f>
        <v>84862</v>
      </c>
      <c r="G1608">
        <f>3330000/(1000)</f>
        <v>3330</v>
      </c>
      <c r="H1608">
        <f>55750336/(1000)</f>
        <v>55750.336000000003</v>
      </c>
      <c r="I1608">
        <f>3655000/(1000)</f>
        <v>3655</v>
      </c>
      <c r="J1608">
        <f t="shared" si="42"/>
        <v>1.5253169904240768E-2</v>
      </c>
      <c r="K1608">
        <f>13407002/(1000)</f>
        <v>13407.002</v>
      </c>
      <c r="L1608">
        <v>0</v>
      </c>
      <c r="M1608">
        <v>5.6430039405822798</v>
      </c>
      <c r="N1608">
        <v>67.959192407528306</v>
      </c>
      <c r="O1608">
        <v>8.7209001183509993E-2</v>
      </c>
      <c r="P1608">
        <v>0</v>
      </c>
      <c r="Q1608">
        <v>1.0480962442813</v>
      </c>
      <c r="R1608">
        <v>13.763157847783701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55000000000000004">
      <c r="A1609" t="s">
        <v>3226</v>
      </c>
      <c r="B1609" t="s">
        <v>3227</v>
      </c>
      <c r="C1609" t="s">
        <v>5</v>
      </c>
      <c r="D1609">
        <v>13.94</v>
      </c>
      <c r="E1609">
        <f>257693456/(1000)</f>
        <v>257693.45600000001</v>
      </c>
      <c r="F1609">
        <f>84306000/(1000)</f>
        <v>84306</v>
      </c>
      <c r="G1609">
        <f>8953000/(1000)</f>
        <v>8953</v>
      </c>
      <c r="H1609">
        <f>227290456/(1000)</f>
        <v>227290.45600000001</v>
      </c>
      <c r="I1609">
        <f>11574000/(1000)</f>
        <v>11574</v>
      </c>
      <c r="J1609">
        <f t="shared" si="42"/>
        <v>1.9638021081734923E-2</v>
      </c>
      <c r="K1609">
        <f>3198001.25/(1000)</f>
        <v>3198.0012499999998</v>
      </c>
      <c r="L1609">
        <v>102.43010711669901</v>
      </c>
      <c r="M1609">
        <v>10.980363845825201</v>
      </c>
      <c r="N1609">
        <v>96.156525540407998</v>
      </c>
      <c r="O1609">
        <v>0</v>
      </c>
      <c r="P1609">
        <v>0</v>
      </c>
      <c r="Q1609">
        <v>0</v>
      </c>
      <c r="R1609">
        <v>30.977776640138501</v>
      </c>
      <c r="S1609">
        <v>199.08471690080901</v>
      </c>
      <c r="T1609">
        <v>0</v>
      </c>
      <c r="U1609">
        <v>0</v>
      </c>
      <c r="V1609">
        <v>0</v>
      </c>
      <c r="W1609">
        <v>0</v>
      </c>
    </row>
    <row r="1610" spans="1:23" x14ac:dyDescent="0.55000000000000004">
      <c r="A1610" t="s">
        <v>3228</v>
      </c>
      <c r="B1610" t="s">
        <v>3229</v>
      </c>
      <c r="C1610" t="s">
        <v>38</v>
      </c>
      <c r="D1610">
        <v>0.62</v>
      </c>
      <c r="E1610">
        <f>82108528/(1000)</f>
        <v>82108.528000000006</v>
      </c>
      <c r="F1610">
        <f>84252000/(1000)</f>
        <v>84252</v>
      </c>
      <c r="G1610">
        <f>-2544000/(1000)</f>
        <v>-2544</v>
      </c>
      <c r="H1610">
        <f>177403528/(1000)</f>
        <v>177403.52799999999</v>
      </c>
      <c r="I1610">
        <f>3611000/(1000)</f>
        <v>3611</v>
      </c>
      <c r="J1610">
        <f t="shared" si="42"/>
        <v>4.9128642481307119E-2</v>
      </c>
      <c r="K1610">
        <f>-4925999/(1000)</f>
        <v>-4925.9989999999998</v>
      </c>
      <c r="L1610">
        <v>0</v>
      </c>
      <c r="M1610">
        <v>0</v>
      </c>
      <c r="N1610">
        <v>98.923150322797099</v>
      </c>
      <c r="O1610">
        <v>15990.56640625</v>
      </c>
      <c r="P1610">
        <v>0</v>
      </c>
      <c r="Q1610">
        <v>0</v>
      </c>
      <c r="R1610">
        <v>0</v>
      </c>
      <c r="S1610">
        <v>181.31824100971701</v>
      </c>
      <c r="T1610">
        <v>0</v>
      </c>
      <c r="U1610">
        <v>0</v>
      </c>
      <c r="V1610">
        <v>0</v>
      </c>
      <c r="W1610">
        <v>0</v>
      </c>
    </row>
    <row r="1611" spans="1:23" x14ac:dyDescent="0.55000000000000004">
      <c r="A1611" t="s">
        <v>3230</v>
      </c>
      <c r="B1611" t="s">
        <v>3231</v>
      </c>
      <c r="C1611" t="s">
        <v>184</v>
      </c>
      <c r="D1611">
        <v>16.989999999999998</v>
      </c>
      <c r="E1611">
        <f>211827920/(1000)</f>
        <v>211827.92</v>
      </c>
      <c r="F1611">
        <f>83505000/(1000)</f>
        <v>83505</v>
      </c>
      <c r="G1611">
        <f>0/(1000)</f>
        <v>0</v>
      </c>
      <c r="H1611">
        <f>0/(1000)</f>
        <v>0</v>
      </c>
      <c r="I1611">
        <f>0/(1000)</f>
        <v>0</v>
      </c>
      <c r="J1611">
        <f t="shared" si="42"/>
        <v>1</v>
      </c>
      <c r="K1611">
        <f>-950999/(1000)</f>
        <v>-950.99900000000002</v>
      </c>
      <c r="L1611">
        <v>27.2358913421631</v>
      </c>
      <c r="M1611">
        <v>5.8724308013915998</v>
      </c>
      <c r="N1611">
        <v>76.943004315009503</v>
      </c>
      <c r="O1611">
        <v>59.4448432922363</v>
      </c>
      <c r="P1611">
        <v>0.15999999642372101</v>
      </c>
      <c r="Q1611">
        <v>1.4447278435753601</v>
      </c>
      <c r="R1611">
        <v>41.4390238169348</v>
      </c>
      <c r="S1611">
        <v>237.96745993200599</v>
      </c>
      <c r="T1611">
        <v>0</v>
      </c>
      <c r="U1611">
        <v>0</v>
      </c>
      <c r="V1611">
        <v>0</v>
      </c>
      <c r="W1611">
        <v>0</v>
      </c>
    </row>
    <row r="1612" spans="1:23" x14ac:dyDescent="0.55000000000000004">
      <c r="A1612" t="s">
        <v>3232</v>
      </c>
      <c r="B1612" t="s">
        <v>3233</v>
      </c>
      <c r="C1612" t="s">
        <v>5</v>
      </c>
      <c r="D1612">
        <v>11</v>
      </c>
      <c r="E1612">
        <f>273868096/(1000)</f>
        <v>273868.09600000002</v>
      </c>
      <c r="F1612">
        <f>83161000/(1000)</f>
        <v>83161</v>
      </c>
      <c r="G1612">
        <f>-11405000/(1000)</f>
        <v>-11405</v>
      </c>
      <c r="H1612">
        <f>212047096/(1000)</f>
        <v>212047.09599999999</v>
      </c>
      <c r="I1612">
        <f>-4544999.5/(1000)</f>
        <v>-4544.9994999999999</v>
      </c>
      <c r="J1612">
        <f t="shared" si="42"/>
        <v>-4.6655031755229018E-2</v>
      </c>
      <c r="K1612">
        <f>51616001/(1000)</f>
        <v>51616.000999999997</v>
      </c>
      <c r="L1612">
        <v>30.000301361083999</v>
      </c>
      <c r="M1612">
        <v>-29.183614730835</v>
      </c>
      <c r="N1612">
        <v>93.083530139733</v>
      </c>
      <c r="O1612">
        <v>8.8306245803833008</v>
      </c>
      <c r="P1612">
        <v>0</v>
      </c>
      <c r="Q1612">
        <v>1.7067493726946601</v>
      </c>
      <c r="R1612">
        <v>15.492957889548901</v>
      </c>
      <c r="S1612">
        <v>50.1860145922127</v>
      </c>
      <c r="T1612">
        <v>0</v>
      </c>
      <c r="U1612">
        <v>0</v>
      </c>
      <c r="V1612">
        <v>0</v>
      </c>
      <c r="W1612">
        <v>0</v>
      </c>
    </row>
    <row r="1613" spans="1:23" x14ac:dyDescent="0.55000000000000004">
      <c r="A1613" t="s">
        <v>3234</v>
      </c>
      <c r="B1613" t="s">
        <v>3235</v>
      </c>
      <c r="C1613" t="s">
        <v>38</v>
      </c>
      <c r="D1613">
        <v>2.61</v>
      </c>
      <c r="E1613">
        <f>83485808/(1000)</f>
        <v>83485.808000000005</v>
      </c>
      <c r="F1613">
        <f>82874000/(1000)</f>
        <v>82874</v>
      </c>
      <c r="G1613">
        <f>56000/(1000)</f>
        <v>56</v>
      </c>
      <c r="H1613">
        <f>56670808/(1000)</f>
        <v>56670.807999999997</v>
      </c>
      <c r="I1613">
        <f>4834000/(1000)</f>
        <v>4834</v>
      </c>
      <c r="J1613">
        <f t="shared" si="42"/>
        <v>1.172337774100124E-2</v>
      </c>
      <c r="K1613">
        <f>-4700999/(1000)</f>
        <v>-4700.9989999999998</v>
      </c>
      <c r="L1613">
        <v>0</v>
      </c>
      <c r="M1613">
        <v>8.5000553131103498</v>
      </c>
      <c r="N1613">
        <v>95.759825692346993</v>
      </c>
      <c r="O1613">
        <v>0</v>
      </c>
      <c r="P1613">
        <v>0</v>
      </c>
      <c r="Q1613">
        <v>0.94565213917183599</v>
      </c>
      <c r="R1613">
        <v>0</v>
      </c>
      <c r="S1613">
        <v>194.95675694913999</v>
      </c>
      <c r="T1613">
        <v>0</v>
      </c>
      <c r="U1613">
        <v>0</v>
      </c>
      <c r="V1613">
        <v>0</v>
      </c>
      <c r="W1613">
        <v>0</v>
      </c>
    </row>
    <row r="1614" spans="1:23" x14ac:dyDescent="0.55000000000000004">
      <c r="A1614" t="s">
        <v>3236</v>
      </c>
      <c r="B1614" t="s">
        <v>3237</v>
      </c>
      <c r="C1614" t="s">
        <v>5</v>
      </c>
      <c r="D1614">
        <v>9.2100000000000009</v>
      </c>
      <c r="E1614">
        <f>564817984/(1000)</f>
        <v>564817.98400000005</v>
      </c>
      <c r="F1614">
        <f>82823000/(1000)</f>
        <v>82823</v>
      </c>
      <c r="G1614">
        <f>-174104000/(1000)</f>
        <v>-174104</v>
      </c>
      <c r="H1614">
        <f>594535984/(1000)</f>
        <v>594535.98400000005</v>
      </c>
      <c r="I1614">
        <f>-164668992/(1000)</f>
        <v>-164668.992</v>
      </c>
      <c r="J1614">
        <f t="shared" si="42"/>
        <v>-3.6104914275542545E-3</v>
      </c>
      <c r="K1614">
        <f>-165013999/(1000)</f>
        <v>-165013.99900000001</v>
      </c>
      <c r="L1614">
        <v>0</v>
      </c>
      <c r="M1614">
        <v>0</v>
      </c>
      <c r="N1614">
        <v>92.587883257445696</v>
      </c>
      <c r="O1614">
        <v>0</v>
      </c>
      <c r="P1614">
        <v>0</v>
      </c>
      <c r="Q1614">
        <v>0</v>
      </c>
      <c r="R1614">
        <v>0</v>
      </c>
      <c r="S1614">
        <v>1466.54057121241</v>
      </c>
      <c r="T1614">
        <v>0</v>
      </c>
      <c r="U1614">
        <v>0</v>
      </c>
      <c r="V1614">
        <v>0</v>
      </c>
      <c r="W1614">
        <v>0</v>
      </c>
    </row>
    <row r="1615" spans="1:23" x14ac:dyDescent="0.55000000000000004">
      <c r="A1615" t="s">
        <v>3238</v>
      </c>
      <c r="B1615" t="s">
        <v>3239</v>
      </c>
      <c r="C1615" t="s">
        <v>5</v>
      </c>
      <c r="D1615">
        <v>8.9700000000000006</v>
      </c>
      <c r="E1615">
        <f>197394720/(1000)</f>
        <v>197394.72</v>
      </c>
      <c r="F1615">
        <f>82768000/(1000)</f>
        <v>82768</v>
      </c>
      <c r="G1615">
        <f>16552999/(1000)</f>
        <v>16552.999</v>
      </c>
      <c r="H1615">
        <f>129506720/(1000)</f>
        <v>129506.72</v>
      </c>
      <c r="I1615">
        <f>18899000/(1000)</f>
        <v>18899</v>
      </c>
      <c r="J1615">
        <f t="shared" si="42"/>
        <v>6.8525699772474732E-3</v>
      </c>
      <c r="K1615">
        <f>18173001/(1000)</f>
        <v>18173.001</v>
      </c>
      <c r="L1615">
        <v>0</v>
      </c>
      <c r="M1615">
        <v>33.248878479003899</v>
      </c>
      <c r="N1615">
        <v>65.001068769114795</v>
      </c>
      <c r="O1615">
        <v>1.7209000885486998E-2</v>
      </c>
      <c r="P1615">
        <v>0</v>
      </c>
      <c r="Q1615">
        <v>0</v>
      </c>
      <c r="R1615">
        <v>15.4655173521192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55000000000000004">
      <c r="A1616" t="s">
        <v>3240</v>
      </c>
      <c r="B1616" t="s">
        <v>3241</v>
      </c>
      <c r="C1616" t="s">
        <v>38</v>
      </c>
      <c r="D1616">
        <v>3.68</v>
      </c>
      <c r="E1616">
        <f>168832144/(1000)</f>
        <v>168832.144</v>
      </c>
      <c r="F1616">
        <f>82685872/(1000)</f>
        <v>82685.872000000003</v>
      </c>
      <c r="G1616">
        <f>-1219237/(1000)</f>
        <v>-1219.2370000000001</v>
      </c>
      <c r="H1616">
        <f>92448960/(1000)</f>
        <v>92448.960000000006</v>
      </c>
      <c r="I1616">
        <f>1516762.125/(1000)</f>
        <v>1516.762125</v>
      </c>
      <c r="J1616">
        <f t="shared" si="42"/>
        <v>6.0951521979756722E-2</v>
      </c>
      <c r="K1616">
        <f>6080110.5/(1000)</f>
        <v>6080.1104999999998</v>
      </c>
      <c r="L1616">
        <v>0</v>
      </c>
      <c r="M1616">
        <v>1.8344360589981099</v>
      </c>
      <c r="N1616">
        <v>94.127071556744397</v>
      </c>
      <c r="O1616">
        <v>6.6934041976928702</v>
      </c>
      <c r="P1616">
        <v>0</v>
      </c>
      <c r="Q1616">
        <v>1.41538469297646</v>
      </c>
      <c r="R1616">
        <v>0</v>
      </c>
      <c r="S1616">
        <v>158.312643443464</v>
      </c>
      <c r="T1616">
        <v>0</v>
      </c>
      <c r="U1616">
        <v>0</v>
      </c>
      <c r="V1616">
        <v>0</v>
      </c>
      <c r="W1616">
        <v>0</v>
      </c>
    </row>
    <row r="1617" spans="1:23" x14ac:dyDescent="0.55000000000000004">
      <c r="A1617" t="s">
        <v>3242</v>
      </c>
      <c r="B1617" t="s">
        <v>3243</v>
      </c>
      <c r="C1617" t="s">
        <v>184</v>
      </c>
      <c r="D1617">
        <v>34.520000000000003</v>
      </c>
      <c r="E1617">
        <f>344564832/(1000)</f>
        <v>344564.83199999999</v>
      </c>
      <c r="F1617">
        <f>82678000/(1000)</f>
        <v>82678</v>
      </c>
      <c r="G1617">
        <f>34450000/(1000)</f>
        <v>34450</v>
      </c>
      <c r="H1617">
        <f>237802832/(1000)</f>
        <v>237802.83199999999</v>
      </c>
      <c r="I1617">
        <f>36069000/(1000)</f>
        <v>36069</v>
      </c>
      <c r="J1617">
        <f t="shared" si="42"/>
        <v>6.5929976434056948E-3</v>
      </c>
      <c r="K1617">
        <f>20091001/(1000)</f>
        <v>20091.001</v>
      </c>
      <c r="L1617">
        <v>20.809999465942401</v>
      </c>
      <c r="M1617">
        <v>31.2679748535156</v>
      </c>
      <c r="N1617">
        <v>13.4898215309733</v>
      </c>
      <c r="O1617">
        <v>0</v>
      </c>
      <c r="P1617">
        <v>1.6000000238418599</v>
      </c>
      <c r="Q1617">
        <v>0</v>
      </c>
      <c r="R1617">
        <v>11.944637018896501</v>
      </c>
      <c r="S1617">
        <v>0.74205851174011805</v>
      </c>
      <c r="T1617">
        <v>0</v>
      </c>
      <c r="U1617">
        <v>0</v>
      </c>
      <c r="V1617">
        <v>0</v>
      </c>
      <c r="W1617">
        <v>0</v>
      </c>
    </row>
    <row r="1618" spans="1:23" x14ac:dyDescent="0.55000000000000004">
      <c r="A1618" t="s">
        <v>3244</v>
      </c>
      <c r="B1618" t="s">
        <v>3245</v>
      </c>
      <c r="C1618" t="s">
        <v>5</v>
      </c>
      <c r="D1618">
        <v>24.01</v>
      </c>
      <c r="E1618">
        <f>308511712/(1000)</f>
        <v>308511.712</v>
      </c>
      <c r="F1618">
        <f>82559000/(1000)</f>
        <v>82559</v>
      </c>
      <c r="G1618">
        <f>16492000/(1000)</f>
        <v>16492</v>
      </c>
      <c r="H1618">
        <f>257674712/(1000)</f>
        <v>257674.712</v>
      </c>
      <c r="I1618">
        <f>19698000/(1000)</f>
        <v>19698</v>
      </c>
      <c r="J1618">
        <f t="shared" si="42"/>
        <v>1.3081262666260534E-2</v>
      </c>
      <c r="K1618">
        <f>11012001/(1000)</f>
        <v>11012.001</v>
      </c>
      <c r="L1618">
        <v>41.094505310058601</v>
      </c>
      <c r="M1618">
        <v>10.861408233642599</v>
      </c>
      <c r="N1618">
        <v>79.507052479732806</v>
      </c>
      <c r="O1618">
        <v>0</v>
      </c>
      <c r="P1618">
        <v>0</v>
      </c>
      <c r="Q1618">
        <v>1.82585558367988</v>
      </c>
      <c r="R1618">
        <v>18.757812661344399</v>
      </c>
      <c r="S1618">
        <v>50.339615769826104</v>
      </c>
      <c r="T1618">
        <v>0</v>
      </c>
      <c r="U1618">
        <v>0</v>
      </c>
      <c r="V1618">
        <v>0</v>
      </c>
      <c r="W1618">
        <v>0</v>
      </c>
    </row>
    <row r="1619" spans="1:23" x14ac:dyDescent="0.55000000000000004">
      <c r="A1619" t="s">
        <v>3246</v>
      </c>
      <c r="B1619" t="s">
        <v>3247</v>
      </c>
      <c r="C1619" t="s">
        <v>31</v>
      </c>
      <c r="D1619">
        <v>3.66</v>
      </c>
      <c r="E1619">
        <f>100872528/(1000)</f>
        <v>100872.52800000001</v>
      </c>
      <c r="F1619">
        <f>82521000/(1000)</f>
        <v>82521</v>
      </c>
      <c r="G1619">
        <f>1740000/(1000)</f>
        <v>1740</v>
      </c>
      <c r="H1619">
        <f>67345528/(1000)</f>
        <v>67345.528000000006</v>
      </c>
      <c r="I1619">
        <f>7194000/(1000)</f>
        <v>7194</v>
      </c>
      <c r="J1619">
        <f t="shared" si="42"/>
        <v>9.3613466777870448E-3</v>
      </c>
      <c r="K1619">
        <f>6421001/(1000)</f>
        <v>6421.0010000000002</v>
      </c>
      <c r="L1619">
        <v>0</v>
      </c>
      <c r="M1619">
        <v>0.96866101026535001</v>
      </c>
      <c r="N1619">
        <v>92.491870660881901</v>
      </c>
      <c r="O1619">
        <v>0.634319007396698</v>
      </c>
      <c r="P1619">
        <v>0</v>
      </c>
      <c r="Q1619">
        <v>0</v>
      </c>
      <c r="R1619">
        <v>7.1386777717471404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55000000000000004">
      <c r="A1620" t="s">
        <v>3248</v>
      </c>
      <c r="B1620" t="s">
        <v>3249</v>
      </c>
      <c r="C1620" t="s">
        <v>8</v>
      </c>
      <c r="D1620">
        <v>0.88</v>
      </c>
      <c r="E1620">
        <f>69140192/(1000)</f>
        <v>69140.191999999995</v>
      </c>
      <c r="F1620">
        <f>81877000/(1000)</f>
        <v>81877</v>
      </c>
      <c r="G1620">
        <f>23329000/(1000)</f>
        <v>23329</v>
      </c>
      <c r="H1620">
        <f>309749184/(1000)</f>
        <v>309749.18400000001</v>
      </c>
      <c r="I1620">
        <f>42277000/(1000)</f>
        <v>42277</v>
      </c>
      <c r="J1620">
        <f t="shared" si="42"/>
        <v>7.3266595075336472E-3</v>
      </c>
      <c r="K1620">
        <f>-24452999/(1000)</f>
        <v>-24452.999</v>
      </c>
      <c r="L1620">
        <v>0</v>
      </c>
      <c r="M1620">
        <v>0</v>
      </c>
      <c r="N1620">
        <v>0</v>
      </c>
      <c r="O1620">
        <v>340.17608642578102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55000000000000004">
      <c r="A1621" t="s">
        <v>3250</v>
      </c>
      <c r="B1621" t="s">
        <v>3251</v>
      </c>
      <c r="C1621" t="s">
        <v>184</v>
      </c>
      <c r="D1621">
        <v>19.89</v>
      </c>
      <c r="E1621">
        <f>192813664/(1000)</f>
        <v>192813.66399999999</v>
      </c>
      <c r="F1621">
        <f>81866000/(1000)</f>
        <v>81866</v>
      </c>
      <c r="G1621">
        <f>0/(1000)</f>
        <v>0</v>
      </c>
      <c r="H1621">
        <f>0/(1000)</f>
        <v>0</v>
      </c>
      <c r="I1621">
        <f>0/(1000)</f>
        <v>0</v>
      </c>
      <c r="J1621">
        <f t="shared" si="42"/>
        <v>1</v>
      </c>
      <c r="K1621">
        <f>8719001/(1000)</f>
        <v>8719.0010000000002</v>
      </c>
      <c r="L1621">
        <v>13.9642686843872</v>
      </c>
      <c r="M1621">
        <v>11.910270690918001</v>
      </c>
      <c r="N1621">
        <v>82.518050325355006</v>
      </c>
      <c r="O1621">
        <v>281.10821533203102</v>
      </c>
      <c r="P1621">
        <v>0.77999997138977095</v>
      </c>
      <c r="Q1621">
        <v>0</v>
      </c>
      <c r="R1621">
        <v>13.3489927935185</v>
      </c>
      <c r="S1621">
        <v>138.96899994161899</v>
      </c>
      <c r="T1621">
        <v>0</v>
      </c>
      <c r="U1621">
        <v>0</v>
      </c>
      <c r="V1621">
        <v>0</v>
      </c>
      <c r="W1621">
        <v>0</v>
      </c>
    </row>
    <row r="1622" spans="1:23" x14ac:dyDescent="0.55000000000000004">
      <c r="A1622" t="s">
        <v>3252</v>
      </c>
      <c r="B1622" t="s">
        <v>3253</v>
      </c>
      <c r="C1622" t="s">
        <v>31</v>
      </c>
      <c r="D1622">
        <v>1.72</v>
      </c>
      <c r="E1622">
        <f>48167396/(1000)</f>
        <v>48167.396000000001</v>
      </c>
      <c r="F1622">
        <f>81734000/(1000)</f>
        <v>81734</v>
      </c>
      <c r="G1622">
        <f>-643000/(1000)</f>
        <v>-643</v>
      </c>
      <c r="H1622">
        <f>5546396/(1000)</f>
        <v>5546.3959999999997</v>
      </c>
      <c r="I1622">
        <f>2665000/(1000)</f>
        <v>2665</v>
      </c>
      <c r="J1622">
        <f t="shared" si="42"/>
        <v>2.0811992495309564E-3</v>
      </c>
      <c r="K1622">
        <f>2689001/(1000)</f>
        <v>2689.0010000000002</v>
      </c>
      <c r="L1622">
        <v>212.90254211425801</v>
      </c>
      <c r="M1622">
        <v>0.94362401962280296</v>
      </c>
      <c r="N1622">
        <v>90.270068363864596</v>
      </c>
      <c r="O1622">
        <v>0</v>
      </c>
      <c r="P1622">
        <v>0</v>
      </c>
      <c r="Q1622">
        <v>0</v>
      </c>
      <c r="R1622">
        <v>15.6363639811839</v>
      </c>
      <c r="S1622">
        <v>134.800344728526</v>
      </c>
      <c r="T1622">
        <v>0</v>
      </c>
      <c r="U1622">
        <v>0</v>
      </c>
      <c r="V1622">
        <v>0</v>
      </c>
      <c r="W1622">
        <v>0</v>
      </c>
    </row>
    <row r="1623" spans="1:23" x14ac:dyDescent="0.55000000000000004">
      <c r="A1623" t="s">
        <v>3254</v>
      </c>
      <c r="B1623" t="s">
        <v>3255</v>
      </c>
      <c r="C1623" t="s">
        <v>8</v>
      </c>
      <c r="D1623">
        <v>5.54</v>
      </c>
      <c r="E1623">
        <f>197097120/(1000)</f>
        <v>197097.12</v>
      </c>
      <c r="F1623">
        <f>81427000/(1000)</f>
        <v>81427</v>
      </c>
      <c r="G1623">
        <f>40958000/(1000)</f>
        <v>40958</v>
      </c>
      <c r="H1623">
        <f>488483136/(1000)</f>
        <v>488483.136</v>
      </c>
      <c r="I1623">
        <f>58395000/(1000)</f>
        <v>58395</v>
      </c>
      <c r="J1623">
        <f t="shared" si="42"/>
        <v>8.3651534549190852E-3</v>
      </c>
      <c r="K1623">
        <f>-43336995/(1000)</f>
        <v>-43336.995000000003</v>
      </c>
      <c r="L1623">
        <v>0</v>
      </c>
      <c r="M1623">
        <v>31.3343601226807</v>
      </c>
      <c r="N1623">
        <v>99.735507251893395</v>
      </c>
      <c r="O1623">
        <v>457.32174682617199</v>
      </c>
      <c r="P1623">
        <v>1.20000004768372</v>
      </c>
      <c r="Q1623">
        <v>1.7059276549551901</v>
      </c>
      <c r="R1623">
        <v>5.2761904548355201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55000000000000004">
      <c r="A1624" t="s">
        <v>3256</v>
      </c>
      <c r="B1624" t="s">
        <v>3257</v>
      </c>
      <c r="C1624" t="s">
        <v>401</v>
      </c>
      <c r="D1624">
        <v>15.93</v>
      </c>
      <c r="E1624">
        <f>405676928/(1000)</f>
        <v>405676.92800000001</v>
      </c>
      <c r="F1624">
        <f>80856000/(1000)</f>
        <v>80856</v>
      </c>
      <c r="G1624">
        <f>35377000/(1000)</f>
        <v>35377</v>
      </c>
      <c r="H1624">
        <f>670606928/(1000)</f>
        <v>670606.92799999996</v>
      </c>
      <c r="I1624">
        <f>54127000/(1000)</f>
        <v>54127</v>
      </c>
      <c r="J1624">
        <f t="shared" si="42"/>
        <v>1.2389508526243834E-2</v>
      </c>
      <c r="K1624">
        <f>19895001/(1000)</f>
        <v>19895.001</v>
      </c>
      <c r="L1624">
        <v>24.724611282348601</v>
      </c>
      <c r="M1624">
        <v>15.5792541503906</v>
      </c>
      <c r="N1624">
        <v>85.904623693365707</v>
      </c>
      <c r="O1624">
        <v>30.933961868286101</v>
      </c>
      <c r="P1624">
        <v>0.95999997854232799</v>
      </c>
      <c r="Q1624">
        <v>0</v>
      </c>
      <c r="R1624">
        <v>24.890625453656</v>
      </c>
      <c r="S1624">
        <v>36.689601541764603</v>
      </c>
      <c r="T1624">
        <v>0</v>
      </c>
      <c r="U1624">
        <v>0</v>
      </c>
      <c r="V1624">
        <v>0</v>
      </c>
      <c r="W1624">
        <v>0</v>
      </c>
    </row>
    <row r="1625" spans="1:23" x14ac:dyDescent="0.55000000000000004">
      <c r="A1625" t="s">
        <v>3258</v>
      </c>
      <c r="B1625" t="s">
        <v>3259</v>
      </c>
      <c r="C1625" t="s">
        <v>184</v>
      </c>
      <c r="D1625">
        <v>19.75</v>
      </c>
      <c r="E1625">
        <f>177044928/(1000)</f>
        <v>177044.92800000001</v>
      </c>
      <c r="F1625">
        <f>80788000/(1000)</f>
        <v>80788</v>
      </c>
      <c r="G1625">
        <f>0/(1000)</f>
        <v>0</v>
      </c>
      <c r="H1625">
        <f>0/(1000)</f>
        <v>0</v>
      </c>
      <c r="I1625">
        <f>0/(1000)</f>
        <v>0</v>
      </c>
      <c r="J1625">
        <f t="shared" si="42"/>
        <v>1</v>
      </c>
      <c r="K1625">
        <f>7530001/(1000)</f>
        <v>7530.0010000000002</v>
      </c>
      <c r="L1625">
        <v>15.030469894409199</v>
      </c>
      <c r="M1625">
        <v>7.7887239456176802</v>
      </c>
      <c r="N1625">
        <v>97.511237332907797</v>
      </c>
      <c r="O1625">
        <v>217.83264160156301</v>
      </c>
      <c r="P1625">
        <v>0.95999997854232799</v>
      </c>
      <c r="Q1625">
        <v>0</v>
      </c>
      <c r="R1625">
        <v>16.0569109036899</v>
      </c>
      <c r="S1625">
        <v>20.945558689495499</v>
      </c>
      <c r="T1625">
        <v>0</v>
      </c>
      <c r="U1625">
        <v>0</v>
      </c>
      <c r="V1625">
        <v>0</v>
      </c>
      <c r="W1625">
        <v>0</v>
      </c>
    </row>
    <row r="1626" spans="1:23" x14ac:dyDescent="0.55000000000000004">
      <c r="A1626" t="s">
        <v>3260</v>
      </c>
      <c r="B1626" t="s">
        <v>3261</v>
      </c>
      <c r="C1626" t="s">
        <v>2</v>
      </c>
      <c r="D1626">
        <v>5.41</v>
      </c>
      <c r="E1626">
        <f>142787744/(1000)</f>
        <v>142787.74400000001</v>
      </c>
      <c r="F1626">
        <f>80687000/(1000)</f>
        <v>80687</v>
      </c>
      <c r="G1626">
        <f>7361000/(1000)</f>
        <v>7361</v>
      </c>
      <c r="H1626">
        <f>81707744/(1000)</f>
        <v>81707.744000000006</v>
      </c>
      <c r="I1626">
        <f>8771000/(1000)</f>
        <v>8771</v>
      </c>
      <c r="J1626">
        <f t="shared" si="42"/>
        <v>9.3156702770493677E-3</v>
      </c>
      <c r="K1626">
        <f>-6405999/(1000)</f>
        <v>-6405.9989999999998</v>
      </c>
      <c r="L1626">
        <v>0</v>
      </c>
      <c r="M1626">
        <v>7.1779198646545401</v>
      </c>
      <c r="N1626">
        <v>78.754838184696993</v>
      </c>
      <c r="O1626">
        <v>4.6965279579162598</v>
      </c>
      <c r="P1626">
        <v>0</v>
      </c>
      <c r="Q1626">
        <v>1.3871794141334299</v>
      </c>
      <c r="R1626">
        <v>45.083331669887698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55000000000000004">
      <c r="A1627" t="s">
        <v>3262</v>
      </c>
      <c r="B1627" t="s">
        <v>3263</v>
      </c>
      <c r="C1627" t="s">
        <v>401</v>
      </c>
      <c r="D1627">
        <v>21.06</v>
      </c>
      <c r="E1627">
        <f>521565632/(1000)</f>
        <v>521565.63199999998</v>
      </c>
      <c r="F1627">
        <f>80385000/(1000)</f>
        <v>80385</v>
      </c>
      <c r="G1627">
        <f>35863000/(1000)</f>
        <v>35863</v>
      </c>
      <c r="H1627">
        <f>649347632/(1000)</f>
        <v>649347.63199999998</v>
      </c>
      <c r="I1627">
        <f>46631000/(1000)</f>
        <v>46631</v>
      </c>
      <c r="J1627">
        <f t="shared" si="42"/>
        <v>1.3925234972443225E-2</v>
      </c>
      <c r="K1627">
        <f>-46119999/(1000)</f>
        <v>-46119.999000000003</v>
      </c>
      <c r="L1627">
        <v>18.2711791992188</v>
      </c>
      <c r="M1627">
        <v>15.485445022583001</v>
      </c>
      <c r="N1627">
        <v>70.591182292479701</v>
      </c>
      <c r="O1627">
        <v>62.447566986083999</v>
      </c>
      <c r="P1627">
        <v>1.87999999523163</v>
      </c>
      <c r="Q1627">
        <v>0</v>
      </c>
      <c r="R1627">
        <v>17.697478550564998</v>
      </c>
      <c r="S1627">
        <v>15.4210639672625</v>
      </c>
      <c r="T1627">
        <v>0</v>
      </c>
      <c r="U1627">
        <v>0</v>
      </c>
      <c r="V1627">
        <v>0</v>
      </c>
      <c r="W1627">
        <v>0</v>
      </c>
    </row>
    <row r="1628" spans="1:23" x14ac:dyDescent="0.55000000000000004">
      <c r="A1628" t="s">
        <v>3264</v>
      </c>
      <c r="B1628" t="s">
        <v>3265</v>
      </c>
      <c r="C1628" t="s">
        <v>2</v>
      </c>
      <c r="D1628">
        <v>10.59</v>
      </c>
      <c r="E1628">
        <f>254018096/(1000)</f>
        <v>254018.09599999999</v>
      </c>
      <c r="F1628">
        <f>80297000/(1000)</f>
        <v>80297</v>
      </c>
      <c r="G1628">
        <f>10739000/(1000)</f>
        <v>10739</v>
      </c>
      <c r="H1628">
        <f>223426098/(1000)</f>
        <v>223426.098</v>
      </c>
      <c r="I1628">
        <f>13207000/(1000)</f>
        <v>13207</v>
      </c>
      <c r="J1628">
        <f t="shared" si="42"/>
        <v>1.6917248277428638E-2</v>
      </c>
      <c r="K1628">
        <f>-5615999/(1000)</f>
        <v>-5615.9989999999998</v>
      </c>
      <c r="L1628">
        <v>0</v>
      </c>
      <c r="M1628">
        <v>13.062925338745099</v>
      </c>
      <c r="N1628">
        <v>64.143727907224402</v>
      </c>
      <c r="O1628">
        <v>3.2432520389556898</v>
      </c>
      <c r="P1628">
        <v>0</v>
      </c>
      <c r="Q1628">
        <v>3.67708324020108</v>
      </c>
      <c r="R1628">
        <v>27.153846762971501</v>
      </c>
      <c r="S1628">
        <v>146.10600092598199</v>
      </c>
      <c r="T1628">
        <v>0</v>
      </c>
      <c r="U1628">
        <v>0</v>
      </c>
      <c r="V1628">
        <v>0</v>
      </c>
      <c r="W1628">
        <v>0</v>
      </c>
    </row>
    <row r="1629" spans="1:23" x14ac:dyDescent="0.55000000000000004">
      <c r="A1629" t="s">
        <v>3266</v>
      </c>
      <c r="B1629" t="s">
        <v>3267</v>
      </c>
      <c r="C1629" t="s">
        <v>184</v>
      </c>
      <c r="D1629">
        <v>12.56</v>
      </c>
      <c r="E1629">
        <f>122310536/(1000)</f>
        <v>122310.53599999999</v>
      </c>
      <c r="F1629">
        <f>80215024/(1000)</f>
        <v>80215.024000000005</v>
      </c>
      <c r="G1629">
        <f>0/(1000)</f>
        <v>0</v>
      </c>
      <c r="H1629">
        <f>0/(1000)</f>
        <v>0</v>
      </c>
      <c r="I1629">
        <f>0/(1000)</f>
        <v>0</v>
      </c>
      <c r="J1629">
        <f t="shared" si="42"/>
        <v>1</v>
      </c>
      <c r="K1629">
        <f>27006727/(1000)</f>
        <v>27006.726999999999</v>
      </c>
      <c r="L1629">
        <v>15.3341407775879</v>
      </c>
      <c r="M1629">
        <v>20.6309909820557</v>
      </c>
      <c r="N1629">
        <v>81.740790889321005</v>
      </c>
      <c r="O1629">
        <v>60.878974914550803</v>
      </c>
      <c r="P1629">
        <v>0.80000001192092896</v>
      </c>
      <c r="Q1629">
        <v>0</v>
      </c>
      <c r="R1629">
        <v>9.3731347207211595</v>
      </c>
      <c r="S1629">
        <v>77.118116982048605</v>
      </c>
      <c r="T1629">
        <v>0</v>
      </c>
      <c r="U1629">
        <v>0</v>
      </c>
      <c r="V1629">
        <v>0</v>
      </c>
      <c r="W1629">
        <v>0</v>
      </c>
    </row>
    <row r="1630" spans="1:23" x14ac:dyDescent="0.55000000000000004">
      <c r="A1630" t="s">
        <v>3268</v>
      </c>
      <c r="B1630" t="s">
        <v>3269</v>
      </c>
      <c r="C1630" t="s">
        <v>38</v>
      </c>
      <c r="D1630">
        <v>2.35</v>
      </c>
      <c r="E1630">
        <f>111352168/(1000)</f>
        <v>111352.16800000001</v>
      </c>
      <c r="F1630">
        <f>80031000/(1000)</f>
        <v>80031</v>
      </c>
      <c r="G1630">
        <f>-19686000/(1000)</f>
        <v>-19686</v>
      </c>
      <c r="H1630">
        <f>141533168/(1000)</f>
        <v>141533.16800000001</v>
      </c>
      <c r="I1630">
        <f>-9214000/(1000)</f>
        <v>-9214</v>
      </c>
      <c r="J1630">
        <f t="shared" si="42"/>
        <v>-1.5360665074886043E-2</v>
      </c>
      <c r="K1630">
        <f>-18608999/(1000)</f>
        <v>-18608.999</v>
      </c>
      <c r="L1630">
        <v>0</v>
      </c>
      <c r="M1630">
        <v>-23.788608551025401</v>
      </c>
      <c r="N1630">
        <v>92.410502908487402</v>
      </c>
      <c r="O1630">
        <v>5.6651082038879403</v>
      </c>
      <c r="P1630">
        <v>0</v>
      </c>
      <c r="Q1630">
        <v>1.0926014010276901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55000000000000004">
      <c r="A1631" t="s">
        <v>3270</v>
      </c>
      <c r="B1631" t="s">
        <v>3271</v>
      </c>
      <c r="C1631" t="s">
        <v>184</v>
      </c>
      <c r="D1631">
        <v>23.99</v>
      </c>
      <c r="E1631">
        <f>201628752/(1000)</f>
        <v>201628.75200000001</v>
      </c>
      <c r="F1631">
        <f>79820000/(1000)</f>
        <v>79820</v>
      </c>
      <c r="G1631">
        <f>0/(1000)</f>
        <v>0</v>
      </c>
      <c r="H1631">
        <f>0/(1000)</f>
        <v>0</v>
      </c>
      <c r="I1631">
        <f>0/(1000)</f>
        <v>0</v>
      </c>
      <c r="J1631">
        <f t="shared" si="42"/>
        <v>1</v>
      </c>
      <c r="K1631">
        <f>17032001/(1000)</f>
        <v>17032.001</v>
      </c>
      <c r="L1631">
        <v>17.383186340331999</v>
      </c>
      <c r="M1631">
        <v>11.6167593002319</v>
      </c>
      <c r="N1631">
        <v>87.543871352292598</v>
      </c>
      <c r="O1631">
        <v>50.051151275634801</v>
      </c>
      <c r="P1631">
        <v>0.63999998569488503</v>
      </c>
      <c r="Q1631">
        <v>1.5919044629680701</v>
      </c>
      <c r="R1631">
        <v>16.776223182625799</v>
      </c>
      <c r="S1631">
        <v>88.811354228267305</v>
      </c>
      <c r="T1631">
        <v>0</v>
      </c>
      <c r="U1631">
        <v>0</v>
      </c>
      <c r="V1631">
        <v>0</v>
      </c>
      <c r="W1631">
        <v>0</v>
      </c>
    </row>
    <row r="1632" spans="1:23" x14ac:dyDescent="0.55000000000000004">
      <c r="A1632" t="s">
        <v>3272</v>
      </c>
      <c r="B1632" t="s">
        <v>3273</v>
      </c>
      <c r="C1632" t="s">
        <v>5</v>
      </c>
      <c r="D1632">
        <v>19.41</v>
      </c>
      <c r="E1632">
        <f>225499552/(1000)</f>
        <v>225499.552</v>
      </c>
      <c r="F1632">
        <f>79790896/(1000)</f>
        <v>79790.895999999993</v>
      </c>
      <c r="G1632">
        <f>7803349/(1000)</f>
        <v>7803.3490000000002</v>
      </c>
      <c r="H1632">
        <f>181384656/(1000)</f>
        <v>181384.65599999999</v>
      </c>
      <c r="I1632">
        <f>15053746/(1000)</f>
        <v>15053.745999999999</v>
      </c>
      <c r="J1632">
        <f t="shared" si="42"/>
        <v>1.2049137536929346E-2</v>
      </c>
      <c r="K1632">
        <f>11660355/(1000)</f>
        <v>11660.355</v>
      </c>
      <c r="L1632">
        <v>39.3944702148438</v>
      </c>
      <c r="M1632">
        <v>4.0213170051574698</v>
      </c>
      <c r="N1632">
        <v>87.206592773739601</v>
      </c>
      <c r="O1632">
        <v>29.836286544799801</v>
      </c>
      <c r="P1632">
        <v>0</v>
      </c>
      <c r="Q1632">
        <v>0</v>
      </c>
      <c r="R1632">
        <v>15.527999692821499</v>
      </c>
      <c r="S1632">
        <v>79.903715728715696</v>
      </c>
      <c r="T1632">
        <v>0</v>
      </c>
      <c r="U1632">
        <v>0</v>
      </c>
      <c r="V1632">
        <v>0</v>
      </c>
      <c r="W1632">
        <v>0</v>
      </c>
    </row>
    <row r="1633" spans="1:23" x14ac:dyDescent="0.55000000000000004">
      <c r="A1633" t="s">
        <v>3274</v>
      </c>
      <c r="B1633" t="s">
        <v>3275</v>
      </c>
      <c r="C1633" t="s">
        <v>5</v>
      </c>
      <c r="D1633">
        <v>4.3600000000000003</v>
      </c>
      <c r="E1633">
        <f>118247560/(1000)</f>
        <v>118247.56</v>
      </c>
      <c r="F1633">
        <f>79739000/(1000)</f>
        <v>79739</v>
      </c>
      <c r="G1633">
        <f>-676000/(1000)</f>
        <v>-676</v>
      </c>
      <c r="H1633">
        <f>55963560/(1000)</f>
        <v>55963.56</v>
      </c>
      <c r="I1633">
        <f>3041000/(1000)</f>
        <v>3041</v>
      </c>
      <c r="J1633">
        <f t="shared" si="42"/>
        <v>1.8403012167050311E-2</v>
      </c>
      <c r="K1633">
        <f>3385001.25/(1000)</f>
        <v>3385.0012499999998</v>
      </c>
      <c r="L1633">
        <v>0</v>
      </c>
      <c r="M1633">
        <v>1.8363549709320099</v>
      </c>
      <c r="N1633">
        <v>98.769955804170607</v>
      </c>
      <c r="O1633">
        <v>0</v>
      </c>
      <c r="P1633">
        <v>0</v>
      </c>
      <c r="Q1633">
        <v>0</v>
      </c>
      <c r="R1633">
        <v>215.948490251881</v>
      </c>
      <c r="S1633">
        <v>-30.700305916707201</v>
      </c>
      <c r="T1633">
        <v>0</v>
      </c>
      <c r="U1633">
        <v>0</v>
      </c>
      <c r="V1633">
        <v>0</v>
      </c>
      <c r="W1633">
        <v>0</v>
      </c>
    </row>
    <row r="1634" spans="1:23" x14ac:dyDescent="0.55000000000000004">
      <c r="A1634" t="s">
        <v>3276</v>
      </c>
      <c r="B1634" t="s">
        <v>3277</v>
      </c>
      <c r="C1634" t="s">
        <v>2</v>
      </c>
      <c r="D1634">
        <v>18.14</v>
      </c>
      <c r="E1634">
        <f>153888880/(1000)</f>
        <v>153888.88</v>
      </c>
      <c r="F1634">
        <f>79641000/(1000)</f>
        <v>79641</v>
      </c>
      <c r="G1634">
        <f>22040000/(1000)</f>
        <v>22040</v>
      </c>
      <c r="H1634">
        <f>73775880/(1000)</f>
        <v>73775.88</v>
      </c>
      <c r="I1634">
        <f>25631000/(1000)</f>
        <v>25631</v>
      </c>
      <c r="J1634">
        <f t="shared" si="42"/>
        <v>2.878384768444462E-3</v>
      </c>
      <c r="K1634">
        <f>-4073998.5/(1000)</f>
        <v>-4073.9985000000001</v>
      </c>
      <c r="L1634">
        <v>16.386215209960898</v>
      </c>
      <c r="M1634">
        <v>14.5661516189575</v>
      </c>
      <c r="N1634">
        <v>22.414361254972999</v>
      </c>
      <c r="O1634">
        <v>16.7847385406494</v>
      </c>
      <c r="P1634">
        <v>0</v>
      </c>
      <c r="Q1634">
        <v>0</v>
      </c>
      <c r="R1634">
        <v>14.283464300853501</v>
      </c>
      <c r="S1634">
        <v>7.3198668625099401</v>
      </c>
      <c r="T1634">
        <v>0</v>
      </c>
      <c r="U1634">
        <v>0</v>
      </c>
      <c r="V1634">
        <v>0</v>
      </c>
      <c r="W1634">
        <v>0</v>
      </c>
    </row>
    <row r="1635" spans="1:23" x14ac:dyDescent="0.55000000000000004">
      <c r="A1635" t="s">
        <v>3278</v>
      </c>
      <c r="B1635" t="s">
        <v>3279</v>
      </c>
      <c r="C1635" t="s">
        <v>184</v>
      </c>
      <c r="D1635">
        <v>13.97</v>
      </c>
      <c r="E1635">
        <f>273369152/(1000)</f>
        <v>273369.152</v>
      </c>
      <c r="F1635">
        <f>79304000/(1000)</f>
        <v>79304</v>
      </c>
      <c r="G1635">
        <f>0/(1000)</f>
        <v>0</v>
      </c>
      <c r="H1635">
        <f>0/(1000)</f>
        <v>0</v>
      </c>
      <c r="I1635">
        <f>0/(1000)</f>
        <v>0</v>
      </c>
      <c r="J1635">
        <f t="shared" si="42"/>
        <v>1</v>
      </c>
      <c r="K1635">
        <f>9725001/(1000)</f>
        <v>9725.0010000000002</v>
      </c>
      <c r="L1635">
        <v>0</v>
      </c>
      <c r="M1635">
        <v>5.3481121063232404</v>
      </c>
      <c r="N1635">
        <v>41.916773027728198</v>
      </c>
      <c r="O1635">
        <v>129.088134765625</v>
      </c>
      <c r="P1635">
        <v>0.13186523318290699</v>
      </c>
      <c r="Q1635">
        <v>0</v>
      </c>
      <c r="R1635">
        <v>32.488373017999301</v>
      </c>
      <c r="S1635">
        <v>78.830108690749995</v>
      </c>
      <c r="T1635">
        <v>0</v>
      </c>
      <c r="U1635">
        <v>0</v>
      </c>
      <c r="V1635">
        <v>0</v>
      </c>
      <c r="W1635">
        <v>0</v>
      </c>
    </row>
    <row r="1636" spans="1:23" x14ac:dyDescent="0.55000000000000004">
      <c r="A1636" t="s">
        <v>3280</v>
      </c>
      <c r="B1636" t="s">
        <v>3281</v>
      </c>
      <c r="C1636" t="s">
        <v>31</v>
      </c>
      <c r="D1636">
        <v>4.08</v>
      </c>
      <c r="E1636">
        <f>94880400/(1000)</f>
        <v>94880.4</v>
      </c>
      <c r="F1636">
        <f>78880000/(1000)</f>
        <v>78880</v>
      </c>
      <c r="G1636">
        <f>-3275000/(1000)</f>
        <v>-3275</v>
      </c>
      <c r="H1636">
        <f>61149400/(1000)</f>
        <v>61149.4</v>
      </c>
      <c r="I1636">
        <f>177999.96875/(1000)</f>
        <v>177.99996874999999</v>
      </c>
      <c r="J1636">
        <f t="shared" si="42"/>
        <v>0.34353601536798029</v>
      </c>
      <c r="K1636">
        <f>-105998.9453125/(1000)</f>
        <v>-105.9989453125</v>
      </c>
      <c r="L1636">
        <v>0</v>
      </c>
      <c r="M1636">
        <v>-9.4643888473510707</v>
      </c>
      <c r="N1636">
        <v>34.0559031855881</v>
      </c>
      <c r="O1636">
        <v>2.2746050357818599</v>
      </c>
      <c r="P1636">
        <v>0</v>
      </c>
      <c r="Q1636">
        <v>2.9565216940607599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55000000000000004">
      <c r="A1637" t="s">
        <v>3282</v>
      </c>
      <c r="B1637" t="s">
        <v>3283</v>
      </c>
      <c r="C1637" t="s">
        <v>38</v>
      </c>
      <c r="D1637">
        <v>4.8899999999999997</v>
      </c>
      <c r="E1637">
        <f>182815104/(1000)</f>
        <v>182815.10399999999</v>
      </c>
      <c r="F1637">
        <f>77795000/(1000)</f>
        <v>77795</v>
      </c>
      <c r="G1637">
        <f>-14786000/(1000)</f>
        <v>-14786</v>
      </c>
      <c r="H1637">
        <f>106241104/(1000)</f>
        <v>106241.10400000001</v>
      </c>
      <c r="I1637">
        <f>-12640000/(1000)</f>
        <v>-12640</v>
      </c>
      <c r="J1637">
        <f t="shared" si="42"/>
        <v>-8.4051506329113936E-3</v>
      </c>
      <c r="K1637">
        <f>-11794999/(1000)</f>
        <v>-11794.999</v>
      </c>
      <c r="L1637">
        <v>0</v>
      </c>
      <c r="M1637">
        <v>-7.6043148040771502</v>
      </c>
      <c r="N1637">
        <v>84.271705423817494</v>
      </c>
      <c r="O1637">
        <v>0</v>
      </c>
      <c r="P1637">
        <v>0</v>
      </c>
      <c r="Q1637">
        <v>0</v>
      </c>
      <c r="R1637">
        <v>0</v>
      </c>
      <c r="S1637">
        <v>47.431159626281598</v>
      </c>
      <c r="T1637">
        <v>0</v>
      </c>
      <c r="U1637">
        <v>0</v>
      </c>
      <c r="V1637">
        <v>0</v>
      </c>
      <c r="W1637">
        <v>0</v>
      </c>
    </row>
    <row r="1638" spans="1:23" x14ac:dyDescent="0.55000000000000004">
      <c r="A1638" t="s">
        <v>3284</v>
      </c>
      <c r="B1638" t="s">
        <v>3285</v>
      </c>
      <c r="C1638" t="s">
        <v>5</v>
      </c>
      <c r="D1638">
        <v>3.14</v>
      </c>
      <c r="E1638">
        <f>245396352/(1000)</f>
        <v>245396.35200000001</v>
      </c>
      <c r="F1638">
        <f>77791000/(1000)</f>
        <v>77791</v>
      </c>
      <c r="G1638">
        <f>-56129000/(1000)</f>
        <v>-56129</v>
      </c>
      <c r="H1638">
        <f>289277348/(1000)</f>
        <v>289277.348</v>
      </c>
      <c r="I1638">
        <f>-51548000/(1000)</f>
        <v>-51548</v>
      </c>
      <c r="J1638">
        <f t="shared" si="42"/>
        <v>-5.6118054628695579E-3</v>
      </c>
      <c r="K1638">
        <f>-32684999/(1000)</f>
        <v>-32684.999</v>
      </c>
      <c r="L1638">
        <v>0</v>
      </c>
      <c r="M1638">
        <v>0</v>
      </c>
      <c r="N1638">
        <v>96.769740405134996</v>
      </c>
      <c r="O1638">
        <v>0</v>
      </c>
      <c r="P1638">
        <v>0</v>
      </c>
      <c r="Q1638">
        <v>0</v>
      </c>
      <c r="R1638">
        <v>0</v>
      </c>
      <c r="S1638">
        <v>1383.14585319352</v>
      </c>
      <c r="T1638">
        <v>0</v>
      </c>
      <c r="U1638">
        <v>0</v>
      </c>
      <c r="V1638">
        <v>0</v>
      </c>
      <c r="W1638">
        <v>0</v>
      </c>
    </row>
    <row r="1639" spans="1:23" x14ac:dyDescent="0.55000000000000004">
      <c r="A1639" t="s">
        <v>3286</v>
      </c>
      <c r="B1639" t="s">
        <v>3287</v>
      </c>
      <c r="C1639" t="s">
        <v>31</v>
      </c>
      <c r="D1639">
        <v>2.78</v>
      </c>
      <c r="E1639">
        <f>144174976/(1000)</f>
        <v>144174.976</v>
      </c>
      <c r="F1639">
        <f>77399224/(1000)</f>
        <v>77399.224000000002</v>
      </c>
      <c r="G1639">
        <f>6100633/(1000)</f>
        <v>6100.6329999999998</v>
      </c>
      <c r="H1639">
        <f>97492992/(1000)</f>
        <v>97492.991999999998</v>
      </c>
      <c r="I1639">
        <f>10018117/(1000)</f>
        <v>10018.117</v>
      </c>
      <c r="J1639">
        <f t="shared" si="42"/>
        <v>9.7316683364748087E-3</v>
      </c>
      <c r="K1639">
        <f>11077587/(1000)</f>
        <v>11077.587</v>
      </c>
      <c r="L1639">
        <v>0</v>
      </c>
      <c r="M1639">
        <v>17.880592346191399</v>
      </c>
      <c r="N1639">
        <v>67.300406165978998</v>
      </c>
      <c r="O1639">
        <v>0</v>
      </c>
      <c r="P1639">
        <v>0</v>
      </c>
      <c r="Q1639">
        <v>0</v>
      </c>
      <c r="R1639">
        <v>23.166666226875499</v>
      </c>
      <c r="S1639">
        <v>628.18914291090402</v>
      </c>
      <c r="T1639">
        <v>0</v>
      </c>
      <c r="U1639">
        <v>0</v>
      </c>
      <c r="V1639">
        <v>0</v>
      </c>
      <c r="W1639">
        <v>0</v>
      </c>
    </row>
    <row r="1640" spans="1:23" x14ac:dyDescent="0.55000000000000004">
      <c r="A1640" t="s">
        <v>3288</v>
      </c>
      <c r="B1640" t="s">
        <v>3289</v>
      </c>
      <c r="C1640" t="s">
        <v>5</v>
      </c>
      <c r="D1640">
        <v>7.71</v>
      </c>
      <c r="E1640">
        <f>109444992/(1000)</f>
        <v>109444.992</v>
      </c>
      <c r="F1640">
        <f>76908000/(1000)</f>
        <v>76908</v>
      </c>
      <c r="G1640">
        <f>-4056000.25/(1000)</f>
        <v>-4056.0002500000001</v>
      </c>
      <c r="H1640">
        <f>60400992/(1000)</f>
        <v>60400.991999999998</v>
      </c>
      <c r="I1640">
        <f>4230999.5/(1000)</f>
        <v>4230.9994999999999</v>
      </c>
      <c r="J1640">
        <f t="shared" si="42"/>
        <v>1.4275821115081673E-2</v>
      </c>
      <c r="K1640">
        <f>-920999/(1000)</f>
        <v>-920.99900000000002</v>
      </c>
      <c r="L1640">
        <v>0</v>
      </c>
      <c r="M1640">
        <v>-1.8879649639129601</v>
      </c>
      <c r="N1640">
        <v>84.518006286435806</v>
      </c>
      <c r="O1640">
        <v>0.208710998296738</v>
      </c>
      <c r="P1640">
        <v>0</v>
      </c>
      <c r="Q1640">
        <v>0.74063402028422198</v>
      </c>
      <c r="R1640">
        <v>0</v>
      </c>
      <c r="S1640">
        <v>101.00360671161999</v>
      </c>
      <c r="T1640">
        <v>0</v>
      </c>
      <c r="U1640">
        <v>0</v>
      </c>
      <c r="V1640">
        <v>0</v>
      </c>
      <c r="W1640">
        <v>0</v>
      </c>
    </row>
    <row r="1641" spans="1:23" x14ac:dyDescent="0.55000000000000004">
      <c r="A1641" t="s">
        <v>3290</v>
      </c>
      <c r="B1641" t="s">
        <v>3291</v>
      </c>
      <c r="C1641" t="s">
        <v>184</v>
      </c>
      <c r="D1641">
        <v>16.850000000000001</v>
      </c>
      <c r="E1641">
        <f>683304576/(1000)</f>
        <v>683304.576</v>
      </c>
      <c r="F1641">
        <f>76527000/(1000)</f>
        <v>76527</v>
      </c>
      <c r="G1641">
        <f>0/(1000)</f>
        <v>0</v>
      </c>
      <c r="H1641">
        <f>0/(1000)</f>
        <v>0</v>
      </c>
      <c r="I1641">
        <f>0/(1000)</f>
        <v>0</v>
      </c>
      <c r="J1641">
        <f t="shared" si="42"/>
        <v>1</v>
      </c>
      <c r="K1641">
        <f>9467001/(1000)</f>
        <v>9467.0010000000002</v>
      </c>
      <c r="L1641">
        <v>0</v>
      </c>
      <c r="M1641">
        <v>3.2490549087524401</v>
      </c>
      <c r="N1641">
        <v>97.217906035793504</v>
      </c>
      <c r="O1641">
        <v>155.45191955566401</v>
      </c>
      <c r="P1641">
        <v>0</v>
      </c>
      <c r="Q1641">
        <v>2.53574122345149</v>
      </c>
      <c r="R1641">
        <v>70.208335402292306</v>
      </c>
      <c r="S1641">
        <v>0</v>
      </c>
      <c r="T1641">
        <v>0</v>
      </c>
      <c r="U1641">
        <v>0</v>
      </c>
      <c r="V1641">
        <v>0</v>
      </c>
      <c r="W1641">
        <v>0</v>
      </c>
    </row>
    <row r="1642" spans="1:23" x14ac:dyDescent="0.55000000000000004">
      <c r="A1642" t="s">
        <v>3292</v>
      </c>
      <c r="B1642" t="s">
        <v>3293</v>
      </c>
      <c r="C1642" t="s">
        <v>8</v>
      </c>
      <c r="D1642">
        <v>3.97</v>
      </c>
      <c r="E1642">
        <f>38915924/(1000)</f>
        <v>38915.923999999999</v>
      </c>
      <c r="F1642">
        <f>76421000/(1000)</f>
        <v>76421</v>
      </c>
      <c r="G1642">
        <f>16445000/(1000)</f>
        <v>16445</v>
      </c>
      <c r="H1642">
        <f>41513924/(1000)</f>
        <v>41513.923999999999</v>
      </c>
      <c r="I1642">
        <f>28324000/(1000)</f>
        <v>28324</v>
      </c>
      <c r="J1642">
        <f t="shared" si="42"/>
        <v>1.4656801299251518E-3</v>
      </c>
      <c r="K1642">
        <f>151001/(1000)</f>
        <v>151.001</v>
      </c>
      <c r="L1642">
        <v>0</v>
      </c>
      <c r="M1642">
        <v>16.912340164184599</v>
      </c>
      <c r="N1642">
        <v>94.643205474329093</v>
      </c>
      <c r="O1642">
        <v>1.9797279834747299</v>
      </c>
      <c r="P1642">
        <v>0</v>
      </c>
      <c r="Q1642">
        <v>0</v>
      </c>
      <c r="R1642">
        <v>3.42241382831874</v>
      </c>
      <c r="S1642">
        <v>440.49791357238797</v>
      </c>
      <c r="T1642">
        <v>0</v>
      </c>
      <c r="U1642">
        <v>0</v>
      </c>
      <c r="V1642">
        <v>0</v>
      </c>
      <c r="W1642">
        <v>0</v>
      </c>
    </row>
    <row r="1643" spans="1:23" x14ac:dyDescent="0.55000000000000004">
      <c r="A1643" t="s">
        <v>3294</v>
      </c>
      <c r="B1643" t="s">
        <v>3295</v>
      </c>
      <c r="C1643" t="s">
        <v>184</v>
      </c>
      <c r="D1643">
        <v>20.100000000000001</v>
      </c>
      <c r="E1643">
        <f>172526336/(1000)</f>
        <v>172526.33600000001</v>
      </c>
      <c r="F1643">
        <f>75999000/(1000)</f>
        <v>75999</v>
      </c>
      <c r="G1643">
        <f>0/(1000)</f>
        <v>0</v>
      </c>
      <c r="H1643">
        <f>0/(1000)</f>
        <v>0</v>
      </c>
      <c r="I1643">
        <f>0/(1000)</f>
        <v>0</v>
      </c>
      <c r="J1643">
        <f t="shared" si="42"/>
        <v>1</v>
      </c>
      <c r="K1643">
        <f>9046001/(1000)</f>
        <v>9046.0010000000002</v>
      </c>
      <c r="L1643">
        <v>17.5585746765137</v>
      </c>
      <c r="M1643">
        <v>15.773327827453601</v>
      </c>
      <c r="N1643">
        <v>78.0110466407573</v>
      </c>
      <c r="O1643">
        <v>49.805759429931598</v>
      </c>
      <c r="P1643">
        <v>0.56000000238418601</v>
      </c>
      <c r="Q1643">
        <v>1.8550992441812</v>
      </c>
      <c r="R1643">
        <v>15.1127820927034</v>
      </c>
      <c r="S1643">
        <v>36.838978015448603</v>
      </c>
      <c r="T1643">
        <v>0</v>
      </c>
      <c r="U1643">
        <v>0</v>
      </c>
      <c r="V1643">
        <v>0</v>
      </c>
      <c r="W1643">
        <v>0</v>
      </c>
    </row>
    <row r="1644" spans="1:23" x14ac:dyDescent="0.55000000000000004">
      <c r="A1644" t="s">
        <v>3296</v>
      </c>
      <c r="B1644" t="s">
        <v>3297</v>
      </c>
      <c r="C1644" t="s">
        <v>38</v>
      </c>
      <c r="D1644">
        <v>10.31</v>
      </c>
      <c r="E1644">
        <f>314004448/(1000)</f>
        <v>314004.44799999997</v>
      </c>
      <c r="F1644">
        <f>75646000/(1000)</f>
        <v>75646</v>
      </c>
      <c r="G1644">
        <f>-51458000/(1000)</f>
        <v>-51458</v>
      </c>
      <c r="H1644">
        <f>179410448/(1000)</f>
        <v>179410.448</v>
      </c>
      <c r="I1644">
        <f>-48431000/(1000)</f>
        <v>-48431</v>
      </c>
      <c r="J1644">
        <f t="shared" si="42"/>
        <v>-3.7044547500567817E-3</v>
      </c>
      <c r="K1644">
        <f>-44201999/(1000)</f>
        <v>-44201.999000000003</v>
      </c>
      <c r="L1644">
        <v>0</v>
      </c>
      <c r="M1644">
        <v>-33.821441650390597</v>
      </c>
      <c r="N1644">
        <v>95.721080026124994</v>
      </c>
      <c r="O1644">
        <v>0</v>
      </c>
      <c r="P1644">
        <v>0</v>
      </c>
      <c r="Q1644">
        <v>0</v>
      </c>
      <c r="R1644">
        <v>0</v>
      </c>
      <c r="S1644">
        <v>650.08428358948902</v>
      </c>
      <c r="T1644">
        <v>0</v>
      </c>
      <c r="U1644">
        <v>0</v>
      </c>
      <c r="V1644">
        <v>0</v>
      </c>
      <c r="W1644">
        <v>0</v>
      </c>
    </row>
    <row r="1645" spans="1:23" x14ac:dyDescent="0.55000000000000004">
      <c r="A1645" t="s">
        <v>3298</v>
      </c>
      <c r="B1645" t="s">
        <v>3299</v>
      </c>
      <c r="C1645" t="s">
        <v>38</v>
      </c>
      <c r="D1645">
        <v>21.36</v>
      </c>
      <c r="E1645">
        <f>885677440/(1000)</f>
        <v>885677.44</v>
      </c>
      <c r="F1645">
        <f>75010000/(1000)</f>
        <v>75010</v>
      </c>
      <c r="G1645">
        <f>-17418000/(1000)</f>
        <v>-17418</v>
      </c>
      <c r="H1645">
        <f>772818448/(1000)</f>
        <v>772818.44799999997</v>
      </c>
      <c r="I1645">
        <f>-12355000/(1000)</f>
        <v>-12355</v>
      </c>
      <c r="J1645">
        <f t="shared" si="42"/>
        <v>-6.2551068231485221E-2</v>
      </c>
      <c r="K1645">
        <f>1708001/(1000)</f>
        <v>1708.001</v>
      </c>
      <c r="L1645">
        <v>0</v>
      </c>
      <c r="M1645">
        <v>-3.43950390815735</v>
      </c>
      <c r="N1645">
        <v>89.261609537852195</v>
      </c>
      <c r="O1645">
        <v>2.8759179115295401</v>
      </c>
      <c r="P1645">
        <v>0</v>
      </c>
      <c r="Q1645">
        <v>5.1182153051830799</v>
      </c>
      <c r="R1645">
        <v>305.14286456302699</v>
      </c>
      <c r="S1645">
        <v>476.64514145141402</v>
      </c>
      <c r="T1645">
        <v>0</v>
      </c>
      <c r="U1645">
        <v>0</v>
      </c>
      <c r="V1645">
        <v>0</v>
      </c>
      <c r="W1645">
        <v>0</v>
      </c>
    </row>
    <row r="1646" spans="1:23" x14ac:dyDescent="0.55000000000000004">
      <c r="A1646" t="s">
        <v>3300</v>
      </c>
      <c r="B1646" t="s">
        <v>3301</v>
      </c>
      <c r="C1646" t="s">
        <v>401</v>
      </c>
      <c r="D1646">
        <v>20.28</v>
      </c>
      <c r="E1646">
        <f>469196064/(1000)</f>
        <v>469196.06400000001</v>
      </c>
      <c r="F1646">
        <f>74790000/(1000)</f>
        <v>74790</v>
      </c>
      <c r="G1646">
        <f>52996000/(1000)</f>
        <v>52996</v>
      </c>
      <c r="H1646">
        <f>682848064/(1000)</f>
        <v>682848.06400000001</v>
      </c>
      <c r="I1646">
        <f>67301000/(1000)</f>
        <v>67301</v>
      </c>
      <c r="J1646">
        <f t="shared" si="42"/>
        <v>1.014618005675993E-2</v>
      </c>
      <c r="K1646">
        <f>52929001/(1000)</f>
        <v>52929.000999999997</v>
      </c>
      <c r="L1646">
        <v>35.261058807372997</v>
      </c>
      <c r="M1646">
        <v>10.9781799316406</v>
      </c>
      <c r="N1646">
        <v>87.907103517554802</v>
      </c>
      <c r="O1646">
        <v>10.834435462951699</v>
      </c>
      <c r="P1646">
        <v>1.5599999427795399</v>
      </c>
      <c r="Q1646">
        <v>0</v>
      </c>
      <c r="R1646">
        <v>15.843750152795099</v>
      </c>
      <c r="S1646">
        <v>9.7641516356751907</v>
      </c>
      <c r="T1646">
        <v>0</v>
      </c>
      <c r="U1646">
        <v>0</v>
      </c>
      <c r="V1646">
        <v>0</v>
      </c>
      <c r="W1646">
        <v>0</v>
      </c>
    </row>
    <row r="1647" spans="1:23" x14ac:dyDescent="0.55000000000000004">
      <c r="A1647" t="s">
        <v>3302</v>
      </c>
      <c r="B1647" t="s">
        <v>3303</v>
      </c>
      <c r="C1647" t="s">
        <v>5</v>
      </c>
      <c r="D1647">
        <v>7.15</v>
      </c>
      <c r="E1647">
        <f>179565808/(1000)</f>
        <v>179565.80799999999</v>
      </c>
      <c r="F1647">
        <f>74689000/(1000)</f>
        <v>74689</v>
      </c>
      <c r="G1647">
        <f>-1583000/(1000)</f>
        <v>-1583</v>
      </c>
      <c r="H1647">
        <f>115603808/(1000)</f>
        <v>115603.808</v>
      </c>
      <c r="I1647">
        <f>480000/(1000)</f>
        <v>480</v>
      </c>
      <c r="J1647">
        <f t="shared" si="42"/>
        <v>0.24084126666666669</v>
      </c>
      <c r="K1647">
        <f>8424001/(1000)</f>
        <v>8424.0010000000002</v>
      </c>
      <c r="L1647">
        <v>0</v>
      </c>
      <c r="M1647">
        <v>0.463106989860535</v>
      </c>
      <c r="N1647">
        <v>87.960947983602395</v>
      </c>
      <c r="O1647">
        <v>0</v>
      </c>
      <c r="P1647">
        <v>0</v>
      </c>
      <c r="Q1647">
        <v>2.2626581965702299</v>
      </c>
      <c r="R1647">
        <v>11.9166670919707</v>
      </c>
      <c r="S1647">
        <v>376.51524818170202</v>
      </c>
      <c r="T1647">
        <v>0</v>
      </c>
      <c r="U1647">
        <v>0</v>
      </c>
      <c r="V1647">
        <v>0</v>
      </c>
      <c r="W1647">
        <v>0</v>
      </c>
    </row>
    <row r="1648" spans="1:23" x14ac:dyDescent="0.55000000000000004">
      <c r="A1648" t="s">
        <v>3304</v>
      </c>
      <c r="B1648" t="s">
        <v>3305</v>
      </c>
      <c r="C1648" t="s">
        <v>2</v>
      </c>
      <c r="D1648">
        <v>20.94</v>
      </c>
      <c r="E1648">
        <f>211364160/(1000)</f>
        <v>211364.16</v>
      </c>
      <c r="F1648">
        <f>74510000/(1000)</f>
        <v>74510</v>
      </c>
      <c r="G1648">
        <f>13212000/(1000)</f>
        <v>13212</v>
      </c>
      <c r="H1648">
        <f>200357160/(1000)</f>
        <v>200357.16</v>
      </c>
      <c r="I1648">
        <f>13710000/(1000)</f>
        <v>13710</v>
      </c>
      <c r="J1648">
        <f t="shared" si="42"/>
        <v>1.4613943107221005E-2</v>
      </c>
      <c r="K1648">
        <f>575001/(1000)</f>
        <v>575.00099999999998</v>
      </c>
      <c r="L1648">
        <v>0</v>
      </c>
      <c r="M1648">
        <v>30.858360290527301</v>
      </c>
      <c r="N1648">
        <v>27.118628374821299</v>
      </c>
      <c r="O1648">
        <v>0</v>
      </c>
      <c r="P1648">
        <v>0</v>
      </c>
      <c r="Q1648">
        <v>0</v>
      </c>
      <c r="R1648">
        <v>22.2765963693289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55000000000000004">
      <c r="A1649" t="s">
        <v>3306</v>
      </c>
      <c r="B1649" t="s">
        <v>3307</v>
      </c>
      <c r="C1649" t="s">
        <v>5</v>
      </c>
      <c r="D1649">
        <v>3.5</v>
      </c>
      <c r="E1649">
        <f>100825896/(1000)</f>
        <v>100825.89599999999</v>
      </c>
      <c r="F1649">
        <f>73702000/(1000)</f>
        <v>73702</v>
      </c>
      <c r="G1649">
        <f>-1558000/(1000)</f>
        <v>-1558</v>
      </c>
      <c r="H1649">
        <f>63104896/(1000)</f>
        <v>63104.896000000001</v>
      </c>
      <c r="I1649">
        <f>1666000/(1000)</f>
        <v>1666</v>
      </c>
      <c r="J1649">
        <f t="shared" si="42"/>
        <v>3.7878088835534215E-2</v>
      </c>
      <c r="K1649">
        <f>17375001/(1000)</f>
        <v>17375.001</v>
      </c>
      <c r="L1649">
        <v>0</v>
      </c>
      <c r="M1649">
        <v>-8.8157587051391602</v>
      </c>
      <c r="N1649">
        <v>97.799524583050101</v>
      </c>
      <c r="O1649">
        <v>0</v>
      </c>
      <c r="P1649">
        <v>0</v>
      </c>
      <c r="Q1649">
        <v>0</v>
      </c>
      <c r="R1649">
        <v>0</v>
      </c>
      <c r="S1649">
        <v>-13.7059760209816</v>
      </c>
      <c r="T1649">
        <v>0</v>
      </c>
      <c r="U1649">
        <v>0</v>
      </c>
      <c r="V1649">
        <v>0</v>
      </c>
      <c r="W1649">
        <v>0</v>
      </c>
    </row>
    <row r="1650" spans="1:23" x14ac:dyDescent="0.55000000000000004">
      <c r="A1650" t="s">
        <v>3308</v>
      </c>
      <c r="B1650" t="s">
        <v>3309</v>
      </c>
      <c r="C1650" t="s">
        <v>31</v>
      </c>
      <c r="D1650">
        <v>5.56</v>
      </c>
      <c r="E1650">
        <f>173978512/(1000)</f>
        <v>173978.51199999999</v>
      </c>
      <c r="F1650">
        <f>73377000/(1000)</f>
        <v>73377</v>
      </c>
      <c r="G1650">
        <f>4249000/(1000)</f>
        <v>4249</v>
      </c>
      <c r="H1650">
        <f>142750512/(1000)</f>
        <v>142750.51199999999</v>
      </c>
      <c r="I1650">
        <f>7447000/(1000)</f>
        <v>7447</v>
      </c>
      <c r="J1650">
        <f t="shared" si="42"/>
        <v>1.9168861554988585E-2</v>
      </c>
      <c r="K1650">
        <f>17259001/(1000)</f>
        <v>17259.001</v>
      </c>
      <c r="L1650">
        <v>0</v>
      </c>
      <c r="M1650">
        <v>2.2532620429992698</v>
      </c>
      <c r="N1650">
        <v>88.784991262711898</v>
      </c>
      <c r="O1650">
        <v>0</v>
      </c>
      <c r="P1650">
        <v>0</v>
      </c>
      <c r="Q1650">
        <v>1.0532796595877201</v>
      </c>
      <c r="R1650">
        <v>32.705882747383697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55000000000000004">
      <c r="A1651" t="s">
        <v>3310</v>
      </c>
      <c r="B1651" t="s">
        <v>3311</v>
      </c>
      <c r="C1651" t="s">
        <v>184</v>
      </c>
      <c r="D1651">
        <v>14.97</v>
      </c>
      <c r="E1651">
        <f>179831616/(1000)</f>
        <v>179831.61600000001</v>
      </c>
      <c r="F1651">
        <f>73090880/(1000)</f>
        <v>73090.880000000005</v>
      </c>
      <c r="G1651">
        <f>0/(1000)</f>
        <v>0</v>
      </c>
      <c r="H1651">
        <f>0/(1000)</f>
        <v>0</v>
      </c>
      <c r="I1651">
        <f>0/(1000)</f>
        <v>0</v>
      </c>
      <c r="J1651">
        <f t="shared" si="42"/>
        <v>1</v>
      </c>
      <c r="K1651">
        <f>13332043/(1000)</f>
        <v>13332.043</v>
      </c>
      <c r="L1651">
        <v>15.408532142639199</v>
      </c>
      <c r="M1651">
        <v>12.7282114028931</v>
      </c>
      <c r="N1651">
        <v>83.826416974970698</v>
      </c>
      <c r="O1651">
        <v>179.62030029296901</v>
      </c>
      <c r="P1651">
        <v>0.40000000596046398</v>
      </c>
      <c r="Q1651">
        <v>1.56154330847149</v>
      </c>
      <c r="R1651">
        <v>14.394231141484299</v>
      </c>
      <c r="S1651">
        <v>143.83133173205201</v>
      </c>
      <c r="T1651">
        <v>0</v>
      </c>
      <c r="U1651">
        <v>0</v>
      </c>
      <c r="V1651">
        <v>0</v>
      </c>
      <c r="W1651">
        <v>0</v>
      </c>
    </row>
    <row r="1652" spans="1:23" x14ac:dyDescent="0.55000000000000004">
      <c r="A1652" t="s">
        <v>3312</v>
      </c>
      <c r="B1652" t="s">
        <v>3313</v>
      </c>
      <c r="C1652" t="s">
        <v>38</v>
      </c>
      <c r="D1652">
        <v>24.65</v>
      </c>
      <c r="E1652">
        <f>576326848/(1000)</f>
        <v>576326.848</v>
      </c>
      <c r="F1652">
        <f>72992184/(1000)</f>
        <v>72992.183999999994</v>
      </c>
      <c r="G1652">
        <f>241611/(1000)</f>
        <v>241.61099999999999</v>
      </c>
      <c r="H1652">
        <f>520235848/(1000)</f>
        <v>520235.848</v>
      </c>
      <c r="I1652">
        <f>4790636/(1000)</f>
        <v>4790.6360000000004</v>
      </c>
      <c r="J1652">
        <f t="shared" si="42"/>
        <v>0.10859431774820712</v>
      </c>
      <c r="K1652">
        <f>-13288584/(1000)</f>
        <v>-13288.584000000001</v>
      </c>
      <c r="L1652">
        <v>0</v>
      </c>
      <c r="M1652">
        <v>0</v>
      </c>
      <c r="N1652">
        <v>80.185113331527205</v>
      </c>
      <c r="O1652">
        <v>3.1578099727630602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</row>
    <row r="1653" spans="1:23" x14ac:dyDescent="0.55000000000000004">
      <c r="A1653" t="s">
        <v>3314</v>
      </c>
      <c r="B1653" t="s">
        <v>3315</v>
      </c>
      <c r="C1653" t="s">
        <v>8</v>
      </c>
      <c r="D1653">
        <v>10.130000000000001</v>
      </c>
      <c r="E1653">
        <f>122510192/(1000)</f>
        <v>122510.192</v>
      </c>
      <c r="F1653">
        <f>72489000/(1000)</f>
        <v>72489</v>
      </c>
      <c r="G1653">
        <f>18589000/(1000)</f>
        <v>18589</v>
      </c>
      <c r="H1653">
        <f>133226191/(1000)</f>
        <v>133226.19099999999</v>
      </c>
      <c r="I1653">
        <f>26059000/(1000)</f>
        <v>26059</v>
      </c>
      <c r="J1653">
        <f t="shared" si="42"/>
        <v>5.1124828658045207E-3</v>
      </c>
      <c r="K1653">
        <f>-7037999/(1000)</f>
        <v>-7037.9989999999998</v>
      </c>
      <c r="L1653">
        <v>23.071376800537099</v>
      </c>
      <c r="M1653">
        <v>11.3906135559082</v>
      </c>
      <c r="N1653">
        <v>82.891236327471304</v>
      </c>
      <c r="O1653">
        <v>12.7207546234131</v>
      </c>
      <c r="P1653">
        <v>0</v>
      </c>
      <c r="Q1653">
        <v>0</v>
      </c>
      <c r="R1653">
        <v>8.1040000915527308</v>
      </c>
      <c r="S1653">
        <v>603.98174225502601</v>
      </c>
      <c r="T1653">
        <v>0</v>
      </c>
      <c r="U1653">
        <v>0</v>
      </c>
      <c r="V1653">
        <v>0</v>
      </c>
      <c r="W1653">
        <v>0</v>
      </c>
    </row>
    <row r="1654" spans="1:23" x14ac:dyDescent="0.55000000000000004">
      <c r="A1654" t="s">
        <v>3316</v>
      </c>
      <c r="B1654" t="s">
        <v>3317</v>
      </c>
      <c r="C1654" t="s">
        <v>38</v>
      </c>
      <c r="D1654">
        <v>36.19</v>
      </c>
      <c r="E1654">
        <f>2820131072/(1000)</f>
        <v>2820131.0720000002</v>
      </c>
      <c r="F1654">
        <f>72041000/(1000)</f>
        <v>72041</v>
      </c>
      <c r="G1654">
        <f>-99758000/(1000)</f>
        <v>-99758</v>
      </c>
      <c r="H1654">
        <f>2895851072/(1000)</f>
        <v>2895851.0720000002</v>
      </c>
      <c r="I1654">
        <f>-94831000/(1000)</f>
        <v>-94831</v>
      </c>
      <c r="J1654">
        <f t="shared" si="42"/>
        <v>-3.0536966519387122E-2</v>
      </c>
      <c r="K1654">
        <f>-208439007/(1000)</f>
        <v>-208439.00700000001</v>
      </c>
      <c r="L1654">
        <v>0</v>
      </c>
      <c r="M1654">
        <v>-81.588447570800795</v>
      </c>
      <c r="N1654">
        <v>97.816513184954204</v>
      </c>
      <c r="O1654">
        <v>191.78680419921901</v>
      </c>
      <c r="P1654">
        <v>0</v>
      </c>
      <c r="Q1654">
        <v>17.5679609863863</v>
      </c>
      <c r="R1654">
        <v>904.75002802117001</v>
      </c>
      <c r="S1654">
        <v>1002.21848225214</v>
      </c>
      <c r="T1654">
        <v>0</v>
      </c>
      <c r="U1654">
        <v>0</v>
      </c>
      <c r="V1654">
        <v>0</v>
      </c>
      <c r="W1654">
        <v>0</v>
      </c>
    </row>
    <row r="1655" spans="1:23" x14ac:dyDescent="0.55000000000000004">
      <c r="A1655" t="s">
        <v>3318</v>
      </c>
      <c r="B1655" t="s">
        <v>3319</v>
      </c>
      <c r="C1655" t="s">
        <v>5</v>
      </c>
      <c r="D1655">
        <v>16.22</v>
      </c>
      <c r="E1655">
        <f>260040672/(1000)</f>
        <v>260040.67199999999</v>
      </c>
      <c r="F1655">
        <f>70904000/(1000)</f>
        <v>70904</v>
      </c>
      <c r="G1655">
        <f>-8897000/(1000)</f>
        <v>-8897</v>
      </c>
      <c r="H1655">
        <f>181871672/(1000)</f>
        <v>181871.67199999999</v>
      </c>
      <c r="I1655">
        <f>-7698000.5/(1000)</f>
        <v>-7698.0005000000001</v>
      </c>
      <c r="J1655">
        <f t="shared" si="42"/>
        <v>-2.3625832708116867E-2</v>
      </c>
      <c r="K1655">
        <f>-6758999/(1000)</f>
        <v>-6758.9989999999998</v>
      </c>
      <c r="L1655">
        <v>0</v>
      </c>
      <c r="M1655">
        <v>-7.4529299736022896</v>
      </c>
      <c r="N1655">
        <v>97.093951149244106</v>
      </c>
      <c r="O1655">
        <v>0</v>
      </c>
      <c r="P1655">
        <v>0</v>
      </c>
      <c r="Q1655">
        <v>0</v>
      </c>
      <c r="R1655">
        <v>21.342104470566301</v>
      </c>
      <c r="S1655">
        <v>606.14480629419404</v>
      </c>
      <c r="T1655">
        <v>0</v>
      </c>
      <c r="U1655">
        <v>0</v>
      </c>
      <c r="V1655">
        <v>0</v>
      </c>
      <c r="W1655">
        <v>0</v>
      </c>
    </row>
    <row r="1656" spans="1:23" x14ac:dyDescent="0.55000000000000004">
      <c r="A1656" t="s">
        <v>3320</v>
      </c>
      <c r="B1656" t="s">
        <v>3321</v>
      </c>
      <c r="C1656" t="s">
        <v>184</v>
      </c>
      <c r="D1656">
        <v>11.25</v>
      </c>
      <c r="E1656">
        <f>504034880/(1000)</f>
        <v>504034.88</v>
      </c>
      <c r="F1656">
        <f>70872000/(1000)</f>
        <v>70872</v>
      </c>
      <c r="G1656">
        <f>0/(1000)</f>
        <v>0</v>
      </c>
      <c r="H1656">
        <f>0/(1000)</f>
        <v>0</v>
      </c>
      <c r="I1656">
        <f>0/(1000)</f>
        <v>0</v>
      </c>
      <c r="J1656">
        <f t="shared" si="42"/>
        <v>1</v>
      </c>
      <c r="K1656">
        <f>10515001/(1000)</f>
        <v>10515.001</v>
      </c>
      <c r="L1656">
        <v>0</v>
      </c>
      <c r="M1656">
        <v>3.9549510478973402</v>
      </c>
      <c r="N1656">
        <v>43.8380374195904</v>
      </c>
      <c r="O1656">
        <v>33.870529174804702</v>
      </c>
      <c r="P1656">
        <v>0.15999999642372101</v>
      </c>
      <c r="Q1656">
        <v>0</v>
      </c>
      <c r="R1656">
        <v>29.605262948927599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55000000000000004">
      <c r="A1657" t="s">
        <v>3322</v>
      </c>
      <c r="B1657" t="s">
        <v>3323</v>
      </c>
      <c r="C1657" t="s">
        <v>5</v>
      </c>
      <c r="D1657">
        <v>6.82</v>
      </c>
      <c r="E1657">
        <f>233752096/(1000)</f>
        <v>233752.09599999999</v>
      </c>
      <c r="F1657">
        <f>70729000/(1000)</f>
        <v>70729</v>
      </c>
      <c r="G1657">
        <f>29349000/(1000)</f>
        <v>29349</v>
      </c>
      <c r="H1657">
        <f>164318096/(1000)</f>
        <v>164318.09599999999</v>
      </c>
      <c r="I1657">
        <f>30503000/(1000)</f>
        <v>30503</v>
      </c>
      <c r="J1657">
        <f t="shared" si="42"/>
        <v>5.3869486935711232E-3</v>
      </c>
      <c r="K1657">
        <f>28504001/(1000)</f>
        <v>28504.001</v>
      </c>
      <c r="L1657">
        <v>0</v>
      </c>
      <c r="M1657">
        <v>19.944679260253899</v>
      </c>
      <c r="N1657">
        <v>66.8724526862147</v>
      </c>
      <c r="O1657">
        <v>0</v>
      </c>
      <c r="P1657">
        <v>0</v>
      </c>
      <c r="Q1657">
        <v>2.4270463738569701</v>
      </c>
      <c r="R1657">
        <v>12.1785716832596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55000000000000004">
      <c r="A1658" t="s">
        <v>3324</v>
      </c>
      <c r="B1658" t="s">
        <v>3325</v>
      </c>
      <c r="C1658" t="s">
        <v>5</v>
      </c>
      <c r="D1658">
        <v>13.91</v>
      </c>
      <c r="E1658">
        <f>211651776/(1000)</f>
        <v>211651.77600000001</v>
      </c>
      <c r="F1658">
        <f>70176000/(1000)</f>
        <v>70176</v>
      </c>
      <c r="G1658">
        <f>-6926000/(1000)</f>
        <v>-6926</v>
      </c>
      <c r="H1658">
        <f>53900784/(1000)</f>
        <v>53900.784</v>
      </c>
      <c r="I1658">
        <f>-1204000/(1000)</f>
        <v>-1204</v>
      </c>
      <c r="J1658">
        <f t="shared" si="42"/>
        <v>-4.4768093023255816E-2</v>
      </c>
      <c r="K1658">
        <f>7325001.5/(1000)</f>
        <v>7325.0015000000003</v>
      </c>
      <c r="L1658">
        <v>128.12762451171901</v>
      </c>
      <c r="M1658">
        <v>0.69546502828598</v>
      </c>
      <c r="N1658">
        <v>90.620931803932905</v>
      </c>
      <c r="O1658">
        <v>0</v>
      </c>
      <c r="P1658">
        <v>0</v>
      </c>
      <c r="Q1658">
        <v>1.22988499834941</v>
      </c>
      <c r="R1658">
        <v>0</v>
      </c>
      <c r="S1658">
        <v>232.33566963440001</v>
      </c>
      <c r="T1658">
        <v>0</v>
      </c>
      <c r="U1658">
        <v>0</v>
      </c>
      <c r="V1658">
        <v>0</v>
      </c>
      <c r="W1658">
        <v>0</v>
      </c>
    </row>
    <row r="1659" spans="1:23" x14ac:dyDescent="0.55000000000000004">
      <c r="A1659" t="s">
        <v>3326</v>
      </c>
      <c r="B1659" t="s">
        <v>3327</v>
      </c>
      <c r="C1659" t="s">
        <v>31</v>
      </c>
      <c r="D1659">
        <v>6.57</v>
      </c>
      <c r="E1659">
        <f>119817088/(1000)</f>
        <v>119817.088</v>
      </c>
      <c r="F1659">
        <f>69888000/(1000)</f>
        <v>69888</v>
      </c>
      <c r="G1659">
        <f>-2906000/(1000)</f>
        <v>-2906</v>
      </c>
      <c r="H1659">
        <f>52167088/(1000)</f>
        <v>52167.088000000003</v>
      </c>
      <c r="I1659">
        <f>813000/(1000)</f>
        <v>813</v>
      </c>
      <c r="J1659">
        <f t="shared" si="42"/>
        <v>6.4166159901599018E-2</v>
      </c>
      <c r="K1659">
        <f>-2052999/(1000)</f>
        <v>-2052.9989999999998</v>
      </c>
      <c r="L1659">
        <v>0</v>
      </c>
      <c r="M1659">
        <v>4.9180459976196298</v>
      </c>
      <c r="N1659">
        <v>92.220214126742405</v>
      </c>
      <c r="O1659">
        <v>8.5897997021674999E-2</v>
      </c>
      <c r="P1659">
        <v>0</v>
      </c>
      <c r="Q1659">
        <v>0</v>
      </c>
      <c r="R1659">
        <v>7.9156625902536799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55000000000000004">
      <c r="A1660" t="s">
        <v>3328</v>
      </c>
      <c r="B1660" t="s">
        <v>3329</v>
      </c>
      <c r="C1660" t="s">
        <v>5</v>
      </c>
      <c r="D1660">
        <v>3.19</v>
      </c>
      <c r="E1660">
        <f>525951264/(1000)</f>
        <v>525951.26399999997</v>
      </c>
      <c r="F1660">
        <f>69866000/(1000)</f>
        <v>69866</v>
      </c>
      <c r="G1660">
        <f>-25578000/(1000)</f>
        <v>-25578</v>
      </c>
      <c r="H1660">
        <f>614461264/(1000)</f>
        <v>614461.26399999997</v>
      </c>
      <c r="I1660">
        <f>-17716000/(1000)</f>
        <v>-17716</v>
      </c>
      <c r="J1660">
        <f t="shared" si="42"/>
        <v>-3.4683972905847814E-2</v>
      </c>
      <c r="K1660">
        <f>-62739999/(1000)</f>
        <v>-62739.999000000003</v>
      </c>
      <c r="L1660">
        <v>0</v>
      </c>
      <c r="M1660">
        <v>-6.8301310539245597</v>
      </c>
      <c r="N1660">
        <v>85.472509476876397</v>
      </c>
      <c r="O1660">
        <v>22.883701324462901</v>
      </c>
      <c r="P1660">
        <v>0</v>
      </c>
      <c r="Q1660">
        <v>0.84435990080096601</v>
      </c>
      <c r="R1660">
        <v>319.00013168906401</v>
      </c>
      <c r="S1660">
        <v>935.97271648873095</v>
      </c>
      <c r="T1660">
        <v>0</v>
      </c>
      <c r="U1660">
        <v>0</v>
      </c>
      <c r="V1660">
        <v>0</v>
      </c>
      <c r="W1660">
        <v>0</v>
      </c>
    </row>
    <row r="1661" spans="1:23" x14ac:dyDescent="0.55000000000000004">
      <c r="A1661" t="s">
        <v>3330</v>
      </c>
      <c r="B1661" t="s">
        <v>3331</v>
      </c>
      <c r="C1661" t="s">
        <v>8</v>
      </c>
      <c r="D1661">
        <v>18</v>
      </c>
      <c r="E1661">
        <f>149401808/(1000)</f>
        <v>149401.80799999999</v>
      </c>
      <c r="F1661">
        <f>69826232/(1000)</f>
        <v>69826.232000000004</v>
      </c>
      <c r="G1661">
        <f>34523356/(1000)</f>
        <v>34523.356</v>
      </c>
      <c r="H1661">
        <f>158210200/(1000)</f>
        <v>158210.20000000001</v>
      </c>
      <c r="I1661">
        <f>54834400/(1000)</f>
        <v>54834.400000000001</v>
      </c>
      <c r="J1661">
        <f t="shared" si="42"/>
        <v>2.8852362750390265E-3</v>
      </c>
      <c r="K1661">
        <f>1176972.375/(1000)</f>
        <v>1176.9723750000001</v>
      </c>
      <c r="L1661">
        <v>0</v>
      </c>
      <c r="M1661">
        <v>35.328559875488303</v>
      </c>
      <c r="N1661">
        <v>95.165114748613306</v>
      </c>
      <c r="O1661">
        <v>14.19788646698</v>
      </c>
      <c r="P1661">
        <v>0.28000000119209301</v>
      </c>
      <c r="Q1661">
        <v>0</v>
      </c>
      <c r="R1661">
        <v>6.9767443923578902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55000000000000004">
      <c r="A1662" t="s">
        <v>3332</v>
      </c>
      <c r="B1662" t="s">
        <v>3333</v>
      </c>
      <c r="C1662" t="s">
        <v>38</v>
      </c>
      <c r="D1662">
        <v>14.18</v>
      </c>
      <c r="E1662">
        <f>1375489792/(1000)</f>
        <v>1375489.7919999999</v>
      </c>
      <c r="F1662">
        <f>69621000/(1000)</f>
        <v>69621</v>
      </c>
      <c r="G1662">
        <f>-23020000/(1000)</f>
        <v>-23020</v>
      </c>
      <c r="H1662">
        <f>1071118784/(1000)</f>
        <v>1071118.784</v>
      </c>
      <c r="I1662">
        <f>-18730000/(1000)</f>
        <v>-18730</v>
      </c>
      <c r="J1662">
        <f t="shared" si="42"/>
        <v>-5.7187334970635342E-2</v>
      </c>
      <c r="K1662">
        <f>33801001/(1000)</f>
        <v>33801.000999999997</v>
      </c>
      <c r="L1662">
        <v>0</v>
      </c>
      <c r="M1662">
        <v>14.2118530273438</v>
      </c>
      <c r="N1662">
        <v>93.799826805478801</v>
      </c>
      <c r="O1662">
        <v>1660.64477539063</v>
      </c>
      <c r="P1662">
        <v>0</v>
      </c>
      <c r="Q1662">
        <v>0</v>
      </c>
      <c r="R1662">
        <v>0</v>
      </c>
      <c r="S1662">
        <v>-13.1680365182903</v>
      </c>
      <c r="T1662">
        <v>0</v>
      </c>
      <c r="U1662">
        <v>0</v>
      </c>
      <c r="V1662">
        <v>0</v>
      </c>
      <c r="W1662">
        <v>0</v>
      </c>
    </row>
    <row r="1663" spans="1:23" x14ac:dyDescent="0.55000000000000004">
      <c r="A1663" t="s">
        <v>3334</v>
      </c>
      <c r="B1663" t="s">
        <v>3335</v>
      </c>
      <c r="C1663" t="s">
        <v>121</v>
      </c>
      <c r="D1663">
        <v>49.21</v>
      </c>
      <c r="E1663">
        <f>1669522944/(1000)</f>
        <v>1669522.9439999999</v>
      </c>
      <c r="F1663">
        <f>69393000/(1000)</f>
        <v>69393</v>
      </c>
      <c r="G1663">
        <f>35923000/(1000)</f>
        <v>35923</v>
      </c>
      <c r="H1663">
        <f>1490620944/(1000)</f>
        <v>1490620.9439999999</v>
      </c>
      <c r="I1663">
        <f>54287000/(1000)</f>
        <v>54287</v>
      </c>
      <c r="J1663">
        <f t="shared" si="42"/>
        <v>2.7458156538397772E-2</v>
      </c>
      <c r="K1663">
        <f>22839001/(1000)</f>
        <v>22839.001</v>
      </c>
      <c r="L1663">
        <v>38.219844818115199</v>
      </c>
      <c r="M1663">
        <v>5.3010888099670401</v>
      </c>
      <c r="N1663">
        <v>89.296277001916394</v>
      </c>
      <c r="O1663">
        <v>3.1709730625152601</v>
      </c>
      <c r="P1663">
        <v>0.31999999284744302</v>
      </c>
      <c r="Q1663">
        <v>3.3867859593146701</v>
      </c>
      <c r="R1663">
        <v>0</v>
      </c>
      <c r="S1663">
        <v>339.53002280212797</v>
      </c>
      <c r="T1663">
        <v>0</v>
      </c>
      <c r="U1663">
        <v>0</v>
      </c>
      <c r="V1663">
        <v>0</v>
      </c>
      <c r="W1663">
        <v>0</v>
      </c>
    </row>
    <row r="1664" spans="1:23" x14ac:dyDescent="0.55000000000000004">
      <c r="A1664" t="s">
        <v>3336</v>
      </c>
      <c r="B1664" t="s">
        <v>3337</v>
      </c>
      <c r="C1664" t="s">
        <v>5</v>
      </c>
      <c r="D1664">
        <v>11.61</v>
      </c>
      <c r="E1664">
        <f>182620656/(1000)</f>
        <v>182620.65599999999</v>
      </c>
      <c r="F1664">
        <f>69213000/(1000)</f>
        <v>69213</v>
      </c>
      <c r="G1664">
        <f>-18162000/(1000)</f>
        <v>-18162</v>
      </c>
      <c r="H1664">
        <f>169930656/(1000)</f>
        <v>169930.65599999999</v>
      </c>
      <c r="I1664">
        <f>-14984001/(1000)</f>
        <v>-14984.001</v>
      </c>
      <c r="J1664">
        <f t="shared" si="42"/>
        <v>-1.1340806504217397E-2</v>
      </c>
      <c r="K1664">
        <f>-9536999/(1000)</f>
        <v>-9536.9989999999998</v>
      </c>
      <c r="L1664">
        <v>0</v>
      </c>
      <c r="M1664">
        <v>-31.127363204956101</v>
      </c>
      <c r="N1664">
        <v>94.811692890143803</v>
      </c>
      <c r="O1664">
        <v>0</v>
      </c>
      <c r="P1664">
        <v>0</v>
      </c>
      <c r="Q1664">
        <v>0</v>
      </c>
      <c r="R1664">
        <v>0</v>
      </c>
      <c r="S1664">
        <v>735.19976078193304</v>
      </c>
      <c r="T1664">
        <v>0</v>
      </c>
      <c r="U1664">
        <v>0</v>
      </c>
      <c r="V1664">
        <v>0</v>
      </c>
      <c r="W1664">
        <v>0</v>
      </c>
    </row>
    <row r="1665" spans="1:23" x14ac:dyDescent="0.55000000000000004">
      <c r="A1665" t="s">
        <v>3338</v>
      </c>
      <c r="B1665" t="s">
        <v>3339</v>
      </c>
      <c r="C1665" t="s">
        <v>20</v>
      </c>
      <c r="D1665">
        <v>37.19</v>
      </c>
      <c r="E1665">
        <f>667761344/(1000)</f>
        <v>667761.34400000004</v>
      </c>
      <c r="F1665">
        <f>69095000/(1000)</f>
        <v>69095</v>
      </c>
      <c r="G1665">
        <f>14691000/(1000)</f>
        <v>14691</v>
      </c>
      <c r="H1665">
        <f>626411344/(1000)</f>
        <v>626411.34400000004</v>
      </c>
      <c r="I1665">
        <f>17516000/(1000)</f>
        <v>17516</v>
      </c>
      <c r="J1665">
        <f t="shared" si="42"/>
        <v>3.576223704042019E-2</v>
      </c>
      <c r="K1665">
        <f>10690001/(1000)</f>
        <v>10690.001</v>
      </c>
      <c r="L1665">
        <v>0</v>
      </c>
      <c r="M1665">
        <v>34.771896362304702</v>
      </c>
      <c r="N1665">
        <v>94.348772845315096</v>
      </c>
      <c r="O1665">
        <v>0</v>
      </c>
      <c r="P1665">
        <v>0</v>
      </c>
      <c r="Q1665">
        <v>0</v>
      </c>
      <c r="R1665">
        <v>47.679485345987999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55000000000000004">
      <c r="A1666" t="s">
        <v>3340</v>
      </c>
      <c r="B1666" t="s">
        <v>3341</v>
      </c>
      <c r="C1666" t="s">
        <v>184</v>
      </c>
      <c r="D1666">
        <v>9.86</v>
      </c>
      <c r="E1666">
        <f>546474752/(1000)</f>
        <v>546474.75199999998</v>
      </c>
      <c r="F1666">
        <f>68149720/(1000)</f>
        <v>68149.72</v>
      </c>
      <c r="G1666">
        <f>36516304/(1000)</f>
        <v>36516.303999999996</v>
      </c>
      <c r="H1666">
        <f>976144480/(1000)</f>
        <v>976144.48</v>
      </c>
      <c r="I1666">
        <f>36516304/(1000)</f>
        <v>36516.303999999996</v>
      </c>
      <c r="J1666">
        <f t="shared" ref="J1666:J1729" si="43">(IF(I1666=0,1000,H1666/I1666))/(1000)</f>
        <v>2.6731743716450606E-2</v>
      </c>
      <c r="K1666">
        <f>-351593567/(1000)</f>
        <v>-351593.56699999998</v>
      </c>
      <c r="L1666">
        <v>0</v>
      </c>
      <c r="M1666">
        <v>2.5146460533142099</v>
      </c>
      <c r="N1666">
        <v>87.166610554183293</v>
      </c>
      <c r="O1666">
        <v>52.362571716308601</v>
      </c>
      <c r="P1666">
        <v>1.7200000286102299</v>
      </c>
      <c r="Q1666">
        <v>0.889490268177346</v>
      </c>
      <c r="R1666">
        <v>5.5393256461089102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55000000000000004">
      <c r="A1667" t="s">
        <v>3342</v>
      </c>
      <c r="B1667" t="s">
        <v>3343</v>
      </c>
      <c r="C1667" t="s">
        <v>38</v>
      </c>
      <c r="D1667">
        <v>5.79</v>
      </c>
      <c r="E1667">
        <f>327216640/(1000)</f>
        <v>327216.64000000001</v>
      </c>
      <c r="F1667">
        <f>68028000/(1000)</f>
        <v>68028</v>
      </c>
      <c r="G1667">
        <f>-91904000/(1000)</f>
        <v>-91904</v>
      </c>
      <c r="H1667">
        <f>292124640/(1000)</f>
        <v>292124.64</v>
      </c>
      <c r="I1667">
        <f>-82949000/(1000)</f>
        <v>-82949</v>
      </c>
      <c r="J1667">
        <f t="shared" si="43"/>
        <v>-3.5217379353578706E-3</v>
      </c>
      <c r="K1667">
        <f>-77977999/(1000)</f>
        <v>-77977.998999999996</v>
      </c>
      <c r="L1667">
        <v>0</v>
      </c>
      <c r="M1667">
        <v>-78.264083862304702</v>
      </c>
      <c r="N1667">
        <v>39.721592220552999</v>
      </c>
      <c r="O1667">
        <v>19.134780883789102</v>
      </c>
      <c r="P1667">
        <v>0</v>
      </c>
      <c r="Q1667">
        <v>28.949999377876502</v>
      </c>
      <c r="R1667">
        <v>0</v>
      </c>
      <c r="S1667">
        <v>1863.2900432900401</v>
      </c>
      <c r="T1667">
        <v>0</v>
      </c>
      <c r="U1667">
        <v>0</v>
      </c>
      <c r="V1667">
        <v>0</v>
      </c>
      <c r="W1667">
        <v>0</v>
      </c>
    </row>
    <row r="1668" spans="1:23" x14ac:dyDescent="0.55000000000000004">
      <c r="A1668" t="s">
        <v>3344</v>
      </c>
      <c r="B1668" t="s">
        <v>3345</v>
      </c>
      <c r="C1668" t="s">
        <v>5</v>
      </c>
      <c r="D1668">
        <v>9.36</v>
      </c>
      <c r="E1668">
        <f>164383120/(1000)</f>
        <v>164383.12</v>
      </c>
      <c r="F1668">
        <f>67894000/(1000)</f>
        <v>67894</v>
      </c>
      <c r="G1668">
        <f>6950000/(1000)</f>
        <v>6950</v>
      </c>
      <c r="H1668">
        <f>674333136/(1000)</f>
        <v>674333.13600000006</v>
      </c>
      <c r="I1668">
        <f>33985000/(1000)</f>
        <v>33985</v>
      </c>
      <c r="J1668">
        <f t="shared" si="43"/>
        <v>1.9842081388848024E-2</v>
      </c>
      <c r="K1668">
        <f>-88585999/(1000)</f>
        <v>-88585.998999999996</v>
      </c>
      <c r="L1668">
        <v>0</v>
      </c>
      <c r="M1668">
        <v>-7.2588858604431197</v>
      </c>
      <c r="N1668">
        <v>90.410710701680998</v>
      </c>
      <c r="O1668">
        <v>195.18785095214801</v>
      </c>
      <c r="P1668">
        <v>0.89999997615814198</v>
      </c>
      <c r="Q1668">
        <v>0</v>
      </c>
      <c r="R1668">
        <v>0</v>
      </c>
      <c r="S1668">
        <v>64.531685447716001</v>
      </c>
      <c r="T1668">
        <v>0</v>
      </c>
      <c r="U1668">
        <v>0</v>
      </c>
      <c r="V1668">
        <v>0</v>
      </c>
      <c r="W1668">
        <v>0</v>
      </c>
    </row>
    <row r="1669" spans="1:23" x14ac:dyDescent="0.55000000000000004">
      <c r="A1669" t="s">
        <v>3346</v>
      </c>
      <c r="B1669" t="s">
        <v>3347</v>
      </c>
      <c r="C1669" t="s">
        <v>5</v>
      </c>
      <c r="D1669">
        <v>25.32</v>
      </c>
      <c r="E1669">
        <f>477335168/(1000)</f>
        <v>477335.16800000001</v>
      </c>
      <c r="F1669">
        <f>67883000/(1000)</f>
        <v>67883</v>
      </c>
      <c r="G1669">
        <f>28757000/(1000)</f>
        <v>28757</v>
      </c>
      <c r="H1669">
        <f>628047168/(1000)</f>
        <v>628047.16799999995</v>
      </c>
      <c r="I1669">
        <f>47438000/(1000)</f>
        <v>47438</v>
      </c>
      <c r="J1669">
        <f t="shared" si="43"/>
        <v>1.323932644715207E-2</v>
      </c>
      <c r="K1669">
        <f>-142552991/(1000)</f>
        <v>-142552.99100000001</v>
      </c>
      <c r="L1669">
        <v>43.3975639343262</v>
      </c>
      <c r="M1669">
        <v>7.2032279968261701</v>
      </c>
      <c r="N1669">
        <v>86.432809491770996</v>
      </c>
      <c r="O1669">
        <v>60.181118011474602</v>
      </c>
      <c r="P1669">
        <v>0</v>
      </c>
      <c r="Q1669">
        <v>0.99763595477043499</v>
      </c>
      <c r="R1669">
        <v>12.7878788955211</v>
      </c>
      <c r="S1669">
        <v>1036.9178494243299</v>
      </c>
      <c r="T1669">
        <v>0</v>
      </c>
      <c r="U1669">
        <v>0</v>
      </c>
      <c r="V1669">
        <v>0</v>
      </c>
      <c r="W1669">
        <v>0</v>
      </c>
    </row>
    <row r="1670" spans="1:23" x14ac:dyDescent="0.55000000000000004">
      <c r="A1670" t="s">
        <v>3348</v>
      </c>
      <c r="B1670" t="s">
        <v>3349</v>
      </c>
      <c r="C1670" t="s">
        <v>5</v>
      </c>
      <c r="D1670">
        <v>0.91</v>
      </c>
      <c r="E1670">
        <f>42157204/(1000)</f>
        <v>42157.203999999998</v>
      </c>
      <c r="F1670">
        <f>67483000/(1000)</f>
        <v>67483</v>
      </c>
      <c r="G1670">
        <f>-20017000/(1000)</f>
        <v>-20017</v>
      </c>
      <c r="H1670">
        <f>-8054796/(1000)</f>
        <v>-8054.7960000000003</v>
      </c>
      <c r="I1670">
        <f>-18561000/(1000)</f>
        <v>-18561</v>
      </c>
      <c r="J1670">
        <f t="shared" si="43"/>
        <v>4.3396347179570064E-4</v>
      </c>
      <c r="K1670">
        <f>-29190999/(1000)</f>
        <v>-29190.999</v>
      </c>
      <c r="L1670">
        <v>0</v>
      </c>
      <c r="M1670">
        <v>-54.915935516357401</v>
      </c>
      <c r="N1670">
        <v>42.154184357357899</v>
      </c>
      <c r="O1670">
        <v>0.114435002207756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55000000000000004">
      <c r="A1671" t="s">
        <v>3350</v>
      </c>
      <c r="B1671" t="s">
        <v>3351</v>
      </c>
      <c r="C1671" t="s">
        <v>184</v>
      </c>
      <c r="D1671">
        <v>9.34</v>
      </c>
      <c r="E1671">
        <f>213445152/(1000)</f>
        <v>213445.152</v>
      </c>
      <c r="F1671">
        <f>67158000/(1000)</f>
        <v>67158</v>
      </c>
      <c r="G1671">
        <f t="shared" ref="G1671:I1672" si="44">0/(1000)</f>
        <v>0</v>
      </c>
      <c r="H1671">
        <f t="shared" si="44"/>
        <v>0</v>
      </c>
      <c r="I1671">
        <f t="shared" si="44"/>
        <v>0</v>
      </c>
      <c r="J1671">
        <f t="shared" si="43"/>
        <v>1</v>
      </c>
      <c r="K1671">
        <f>14823001/(1000)</f>
        <v>14823.001</v>
      </c>
      <c r="L1671">
        <v>0</v>
      </c>
      <c r="M1671">
        <v>-1.9277689456939699</v>
      </c>
      <c r="N1671">
        <v>82.154483024548995</v>
      </c>
      <c r="O1671">
        <v>31.039232254028299</v>
      </c>
      <c r="P1671">
        <v>0.34000000357627902</v>
      </c>
      <c r="Q1671">
        <v>0</v>
      </c>
      <c r="R1671">
        <v>23.350001012114799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55000000000000004">
      <c r="A1672" t="s">
        <v>3352</v>
      </c>
      <c r="B1672" t="s">
        <v>3353</v>
      </c>
      <c r="C1672" t="s">
        <v>184</v>
      </c>
      <c r="D1672">
        <v>11.58</v>
      </c>
      <c r="E1672">
        <f>137971072/(1000)</f>
        <v>137971.07199999999</v>
      </c>
      <c r="F1672">
        <f>66820000/(1000)</f>
        <v>66820</v>
      </c>
      <c r="G1672">
        <f t="shared" si="44"/>
        <v>0</v>
      </c>
      <c r="H1672">
        <f t="shared" si="44"/>
        <v>0</v>
      </c>
      <c r="I1672">
        <f t="shared" si="44"/>
        <v>0</v>
      </c>
      <c r="J1672">
        <f t="shared" si="43"/>
        <v>1</v>
      </c>
      <c r="K1672">
        <f>17772001/(1000)</f>
        <v>17772.001</v>
      </c>
      <c r="L1672">
        <v>17.815361022949201</v>
      </c>
      <c r="M1672">
        <v>15.163700103759799</v>
      </c>
      <c r="N1672">
        <v>63.896394021658203</v>
      </c>
      <c r="O1672">
        <v>55.344470977783203</v>
      </c>
      <c r="P1672">
        <v>0.36707538366317699</v>
      </c>
      <c r="Q1672">
        <v>0</v>
      </c>
      <c r="R1672">
        <v>34.399411553144198</v>
      </c>
      <c r="S1672">
        <v>96.045065133200296</v>
      </c>
      <c r="T1672">
        <v>0</v>
      </c>
      <c r="U1672">
        <v>0</v>
      </c>
      <c r="V1672">
        <v>0</v>
      </c>
      <c r="W1672">
        <v>0</v>
      </c>
    </row>
    <row r="1673" spans="1:23" x14ac:dyDescent="0.55000000000000004">
      <c r="A1673" t="s">
        <v>3354</v>
      </c>
      <c r="B1673" t="s">
        <v>3355</v>
      </c>
      <c r="C1673" t="s">
        <v>38</v>
      </c>
      <c r="D1673">
        <v>10.58</v>
      </c>
      <c r="E1673">
        <f>416116704/(1000)</f>
        <v>416116.70400000003</v>
      </c>
      <c r="F1673">
        <f>66692000/(1000)</f>
        <v>66692</v>
      </c>
      <c r="G1673">
        <f>-82933000/(1000)</f>
        <v>-82933</v>
      </c>
      <c r="H1673">
        <f>400555704/(1000)</f>
        <v>400555.70400000003</v>
      </c>
      <c r="I1673">
        <f>-78086000/(1000)</f>
        <v>-78086</v>
      </c>
      <c r="J1673">
        <f t="shared" si="43"/>
        <v>-5.1296737443331719E-3</v>
      </c>
      <c r="K1673">
        <f>-67536999/(1000)</f>
        <v>-67536.998999999996</v>
      </c>
      <c r="L1673">
        <v>0</v>
      </c>
      <c r="M1673">
        <v>0</v>
      </c>
      <c r="N1673">
        <v>99.170105786908294</v>
      </c>
      <c r="O1673">
        <v>0</v>
      </c>
      <c r="P1673">
        <v>0</v>
      </c>
      <c r="Q1673">
        <v>0</v>
      </c>
      <c r="R1673">
        <v>0</v>
      </c>
      <c r="S1673">
        <v>-40.434957352744199</v>
      </c>
      <c r="T1673">
        <v>0</v>
      </c>
      <c r="U1673">
        <v>0</v>
      </c>
      <c r="V1673">
        <v>0</v>
      </c>
      <c r="W1673">
        <v>0</v>
      </c>
    </row>
    <row r="1674" spans="1:23" x14ac:dyDescent="0.55000000000000004">
      <c r="A1674" t="s">
        <v>3356</v>
      </c>
      <c r="B1674" t="s">
        <v>3357</v>
      </c>
      <c r="C1674" t="s">
        <v>38</v>
      </c>
      <c r="D1674">
        <v>5.92</v>
      </c>
      <c r="E1674">
        <f>248568960/(1000)</f>
        <v>248568.95999999999</v>
      </c>
      <c r="F1674">
        <f>65984000/(1000)</f>
        <v>65984</v>
      </c>
      <c r="G1674">
        <f>10169000/(1000)</f>
        <v>10169</v>
      </c>
      <c r="H1674">
        <f>55378960/(1000)</f>
        <v>55378.96</v>
      </c>
      <c r="I1674">
        <f>10525000/(1000)</f>
        <v>10525</v>
      </c>
      <c r="J1674">
        <f t="shared" si="43"/>
        <v>5.2616589073634203E-3</v>
      </c>
      <c r="K1674">
        <f>1535001/(1000)</f>
        <v>1535.001</v>
      </c>
      <c r="L1674">
        <v>0</v>
      </c>
      <c r="M1674">
        <v>22.334171295166001</v>
      </c>
      <c r="N1674">
        <v>82.206346701369696</v>
      </c>
      <c r="O1674">
        <v>0</v>
      </c>
      <c r="P1674">
        <v>0</v>
      </c>
      <c r="Q1674">
        <v>1.43341402233722</v>
      </c>
      <c r="R1674">
        <v>14.439024833467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55000000000000004">
      <c r="A1675" t="s">
        <v>3358</v>
      </c>
      <c r="B1675" t="s">
        <v>3359</v>
      </c>
      <c r="C1675" t="s">
        <v>38</v>
      </c>
      <c r="D1675">
        <v>1.65</v>
      </c>
      <c r="E1675">
        <f>84241576/(1000)</f>
        <v>84241.576000000001</v>
      </c>
      <c r="F1675">
        <f>65582000/(1000)</f>
        <v>65582</v>
      </c>
      <c r="G1675">
        <f>12954000/(1000)</f>
        <v>12954</v>
      </c>
      <c r="H1675">
        <f>19924576/(1000)</f>
        <v>19924.576000000001</v>
      </c>
      <c r="I1675">
        <f>13819000/(1000)</f>
        <v>13819</v>
      </c>
      <c r="J1675">
        <f t="shared" si="43"/>
        <v>1.4418247340617992E-3</v>
      </c>
      <c r="K1675">
        <f>14505001/(1000)</f>
        <v>14505.001</v>
      </c>
      <c r="L1675">
        <v>0</v>
      </c>
      <c r="M1675">
        <v>0</v>
      </c>
      <c r="N1675">
        <v>93.027979300193195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55000000000000004">
      <c r="A1676" t="s">
        <v>3360</v>
      </c>
      <c r="B1676" t="s">
        <v>3361</v>
      </c>
      <c r="C1676" t="s">
        <v>184</v>
      </c>
      <c r="D1676">
        <v>2.9</v>
      </c>
      <c r="E1676">
        <f>88400408/(1000)</f>
        <v>88400.407999999996</v>
      </c>
      <c r="F1676">
        <f>65406032/(1000)</f>
        <v>65406.031999999999</v>
      </c>
      <c r="G1676">
        <f>12894134/(1000)</f>
        <v>12894.134</v>
      </c>
      <c r="H1676">
        <f>63924180/(1000)</f>
        <v>63924.18</v>
      </c>
      <c r="I1676">
        <f>15422176/(1000)</f>
        <v>15422.175999999999</v>
      </c>
      <c r="J1676">
        <f t="shared" si="43"/>
        <v>4.1449520482712684E-3</v>
      </c>
      <c r="K1676">
        <f>8458738/(1000)</f>
        <v>8458.7379999999994</v>
      </c>
      <c r="L1676">
        <v>0</v>
      </c>
      <c r="M1676">
        <v>41.187381744384801</v>
      </c>
      <c r="N1676">
        <v>76.746305386139099</v>
      </c>
      <c r="O1676">
        <v>0</v>
      </c>
      <c r="P1676">
        <v>0.10000000149011599</v>
      </c>
      <c r="Q1676">
        <v>0</v>
      </c>
      <c r="R1676">
        <v>15.263157989674999</v>
      </c>
      <c r="S1676">
        <v>213.74313810140501</v>
      </c>
      <c r="T1676">
        <v>0</v>
      </c>
      <c r="U1676">
        <v>0</v>
      </c>
      <c r="V1676">
        <v>0</v>
      </c>
      <c r="W1676">
        <v>0</v>
      </c>
    </row>
    <row r="1677" spans="1:23" x14ac:dyDescent="0.55000000000000004">
      <c r="A1677" t="s">
        <v>3362</v>
      </c>
      <c r="B1677" t="s">
        <v>3363</v>
      </c>
      <c r="C1677" t="s">
        <v>5</v>
      </c>
      <c r="D1677">
        <v>7.99</v>
      </c>
      <c r="E1677">
        <f>176595776/(1000)</f>
        <v>176595.77600000001</v>
      </c>
      <c r="F1677">
        <f>65402864/(1000)</f>
        <v>65402.864000000001</v>
      </c>
      <c r="G1677">
        <f>23711292/(1000)</f>
        <v>23711.292000000001</v>
      </c>
      <c r="H1677">
        <f>173021227.25/(1000)</f>
        <v>173021.22725</v>
      </c>
      <c r="I1677">
        <f>24788384/(1000)</f>
        <v>24788.383999999998</v>
      </c>
      <c r="J1677">
        <f t="shared" si="43"/>
        <v>6.9799316990571073E-3</v>
      </c>
      <c r="K1677">
        <f>-3034811/(1000)</f>
        <v>-3034.8110000000001</v>
      </c>
      <c r="L1677">
        <v>0</v>
      </c>
      <c r="M1677">
        <v>26.074966430664102</v>
      </c>
      <c r="N1677">
        <v>49.121123409607897</v>
      </c>
      <c r="O1677">
        <v>39.143310546875</v>
      </c>
      <c r="P1677">
        <v>0</v>
      </c>
      <c r="Q1677">
        <v>0</v>
      </c>
      <c r="R1677">
        <v>6.6583330433815799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55000000000000004">
      <c r="A1678" t="s">
        <v>3364</v>
      </c>
      <c r="B1678" t="s">
        <v>3365</v>
      </c>
      <c r="C1678" t="s">
        <v>38</v>
      </c>
      <c r="D1678">
        <v>1.93</v>
      </c>
      <c r="E1678">
        <f>55536136/(1000)</f>
        <v>55536.135999999999</v>
      </c>
      <c r="F1678">
        <f>65303000/(1000)</f>
        <v>65303</v>
      </c>
      <c r="G1678">
        <f>-101149000/(1000)</f>
        <v>-101149</v>
      </c>
      <c r="H1678">
        <f>121509136/(1000)</f>
        <v>121509.136</v>
      </c>
      <c r="I1678">
        <f>-90623000/(1000)</f>
        <v>-90623</v>
      </c>
      <c r="J1678">
        <f t="shared" si="43"/>
        <v>-1.3408200567184931E-3</v>
      </c>
      <c r="K1678">
        <f>-84239999/(1000)</f>
        <v>-84239.998999999996</v>
      </c>
      <c r="L1678">
        <v>0</v>
      </c>
      <c r="M1678">
        <v>0</v>
      </c>
      <c r="N1678">
        <v>73.263782981491005</v>
      </c>
      <c r="O1678">
        <v>142.88441467285199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55000000000000004">
      <c r="A1679" t="s">
        <v>3366</v>
      </c>
      <c r="B1679" t="s">
        <v>3367</v>
      </c>
      <c r="C1679" t="s">
        <v>5</v>
      </c>
      <c r="D1679">
        <v>15.14</v>
      </c>
      <c r="E1679">
        <f>268093056/(1000)</f>
        <v>268093.05599999998</v>
      </c>
      <c r="F1679">
        <f>64985000/(1000)</f>
        <v>64985</v>
      </c>
      <c r="G1679">
        <f>0/(1000)</f>
        <v>0</v>
      </c>
      <c r="H1679">
        <f>0/(1000)</f>
        <v>0</v>
      </c>
      <c r="I1679">
        <f>0/(1000)</f>
        <v>0</v>
      </c>
      <c r="J1679">
        <f t="shared" si="43"/>
        <v>1</v>
      </c>
      <c r="K1679">
        <f>8903001/(1000)</f>
        <v>8903.0010000000002</v>
      </c>
      <c r="L1679">
        <v>0</v>
      </c>
      <c r="M1679">
        <v>2.4060618877410902</v>
      </c>
      <c r="N1679">
        <v>89.6202778622132</v>
      </c>
      <c r="O1679">
        <v>53.892181396484403</v>
      </c>
      <c r="P1679">
        <v>0.28000000119209301</v>
      </c>
      <c r="Q1679">
        <v>1.1837373251351599</v>
      </c>
      <c r="R1679">
        <v>32.212766769624203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55000000000000004">
      <c r="A1680" t="s">
        <v>3368</v>
      </c>
      <c r="B1680" t="s">
        <v>3369</v>
      </c>
      <c r="C1680" t="s">
        <v>2</v>
      </c>
      <c r="D1680">
        <v>3.17</v>
      </c>
      <c r="E1680">
        <f>56808932/(1000)</f>
        <v>56808.932000000001</v>
      </c>
      <c r="F1680">
        <f>64872000/(1000)</f>
        <v>64872</v>
      </c>
      <c r="G1680">
        <f>35120000/(1000)</f>
        <v>35120</v>
      </c>
      <c r="H1680">
        <f>288904932/(1000)</f>
        <v>288904.93199999997</v>
      </c>
      <c r="I1680">
        <f>45293000/(1000)</f>
        <v>45293</v>
      </c>
      <c r="J1680">
        <f t="shared" si="43"/>
        <v>6.378577970105756E-3</v>
      </c>
      <c r="K1680">
        <f>-219931999/(1000)</f>
        <v>-219931.99900000001</v>
      </c>
      <c r="L1680">
        <v>0</v>
      </c>
      <c r="M1680">
        <v>17.189102172851602</v>
      </c>
      <c r="N1680">
        <v>46.311550515876498</v>
      </c>
      <c r="O1680">
        <v>112.568252563477</v>
      </c>
      <c r="P1680">
        <v>0</v>
      </c>
      <c r="Q1680">
        <v>0.33867523424881002</v>
      </c>
      <c r="R1680">
        <v>2.4960630311134602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55000000000000004">
      <c r="A1681" t="s">
        <v>3370</v>
      </c>
      <c r="B1681" t="s">
        <v>3371</v>
      </c>
      <c r="C1681" t="s">
        <v>5</v>
      </c>
      <c r="D1681">
        <v>15.22</v>
      </c>
      <c r="E1681">
        <f>461981792/(1000)</f>
        <v>461981.79200000002</v>
      </c>
      <c r="F1681">
        <f>64442000/(1000)</f>
        <v>64442</v>
      </c>
      <c r="G1681">
        <f>-14199000/(1000)</f>
        <v>-14199</v>
      </c>
      <c r="H1681">
        <f>524427792/(1000)</f>
        <v>524427.79200000002</v>
      </c>
      <c r="I1681">
        <f>-12479000/(1000)</f>
        <v>-12479</v>
      </c>
      <c r="J1681">
        <f t="shared" si="43"/>
        <v>-4.202482506611107E-2</v>
      </c>
      <c r="K1681">
        <f>-10873999/(1000)</f>
        <v>-10873.999</v>
      </c>
      <c r="L1681">
        <v>0</v>
      </c>
      <c r="M1681">
        <v>-43.943260192871101</v>
      </c>
      <c r="N1681">
        <v>90.196551339484898</v>
      </c>
      <c r="O1681">
        <v>393.35061645507801</v>
      </c>
      <c r="P1681">
        <v>0</v>
      </c>
      <c r="Q1681">
        <v>16.543478251010601</v>
      </c>
      <c r="R1681">
        <v>0</v>
      </c>
      <c r="S1681">
        <v>3805.5757575757598</v>
      </c>
      <c r="T1681">
        <v>0</v>
      </c>
      <c r="U1681">
        <v>0</v>
      </c>
      <c r="V1681">
        <v>0</v>
      </c>
      <c r="W1681">
        <v>0</v>
      </c>
    </row>
    <row r="1682" spans="1:23" x14ac:dyDescent="0.55000000000000004">
      <c r="A1682" t="s">
        <v>3372</v>
      </c>
      <c r="B1682" t="s">
        <v>3373</v>
      </c>
      <c r="C1682" t="s">
        <v>38</v>
      </c>
      <c r="D1682">
        <v>19.48</v>
      </c>
      <c r="E1682">
        <f>552507328/(1000)</f>
        <v>552507.32799999998</v>
      </c>
      <c r="F1682">
        <f>64027000/(1000)</f>
        <v>64027</v>
      </c>
      <c r="G1682">
        <f>-29662000/(1000)</f>
        <v>-29662</v>
      </c>
      <c r="H1682">
        <f>502021328/(1000)</f>
        <v>502021.32799999998</v>
      </c>
      <c r="I1682">
        <f>-25667000/(1000)</f>
        <v>-25667</v>
      </c>
      <c r="J1682">
        <f t="shared" si="43"/>
        <v>-1.9559018506253165E-2</v>
      </c>
      <c r="K1682">
        <f>-23586999/(1000)</f>
        <v>-23586.999</v>
      </c>
      <c r="L1682">
        <v>0</v>
      </c>
      <c r="M1682">
        <v>-48.306560516357401</v>
      </c>
      <c r="N1682">
        <v>62.268180953736199</v>
      </c>
      <c r="O1682">
        <v>7.8028831481933603</v>
      </c>
      <c r="P1682">
        <v>0</v>
      </c>
      <c r="Q1682">
        <v>9.5960590230452105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55000000000000004">
      <c r="A1683" t="s">
        <v>3374</v>
      </c>
      <c r="B1683" t="s">
        <v>3375</v>
      </c>
      <c r="C1683" t="s">
        <v>8</v>
      </c>
      <c r="D1683">
        <v>2.94</v>
      </c>
      <c r="E1683">
        <f>107514912/(1000)</f>
        <v>107514.912</v>
      </c>
      <c r="F1683">
        <f>63977000/(1000)</f>
        <v>63977</v>
      </c>
      <c r="G1683">
        <f>8343000.5/(1000)</f>
        <v>8343.0005000000001</v>
      </c>
      <c r="H1683">
        <f>81848912/(1000)</f>
        <v>81848.911999999997</v>
      </c>
      <c r="I1683">
        <f>27325000/(1000)</f>
        <v>27325</v>
      </c>
      <c r="J1683">
        <f t="shared" si="43"/>
        <v>2.9953856175663311E-3</v>
      </c>
      <c r="K1683">
        <f>-49035999/(1000)</f>
        <v>-49035.999000000003</v>
      </c>
      <c r="L1683">
        <v>0</v>
      </c>
      <c r="M1683">
        <v>0</v>
      </c>
      <c r="N1683">
        <v>63.064233643737701</v>
      </c>
      <c r="O1683">
        <v>16.563182830810501</v>
      </c>
      <c r="P1683">
        <v>0</v>
      </c>
      <c r="Q1683">
        <v>0.45230770111084001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55000000000000004">
      <c r="A1684" t="s">
        <v>3376</v>
      </c>
      <c r="B1684" t="s">
        <v>3377</v>
      </c>
      <c r="C1684" t="s">
        <v>184</v>
      </c>
      <c r="D1684">
        <v>7.63</v>
      </c>
      <c r="E1684">
        <f>133862256/(1000)</f>
        <v>133862.25599999999</v>
      </c>
      <c r="F1684">
        <f>63975000/(1000)</f>
        <v>63975</v>
      </c>
      <c r="G1684">
        <f>46140000/(1000)</f>
        <v>46140</v>
      </c>
      <c r="H1684">
        <f>571371248/(1000)</f>
        <v>571371.24800000002</v>
      </c>
      <c r="I1684">
        <f>47561000/(1000)</f>
        <v>47561</v>
      </c>
      <c r="J1684">
        <f t="shared" si="43"/>
        <v>1.2013440592081748E-2</v>
      </c>
      <c r="K1684">
        <f>2163001/(1000)</f>
        <v>2163.0010000000002</v>
      </c>
      <c r="L1684">
        <v>53.7637748718262</v>
      </c>
      <c r="M1684">
        <v>9.0255546569824201</v>
      </c>
      <c r="N1684">
        <v>76.974722753786807</v>
      </c>
      <c r="O1684">
        <v>314.66162109375</v>
      </c>
      <c r="P1684">
        <v>0.75999999046325695</v>
      </c>
      <c r="Q1684">
        <v>0.76529587864441995</v>
      </c>
      <c r="R1684">
        <v>10.310811040206</v>
      </c>
      <c r="S1684">
        <v>80.664200389709407</v>
      </c>
      <c r="T1684">
        <v>0</v>
      </c>
      <c r="U1684">
        <v>0</v>
      </c>
      <c r="V1684">
        <v>0</v>
      </c>
      <c r="W1684">
        <v>0</v>
      </c>
    </row>
    <row r="1685" spans="1:23" x14ac:dyDescent="0.55000000000000004">
      <c r="A1685" t="s">
        <v>3378</v>
      </c>
      <c r="B1685" t="s">
        <v>3379</v>
      </c>
      <c r="C1685" t="s">
        <v>184</v>
      </c>
      <c r="D1685">
        <v>7.92</v>
      </c>
      <c r="E1685">
        <f>260271776/(1000)</f>
        <v>260271.77600000001</v>
      </c>
      <c r="F1685">
        <f>63804000/(1000)</f>
        <v>63804</v>
      </c>
      <c r="G1685">
        <f>46815000/(1000)</f>
        <v>46815</v>
      </c>
      <c r="H1685">
        <f>504882784/(1000)</f>
        <v>504882.78399999999</v>
      </c>
      <c r="I1685">
        <f>47032000/(1000)</f>
        <v>47032</v>
      </c>
      <c r="J1685">
        <f t="shared" si="43"/>
        <v>1.0734878040483075E-2</v>
      </c>
      <c r="K1685">
        <f>-201291007/(1000)</f>
        <v>-201291.00700000001</v>
      </c>
      <c r="L1685">
        <v>0</v>
      </c>
      <c r="M1685">
        <v>12.9266214370728</v>
      </c>
      <c r="N1685">
        <v>95.444978512973094</v>
      </c>
      <c r="O1685">
        <v>33.500774383544901</v>
      </c>
      <c r="P1685">
        <v>1.3600000143051201</v>
      </c>
      <c r="Q1685">
        <v>0.65003283538864298</v>
      </c>
      <c r="R1685">
        <v>6.5999999652306203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55000000000000004">
      <c r="A1686" t="s">
        <v>3380</v>
      </c>
      <c r="B1686" t="s">
        <v>3381</v>
      </c>
      <c r="C1686" t="s">
        <v>20</v>
      </c>
      <c r="D1686">
        <v>3.26</v>
      </c>
      <c r="E1686">
        <f>72216824/(1000)</f>
        <v>72216.823999999993</v>
      </c>
      <c r="F1686">
        <f>63630000/(1000)</f>
        <v>63630</v>
      </c>
      <c r="G1686">
        <f>5241000/(1000)</f>
        <v>5241</v>
      </c>
      <c r="H1686">
        <f>45507824/(1000)</f>
        <v>45507.824000000001</v>
      </c>
      <c r="I1686">
        <f>5895000/(1000)</f>
        <v>5895</v>
      </c>
      <c r="J1686">
        <f t="shared" si="43"/>
        <v>7.719732654792197E-3</v>
      </c>
      <c r="K1686">
        <f>11486002/(1000)</f>
        <v>11486.002</v>
      </c>
      <c r="L1686">
        <v>0</v>
      </c>
      <c r="M1686">
        <v>19.437820434570298</v>
      </c>
      <c r="N1686">
        <v>94.001556854746497</v>
      </c>
      <c r="O1686">
        <v>0</v>
      </c>
      <c r="P1686">
        <v>0</v>
      </c>
      <c r="Q1686">
        <v>0</v>
      </c>
      <c r="R1686">
        <v>14.1739133188258</v>
      </c>
      <c r="S1686">
        <v>316.67212363303003</v>
      </c>
      <c r="T1686">
        <v>0</v>
      </c>
      <c r="U1686">
        <v>0</v>
      </c>
      <c r="V1686">
        <v>0</v>
      </c>
      <c r="W1686">
        <v>0</v>
      </c>
    </row>
    <row r="1687" spans="1:23" x14ac:dyDescent="0.55000000000000004">
      <c r="A1687" t="s">
        <v>3382</v>
      </c>
      <c r="B1687" t="s">
        <v>3383</v>
      </c>
      <c r="C1687" t="s">
        <v>401</v>
      </c>
      <c r="D1687">
        <v>27.43</v>
      </c>
      <c r="E1687">
        <f>761851840/(1000)</f>
        <v>761851.84</v>
      </c>
      <c r="F1687">
        <f>62313000/(1000)</f>
        <v>62313</v>
      </c>
      <c r="G1687">
        <f>46162000/(1000)</f>
        <v>46162</v>
      </c>
      <c r="H1687">
        <f>670119840/(1000)</f>
        <v>670119.84</v>
      </c>
      <c r="I1687">
        <f>57913000/(1000)</f>
        <v>57913</v>
      </c>
      <c r="J1687">
        <f t="shared" si="43"/>
        <v>1.1571147065425723E-2</v>
      </c>
      <c r="K1687">
        <f>64038001/(1000)</f>
        <v>64038.000999999997</v>
      </c>
      <c r="L1687">
        <v>15.2948560714722</v>
      </c>
      <c r="M1687">
        <v>21.9717502593994</v>
      </c>
      <c r="N1687">
        <v>74.040481427242597</v>
      </c>
      <c r="O1687">
        <v>2.1320760250091499</v>
      </c>
      <c r="P1687">
        <v>2.2000000476837198</v>
      </c>
      <c r="Q1687">
        <v>0</v>
      </c>
      <c r="R1687">
        <v>13.5792086007735</v>
      </c>
      <c r="S1687">
        <v>-60.383118443979299</v>
      </c>
      <c r="T1687">
        <v>0</v>
      </c>
      <c r="U1687">
        <v>0</v>
      </c>
      <c r="V1687">
        <v>0</v>
      </c>
      <c r="W1687">
        <v>0</v>
      </c>
    </row>
    <row r="1688" spans="1:23" x14ac:dyDescent="0.55000000000000004">
      <c r="A1688" t="s">
        <v>3384</v>
      </c>
      <c r="B1688" t="s">
        <v>3385</v>
      </c>
      <c r="C1688" t="s">
        <v>31</v>
      </c>
      <c r="D1688">
        <v>5.75</v>
      </c>
      <c r="E1688">
        <f>150832848/(1000)</f>
        <v>150832.848</v>
      </c>
      <c r="F1688">
        <f>62079544/(1000)</f>
        <v>62079.544000000002</v>
      </c>
      <c r="G1688">
        <f>11005541/(1000)</f>
        <v>11005.540999999999</v>
      </c>
      <c r="H1688">
        <f>102780848/(1000)</f>
        <v>102780.848</v>
      </c>
      <c r="I1688">
        <f>12188123/(1000)</f>
        <v>12188.123</v>
      </c>
      <c r="J1688">
        <f t="shared" si="43"/>
        <v>8.4328692777386645E-3</v>
      </c>
      <c r="K1688">
        <f>8345719.5/(1000)</f>
        <v>8345.7194999999992</v>
      </c>
      <c r="L1688">
        <v>0</v>
      </c>
      <c r="M1688">
        <v>47.041912078857401</v>
      </c>
      <c r="N1688">
        <v>73.713202835915695</v>
      </c>
      <c r="O1688">
        <v>0</v>
      </c>
      <c r="P1688">
        <v>0</v>
      </c>
      <c r="Q1688">
        <v>3.5168195923785999</v>
      </c>
      <c r="R1688">
        <v>14.375000053551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55000000000000004">
      <c r="A1689" t="s">
        <v>3386</v>
      </c>
      <c r="B1689" t="s">
        <v>3387</v>
      </c>
      <c r="C1689" t="s">
        <v>184</v>
      </c>
      <c r="D1689">
        <v>11.97</v>
      </c>
      <c r="E1689">
        <f>354765664/(1000)</f>
        <v>354765.66399999999</v>
      </c>
      <c r="F1689">
        <f>61880000/(1000)</f>
        <v>61880</v>
      </c>
      <c r="G1689">
        <f>33909000/(1000)</f>
        <v>33909</v>
      </c>
      <c r="H1689">
        <f>485163664/(1000)</f>
        <v>485163.66399999999</v>
      </c>
      <c r="I1689">
        <f>34636000/(1000)</f>
        <v>34636</v>
      </c>
      <c r="J1689">
        <f t="shared" si="43"/>
        <v>1.4007496939600414E-2</v>
      </c>
      <c r="K1689">
        <f>-204024991/(1000)</f>
        <v>-204024.99100000001</v>
      </c>
      <c r="L1689">
        <v>0</v>
      </c>
      <c r="M1689">
        <v>7.5625858306884801</v>
      </c>
      <c r="N1689">
        <v>95.729119052024302</v>
      </c>
      <c r="O1689">
        <v>21.2202339172363</v>
      </c>
      <c r="P1689">
        <v>1.6150000095367401</v>
      </c>
      <c r="Q1689">
        <v>0.80769234234257403</v>
      </c>
      <c r="R1689">
        <v>8.1877114725143496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55000000000000004">
      <c r="A1690" t="s">
        <v>3388</v>
      </c>
      <c r="B1690" t="s">
        <v>3389</v>
      </c>
      <c r="C1690" t="s">
        <v>401</v>
      </c>
      <c r="D1690">
        <v>2.0699999999999998</v>
      </c>
      <c r="E1690">
        <f>137981168/(1000)</f>
        <v>137981.16800000001</v>
      </c>
      <c r="F1690">
        <f>61686000/(1000)</f>
        <v>61686</v>
      </c>
      <c r="G1690">
        <f>-170760992/(1000)</f>
        <v>-170760.992</v>
      </c>
      <c r="H1690">
        <f>1122627184/(1000)</f>
        <v>1122627.1839999999</v>
      </c>
      <c r="I1690">
        <f>-154750000/(1000)</f>
        <v>-154750</v>
      </c>
      <c r="J1690">
        <f t="shared" si="43"/>
        <v>-7.2544567625201931E-3</v>
      </c>
      <c r="K1690">
        <f>-763534015/(1000)</f>
        <v>-763534.01500000001</v>
      </c>
      <c r="L1690">
        <v>0</v>
      </c>
      <c r="M1690">
        <v>0</v>
      </c>
      <c r="N1690">
        <v>97.374581183207098</v>
      </c>
      <c r="O1690">
        <v>28.3216648101807</v>
      </c>
      <c r="P1690">
        <v>0</v>
      </c>
      <c r="Q1690">
        <v>0.31846152819119999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55000000000000004">
      <c r="A1691" t="s">
        <v>3390</v>
      </c>
      <c r="B1691" t="s">
        <v>3391</v>
      </c>
      <c r="C1691" t="s">
        <v>8</v>
      </c>
      <c r="D1691">
        <v>26.63</v>
      </c>
      <c r="E1691">
        <f>784020224/(1000)</f>
        <v>784020.22400000005</v>
      </c>
      <c r="F1691">
        <f>61654000/(1000)</f>
        <v>61654</v>
      </c>
      <c r="G1691">
        <f>19776000/(1000)</f>
        <v>19776</v>
      </c>
      <c r="H1691">
        <f>744813224/(1000)</f>
        <v>744813.22400000005</v>
      </c>
      <c r="I1691">
        <f>29540000/(1000)</f>
        <v>29540</v>
      </c>
      <c r="J1691">
        <f t="shared" si="43"/>
        <v>2.5213717806364253E-2</v>
      </c>
      <c r="K1691">
        <f>7732001/(1000)</f>
        <v>7732.0010000000002</v>
      </c>
      <c r="L1691">
        <v>17.614570617675799</v>
      </c>
      <c r="M1691">
        <v>19.520229339599599</v>
      </c>
      <c r="N1691">
        <v>31.042892003119</v>
      </c>
      <c r="O1691">
        <v>0</v>
      </c>
      <c r="P1691">
        <v>0.34999999403953602</v>
      </c>
      <c r="Q1691">
        <v>0</v>
      </c>
      <c r="R1691">
        <v>30.609194794164502</v>
      </c>
      <c r="S1691">
        <v>206.85845112482599</v>
      </c>
      <c r="T1691">
        <v>0</v>
      </c>
      <c r="U1691">
        <v>0</v>
      </c>
      <c r="V1691">
        <v>0</v>
      </c>
      <c r="W1691">
        <v>0</v>
      </c>
    </row>
    <row r="1692" spans="1:23" x14ac:dyDescent="0.55000000000000004">
      <c r="A1692" t="s">
        <v>3392</v>
      </c>
      <c r="B1692" t="s">
        <v>3393</v>
      </c>
      <c r="C1692" t="s">
        <v>8</v>
      </c>
      <c r="D1692">
        <v>6.96</v>
      </c>
      <c r="E1692">
        <f>60107256/(1000)</f>
        <v>60107.256000000001</v>
      </c>
      <c r="F1692">
        <f>61635000/(1000)</f>
        <v>61635</v>
      </c>
      <c r="G1692">
        <f>19971000/(1000)</f>
        <v>19971</v>
      </c>
      <c r="H1692">
        <f>39770256/(1000)</f>
        <v>39770.256000000001</v>
      </c>
      <c r="I1692">
        <f>20638000/(1000)</f>
        <v>20638</v>
      </c>
      <c r="J1692">
        <f t="shared" si="43"/>
        <v>1.9270402170752981E-3</v>
      </c>
      <c r="K1692">
        <f>8495001/(1000)</f>
        <v>8495.0010000000002</v>
      </c>
      <c r="L1692">
        <v>0</v>
      </c>
      <c r="M1692">
        <v>30.288036346435501</v>
      </c>
      <c r="N1692">
        <v>93.9278166466367</v>
      </c>
      <c r="O1692">
        <v>0</v>
      </c>
      <c r="P1692">
        <v>0</v>
      </c>
      <c r="Q1692">
        <v>0</v>
      </c>
      <c r="R1692">
        <v>4.5789473312713396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55000000000000004">
      <c r="A1693" t="s">
        <v>3394</v>
      </c>
      <c r="B1693" t="s">
        <v>3395</v>
      </c>
      <c r="C1693" t="s">
        <v>5</v>
      </c>
      <c r="D1693">
        <v>8.07</v>
      </c>
      <c r="E1693">
        <f>222773168/(1000)</f>
        <v>222773.16800000001</v>
      </c>
      <c r="F1693">
        <f>61270000/(1000)</f>
        <v>61270</v>
      </c>
      <c r="G1693">
        <f>-5561000/(1000)</f>
        <v>-5561</v>
      </c>
      <c r="H1693">
        <f>139311168/(1000)</f>
        <v>139311.16800000001</v>
      </c>
      <c r="I1693">
        <f>-2663999.75/(1000)</f>
        <v>-2663.9997499999999</v>
      </c>
      <c r="J1693">
        <f t="shared" si="43"/>
        <v>-5.2293986889450722E-2</v>
      </c>
      <c r="K1693">
        <f>7128001.5/(1000)</f>
        <v>7128.0015000000003</v>
      </c>
      <c r="L1693">
        <v>0</v>
      </c>
      <c r="M1693">
        <v>0</v>
      </c>
      <c r="N1693">
        <v>73.728403571251107</v>
      </c>
      <c r="O1693">
        <v>0.87878000736236594</v>
      </c>
      <c r="P1693">
        <v>0</v>
      </c>
      <c r="Q1693">
        <v>3.1441517142800399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55000000000000004">
      <c r="A1694" t="s">
        <v>3396</v>
      </c>
      <c r="B1694" t="s">
        <v>3397</v>
      </c>
      <c r="C1694" t="s">
        <v>31</v>
      </c>
      <c r="D1694">
        <v>7.44</v>
      </c>
      <c r="E1694">
        <f>150665200/(1000)</f>
        <v>150665.20000000001</v>
      </c>
      <c r="F1694">
        <f>60838000/(1000)</f>
        <v>60838</v>
      </c>
      <c r="G1694">
        <f>-26270000/(1000)</f>
        <v>-26270</v>
      </c>
      <c r="H1694">
        <f>97071200/(1000)</f>
        <v>97071.2</v>
      </c>
      <c r="I1694">
        <f>-20765000/(1000)</f>
        <v>-20765</v>
      </c>
      <c r="J1694">
        <f t="shared" si="43"/>
        <v>-4.6747507825668187E-3</v>
      </c>
      <c r="K1694">
        <f>-27028999/(1000)</f>
        <v>-27028.999</v>
      </c>
      <c r="L1694">
        <v>0</v>
      </c>
      <c r="M1694">
        <v>0</v>
      </c>
      <c r="N1694">
        <v>48.014142728228002</v>
      </c>
      <c r="O1694">
        <v>5.3276910781860396</v>
      </c>
      <c r="P1694">
        <v>0</v>
      </c>
      <c r="Q1694">
        <v>1.4761904987168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55000000000000004">
      <c r="A1695" t="s">
        <v>3398</v>
      </c>
      <c r="B1695" t="s">
        <v>3399</v>
      </c>
      <c r="C1695" t="s">
        <v>184</v>
      </c>
      <c r="D1695">
        <v>1.39</v>
      </c>
      <c r="E1695">
        <f>65855976/(1000)</f>
        <v>65855.975999999995</v>
      </c>
      <c r="F1695">
        <f>60196624/(1000)</f>
        <v>60196.624000000003</v>
      </c>
      <c r="G1695">
        <f>30020086/(1000)</f>
        <v>30020.085999999999</v>
      </c>
      <c r="H1695">
        <f>114821200/(1000)</f>
        <v>114821.2</v>
      </c>
      <c r="I1695">
        <f>39678896/(1000)</f>
        <v>39678.896000000001</v>
      </c>
      <c r="J1695">
        <f t="shared" si="43"/>
        <v>2.8937599473533738E-3</v>
      </c>
      <c r="K1695">
        <f>-35697599/(1000)</f>
        <v>-35697.599000000002</v>
      </c>
      <c r="L1695">
        <v>0</v>
      </c>
      <c r="M1695">
        <v>22.154436111450199</v>
      </c>
      <c r="N1695">
        <v>68.216952775141095</v>
      </c>
      <c r="O1695">
        <v>37.881080627441399</v>
      </c>
      <c r="P1695">
        <v>0</v>
      </c>
      <c r="Q1695">
        <v>0</v>
      </c>
      <c r="R1695">
        <v>1.4143249317030799</v>
      </c>
      <c r="S1695">
        <v>75187.187953374407</v>
      </c>
      <c r="T1695">
        <v>0</v>
      </c>
      <c r="U1695">
        <v>0</v>
      </c>
      <c r="V1695">
        <v>0</v>
      </c>
      <c r="W1695">
        <v>0</v>
      </c>
    </row>
    <row r="1696" spans="1:23" x14ac:dyDescent="0.55000000000000004">
      <c r="A1696" t="s">
        <v>3400</v>
      </c>
      <c r="B1696" t="s">
        <v>3401</v>
      </c>
      <c r="C1696" t="s">
        <v>5</v>
      </c>
      <c r="D1696">
        <v>9.25</v>
      </c>
      <c r="E1696">
        <f>221297936/(1000)</f>
        <v>221297.93599999999</v>
      </c>
      <c r="F1696">
        <f>59988272/(1000)</f>
        <v>59988.271999999997</v>
      </c>
      <c r="G1696">
        <f>0/(1000)</f>
        <v>0</v>
      </c>
      <c r="H1696">
        <f>0/(1000)</f>
        <v>0</v>
      </c>
      <c r="I1696">
        <f>0/(1000)</f>
        <v>0</v>
      </c>
      <c r="J1696">
        <f t="shared" si="43"/>
        <v>1</v>
      </c>
      <c r="K1696">
        <f>8832785/(1000)</f>
        <v>8832.7849999999999</v>
      </c>
      <c r="L1696">
        <v>0</v>
      </c>
      <c r="M1696">
        <v>3.8826379776000999</v>
      </c>
      <c r="N1696">
        <v>86.995954865771395</v>
      </c>
      <c r="O1696">
        <v>82.8323974609375</v>
      </c>
      <c r="P1696">
        <v>0.20000000298023199</v>
      </c>
      <c r="Q1696">
        <v>0.90686276205591598</v>
      </c>
      <c r="R1696">
        <v>25.694443955212702</v>
      </c>
      <c r="S1696">
        <v>83.905919862656702</v>
      </c>
      <c r="T1696">
        <v>0</v>
      </c>
      <c r="U1696">
        <v>0</v>
      </c>
      <c r="V1696">
        <v>0</v>
      </c>
      <c r="W1696">
        <v>0</v>
      </c>
    </row>
    <row r="1697" spans="1:23" x14ac:dyDescent="0.55000000000000004">
      <c r="A1697" t="s">
        <v>3402</v>
      </c>
      <c r="B1697" t="s">
        <v>3403</v>
      </c>
      <c r="C1697" t="s">
        <v>38</v>
      </c>
      <c r="D1697">
        <v>2.67</v>
      </c>
      <c r="E1697">
        <f>124126432/(1000)</f>
        <v>124126.432</v>
      </c>
      <c r="F1697">
        <f>59964000/(1000)</f>
        <v>59964</v>
      </c>
      <c r="G1697">
        <f>-60084000/(1000)</f>
        <v>-60084</v>
      </c>
      <c r="H1697">
        <f>121429432/(1000)</f>
        <v>121429.432</v>
      </c>
      <c r="I1697">
        <f>-50807000/(1000)</f>
        <v>-50807</v>
      </c>
      <c r="J1697">
        <f t="shared" si="43"/>
        <v>-2.3900138169937212E-3</v>
      </c>
      <c r="K1697">
        <f>-63416999/(1000)</f>
        <v>-63416.999000000003</v>
      </c>
      <c r="L1697">
        <v>0</v>
      </c>
      <c r="M1697">
        <v>-54.799644470214801</v>
      </c>
      <c r="N1697">
        <v>76.0293232457729</v>
      </c>
      <c r="O1697">
        <v>19.445407867431602</v>
      </c>
      <c r="P1697">
        <v>0</v>
      </c>
      <c r="Q1697">
        <v>0.70634923187903698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55000000000000004">
      <c r="A1698" t="s">
        <v>3404</v>
      </c>
      <c r="B1698" t="s">
        <v>3405</v>
      </c>
      <c r="C1698" t="s">
        <v>20</v>
      </c>
      <c r="D1698">
        <v>3.99</v>
      </c>
      <c r="E1698">
        <f>37283760/(1000)</f>
        <v>37283.760000000002</v>
      </c>
      <c r="F1698">
        <f>59929476/(1000)</f>
        <v>59929.476000000002</v>
      </c>
      <c r="G1698">
        <f>13720020/(1000)</f>
        <v>13720.02</v>
      </c>
      <c r="H1698">
        <f>68596616/(1000)</f>
        <v>68596.615999999995</v>
      </c>
      <c r="I1698">
        <f>16261703/(1000)</f>
        <v>16261.703</v>
      </c>
      <c r="J1698">
        <f t="shared" si="43"/>
        <v>4.2182922661913079E-3</v>
      </c>
      <c r="K1698">
        <f>11679877/(1000)</f>
        <v>11679.877</v>
      </c>
      <c r="L1698">
        <v>0</v>
      </c>
      <c r="M1698">
        <v>14.9577903747559</v>
      </c>
      <c r="N1698">
        <v>79.580062552248094</v>
      </c>
      <c r="O1698">
        <v>41.792278289794901</v>
      </c>
      <c r="P1698">
        <v>0</v>
      </c>
      <c r="Q1698">
        <v>0</v>
      </c>
      <c r="R1698">
        <v>4.38461548412441</v>
      </c>
      <c r="S1698">
        <v>297.93808764940201</v>
      </c>
      <c r="T1698">
        <v>0</v>
      </c>
      <c r="U1698">
        <v>0</v>
      </c>
      <c r="V1698">
        <v>0</v>
      </c>
      <c r="W1698">
        <v>0</v>
      </c>
    </row>
    <row r="1699" spans="1:23" x14ac:dyDescent="0.55000000000000004">
      <c r="A1699" t="s">
        <v>3406</v>
      </c>
      <c r="B1699" t="s">
        <v>3407</v>
      </c>
      <c r="C1699" t="s">
        <v>5</v>
      </c>
      <c r="D1699">
        <v>6.5</v>
      </c>
      <c r="E1699">
        <f>138461696/(1000)</f>
        <v>138461.696</v>
      </c>
      <c r="F1699">
        <f>59887000/(1000)</f>
        <v>59887</v>
      </c>
      <c r="G1699">
        <f>11123000/(1000)</f>
        <v>11123</v>
      </c>
      <c r="H1699">
        <f>75794696/(1000)</f>
        <v>75794.695999999996</v>
      </c>
      <c r="I1699">
        <f>11618000/(1000)</f>
        <v>11618</v>
      </c>
      <c r="J1699">
        <f t="shared" si="43"/>
        <v>6.5239022206920296E-3</v>
      </c>
      <c r="K1699">
        <f>13055001/(1000)</f>
        <v>13055.001</v>
      </c>
      <c r="L1699">
        <v>0</v>
      </c>
      <c r="M1699">
        <v>21.7881679534912</v>
      </c>
      <c r="N1699">
        <v>92.3011210716639</v>
      </c>
      <c r="O1699">
        <v>0</v>
      </c>
      <c r="P1699">
        <v>0</v>
      </c>
      <c r="Q1699">
        <v>0</v>
      </c>
      <c r="R1699">
        <v>13.541666548957799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55000000000000004">
      <c r="A1700" t="s">
        <v>3408</v>
      </c>
      <c r="B1700" t="s">
        <v>3409</v>
      </c>
      <c r="C1700" t="s">
        <v>401</v>
      </c>
      <c r="D1700">
        <v>36.86</v>
      </c>
      <c r="E1700">
        <f>186482112/(1000)</f>
        <v>186482.11199999999</v>
      </c>
      <c r="F1700">
        <f>59423000/(1000)</f>
        <v>59423</v>
      </c>
      <c r="G1700">
        <f>9417000/(1000)</f>
        <v>9417</v>
      </c>
      <c r="H1700">
        <f>219535112/(1000)</f>
        <v>219535.11199999999</v>
      </c>
      <c r="I1700">
        <f>15185000/(1000)</f>
        <v>15185</v>
      </c>
      <c r="J1700">
        <f t="shared" si="43"/>
        <v>1.4457366611787949E-2</v>
      </c>
      <c r="K1700">
        <f>11369001/(1000)</f>
        <v>11369.001</v>
      </c>
      <c r="L1700">
        <v>0</v>
      </c>
      <c r="M1700">
        <v>5.98239994049072</v>
      </c>
      <c r="N1700">
        <v>73.254667519831202</v>
      </c>
      <c r="O1700">
        <v>35.776767730712898</v>
      </c>
      <c r="P1700">
        <v>0.40000000596046398</v>
      </c>
      <c r="Q1700">
        <v>0</v>
      </c>
      <c r="R1700">
        <v>0</v>
      </c>
      <c r="S1700">
        <v>74.974235152086194</v>
      </c>
      <c r="T1700">
        <v>0</v>
      </c>
      <c r="U1700">
        <v>0</v>
      </c>
      <c r="V1700">
        <v>0</v>
      </c>
      <c r="W1700">
        <v>0</v>
      </c>
    </row>
    <row r="1701" spans="1:23" x14ac:dyDescent="0.55000000000000004">
      <c r="A1701" t="s">
        <v>3410</v>
      </c>
      <c r="B1701" t="s">
        <v>3411</v>
      </c>
      <c r="C1701" t="s">
        <v>5</v>
      </c>
      <c r="D1701">
        <v>34.08</v>
      </c>
      <c r="E1701">
        <f>565741632/(1000)</f>
        <v>565741.63199999998</v>
      </c>
      <c r="F1701">
        <f>59332000/(1000)</f>
        <v>59332</v>
      </c>
      <c r="G1701">
        <f>13042000/(1000)</f>
        <v>13042</v>
      </c>
      <c r="H1701">
        <f>468611632/(1000)</f>
        <v>468611.63199999998</v>
      </c>
      <c r="I1701">
        <f>13622000/(1000)</f>
        <v>13622</v>
      </c>
      <c r="J1701">
        <f t="shared" si="43"/>
        <v>3.4401088826897665E-2</v>
      </c>
      <c r="K1701">
        <f>11862001/(1000)</f>
        <v>11862.001</v>
      </c>
      <c r="L1701">
        <v>0</v>
      </c>
      <c r="M1701">
        <v>28.225072860717798</v>
      </c>
      <c r="N1701">
        <v>84.279892175360104</v>
      </c>
      <c r="O1701">
        <v>0</v>
      </c>
      <c r="P1701">
        <v>0</v>
      </c>
      <c r="Q1701">
        <v>4.8790266542067799</v>
      </c>
      <c r="R1701">
        <v>19.474286760602698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55000000000000004">
      <c r="A1702" t="s">
        <v>3412</v>
      </c>
      <c r="B1702" t="s">
        <v>3413</v>
      </c>
      <c r="C1702" t="s">
        <v>8</v>
      </c>
      <c r="D1702">
        <v>0</v>
      </c>
      <c r="E1702">
        <f>117063544/(1000)</f>
        <v>117063.54399999999</v>
      </c>
      <c r="F1702">
        <f>59308396/(1000)</f>
        <v>59308.396000000001</v>
      </c>
      <c r="G1702">
        <f>11220247/(1000)</f>
        <v>11220.246999999999</v>
      </c>
      <c r="H1702">
        <f>182999972/(1000)</f>
        <v>182999.97200000001</v>
      </c>
      <c r="I1702">
        <f>22613636/(1000)</f>
        <v>22613.635999999999</v>
      </c>
      <c r="J1702">
        <f t="shared" si="43"/>
        <v>8.0924612034968639E-3</v>
      </c>
      <c r="K1702">
        <f>-76749847/(1000)</f>
        <v>-76749.846999999994</v>
      </c>
      <c r="L1702">
        <v>0</v>
      </c>
      <c r="M1702">
        <v>3.5440371036529501</v>
      </c>
      <c r="N1702">
        <v>94.143564363511103</v>
      </c>
      <c r="O1702">
        <v>14.0169925689697</v>
      </c>
      <c r="P1702">
        <v>0</v>
      </c>
      <c r="Q1702">
        <v>0</v>
      </c>
      <c r="R1702">
        <v>2.4874999516876399</v>
      </c>
      <c r="S1702">
        <v>202.59385714285699</v>
      </c>
      <c r="T1702">
        <v>0</v>
      </c>
      <c r="U1702">
        <v>0</v>
      </c>
      <c r="V1702">
        <v>0</v>
      </c>
      <c r="W1702">
        <v>0</v>
      </c>
    </row>
    <row r="1703" spans="1:23" x14ac:dyDescent="0.55000000000000004">
      <c r="A1703" t="s">
        <v>3414</v>
      </c>
      <c r="B1703" t="s">
        <v>3415</v>
      </c>
      <c r="C1703" t="s">
        <v>5</v>
      </c>
      <c r="D1703">
        <v>0.09</v>
      </c>
      <c r="E1703">
        <f>9278271/(1000)</f>
        <v>9278.2710000000006</v>
      </c>
      <c r="F1703">
        <f>59107000/(1000)</f>
        <v>59107</v>
      </c>
      <c r="G1703">
        <f>-288414016/(1000)</f>
        <v>-288414.016</v>
      </c>
      <c r="H1703">
        <f>761610303/(1000)</f>
        <v>761610.30299999996</v>
      </c>
      <c r="I1703">
        <f>-252137008/(1000)</f>
        <v>-252137.008</v>
      </c>
      <c r="J1703">
        <f t="shared" si="43"/>
        <v>-3.0206208483286195E-3</v>
      </c>
      <c r="K1703">
        <f>-226246991/(1000)</f>
        <v>-226246.99100000001</v>
      </c>
      <c r="L1703">
        <v>0</v>
      </c>
      <c r="M1703">
        <v>-97.752967834472699</v>
      </c>
      <c r="N1703">
        <v>70.845621613589003</v>
      </c>
      <c r="O1703">
        <v>54.519596099853501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55000000000000004">
      <c r="A1704" t="s">
        <v>3416</v>
      </c>
      <c r="B1704" t="s">
        <v>3417</v>
      </c>
      <c r="C1704" t="s">
        <v>94</v>
      </c>
      <c r="D1704">
        <v>23.61</v>
      </c>
      <c r="E1704">
        <f>199478528/(1000)</f>
        <v>199478.52799999999</v>
      </c>
      <c r="F1704">
        <f>59026000/(1000)</f>
        <v>59026</v>
      </c>
      <c r="G1704">
        <f>16897000/(1000)</f>
        <v>16897</v>
      </c>
      <c r="H1704">
        <f>304156528/(1000)</f>
        <v>304156.52799999999</v>
      </c>
      <c r="I1704">
        <f>24070000/(1000)</f>
        <v>24070</v>
      </c>
      <c r="J1704">
        <f t="shared" si="43"/>
        <v>1.2636332696302452E-2</v>
      </c>
      <c r="K1704">
        <f>-4128999/(1000)</f>
        <v>-4128.9989999999998</v>
      </c>
      <c r="L1704">
        <v>28.176628112793001</v>
      </c>
      <c r="M1704">
        <v>8.9197902679443395</v>
      </c>
      <c r="N1704">
        <v>98.166622652724598</v>
      </c>
      <c r="O1704">
        <v>97.899276733398395</v>
      </c>
      <c r="P1704">
        <v>0.88999998569488503</v>
      </c>
      <c r="Q1704">
        <v>0</v>
      </c>
      <c r="R1704">
        <v>21.861111712446601</v>
      </c>
      <c r="S1704">
        <v>28.793366790312</v>
      </c>
      <c r="T1704">
        <v>0</v>
      </c>
      <c r="U1704">
        <v>0</v>
      </c>
      <c r="V1704">
        <v>0</v>
      </c>
      <c r="W1704">
        <v>0</v>
      </c>
    </row>
    <row r="1705" spans="1:23" x14ac:dyDescent="0.55000000000000004">
      <c r="A1705" t="s">
        <v>3418</v>
      </c>
      <c r="B1705" t="s">
        <v>3419</v>
      </c>
      <c r="C1705" t="s">
        <v>38</v>
      </c>
      <c r="D1705">
        <v>16.420000000000002</v>
      </c>
      <c r="E1705">
        <f>600884992/(1000)</f>
        <v>600884.99199999997</v>
      </c>
      <c r="F1705">
        <f>58941000/(1000)</f>
        <v>58941</v>
      </c>
      <c r="G1705">
        <f>-35281000/(1000)</f>
        <v>-35281</v>
      </c>
      <c r="H1705">
        <f>550362992/(1000)</f>
        <v>550362.99199999997</v>
      </c>
      <c r="I1705">
        <f>-29157000/(1000)</f>
        <v>-29157</v>
      </c>
      <c r="J1705">
        <f t="shared" si="43"/>
        <v>-1.8875844291250814E-2</v>
      </c>
      <c r="K1705">
        <f>-32633999/(1000)</f>
        <v>-32633.999</v>
      </c>
      <c r="L1705">
        <v>0</v>
      </c>
      <c r="M1705">
        <v>-37.952793121337898</v>
      </c>
      <c r="N1705">
        <v>75.474317608701497</v>
      </c>
      <c r="O1705">
        <v>0</v>
      </c>
      <c r="P1705">
        <v>0</v>
      </c>
      <c r="Q1705">
        <v>4.8436576897268502</v>
      </c>
      <c r="R1705">
        <v>0</v>
      </c>
      <c r="S1705">
        <v>152.857142857143</v>
      </c>
      <c r="T1705">
        <v>0</v>
      </c>
      <c r="U1705">
        <v>0</v>
      </c>
      <c r="V1705">
        <v>0</v>
      </c>
      <c r="W1705">
        <v>0</v>
      </c>
    </row>
    <row r="1706" spans="1:23" x14ac:dyDescent="0.55000000000000004">
      <c r="A1706" t="s">
        <v>3420</v>
      </c>
      <c r="B1706" t="s">
        <v>3421</v>
      </c>
      <c r="C1706" t="s">
        <v>5</v>
      </c>
      <c r="D1706">
        <v>18.21</v>
      </c>
      <c r="E1706">
        <f>346405184/(1000)</f>
        <v>346405.18400000001</v>
      </c>
      <c r="F1706">
        <f>58076000/(1000)</f>
        <v>58076</v>
      </c>
      <c r="G1706">
        <f>-821000/(1000)</f>
        <v>-821</v>
      </c>
      <c r="H1706">
        <f>257185184/(1000)</f>
        <v>257185.18400000001</v>
      </c>
      <c r="I1706">
        <f>3641000/(1000)</f>
        <v>3641</v>
      </c>
      <c r="J1706">
        <f t="shared" si="43"/>
        <v>7.0635864872287846E-2</v>
      </c>
      <c r="K1706">
        <f>14986001/(1000)</f>
        <v>14986.001</v>
      </c>
      <c r="L1706">
        <v>0</v>
      </c>
      <c r="M1706">
        <v>1.7842789888382</v>
      </c>
      <c r="N1706">
        <v>91.839790098207004</v>
      </c>
      <c r="O1706">
        <v>0.47180399298667902</v>
      </c>
      <c r="P1706">
        <v>0</v>
      </c>
      <c r="Q1706">
        <v>0</v>
      </c>
      <c r="R1706">
        <v>82.772723559751995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55000000000000004">
      <c r="A1707" t="s">
        <v>3422</v>
      </c>
      <c r="B1707" t="s">
        <v>3423</v>
      </c>
      <c r="C1707" t="s">
        <v>5</v>
      </c>
      <c r="D1707">
        <v>3.39</v>
      </c>
      <c r="E1707">
        <f>257351184/(1000)</f>
        <v>257351.18400000001</v>
      </c>
      <c r="F1707">
        <f>58045676/(1000)</f>
        <v>58045.675999999999</v>
      </c>
      <c r="G1707">
        <f>-13577970/(1000)</f>
        <v>-13577.97</v>
      </c>
      <c r="H1707">
        <f>256778568.375/(1000)</f>
        <v>256778.568375</v>
      </c>
      <c r="I1707">
        <f>-11970969/(1000)</f>
        <v>-11970.968999999999</v>
      </c>
      <c r="J1707">
        <f t="shared" si="43"/>
        <v>-2.1450107203101105E-2</v>
      </c>
      <c r="K1707">
        <f>-16779445/(1000)</f>
        <v>-16779.445</v>
      </c>
      <c r="L1707">
        <v>0</v>
      </c>
      <c r="M1707">
        <v>-61.1143798828125</v>
      </c>
      <c r="N1707">
        <v>86.870541427624602</v>
      </c>
      <c r="O1707">
        <v>43.821071624755902</v>
      </c>
      <c r="P1707">
        <v>0</v>
      </c>
      <c r="Q1707">
        <v>5.3385829225462498</v>
      </c>
      <c r="R1707">
        <v>0</v>
      </c>
      <c r="S1707">
        <v>459.26077656807001</v>
      </c>
      <c r="T1707">
        <v>0</v>
      </c>
      <c r="U1707">
        <v>0</v>
      </c>
      <c r="V1707">
        <v>0</v>
      </c>
      <c r="W1707">
        <v>0</v>
      </c>
    </row>
    <row r="1708" spans="1:23" x14ac:dyDescent="0.55000000000000004">
      <c r="A1708" t="s">
        <v>3424</v>
      </c>
      <c r="B1708" t="s">
        <v>3425</v>
      </c>
      <c r="C1708" t="s">
        <v>184</v>
      </c>
      <c r="D1708">
        <v>14.13</v>
      </c>
      <c r="E1708">
        <f>239933056/(1000)</f>
        <v>239933.05600000001</v>
      </c>
      <c r="F1708">
        <f>57670000/(1000)</f>
        <v>57670</v>
      </c>
      <c r="G1708">
        <f>0/(1000)</f>
        <v>0</v>
      </c>
      <c r="H1708">
        <f>0/(1000)</f>
        <v>0</v>
      </c>
      <c r="I1708">
        <f>0/(1000)</f>
        <v>0</v>
      </c>
      <c r="J1708">
        <f t="shared" si="43"/>
        <v>1</v>
      </c>
      <c r="K1708">
        <f>9997001/(1000)</f>
        <v>9997.0010000000002</v>
      </c>
      <c r="L1708">
        <v>0</v>
      </c>
      <c r="M1708">
        <v>3.0026340484619101</v>
      </c>
      <c r="N1708">
        <v>79.516972109334105</v>
      </c>
      <c r="O1708">
        <v>206.289794921875</v>
      </c>
      <c r="P1708">
        <v>0.15999999642372101</v>
      </c>
      <c r="Q1708">
        <v>1.13951617331708</v>
      </c>
      <c r="R1708">
        <v>33.6428578689086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55000000000000004">
      <c r="A1709" t="s">
        <v>3426</v>
      </c>
      <c r="B1709" t="s">
        <v>3427</v>
      </c>
      <c r="C1709" t="s">
        <v>31</v>
      </c>
      <c r="D1709">
        <v>5.07</v>
      </c>
      <c r="E1709">
        <f>110726264/(1000)</f>
        <v>110726.264</v>
      </c>
      <c r="F1709">
        <f>57361000/(1000)</f>
        <v>57361</v>
      </c>
      <c r="G1709">
        <f>-16023001/(1000)</f>
        <v>-16023.001</v>
      </c>
      <c r="H1709">
        <f>121880264/(1000)</f>
        <v>121880.264</v>
      </c>
      <c r="I1709">
        <f>-10201000/(1000)</f>
        <v>-10201</v>
      </c>
      <c r="J1709">
        <f t="shared" si="43"/>
        <v>-1.1947874129987256E-2</v>
      </c>
      <c r="K1709">
        <f>-21518999/(1000)</f>
        <v>-21518.999</v>
      </c>
      <c r="L1709">
        <v>0</v>
      </c>
      <c r="M1709">
        <v>-28.4961338043213</v>
      </c>
      <c r="N1709">
        <v>87.811074543055497</v>
      </c>
      <c r="O1709">
        <v>47.880813598632798</v>
      </c>
      <c r="P1709">
        <v>0</v>
      </c>
      <c r="Q1709">
        <v>0</v>
      </c>
      <c r="R1709">
        <v>0</v>
      </c>
      <c r="S1709">
        <v>-1.04200810834124</v>
      </c>
      <c r="T1709">
        <v>0</v>
      </c>
      <c r="U1709">
        <v>0</v>
      </c>
      <c r="V1709">
        <v>0</v>
      </c>
      <c r="W1709">
        <v>0</v>
      </c>
    </row>
    <row r="1710" spans="1:23" x14ac:dyDescent="0.55000000000000004">
      <c r="A1710" t="s">
        <v>3428</v>
      </c>
      <c r="B1710" t="s">
        <v>3429</v>
      </c>
      <c r="C1710" t="s">
        <v>184</v>
      </c>
      <c r="D1710">
        <v>10.32</v>
      </c>
      <c r="E1710">
        <f>323670272/(1000)</f>
        <v>323670.272</v>
      </c>
      <c r="F1710">
        <f>57284000/(1000)</f>
        <v>57284</v>
      </c>
      <c r="G1710">
        <f>0/(1000)</f>
        <v>0</v>
      </c>
      <c r="H1710">
        <f>0/(1000)</f>
        <v>0</v>
      </c>
      <c r="I1710">
        <f>0/(1000)</f>
        <v>0</v>
      </c>
      <c r="J1710">
        <f t="shared" si="43"/>
        <v>1</v>
      </c>
      <c r="K1710">
        <f>11083001/(1000)</f>
        <v>11083.001</v>
      </c>
      <c r="L1710">
        <v>46.383510589599602</v>
      </c>
      <c r="M1710">
        <v>3.0211479663848899</v>
      </c>
      <c r="N1710">
        <v>88.711684442939998</v>
      </c>
      <c r="O1710">
        <v>48.953693389892599</v>
      </c>
      <c r="P1710">
        <v>0.20000000298023199</v>
      </c>
      <c r="Q1710">
        <v>1.2227488397997699</v>
      </c>
      <c r="R1710">
        <v>36.857142100680797</v>
      </c>
      <c r="S1710">
        <v>34.308691472650104</v>
      </c>
      <c r="T1710">
        <v>0</v>
      </c>
      <c r="U1710">
        <v>0</v>
      </c>
      <c r="V1710">
        <v>0</v>
      </c>
      <c r="W1710">
        <v>0</v>
      </c>
    </row>
    <row r="1711" spans="1:23" x14ac:dyDescent="0.55000000000000004">
      <c r="A1711" t="s">
        <v>3430</v>
      </c>
      <c r="B1711" t="s">
        <v>3431</v>
      </c>
      <c r="C1711" t="s">
        <v>5</v>
      </c>
      <c r="D1711">
        <v>5.58</v>
      </c>
      <c r="E1711">
        <f>716090880/(1000)</f>
        <v>716090.88</v>
      </c>
      <c r="F1711">
        <f>56258000/(1000)</f>
        <v>56258</v>
      </c>
      <c r="G1711">
        <f>-188984000/(1000)</f>
        <v>-188984</v>
      </c>
      <c r="H1711">
        <f>472640896/(1000)</f>
        <v>472640.89600000001</v>
      </c>
      <c r="I1711">
        <f>-173336000/(1000)</f>
        <v>-173336</v>
      </c>
      <c r="J1711">
        <f t="shared" si="43"/>
        <v>-2.7267324502699961E-3</v>
      </c>
      <c r="K1711">
        <f>-158257999/(1000)</f>
        <v>-158257.99900000001</v>
      </c>
      <c r="L1711">
        <v>0</v>
      </c>
      <c r="M1711">
        <v>-4.9873371124267596</v>
      </c>
      <c r="N1711">
        <v>99.272435735699801</v>
      </c>
      <c r="O1711">
        <v>32.229770660400398</v>
      </c>
      <c r="P1711">
        <v>0</v>
      </c>
      <c r="Q1711">
        <v>1.7789565760433801</v>
      </c>
      <c r="R1711">
        <v>0</v>
      </c>
      <c r="S1711">
        <v>42.501076521695097</v>
      </c>
      <c r="T1711">
        <v>0</v>
      </c>
      <c r="U1711">
        <v>0</v>
      </c>
      <c r="V1711">
        <v>0</v>
      </c>
      <c r="W1711">
        <v>0</v>
      </c>
    </row>
    <row r="1712" spans="1:23" x14ac:dyDescent="0.55000000000000004">
      <c r="A1712" t="s">
        <v>3432</v>
      </c>
      <c r="B1712" t="s">
        <v>3433</v>
      </c>
      <c r="C1712" t="s">
        <v>184</v>
      </c>
      <c r="D1712">
        <v>4.8899999999999997</v>
      </c>
      <c r="E1712">
        <f>74552944/(1000)</f>
        <v>74552.944000000003</v>
      </c>
      <c r="F1712">
        <f>56039244/(1000)</f>
        <v>56039.243999999999</v>
      </c>
      <c r="G1712">
        <f>16582228/(1000)</f>
        <v>16582.227999999999</v>
      </c>
      <c r="H1712">
        <f>47528008/(1000)</f>
        <v>47528.008000000002</v>
      </c>
      <c r="I1712">
        <f>16866464/(1000)</f>
        <v>16866.464</v>
      </c>
      <c r="J1712">
        <f t="shared" si="43"/>
        <v>2.8178999463076555E-3</v>
      </c>
      <c r="K1712">
        <f>13907154/(1000)</f>
        <v>13907.154</v>
      </c>
      <c r="L1712">
        <v>20.308958053588899</v>
      </c>
      <c r="M1712">
        <v>30.817497253418001</v>
      </c>
      <c r="N1712">
        <v>93.370528251433498</v>
      </c>
      <c r="O1712">
        <v>0</v>
      </c>
      <c r="P1712">
        <v>0.239999994635582</v>
      </c>
      <c r="Q1712">
        <v>0</v>
      </c>
      <c r="R1712">
        <v>8.4143072204106009</v>
      </c>
      <c r="S1712">
        <v>649.28792619334104</v>
      </c>
      <c r="T1712">
        <v>0</v>
      </c>
      <c r="U1712">
        <v>0</v>
      </c>
      <c r="V1712">
        <v>0</v>
      </c>
      <c r="W1712">
        <v>0</v>
      </c>
    </row>
    <row r="1713" spans="1:23" x14ac:dyDescent="0.55000000000000004">
      <c r="A1713" t="s">
        <v>3434</v>
      </c>
      <c r="B1713" t="s">
        <v>3435</v>
      </c>
      <c r="C1713" t="s">
        <v>5</v>
      </c>
      <c r="D1713">
        <v>5.6</v>
      </c>
      <c r="E1713">
        <f>144853520/(1000)</f>
        <v>144853.51999999999</v>
      </c>
      <c r="F1713">
        <f>55859000/(1000)</f>
        <v>55859</v>
      </c>
      <c r="G1713">
        <f>-7034000/(1000)</f>
        <v>-7034</v>
      </c>
      <c r="H1713">
        <f>51842520/(1000)</f>
        <v>51842.52</v>
      </c>
      <c r="I1713">
        <f>-5356000/(1000)</f>
        <v>-5356</v>
      </c>
      <c r="J1713">
        <f t="shared" si="43"/>
        <v>-9.679335324869304E-3</v>
      </c>
      <c r="K1713">
        <f>-202999/(1000)</f>
        <v>-202.999</v>
      </c>
      <c r="L1713">
        <v>0</v>
      </c>
      <c r="M1713">
        <v>0</v>
      </c>
      <c r="N1713">
        <v>63.675693062765497</v>
      </c>
      <c r="O1713">
        <v>0</v>
      </c>
      <c r="P1713">
        <v>0</v>
      </c>
      <c r="Q1713">
        <v>1.37086899690038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55000000000000004">
      <c r="A1714" t="s">
        <v>3436</v>
      </c>
      <c r="B1714" t="s">
        <v>3437</v>
      </c>
      <c r="C1714" t="s">
        <v>5</v>
      </c>
      <c r="D1714">
        <v>4.9000000000000004</v>
      </c>
      <c r="E1714">
        <f>107612336/(1000)</f>
        <v>107612.336</v>
      </c>
      <c r="F1714">
        <f>55162000/(1000)</f>
        <v>55162</v>
      </c>
      <c r="G1714">
        <f>-7529000/(1000)</f>
        <v>-7529</v>
      </c>
      <c r="H1714">
        <f>79905336/(1000)</f>
        <v>79905.335999999996</v>
      </c>
      <c r="I1714">
        <f>-2020999.875/(1000)</f>
        <v>-2020.999875</v>
      </c>
      <c r="J1714">
        <f t="shared" si="43"/>
        <v>-3.9537526443439289E-2</v>
      </c>
      <c r="K1714">
        <f>-7005999/(1000)</f>
        <v>-7005.9989999999998</v>
      </c>
      <c r="L1714">
        <v>0</v>
      </c>
      <c r="M1714">
        <v>0</v>
      </c>
      <c r="N1714">
        <v>64.339280280028504</v>
      </c>
      <c r="O1714">
        <v>17.255342483520501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55000000000000004">
      <c r="A1715" t="s">
        <v>3438</v>
      </c>
      <c r="B1715" t="s">
        <v>3439</v>
      </c>
      <c r="C1715" t="s">
        <v>5</v>
      </c>
      <c r="D1715">
        <v>7.83</v>
      </c>
      <c r="E1715">
        <f>94631816/(1000)</f>
        <v>94631.816000000006</v>
      </c>
      <c r="F1715">
        <f>54970212/(1000)</f>
        <v>54970.212</v>
      </c>
      <c r="G1715">
        <f>12850000/(1000)</f>
        <v>12850</v>
      </c>
      <c r="H1715">
        <f>49154764/(1000)</f>
        <v>49154.764000000003</v>
      </c>
      <c r="I1715">
        <f>14067284/(1000)</f>
        <v>14067.284</v>
      </c>
      <c r="J1715">
        <f t="shared" si="43"/>
        <v>3.4942611523304718E-3</v>
      </c>
      <c r="K1715">
        <f>8387917.5/(1000)</f>
        <v>8387.9174999999996</v>
      </c>
      <c r="L1715">
        <v>0</v>
      </c>
      <c r="M1715">
        <v>9.1207714080810494</v>
      </c>
      <c r="N1715">
        <v>71.555047061125805</v>
      </c>
      <c r="O1715">
        <v>5.9826917648315403</v>
      </c>
      <c r="P1715">
        <v>0</v>
      </c>
      <c r="Q1715">
        <v>0</v>
      </c>
      <c r="R1715">
        <v>15.2393922017205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55000000000000004">
      <c r="A1716" t="s">
        <v>3440</v>
      </c>
      <c r="B1716" t="s">
        <v>3441</v>
      </c>
      <c r="C1716" t="s">
        <v>184</v>
      </c>
      <c r="D1716">
        <v>26.54</v>
      </c>
      <c r="E1716">
        <f>250349184/(1000)</f>
        <v>250349.18400000001</v>
      </c>
      <c r="F1716">
        <f>54770428/(1000)</f>
        <v>54770.428</v>
      </c>
      <c r="G1716">
        <f>0/(1000)</f>
        <v>0</v>
      </c>
      <c r="H1716">
        <f>0/(1000)</f>
        <v>0</v>
      </c>
      <c r="I1716">
        <f>0/(1000)</f>
        <v>0</v>
      </c>
      <c r="J1716">
        <f t="shared" si="43"/>
        <v>1</v>
      </c>
      <c r="K1716">
        <f>8848205/(1000)</f>
        <v>8848.2049999999999</v>
      </c>
      <c r="L1716">
        <v>18.350622177123999</v>
      </c>
      <c r="M1716">
        <v>9.8761205673217791</v>
      </c>
      <c r="N1716">
        <v>68.999986262415604</v>
      </c>
      <c r="O1716">
        <v>49.782295227050803</v>
      </c>
      <c r="P1716">
        <v>1.12000000476837</v>
      </c>
      <c r="Q1716">
        <v>0</v>
      </c>
      <c r="R1716">
        <v>33.175001267995697</v>
      </c>
      <c r="S1716">
        <v>32.279743992271499</v>
      </c>
      <c r="T1716">
        <v>0</v>
      </c>
      <c r="U1716">
        <v>0</v>
      </c>
      <c r="V1716">
        <v>0</v>
      </c>
      <c r="W1716">
        <v>0</v>
      </c>
    </row>
    <row r="1717" spans="1:23" x14ac:dyDescent="0.55000000000000004">
      <c r="A1717" t="s">
        <v>3442</v>
      </c>
      <c r="B1717" t="s">
        <v>3443</v>
      </c>
      <c r="C1717" t="s">
        <v>38</v>
      </c>
      <c r="D1717">
        <v>5.32</v>
      </c>
      <c r="E1717">
        <f>369013824/(1000)</f>
        <v>369013.82400000002</v>
      </c>
      <c r="F1717">
        <f>54698000/(1000)</f>
        <v>54698</v>
      </c>
      <c r="G1717">
        <f>-1454000/(1000)</f>
        <v>-1454</v>
      </c>
      <c r="H1717">
        <f>173550816/(1000)</f>
        <v>173550.81599999999</v>
      </c>
      <c r="I1717">
        <f>-373999.96875/(1000)</f>
        <v>-373.99996874999999</v>
      </c>
      <c r="J1717">
        <f t="shared" si="43"/>
        <v>-0.46403965374662881</v>
      </c>
      <c r="K1717">
        <f>123781001/(1000)</f>
        <v>123781.001</v>
      </c>
      <c r="L1717">
        <v>0</v>
      </c>
      <c r="M1717">
        <v>-4.2080368995666504</v>
      </c>
      <c r="N1717">
        <v>97.743045771965896</v>
      </c>
      <c r="O1717">
        <v>8.4132509231567401</v>
      </c>
      <c r="P1717">
        <v>0</v>
      </c>
      <c r="Q1717">
        <v>0</v>
      </c>
      <c r="R1717">
        <v>38.000000558793502</v>
      </c>
      <c r="S1717">
        <v>144.744731307888</v>
      </c>
      <c r="T1717">
        <v>0</v>
      </c>
      <c r="U1717">
        <v>0</v>
      </c>
      <c r="V1717">
        <v>0</v>
      </c>
      <c r="W1717">
        <v>0</v>
      </c>
    </row>
    <row r="1718" spans="1:23" x14ac:dyDescent="0.55000000000000004">
      <c r="A1718" t="s">
        <v>3444</v>
      </c>
      <c r="B1718" t="s">
        <v>3445</v>
      </c>
      <c r="C1718" t="s">
        <v>184</v>
      </c>
      <c r="D1718">
        <v>9.25</v>
      </c>
      <c r="E1718">
        <f>212750000/(1000)</f>
        <v>212750</v>
      </c>
      <c r="F1718">
        <f>54368000/(1000)</f>
        <v>54368</v>
      </c>
      <c r="G1718">
        <f>0/(1000)</f>
        <v>0</v>
      </c>
      <c r="H1718">
        <f>0/(1000)</f>
        <v>0</v>
      </c>
      <c r="I1718">
        <f>0/(1000)</f>
        <v>0</v>
      </c>
      <c r="J1718">
        <f t="shared" si="43"/>
        <v>1</v>
      </c>
      <c r="K1718">
        <f>-1291999/(1000)</f>
        <v>-1291.999</v>
      </c>
      <c r="L1718">
        <v>0</v>
      </c>
      <c r="M1718">
        <v>2.0056738853454599</v>
      </c>
      <c r="N1718">
        <v>43.795652173913098</v>
      </c>
      <c r="O1718">
        <v>31.574806213378899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55000000000000004">
      <c r="A1719" t="s">
        <v>3446</v>
      </c>
      <c r="B1719" t="s">
        <v>3447</v>
      </c>
      <c r="C1719" t="s">
        <v>31</v>
      </c>
      <c r="D1719">
        <v>10.51</v>
      </c>
      <c r="E1719">
        <f>429136960/(1000)</f>
        <v>429136.96</v>
      </c>
      <c r="F1719">
        <f>54203000/(1000)</f>
        <v>54203</v>
      </c>
      <c r="G1719">
        <f>69000/(1000)</f>
        <v>69</v>
      </c>
      <c r="H1719">
        <f>342139960/(1000)</f>
        <v>342139.96</v>
      </c>
      <c r="I1719">
        <f>6290000/(1000)</f>
        <v>6290</v>
      </c>
      <c r="J1719">
        <f t="shared" si="43"/>
        <v>5.4394270270270273E-2</v>
      </c>
      <c r="K1719">
        <f>1251001/(1000)</f>
        <v>1251.001</v>
      </c>
      <c r="L1719">
        <v>0</v>
      </c>
      <c r="M1719">
        <v>0</v>
      </c>
      <c r="N1719">
        <v>75.904026787048906</v>
      </c>
      <c r="O1719">
        <v>7.2999567985534703</v>
      </c>
      <c r="P1719">
        <v>0</v>
      </c>
      <c r="Q1719">
        <v>2.9605634845218298</v>
      </c>
      <c r="R1719">
        <v>47.342342763217601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55000000000000004">
      <c r="A1720" t="s">
        <v>3448</v>
      </c>
      <c r="B1720" t="s">
        <v>3449</v>
      </c>
      <c r="C1720" t="s">
        <v>31</v>
      </c>
      <c r="D1720">
        <v>18.350000000000001</v>
      </c>
      <c r="E1720">
        <f>323257248/(1000)</f>
        <v>323257.24800000002</v>
      </c>
      <c r="F1720">
        <f>53073000/(1000)</f>
        <v>53073</v>
      </c>
      <c r="G1720">
        <f>12208000/(1000)</f>
        <v>12208</v>
      </c>
      <c r="H1720">
        <f>232207248/(1000)</f>
        <v>232207.24799999999</v>
      </c>
      <c r="I1720">
        <f>15131000/(1000)</f>
        <v>15131</v>
      </c>
      <c r="J1720">
        <f t="shared" si="43"/>
        <v>1.5346457471416297E-2</v>
      </c>
      <c r="K1720">
        <f>-4504999/(1000)</f>
        <v>-4504.9989999999998</v>
      </c>
      <c r="L1720">
        <v>35.240482330322301</v>
      </c>
      <c r="M1720">
        <v>-14.884861946106</v>
      </c>
      <c r="N1720">
        <v>98.903852709658196</v>
      </c>
      <c r="O1720">
        <v>0</v>
      </c>
      <c r="P1720">
        <v>0</v>
      </c>
      <c r="Q1720">
        <v>2.52175795167101</v>
      </c>
      <c r="R1720">
        <v>30.583333893161701</v>
      </c>
      <c r="S1720">
        <v>29.269777864380401</v>
      </c>
      <c r="T1720">
        <v>0</v>
      </c>
      <c r="U1720">
        <v>0</v>
      </c>
      <c r="V1720">
        <v>0</v>
      </c>
      <c r="W1720">
        <v>0</v>
      </c>
    </row>
    <row r="1721" spans="1:23" x14ac:dyDescent="0.55000000000000004">
      <c r="A1721" t="s">
        <v>3450</v>
      </c>
      <c r="B1721" t="s">
        <v>3451</v>
      </c>
      <c r="C1721" t="s">
        <v>81</v>
      </c>
      <c r="D1721">
        <v>5.45</v>
      </c>
      <c r="E1721">
        <f>208306080/(1000)</f>
        <v>208306.08</v>
      </c>
      <c r="F1721">
        <f>52923000/(1000)</f>
        <v>52923</v>
      </c>
      <c r="G1721">
        <f>-25543000/(1000)</f>
        <v>-25543</v>
      </c>
      <c r="H1721">
        <f>150810076/(1000)</f>
        <v>150810.076</v>
      </c>
      <c r="I1721">
        <f>-24041000/(1000)</f>
        <v>-24041</v>
      </c>
      <c r="J1721">
        <f t="shared" si="43"/>
        <v>-6.2730367289214259E-3</v>
      </c>
      <c r="K1721">
        <f>-17300999/(1000)</f>
        <v>-17300.999</v>
      </c>
      <c r="L1721">
        <v>0</v>
      </c>
      <c r="M1721">
        <v>-10.1552410125732</v>
      </c>
      <c r="N1721">
        <v>97.112870914310605</v>
      </c>
      <c r="O1721">
        <v>0.25952100753784202</v>
      </c>
      <c r="P1721">
        <v>0</v>
      </c>
      <c r="Q1721">
        <v>0</v>
      </c>
      <c r="R1721">
        <v>0</v>
      </c>
      <c r="S1721">
        <v>-51.203702849977397</v>
      </c>
      <c r="T1721">
        <v>0</v>
      </c>
      <c r="U1721">
        <v>0</v>
      </c>
      <c r="V1721">
        <v>0</v>
      </c>
      <c r="W1721">
        <v>0</v>
      </c>
    </row>
    <row r="1722" spans="1:23" x14ac:dyDescent="0.55000000000000004">
      <c r="A1722" t="s">
        <v>3452</v>
      </c>
      <c r="B1722" t="s">
        <v>3453</v>
      </c>
      <c r="C1722" t="s">
        <v>38</v>
      </c>
      <c r="D1722">
        <v>2.2999999999999998</v>
      </c>
      <c r="E1722">
        <f>205419200/(1000)</f>
        <v>205419.2</v>
      </c>
      <c r="F1722">
        <f>52895000/(1000)</f>
        <v>52895</v>
      </c>
      <c r="G1722">
        <f>-19815000/(1000)</f>
        <v>-19815</v>
      </c>
      <c r="H1722">
        <f>222309200/(1000)</f>
        <v>222309.2</v>
      </c>
      <c r="I1722">
        <f>-15303000/(1000)</f>
        <v>-15303</v>
      </c>
      <c r="J1722">
        <f t="shared" si="43"/>
        <v>-1.452716460824675E-2</v>
      </c>
      <c r="K1722">
        <f>-26674999/(1000)</f>
        <v>-26674.999</v>
      </c>
      <c r="L1722">
        <v>0</v>
      </c>
      <c r="M1722">
        <v>-28.402929306030298</v>
      </c>
      <c r="N1722">
        <v>62.692428988807301</v>
      </c>
      <c r="O1722">
        <v>7.3138680458068803</v>
      </c>
      <c r="P1722">
        <v>0</v>
      </c>
      <c r="Q1722">
        <v>0</v>
      </c>
      <c r="R1722">
        <v>0</v>
      </c>
      <c r="S1722">
        <v>2.8705342383165799</v>
      </c>
      <c r="T1722">
        <v>0</v>
      </c>
      <c r="U1722">
        <v>0</v>
      </c>
      <c r="V1722">
        <v>0</v>
      </c>
      <c r="W1722">
        <v>0</v>
      </c>
    </row>
    <row r="1723" spans="1:23" x14ac:dyDescent="0.55000000000000004">
      <c r="A1723" t="s">
        <v>3454</v>
      </c>
      <c r="B1723" t="s">
        <v>3455</v>
      </c>
      <c r="C1723" t="s">
        <v>5</v>
      </c>
      <c r="D1723">
        <v>1.67</v>
      </c>
      <c r="E1723">
        <f>47791896/(1000)</f>
        <v>47791.896000000001</v>
      </c>
      <c r="F1723">
        <f>52344000/(1000)</f>
        <v>52344</v>
      </c>
      <c r="G1723">
        <f>-2948000/(1000)</f>
        <v>-2948</v>
      </c>
      <c r="H1723">
        <f>-14168104/(1000)</f>
        <v>-14168.103999999999</v>
      </c>
      <c r="I1723">
        <f>-2122000/(1000)</f>
        <v>-2122</v>
      </c>
      <c r="J1723">
        <f t="shared" si="43"/>
        <v>6.6767690857681434E-3</v>
      </c>
      <c r="K1723">
        <f>-4542999/(1000)</f>
        <v>-4542.9989999999998</v>
      </c>
      <c r="L1723">
        <v>0</v>
      </c>
      <c r="M1723">
        <v>0</v>
      </c>
      <c r="N1723">
        <v>74.200760260148897</v>
      </c>
      <c r="O1723">
        <v>0</v>
      </c>
      <c r="P1723">
        <v>0</v>
      </c>
      <c r="Q1723">
        <v>0.69294601560523705</v>
      </c>
      <c r="R1723">
        <v>20.8749999301508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55000000000000004">
      <c r="A1724" t="s">
        <v>3456</v>
      </c>
      <c r="B1724" t="s">
        <v>3457</v>
      </c>
      <c r="C1724" t="s">
        <v>401</v>
      </c>
      <c r="D1724">
        <v>10.84</v>
      </c>
      <c r="E1724">
        <f>170707232/(1000)</f>
        <v>170707.23199999999</v>
      </c>
      <c r="F1724">
        <f>51299000/(1000)</f>
        <v>51299</v>
      </c>
      <c r="G1724">
        <f>21838000/(1000)</f>
        <v>21838</v>
      </c>
      <c r="H1724">
        <f>391570224/(1000)</f>
        <v>391570.22399999999</v>
      </c>
      <c r="I1724">
        <f>37597000/(1000)</f>
        <v>37597</v>
      </c>
      <c r="J1724">
        <f t="shared" si="43"/>
        <v>1.0414932680799001E-2</v>
      </c>
      <c r="K1724">
        <f>12438001/(1000)</f>
        <v>12438.001</v>
      </c>
      <c r="L1724">
        <v>0</v>
      </c>
      <c r="M1724">
        <v>0.80633097887039196</v>
      </c>
      <c r="N1724">
        <v>76.861676750316605</v>
      </c>
      <c r="O1724">
        <v>135.98544311523401</v>
      </c>
      <c r="P1724">
        <v>1.29999995231628</v>
      </c>
      <c r="Q1724">
        <v>0</v>
      </c>
      <c r="R1724">
        <v>0</v>
      </c>
      <c r="S1724">
        <v>174.311534142559</v>
      </c>
      <c r="T1724">
        <v>0</v>
      </c>
      <c r="U1724">
        <v>0</v>
      </c>
      <c r="V1724">
        <v>0</v>
      </c>
      <c r="W1724">
        <v>0</v>
      </c>
    </row>
    <row r="1725" spans="1:23" x14ac:dyDescent="0.55000000000000004">
      <c r="A1725" t="s">
        <v>3458</v>
      </c>
      <c r="B1725" t="s">
        <v>3459</v>
      </c>
      <c r="C1725" t="s">
        <v>5</v>
      </c>
      <c r="D1725">
        <v>9.73</v>
      </c>
      <c r="E1725">
        <f>295575456/(1000)</f>
        <v>295575.45600000001</v>
      </c>
      <c r="F1725">
        <f>51199000/(1000)</f>
        <v>51199</v>
      </c>
      <c r="G1725">
        <f>-9254000/(1000)</f>
        <v>-9254</v>
      </c>
      <c r="H1725">
        <f>217891456/(1000)</f>
        <v>217891.45600000001</v>
      </c>
      <c r="I1725">
        <f>-8046000/(1000)</f>
        <v>-8046</v>
      </c>
      <c r="J1725">
        <f t="shared" si="43"/>
        <v>-2.708071787223465E-2</v>
      </c>
      <c r="K1725">
        <f>-6373999/(1000)</f>
        <v>-6373.9989999999998</v>
      </c>
      <c r="L1725">
        <v>0</v>
      </c>
      <c r="M1725">
        <v>0</v>
      </c>
      <c r="N1725">
        <v>51.765495395964003</v>
      </c>
      <c r="O1725">
        <v>0</v>
      </c>
      <c r="P1725">
        <v>0</v>
      </c>
      <c r="Q1725">
        <v>3.0734822791779401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55000000000000004">
      <c r="A1726" t="s">
        <v>3460</v>
      </c>
      <c r="B1726" t="s">
        <v>3461</v>
      </c>
      <c r="C1726" t="s">
        <v>5</v>
      </c>
      <c r="D1726">
        <v>10.72</v>
      </c>
      <c r="E1726">
        <f>186092768/(1000)</f>
        <v>186092.76800000001</v>
      </c>
      <c r="F1726">
        <f>51073000/(1000)</f>
        <v>51073</v>
      </c>
      <c r="G1726">
        <f>0/(1000)</f>
        <v>0</v>
      </c>
      <c r="H1726">
        <f>0/(1000)</f>
        <v>0</v>
      </c>
      <c r="I1726">
        <f>0/(1000)</f>
        <v>0</v>
      </c>
      <c r="J1726">
        <f t="shared" si="43"/>
        <v>1</v>
      </c>
      <c r="K1726">
        <f>5250001/(1000)</f>
        <v>5250.0010000000002</v>
      </c>
      <c r="L1726">
        <v>0</v>
      </c>
      <c r="M1726">
        <v>2.52026295661926</v>
      </c>
      <c r="N1726">
        <v>87.937948199849998</v>
      </c>
      <c r="O1726">
        <v>66.754714965820298</v>
      </c>
      <c r="P1726">
        <v>0.21999999880790699</v>
      </c>
      <c r="Q1726">
        <v>0</v>
      </c>
      <c r="R1726">
        <v>42.880001707077</v>
      </c>
      <c r="S1726">
        <v>34.106186324965897</v>
      </c>
      <c r="T1726">
        <v>0</v>
      </c>
      <c r="U1726">
        <v>0</v>
      </c>
      <c r="V1726">
        <v>0</v>
      </c>
      <c r="W1726">
        <v>0</v>
      </c>
    </row>
    <row r="1727" spans="1:23" x14ac:dyDescent="0.55000000000000004">
      <c r="A1727" t="s">
        <v>3462</v>
      </c>
      <c r="B1727" t="s">
        <v>3463</v>
      </c>
      <c r="C1727" t="s">
        <v>8</v>
      </c>
      <c r="D1727">
        <v>1.72</v>
      </c>
      <c r="E1727">
        <f>67576568/(1000)</f>
        <v>67576.567999999999</v>
      </c>
      <c r="F1727">
        <f>50984064/(1000)</f>
        <v>50984.063999999998</v>
      </c>
      <c r="G1727">
        <f>12243717/(1000)</f>
        <v>12243.717000000001</v>
      </c>
      <c r="H1727">
        <f>174369536/(1000)</f>
        <v>174369.53599999999</v>
      </c>
      <c r="I1727">
        <f>21508884/(1000)</f>
        <v>21508.883999999998</v>
      </c>
      <c r="J1727">
        <f t="shared" si="43"/>
        <v>8.1068611463058701E-3</v>
      </c>
      <c r="K1727">
        <f>-39546431/(1000)</f>
        <v>-39546.430999999997</v>
      </c>
      <c r="L1727">
        <v>0</v>
      </c>
      <c r="M1727">
        <v>2.4116730690002401</v>
      </c>
      <c r="N1727">
        <v>90.4993036320828</v>
      </c>
      <c r="O1727">
        <v>44.281238555908203</v>
      </c>
      <c r="P1727">
        <v>0</v>
      </c>
      <c r="Q1727">
        <v>0</v>
      </c>
      <c r="R1727">
        <v>4.9142858274129004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55000000000000004">
      <c r="A1728" t="s">
        <v>3464</v>
      </c>
      <c r="B1728" t="s">
        <v>3465</v>
      </c>
      <c r="C1728" t="s">
        <v>5</v>
      </c>
      <c r="D1728">
        <v>5.84</v>
      </c>
      <c r="E1728">
        <f>106082432/(1000)</f>
        <v>106082.432</v>
      </c>
      <c r="F1728">
        <f>50953000/(1000)</f>
        <v>50953</v>
      </c>
      <c r="G1728">
        <f>3783000/(1000)</f>
        <v>3783</v>
      </c>
      <c r="H1728">
        <f>70674432/(1000)</f>
        <v>70674.432000000001</v>
      </c>
      <c r="I1728">
        <f>5283000/(1000)</f>
        <v>5283</v>
      </c>
      <c r="J1728">
        <f t="shared" si="43"/>
        <v>1.3377708120386144E-2</v>
      </c>
      <c r="K1728">
        <f>859000.9375/(1000)</f>
        <v>859.00093749999996</v>
      </c>
      <c r="L1728">
        <v>0</v>
      </c>
      <c r="M1728">
        <v>5.4500541687011701</v>
      </c>
      <c r="N1728">
        <v>69.054432503215395</v>
      </c>
      <c r="O1728">
        <v>1.93120694160461</v>
      </c>
      <c r="P1728">
        <v>0</v>
      </c>
      <c r="Q1728">
        <v>0</v>
      </c>
      <c r="R1728">
        <v>38.933334253894003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55000000000000004">
      <c r="A1729" t="s">
        <v>3466</v>
      </c>
      <c r="B1729" t="s">
        <v>3467</v>
      </c>
      <c r="C1729" t="s">
        <v>38</v>
      </c>
      <c r="D1729">
        <v>24.73</v>
      </c>
      <c r="E1729">
        <f>1024032192/(1000)</f>
        <v>1024032.192</v>
      </c>
      <c r="F1729">
        <f>50897000/(1000)</f>
        <v>50897</v>
      </c>
      <c r="G1729">
        <f>-93177000/(1000)</f>
        <v>-93177</v>
      </c>
      <c r="H1729">
        <f>507815200/(1000)</f>
        <v>507815.2</v>
      </c>
      <c r="I1729">
        <f>-89095000/(1000)</f>
        <v>-89095</v>
      </c>
      <c r="J1729">
        <f t="shared" si="43"/>
        <v>-5.6997048094730354E-3</v>
      </c>
      <c r="K1729">
        <f>188730993/(1000)</f>
        <v>188730.99299999999</v>
      </c>
      <c r="L1729">
        <v>0</v>
      </c>
      <c r="M1729">
        <v>-42.696498870849602</v>
      </c>
      <c r="N1729">
        <v>83.883500819438794</v>
      </c>
      <c r="O1729">
        <v>3.3931150436401398</v>
      </c>
      <c r="P1729">
        <v>0</v>
      </c>
      <c r="Q1729">
        <v>4.6138057698184296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55000000000000004">
      <c r="A1730" t="s">
        <v>3468</v>
      </c>
      <c r="B1730" t="s">
        <v>3469</v>
      </c>
      <c r="C1730" t="s">
        <v>81</v>
      </c>
      <c r="D1730">
        <v>13.25</v>
      </c>
      <c r="E1730">
        <f>372648288/(1000)</f>
        <v>372648.288</v>
      </c>
      <c r="F1730">
        <f>50495000/(1000)</f>
        <v>50495</v>
      </c>
      <c r="G1730">
        <f>-5698000/(1000)</f>
        <v>-5698</v>
      </c>
      <c r="H1730">
        <f>266893288/(1000)</f>
        <v>266893.288</v>
      </c>
      <c r="I1730">
        <f>-3067000/(1000)</f>
        <v>-3067</v>
      </c>
      <c r="J1730">
        <f t="shared" ref="J1730:J1793" si="45">(IF(I1730=0,1000,H1730/I1730))/(1000)</f>
        <v>-8.7020961199869573E-2</v>
      </c>
      <c r="K1730">
        <f>-1397999/(1000)</f>
        <v>-1397.999</v>
      </c>
      <c r="L1730">
        <v>0</v>
      </c>
      <c r="M1730">
        <v>0</v>
      </c>
      <c r="N1730">
        <v>73.220053037971098</v>
      </c>
      <c r="O1730">
        <v>0</v>
      </c>
      <c r="P1730">
        <v>0</v>
      </c>
      <c r="Q1730">
        <v>0</v>
      </c>
      <c r="R1730">
        <v>441.66667653868598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55000000000000004">
      <c r="A1731" t="s">
        <v>3470</v>
      </c>
      <c r="B1731" t="s">
        <v>3471</v>
      </c>
      <c r="C1731" t="s">
        <v>38</v>
      </c>
      <c r="D1731">
        <v>1.4</v>
      </c>
      <c r="E1731">
        <f>191514688/(1000)</f>
        <v>191514.68799999999</v>
      </c>
      <c r="F1731">
        <f>50118000/(1000)</f>
        <v>50118</v>
      </c>
      <c r="G1731">
        <f>-74954000/(1000)</f>
        <v>-74954</v>
      </c>
      <c r="H1731">
        <f>112911688/(1000)</f>
        <v>112911.68799999999</v>
      </c>
      <c r="I1731">
        <f>-65692004/(1000)</f>
        <v>-65692.004000000001</v>
      </c>
      <c r="J1731">
        <f t="shared" si="45"/>
        <v>-1.7188041333006069E-3</v>
      </c>
      <c r="K1731">
        <f>-76222999/(1000)</f>
        <v>-76222.998999999996</v>
      </c>
      <c r="L1731">
        <v>0</v>
      </c>
      <c r="M1731">
        <v>-34.402473449707003</v>
      </c>
      <c r="N1731">
        <v>58.169231234626501</v>
      </c>
      <c r="O1731">
        <v>10.9477243423462</v>
      </c>
      <c r="P1731">
        <v>0</v>
      </c>
      <c r="Q1731">
        <v>1.08527133144028</v>
      </c>
      <c r="R1731">
        <v>0</v>
      </c>
      <c r="S1731">
        <v>42.380681818181799</v>
      </c>
      <c r="T1731">
        <v>0</v>
      </c>
      <c r="U1731">
        <v>0</v>
      </c>
      <c r="V1731">
        <v>0</v>
      </c>
      <c r="W1731">
        <v>0</v>
      </c>
    </row>
    <row r="1732" spans="1:23" x14ac:dyDescent="0.55000000000000004">
      <c r="A1732" t="s">
        <v>3472</v>
      </c>
      <c r="B1732" t="s">
        <v>3473</v>
      </c>
      <c r="C1732" t="s">
        <v>5</v>
      </c>
      <c r="D1732">
        <v>12.59</v>
      </c>
      <c r="E1732">
        <f>391167520/(1000)</f>
        <v>391167.52</v>
      </c>
      <c r="F1732">
        <f>49829000/(1000)</f>
        <v>49829</v>
      </c>
      <c r="G1732">
        <f>0/(1000)</f>
        <v>0</v>
      </c>
      <c r="H1732">
        <f>0/(1000)</f>
        <v>0</v>
      </c>
      <c r="I1732">
        <f>0/(1000)</f>
        <v>0</v>
      </c>
      <c r="J1732">
        <f t="shared" si="45"/>
        <v>1</v>
      </c>
      <c r="K1732">
        <f>5869001/(1000)</f>
        <v>5869.0010000000002</v>
      </c>
      <c r="L1732">
        <v>0</v>
      </c>
      <c r="M1732">
        <v>3.1861739158630402</v>
      </c>
      <c r="N1732">
        <v>23.538688636359002</v>
      </c>
      <c r="O1732">
        <v>13.227779388427701</v>
      </c>
      <c r="P1732">
        <v>0.31999999284744302</v>
      </c>
      <c r="Q1732">
        <v>0</v>
      </c>
      <c r="R1732">
        <v>78.687501796433907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55000000000000004">
      <c r="A1733" t="s">
        <v>3474</v>
      </c>
      <c r="B1733" t="s">
        <v>3475</v>
      </c>
      <c r="C1733" t="s">
        <v>5</v>
      </c>
      <c r="D1733">
        <v>18.739999999999998</v>
      </c>
      <c r="E1733">
        <f>225230432/(1000)</f>
        <v>225230.432</v>
      </c>
      <c r="F1733">
        <f>49800000/(1000)</f>
        <v>49800</v>
      </c>
      <c r="G1733">
        <f>7194000/(1000)</f>
        <v>7194</v>
      </c>
      <c r="H1733">
        <f>172737432/(1000)</f>
        <v>172737.432</v>
      </c>
      <c r="I1733">
        <f>7670000/(1000)</f>
        <v>7670</v>
      </c>
      <c r="J1733">
        <f t="shared" si="45"/>
        <v>2.2521177574967407E-2</v>
      </c>
      <c r="K1733">
        <f>6772001/(1000)</f>
        <v>6772.0010000000002</v>
      </c>
      <c r="L1733">
        <v>0</v>
      </c>
      <c r="M1733">
        <v>12.991051673889199</v>
      </c>
      <c r="N1733">
        <v>93.342876770677606</v>
      </c>
      <c r="O1733">
        <v>0</v>
      </c>
      <c r="P1733">
        <v>0</v>
      </c>
      <c r="Q1733">
        <v>0</v>
      </c>
      <c r="R1733">
        <v>0</v>
      </c>
      <c r="S1733">
        <v>-14.121643760023399</v>
      </c>
      <c r="T1733">
        <v>0</v>
      </c>
      <c r="U1733">
        <v>0</v>
      </c>
      <c r="V1733">
        <v>0</v>
      </c>
      <c r="W1733">
        <v>0</v>
      </c>
    </row>
    <row r="1734" spans="1:23" x14ac:dyDescent="0.55000000000000004">
      <c r="A1734" t="s">
        <v>3476</v>
      </c>
      <c r="B1734" t="s">
        <v>3477</v>
      </c>
      <c r="C1734" t="s">
        <v>38</v>
      </c>
      <c r="D1734">
        <v>9.31</v>
      </c>
      <c r="E1734">
        <f>604721792/(1000)</f>
        <v>604721.79200000002</v>
      </c>
      <c r="F1734">
        <f>49768000/(1000)</f>
        <v>49768</v>
      </c>
      <c r="G1734">
        <f>21555000/(1000)</f>
        <v>21555</v>
      </c>
      <c r="H1734">
        <f>563802792/(1000)</f>
        <v>563802.79200000002</v>
      </c>
      <c r="I1734">
        <f>22053000/(1000)</f>
        <v>22053</v>
      </c>
      <c r="J1734">
        <f t="shared" si="45"/>
        <v>2.5565809277649301E-2</v>
      </c>
      <c r="K1734">
        <f>9997001/(1000)</f>
        <v>9997.0010000000002</v>
      </c>
      <c r="L1734">
        <v>0</v>
      </c>
      <c r="M1734">
        <v>100.04116821289099</v>
      </c>
      <c r="N1734">
        <v>81.985402051364304</v>
      </c>
      <c r="O1734">
        <v>0</v>
      </c>
      <c r="P1734">
        <v>0</v>
      </c>
      <c r="Q1734">
        <v>0</v>
      </c>
      <c r="R1734">
        <v>17.90384723272</v>
      </c>
      <c r="S1734">
        <v>239.088369557812</v>
      </c>
      <c r="T1734">
        <v>0</v>
      </c>
      <c r="U1734">
        <v>0</v>
      </c>
      <c r="V1734">
        <v>0</v>
      </c>
      <c r="W1734">
        <v>0</v>
      </c>
    </row>
    <row r="1735" spans="1:23" x14ac:dyDescent="0.55000000000000004">
      <c r="A1735" t="s">
        <v>3478</v>
      </c>
      <c r="B1735" t="s">
        <v>3479</v>
      </c>
      <c r="C1735" t="s">
        <v>17</v>
      </c>
      <c r="D1735">
        <v>15.99</v>
      </c>
      <c r="E1735">
        <f>253999552/(1000)</f>
        <v>253999.552</v>
      </c>
      <c r="F1735">
        <f>49318308/(1000)</f>
        <v>49318.307999999997</v>
      </c>
      <c r="G1735">
        <f>18613786/(1000)</f>
        <v>18613.786</v>
      </c>
      <c r="H1735">
        <f>203051024/(1000)</f>
        <v>203051.024</v>
      </c>
      <c r="I1735">
        <f>19056850/(1000)</f>
        <v>19056.849999999999</v>
      </c>
      <c r="J1735">
        <f t="shared" si="45"/>
        <v>1.0655015073320093E-2</v>
      </c>
      <c r="K1735">
        <f>9379032/(1000)</f>
        <v>9379.0319999999992</v>
      </c>
      <c r="L1735">
        <v>0</v>
      </c>
      <c r="M1735">
        <v>64.879989624023395</v>
      </c>
      <c r="N1735">
        <v>39.480260897155901</v>
      </c>
      <c r="O1735">
        <v>0</v>
      </c>
      <c r="P1735">
        <v>0</v>
      </c>
      <c r="Q1735">
        <v>0</v>
      </c>
      <c r="R1735">
        <v>9.9316767882263299</v>
      </c>
      <c r="S1735">
        <v>0</v>
      </c>
      <c r="T1735">
        <v>0</v>
      </c>
      <c r="U1735">
        <v>0</v>
      </c>
      <c r="V1735">
        <v>0</v>
      </c>
      <c r="W1735">
        <v>0</v>
      </c>
    </row>
    <row r="1736" spans="1:23" x14ac:dyDescent="0.55000000000000004">
      <c r="A1736" t="s">
        <v>3480</v>
      </c>
      <c r="B1736" t="s">
        <v>3481</v>
      </c>
      <c r="C1736" t="s">
        <v>184</v>
      </c>
      <c r="D1736">
        <v>8.3699999999999992</v>
      </c>
      <c r="E1736">
        <f>181028032/(1000)</f>
        <v>181028.03200000001</v>
      </c>
      <c r="F1736">
        <f>49228828/(1000)</f>
        <v>49228.828000000001</v>
      </c>
      <c r="G1736">
        <f>38265360/(1000)</f>
        <v>38265.360000000001</v>
      </c>
      <c r="H1736">
        <f>296499856/(1000)</f>
        <v>296499.85600000003</v>
      </c>
      <c r="I1736">
        <f>38265360/(1000)</f>
        <v>38265.360000000001</v>
      </c>
      <c r="J1736">
        <f t="shared" si="45"/>
        <v>7.7485186602190602E-3</v>
      </c>
      <c r="K1736">
        <f>-95043151/(1000)</f>
        <v>-95043.150999999998</v>
      </c>
      <c r="L1736">
        <v>0</v>
      </c>
      <c r="M1736">
        <v>12.5093069076538</v>
      </c>
      <c r="N1736">
        <v>96.510109429012402</v>
      </c>
      <c r="O1736">
        <v>86.310462951660199</v>
      </c>
      <c r="P1736">
        <v>1.6399999856948899</v>
      </c>
      <c r="Q1736">
        <v>0</v>
      </c>
      <c r="R1736">
        <v>9.6206894709012207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55000000000000004">
      <c r="A1737" t="s">
        <v>3482</v>
      </c>
      <c r="B1737" t="s">
        <v>3483</v>
      </c>
      <c r="C1737" t="s">
        <v>94</v>
      </c>
      <c r="D1737">
        <v>12.5</v>
      </c>
      <c r="E1737">
        <f>181613760/(1000)</f>
        <v>181613.76</v>
      </c>
      <c r="F1737">
        <f>49149848/(1000)</f>
        <v>49149.847999999998</v>
      </c>
      <c r="G1737">
        <f>9205918/(1000)</f>
        <v>9205.9179999999997</v>
      </c>
      <c r="H1737">
        <f>171995180/(1000)</f>
        <v>171995.18</v>
      </c>
      <c r="I1737">
        <f>15127789/(1000)</f>
        <v>15127.789000000001</v>
      </c>
      <c r="J1737">
        <f t="shared" si="45"/>
        <v>1.1369485653190958E-2</v>
      </c>
      <c r="K1737">
        <f>1456078/(1000)</f>
        <v>1456.078</v>
      </c>
      <c r="L1737">
        <v>34.722537994384801</v>
      </c>
      <c r="M1737">
        <v>10.1603345870972</v>
      </c>
      <c r="N1737">
        <v>89.874800395356303</v>
      </c>
      <c r="O1737">
        <v>19.535524368286101</v>
      </c>
      <c r="P1737">
        <v>0.259999990463257</v>
      </c>
      <c r="Q1737">
        <v>1.4156285513028199</v>
      </c>
      <c r="R1737">
        <v>22.321428476395699</v>
      </c>
      <c r="S1737">
        <v>304.37240221808997</v>
      </c>
      <c r="T1737">
        <v>0</v>
      </c>
      <c r="U1737">
        <v>0</v>
      </c>
      <c r="V1737">
        <v>0</v>
      </c>
      <c r="W1737">
        <v>0</v>
      </c>
    </row>
    <row r="1738" spans="1:23" x14ac:dyDescent="0.55000000000000004">
      <c r="A1738" t="s">
        <v>3484</v>
      </c>
      <c r="B1738" t="s">
        <v>3485</v>
      </c>
      <c r="C1738" t="s">
        <v>38</v>
      </c>
      <c r="D1738">
        <v>28.96</v>
      </c>
      <c r="E1738">
        <f>193939328/(1000)</f>
        <v>193939.32800000001</v>
      </c>
      <c r="F1738">
        <f>48922884/(1000)</f>
        <v>48922.883999999998</v>
      </c>
      <c r="G1738">
        <f>11365548/(1000)</f>
        <v>11365.548000000001</v>
      </c>
      <c r="H1738">
        <f>193501275/(1000)</f>
        <v>193501.27499999999</v>
      </c>
      <c r="I1738">
        <f>13948414/(1000)</f>
        <v>13948.414000000001</v>
      </c>
      <c r="J1738">
        <f t="shared" si="45"/>
        <v>1.3872636344175042E-2</v>
      </c>
      <c r="K1738">
        <f>12609911/(1000)</f>
        <v>12609.911</v>
      </c>
      <c r="L1738">
        <v>25.1290397644043</v>
      </c>
      <c r="M1738">
        <v>17.305860519409201</v>
      </c>
      <c r="N1738">
        <v>24.928323112275201</v>
      </c>
      <c r="O1738">
        <v>7.07875299453735</v>
      </c>
      <c r="P1738">
        <v>0.56000000238418601</v>
      </c>
      <c r="Q1738">
        <v>0</v>
      </c>
      <c r="R1738">
        <v>29.8556696545851</v>
      </c>
      <c r="S1738">
        <v>118.52865451101999</v>
      </c>
      <c r="T1738">
        <v>0</v>
      </c>
      <c r="U1738">
        <v>0</v>
      </c>
      <c r="V1738">
        <v>0</v>
      </c>
      <c r="W1738">
        <v>0</v>
      </c>
    </row>
    <row r="1739" spans="1:23" x14ac:dyDescent="0.55000000000000004">
      <c r="A1739" t="s">
        <v>3486</v>
      </c>
      <c r="B1739" t="s">
        <v>3487</v>
      </c>
      <c r="C1739" t="s">
        <v>5</v>
      </c>
      <c r="D1739">
        <v>3.6</v>
      </c>
      <c r="E1739">
        <f>203839920/(1000)</f>
        <v>203839.92</v>
      </c>
      <c r="F1739">
        <f>48665000/(1000)</f>
        <v>48665</v>
      </c>
      <c r="G1739">
        <f>-65877000/(1000)</f>
        <v>-65877</v>
      </c>
      <c r="H1739">
        <f>176542922/(1000)</f>
        <v>176542.92199999999</v>
      </c>
      <c r="I1739">
        <f>-63205000/(1000)</f>
        <v>-63205</v>
      </c>
      <c r="J1739">
        <f t="shared" si="45"/>
        <v>-2.7931796851514909E-3</v>
      </c>
      <c r="K1739">
        <f>-53838999/(1000)</f>
        <v>-53838.999000000003</v>
      </c>
      <c r="L1739">
        <v>0</v>
      </c>
      <c r="M1739">
        <v>-74.960006713867202</v>
      </c>
      <c r="N1739">
        <v>98.966129871179803</v>
      </c>
      <c r="O1739">
        <v>62.928466796875</v>
      </c>
      <c r="P1739">
        <v>0</v>
      </c>
      <c r="Q1739">
        <v>4.2187515541451601</v>
      </c>
      <c r="R1739">
        <v>0</v>
      </c>
      <c r="S1739">
        <v>896.62092975629696</v>
      </c>
      <c r="T1739">
        <v>0</v>
      </c>
      <c r="U1739">
        <v>0</v>
      </c>
      <c r="V1739">
        <v>0</v>
      </c>
      <c r="W1739">
        <v>0</v>
      </c>
    </row>
    <row r="1740" spans="1:23" x14ac:dyDescent="0.55000000000000004">
      <c r="A1740" t="s">
        <v>3488</v>
      </c>
      <c r="B1740" t="s">
        <v>3489</v>
      </c>
      <c r="C1740" t="s">
        <v>5</v>
      </c>
      <c r="D1740">
        <v>0.28999999999999998</v>
      </c>
      <c r="E1740">
        <f>34531224/(1000)</f>
        <v>34531.224000000002</v>
      </c>
      <c r="F1740">
        <f>48657000/(1000)</f>
        <v>48657</v>
      </c>
      <c r="G1740">
        <f>-204220992/(1000)</f>
        <v>-204220.992</v>
      </c>
      <c r="H1740">
        <f>42605225.5/(1000)</f>
        <v>42605.2255</v>
      </c>
      <c r="I1740">
        <f>-195838000/(1000)</f>
        <v>-195838</v>
      </c>
      <c r="J1740">
        <f t="shared" si="45"/>
        <v>-2.1755341404630359E-4</v>
      </c>
      <c r="K1740">
        <f>-105039999/(1000)</f>
        <v>-105039.999</v>
      </c>
      <c r="L1740">
        <v>0</v>
      </c>
      <c r="M1740">
        <v>-150.67265319824199</v>
      </c>
      <c r="N1740">
        <v>92.696339145410604</v>
      </c>
      <c r="O1740">
        <v>209.79249572753901</v>
      </c>
      <c r="P1740">
        <v>0</v>
      </c>
      <c r="Q1740">
        <v>0</v>
      </c>
      <c r="R1740">
        <v>0</v>
      </c>
      <c r="S1740">
        <v>842.96511627907</v>
      </c>
      <c r="T1740">
        <v>0</v>
      </c>
      <c r="U1740">
        <v>0</v>
      </c>
      <c r="V1740">
        <v>0</v>
      </c>
      <c r="W1740">
        <v>0</v>
      </c>
    </row>
    <row r="1741" spans="1:23" x14ac:dyDescent="0.55000000000000004">
      <c r="A1741" t="s">
        <v>3490</v>
      </c>
      <c r="B1741" t="s">
        <v>3491</v>
      </c>
      <c r="C1741" t="s">
        <v>8</v>
      </c>
      <c r="D1741">
        <v>0.72</v>
      </c>
      <c r="E1741">
        <f>35466120/(1000)</f>
        <v>35466.120000000003</v>
      </c>
      <c r="F1741">
        <f>48309000/(1000)</f>
        <v>48309</v>
      </c>
      <c r="G1741">
        <f>15524000/(1000)</f>
        <v>15524</v>
      </c>
      <c r="H1741">
        <f>214963112/(1000)</f>
        <v>214963.11199999999</v>
      </c>
      <c r="I1741">
        <f>29816000/(1000)</f>
        <v>29816</v>
      </c>
      <c r="J1741">
        <f t="shared" si="45"/>
        <v>7.2096562919237986E-3</v>
      </c>
      <c r="K1741">
        <f>-8575999/(1000)</f>
        <v>-8575.9989999999998</v>
      </c>
      <c r="L1741">
        <v>0</v>
      </c>
      <c r="M1741">
        <v>0</v>
      </c>
      <c r="N1741">
        <v>89.469027202423604</v>
      </c>
      <c r="O1741">
        <v>57.849365234375</v>
      </c>
      <c r="P1741">
        <v>0</v>
      </c>
      <c r="Q1741">
        <v>0</v>
      </c>
      <c r="R1741">
        <v>72.000044703509602</v>
      </c>
      <c r="S1741">
        <v>-11.065905743740799</v>
      </c>
      <c r="T1741">
        <v>0</v>
      </c>
      <c r="U1741">
        <v>0</v>
      </c>
      <c r="V1741">
        <v>0</v>
      </c>
      <c r="W1741">
        <v>0</v>
      </c>
    </row>
    <row r="1742" spans="1:23" x14ac:dyDescent="0.55000000000000004">
      <c r="A1742" t="s">
        <v>3492</v>
      </c>
      <c r="B1742" t="s">
        <v>3493</v>
      </c>
      <c r="C1742" t="s">
        <v>31</v>
      </c>
      <c r="D1742">
        <v>2.23</v>
      </c>
      <c r="E1742">
        <f>103325488/(1000)</f>
        <v>103325.488</v>
      </c>
      <c r="F1742">
        <f>47802000/(1000)</f>
        <v>47802</v>
      </c>
      <c r="G1742">
        <f>-27224000/(1000)</f>
        <v>-27224</v>
      </c>
      <c r="H1742">
        <f>27256488/(1000)</f>
        <v>27256.488000000001</v>
      </c>
      <c r="I1742">
        <f>-23136002/(1000)</f>
        <v>-23136.002</v>
      </c>
      <c r="J1742">
        <f t="shared" si="45"/>
        <v>-1.1780984458766904E-3</v>
      </c>
      <c r="K1742">
        <f>-12885999/(1000)</f>
        <v>-12885.999</v>
      </c>
      <c r="L1742">
        <v>0</v>
      </c>
      <c r="M1742">
        <v>-16.8681545257568</v>
      </c>
      <c r="N1742">
        <v>90.644509786922896</v>
      </c>
      <c r="O1742">
        <v>0</v>
      </c>
      <c r="P1742">
        <v>0</v>
      </c>
      <c r="Q1742">
        <v>0.97592994980689096</v>
      </c>
      <c r="R1742">
        <v>0</v>
      </c>
      <c r="S1742">
        <v>16.137026239067101</v>
      </c>
      <c r="T1742">
        <v>0</v>
      </c>
      <c r="U1742">
        <v>0</v>
      </c>
      <c r="V1742">
        <v>0</v>
      </c>
      <c r="W1742">
        <v>0</v>
      </c>
    </row>
    <row r="1743" spans="1:23" x14ac:dyDescent="0.55000000000000004">
      <c r="A1743" t="s">
        <v>3494</v>
      </c>
      <c r="B1743" t="s">
        <v>3495</v>
      </c>
      <c r="C1743" t="s">
        <v>184</v>
      </c>
      <c r="D1743">
        <v>2.97</v>
      </c>
      <c r="E1743">
        <f>236551888/(1000)</f>
        <v>236551.88800000001</v>
      </c>
      <c r="F1743">
        <f>47111000/(1000)</f>
        <v>47111</v>
      </c>
      <c r="G1743">
        <f>-21900000/(1000)</f>
        <v>-21900</v>
      </c>
      <c r="H1743">
        <f>578681872/(1000)</f>
        <v>578681.87199999997</v>
      </c>
      <c r="I1743">
        <f>-19676000/(1000)</f>
        <v>-19676</v>
      </c>
      <c r="J1743">
        <f t="shared" si="45"/>
        <v>-2.9410544419597479E-2</v>
      </c>
      <c r="K1743">
        <f>135592001/(1000)</f>
        <v>135592.00099999999</v>
      </c>
      <c r="L1743">
        <v>0</v>
      </c>
      <c r="M1743">
        <v>-29.081619262695298</v>
      </c>
      <c r="N1743">
        <v>40.350369378624798</v>
      </c>
      <c r="O1743">
        <v>202.64141845703099</v>
      </c>
      <c r="P1743">
        <v>0</v>
      </c>
      <c r="Q1743">
        <v>0</v>
      </c>
      <c r="R1743">
        <v>0</v>
      </c>
      <c r="S1743">
        <v>-73.981310682292602</v>
      </c>
      <c r="T1743">
        <v>0</v>
      </c>
      <c r="U1743">
        <v>0</v>
      </c>
      <c r="V1743">
        <v>0</v>
      </c>
      <c r="W1743">
        <v>0</v>
      </c>
    </row>
    <row r="1744" spans="1:23" x14ac:dyDescent="0.55000000000000004">
      <c r="A1744" t="s">
        <v>3496</v>
      </c>
      <c r="B1744" t="s">
        <v>3497</v>
      </c>
      <c r="C1744" t="s">
        <v>5</v>
      </c>
      <c r="D1744">
        <v>7.49</v>
      </c>
      <c r="E1744">
        <f>189437840/(1000)</f>
        <v>189437.84</v>
      </c>
      <c r="F1744">
        <f>46901000/(1000)</f>
        <v>46901</v>
      </c>
      <c r="G1744">
        <f>-3441000/(1000)</f>
        <v>-3441</v>
      </c>
      <c r="H1744">
        <f>131970840/(1000)</f>
        <v>131970.84</v>
      </c>
      <c r="I1744">
        <f>-286999.9375/(1000)</f>
        <v>-286.99993749999999</v>
      </c>
      <c r="J1744">
        <f t="shared" si="45"/>
        <v>-0.45982881093832995</v>
      </c>
      <c r="K1744">
        <f>10405001/(1000)</f>
        <v>10405.001</v>
      </c>
      <c r="L1744">
        <v>0</v>
      </c>
      <c r="M1744">
        <v>-1.3016760349273699</v>
      </c>
      <c r="N1744">
        <v>54.144572847840699</v>
      </c>
      <c r="O1744">
        <v>0</v>
      </c>
      <c r="P1744">
        <v>0</v>
      </c>
      <c r="Q1744">
        <v>0</v>
      </c>
      <c r="R1744">
        <v>748.99957531713403</v>
      </c>
      <c r="S1744">
        <v>119.23526387136</v>
      </c>
      <c r="T1744">
        <v>0</v>
      </c>
      <c r="U1744">
        <v>0</v>
      </c>
      <c r="V1744">
        <v>0</v>
      </c>
      <c r="W1744">
        <v>0</v>
      </c>
    </row>
    <row r="1745" spans="1:23" x14ac:dyDescent="0.55000000000000004">
      <c r="A1745" t="s">
        <v>3498</v>
      </c>
      <c r="B1745" t="s">
        <v>3499</v>
      </c>
      <c r="C1745" t="s">
        <v>5</v>
      </c>
      <c r="D1745">
        <v>6.81</v>
      </c>
      <c r="E1745">
        <f>187864736/(1000)</f>
        <v>187864.736</v>
      </c>
      <c r="F1745">
        <f>46753836/(1000)</f>
        <v>46753.836000000003</v>
      </c>
      <c r="G1745">
        <f>14886430/(1000)</f>
        <v>14886.43</v>
      </c>
      <c r="H1745">
        <f>166059396/(1000)</f>
        <v>166059.39600000001</v>
      </c>
      <c r="I1745">
        <f>15496291/(1000)</f>
        <v>15496.290999999999</v>
      </c>
      <c r="J1745">
        <f t="shared" si="45"/>
        <v>1.0716073672080629E-2</v>
      </c>
      <c r="K1745">
        <f>6354059.5/(1000)</f>
        <v>6354.0595000000003</v>
      </c>
      <c r="L1745">
        <v>0</v>
      </c>
      <c r="M1745">
        <v>44.693050384521499</v>
      </c>
      <c r="N1745">
        <v>41.360661585169602</v>
      </c>
      <c r="O1745">
        <v>0</v>
      </c>
      <c r="P1745">
        <v>0</v>
      </c>
      <c r="Q1745">
        <v>0</v>
      </c>
      <c r="R1745">
        <v>8.7307691440662207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55000000000000004">
      <c r="A1746" t="s">
        <v>3500</v>
      </c>
      <c r="B1746" t="s">
        <v>3501</v>
      </c>
      <c r="C1746" t="s">
        <v>5</v>
      </c>
      <c r="D1746">
        <v>0.98</v>
      </c>
      <c r="E1746">
        <f>57798144/(1000)</f>
        <v>57798.144</v>
      </c>
      <c r="F1746">
        <f>45932000/(1000)</f>
        <v>45932</v>
      </c>
      <c r="G1746">
        <f>-63601000/(1000)</f>
        <v>-63601</v>
      </c>
      <c r="H1746">
        <f>600300160/(1000)</f>
        <v>600300.16</v>
      </c>
      <c r="I1746">
        <f>-49422000/(1000)</f>
        <v>-49422</v>
      </c>
      <c r="J1746">
        <f t="shared" si="45"/>
        <v>-1.2146415766257941E-2</v>
      </c>
      <c r="K1746">
        <f>-314888991/(1000)</f>
        <v>-314888.99099999998</v>
      </c>
      <c r="L1746">
        <v>0</v>
      </c>
      <c r="M1746">
        <v>0</v>
      </c>
      <c r="N1746">
        <v>85.105727440954894</v>
      </c>
      <c r="O1746">
        <v>0</v>
      </c>
      <c r="P1746">
        <v>0</v>
      </c>
      <c r="Q1746">
        <v>0</v>
      </c>
      <c r="R1746">
        <v>0.14848485150886701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55000000000000004">
      <c r="A1747" t="s">
        <v>3502</v>
      </c>
      <c r="B1747" t="s">
        <v>3503</v>
      </c>
      <c r="C1747" t="s">
        <v>5</v>
      </c>
      <c r="D1747">
        <v>0.44</v>
      </c>
      <c r="E1747">
        <f>20274540/(1000)</f>
        <v>20274.54</v>
      </c>
      <c r="F1747">
        <f>44663000/(1000)</f>
        <v>44663</v>
      </c>
      <c r="G1747">
        <f>5896000/(1000)</f>
        <v>5896</v>
      </c>
      <c r="H1747">
        <f>97138540/(1000)</f>
        <v>97138.54</v>
      </c>
      <c r="I1747">
        <f>10905000/(1000)</f>
        <v>10905</v>
      </c>
      <c r="J1747">
        <f t="shared" si="45"/>
        <v>8.9077065566254016E-3</v>
      </c>
      <c r="K1747">
        <f>-70722999/(1000)</f>
        <v>-70722.998999999996</v>
      </c>
      <c r="L1747">
        <v>0</v>
      </c>
      <c r="M1747">
        <v>-28.293922424316399</v>
      </c>
      <c r="N1747">
        <v>90.868628652786796</v>
      </c>
      <c r="O1747">
        <v>57.005027770996101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55000000000000004">
      <c r="A1748" t="s">
        <v>3504</v>
      </c>
      <c r="B1748" t="s">
        <v>3505</v>
      </c>
      <c r="C1748" t="s">
        <v>5</v>
      </c>
      <c r="D1748">
        <v>9.99</v>
      </c>
      <c r="E1748">
        <f>152862992/(1000)</f>
        <v>152862.992</v>
      </c>
      <c r="F1748">
        <f>44336000/(1000)</f>
        <v>44336</v>
      </c>
      <c r="G1748">
        <f>-49137000/(1000)</f>
        <v>-49137</v>
      </c>
      <c r="H1748">
        <f>42185992/(1000)</f>
        <v>42185.991999999998</v>
      </c>
      <c r="I1748">
        <f>-48523000/(1000)</f>
        <v>-48523</v>
      </c>
      <c r="J1748">
        <f t="shared" si="45"/>
        <v>-8.6940197432145577E-4</v>
      </c>
      <c r="K1748">
        <f>-49063999/(1000)</f>
        <v>-49063.999000000003</v>
      </c>
      <c r="L1748">
        <v>0</v>
      </c>
      <c r="M1748">
        <v>-42.836826324462898</v>
      </c>
      <c r="N1748">
        <v>90.738220748274301</v>
      </c>
      <c r="O1748">
        <v>0.167487993836403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55000000000000004">
      <c r="A1749" t="s">
        <v>3506</v>
      </c>
      <c r="B1749" t="s">
        <v>3507</v>
      </c>
      <c r="C1749" t="s">
        <v>31</v>
      </c>
      <c r="D1749">
        <v>23.9</v>
      </c>
      <c r="E1749">
        <f>238545904/(1000)</f>
        <v>238545.90400000001</v>
      </c>
      <c r="F1749">
        <f>42841000/(1000)</f>
        <v>42841</v>
      </c>
      <c r="G1749">
        <f>12801000/(1000)</f>
        <v>12801</v>
      </c>
      <c r="H1749">
        <f>281756904/(1000)</f>
        <v>281756.90399999998</v>
      </c>
      <c r="I1749">
        <f>15400000/(1000)</f>
        <v>15400</v>
      </c>
      <c r="J1749">
        <f t="shared" si="45"/>
        <v>1.8295902857142856E-2</v>
      </c>
      <c r="K1749">
        <f>12717001/(1000)</f>
        <v>12717.001</v>
      </c>
      <c r="L1749">
        <v>0</v>
      </c>
      <c r="M1749">
        <v>29.356138229370099</v>
      </c>
      <c r="N1749">
        <v>74.9654347263387</v>
      </c>
      <c r="O1749">
        <v>60.9486694335938</v>
      </c>
      <c r="P1749">
        <v>0</v>
      </c>
      <c r="Q1749">
        <v>0</v>
      </c>
      <c r="R1749">
        <v>11.792762886430999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55000000000000004">
      <c r="A1750" t="s">
        <v>3508</v>
      </c>
      <c r="B1750" t="s">
        <v>3509</v>
      </c>
      <c r="C1750" t="s">
        <v>184</v>
      </c>
      <c r="D1750">
        <v>11</v>
      </c>
      <c r="E1750">
        <f>155428896/(1000)</f>
        <v>155428.89600000001</v>
      </c>
      <c r="F1750">
        <f>42783000/(1000)</f>
        <v>42783</v>
      </c>
      <c r="G1750">
        <f>0/(1000)</f>
        <v>0</v>
      </c>
      <c r="H1750">
        <f>0/(1000)</f>
        <v>0</v>
      </c>
      <c r="I1750">
        <f>0/(1000)</f>
        <v>0</v>
      </c>
      <c r="J1750">
        <f t="shared" si="45"/>
        <v>1</v>
      </c>
      <c r="K1750">
        <f>2173001/(1000)</f>
        <v>2173.0010000000002</v>
      </c>
      <c r="L1750">
        <v>0</v>
      </c>
      <c r="M1750">
        <v>1.55635094642639</v>
      </c>
      <c r="N1750">
        <v>39.265670729361503</v>
      </c>
      <c r="O1750">
        <v>81.718704223632798</v>
      </c>
      <c r="P1750">
        <v>0</v>
      </c>
      <c r="Q1750">
        <v>0</v>
      </c>
      <c r="R1750">
        <v>91.666667292722394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55000000000000004">
      <c r="A1751" t="s">
        <v>3510</v>
      </c>
      <c r="B1751" t="s">
        <v>3511</v>
      </c>
      <c r="C1751" t="s">
        <v>184</v>
      </c>
      <c r="D1751">
        <v>65</v>
      </c>
      <c r="E1751">
        <f>158938000/(1000)</f>
        <v>158938</v>
      </c>
      <c r="F1751">
        <f>42217072/(1000)</f>
        <v>42217.072</v>
      </c>
      <c r="G1751">
        <f>14987623/(1000)</f>
        <v>14987.623</v>
      </c>
      <c r="H1751">
        <f>130067212/(1000)</f>
        <v>130067.212</v>
      </c>
      <c r="I1751">
        <f>16523446/(1000)</f>
        <v>16523.446</v>
      </c>
      <c r="J1751">
        <f t="shared" si="45"/>
        <v>7.8716759203860988E-3</v>
      </c>
      <c r="K1751">
        <f>9768498/(1000)</f>
        <v>9768.4979999999996</v>
      </c>
      <c r="L1751">
        <v>0</v>
      </c>
      <c r="M1751">
        <v>33.223560333252003</v>
      </c>
      <c r="N1751">
        <v>86.876330327327295</v>
      </c>
      <c r="O1751">
        <v>0</v>
      </c>
      <c r="P1751">
        <v>0</v>
      </c>
      <c r="Q1751">
        <v>0</v>
      </c>
      <c r="R1751">
        <v>19.817072983469899</v>
      </c>
      <c r="S1751">
        <v>6901.1728026534001</v>
      </c>
      <c r="T1751">
        <v>0</v>
      </c>
      <c r="U1751">
        <v>0</v>
      </c>
      <c r="V1751">
        <v>0</v>
      </c>
      <c r="W1751">
        <v>0</v>
      </c>
    </row>
    <row r="1752" spans="1:23" x14ac:dyDescent="0.55000000000000004">
      <c r="A1752" t="s">
        <v>3512</v>
      </c>
      <c r="B1752" t="s">
        <v>3513</v>
      </c>
      <c r="C1752" t="s">
        <v>184</v>
      </c>
      <c r="D1752">
        <v>3.64</v>
      </c>
      <c r="E1752">
        <f>77628096/(1000)</f>
        <v>77628.096000000005</v>
      </c>
      <c r="F1752">
        <f>41862048/(1000)</f>
        <v>41862.048000000003</v>
      </c>
      <c r="G1752">
        <f>33371582/(1000)</f>
        <v>33371.582000000002</v>
      </c>
      <c r="H1752">
        <f>307420912/(1000)</f>
        <v>307420.91200000001</v>
      </c>
      <c r="I1752">
        <f>33371582/(1000)</f>
        <v>33371.582000000002</v>
      </c>
      <c r="J1752">
        <f t="shared" si="45"/>
        <v>9.2120568931973318E-3</v>
      </c>
      <c r="K1752">
        <f>-251154063/(1000)</f>
        <v>-251154.06299999999</v>
      </c>
      <c r="L1752">
        <v>0</v>
      </c>
      <c r="M1752">
        <v>10.142997741699199</v>
      </c>
      <c r="N1752">
        <v>82.485085976644996</v>
      </c>
      <c r="O1752">
        <v>98.429695129394503</v>
      </c>
      <c r="P1752">
        <v>1.08000004291534</v>
      </c>
      <c r="Q1752">
        <v>0.28415300434573199</v>
      </c>
      <c r="R1752">
        <v>2.30379751562938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55000000000000004">
      <c r="A1753" t="s">
        <v>3514</v>
      </c>
      <c r="B1753" t="s">
        <v>3515</v>
      </c>
      <c r="C1753" t="s">
        <v>5</v>
      </c>
      <c r="D1753">
        <v>2.12</v>
      </c>
      <c r="E1753">
        <f>287288640/(1000)</f>
        <v>287288.64</v>
      </c>
      <c r="F1753">
        <f>41851000/(1000)</f>
        <v>41851</v>
      </c>
      <c r="G1753">
        <f>-259768000/(1000)</f>
        <v>-259768</v>
      </c>
      <c r="H1753">
        <f>995806656/(1000)</f>
        <v>995806.65599999996</v>
      </c>
      <c r="I1753">
        <f>-237654000/(1000)</f>
        <v>-237654</v>
      </c>
      <c r="J1753">
        <f t="shared" si="45"/>
        <v>-4.1901531470120417E-3</v>
      </c>
      <c r="K1753">
        <f>-177700991/(1000)</f>
        <v>-177700.99100000001</v>
      </c>
      <c r="L1753">
        <v>0</v>
      </c>
      <c r="M1753">
        <v>0</v>
      </c>
      <c r="N1753">
        <v>96.498279590402603</v>
      </c>
      <c r="O1753">
        <v>0</v>
      </c>
      <c r="P1753">
        <v>0</v>
      </c>
      <c r="Q1753">
        <v>0</v>
      </c>
      <c r="R1753">
        <v>0</v>
      </c>
      <c r="S1753">
        <v>1072.95403587444</v>
      </c>
      <c r="T1753">
        <v>0</v>
      </c>
      <c r="U1753">
        <v>0</v>
      </c>
      <c r="V1753">
        <v>0</v>
      </c>
      <c r="W1753">
        <v>0</v>
      </c>
    </row>
    <row r="1754" spans="1:23" x14ac:dyDescent="0.55000000000000004">
      <c r="A1754" t="s">
        <v>3516</v>
      </c>
      <c r="B1754" t="s">
        <v>3517</v>
      </c>
      <c r="C1754" t="s">
        <v>8</v>
      </c>
      <c r="D1754">
        <v>5.49</v>
      </c>
      <c r="E1754">
        <f>111245520/(1000)</f>
        <v>111245.52</v>
      </c>
      <c r="F1754">
        <f>41691000/(1000)</f>
        <v>41691</v>
      </c>
      <c r="G1754">
        <f>-46105000/(1000)</f>
        <v>-46105</v>
      </c>
      <c r="H1754">
        <f>197848520/(1000)</f>
        <v>197848.52</v>
      </c>
      <c r="I1754">
        <f>-24237000/(1000)</f>
        <v>-24237</v>
      </c>
      <c r="J1754">
        <f t="shared" si="45"/>
        <v>-8.1630779386887807E-3</v>
      </c>
      <c r="K1754">
        <f>-116429999/(1000)</f>
        <v>-116429.999</v>
      </c>
      <c r="L1754">
        <v>0</v>
      </c>
      <c r="M1754">
        <v>-47.978153228759801</v>
      </c>
      <c r="N1754">
        <v>66.155562215232706</v>
      </c>
      <c r="O1754">
        <v>70.959869384765597</v>
      </c>
      <c r="P1754">
        <v>0</v>
      </c>
      <c r="Q1754">
        <v>0</v>
      </c>
      <c r="R1754">
        <v>0</v>
      </c>
      <c r="S1754">
        <v>74.578116494284203</v>
      </c>
      <c r="T1754">
        <v>0</v>
      </c>
      <c r="U1754">
        <v>0</v>
      </c>
      <c r="V1754">
        <v>0</v>
      </c>
      <c r="W1754">
        <v>0</v>
      </c>
    </row>
    <row r="1755" spans="1:23" x14ac:dyDescent="0.55000000000000004">
      <c r="A1755" t="s">
        <v>3518</v>
      </c>
      <c r="B1755" t="s">
        <v>3519</v>
      </c>
      <c r="C1755" t="s">
        <v>20</v>
      </c>
      <c r="D1755">
        <v>17.350000000000001</v>
      </c>
      <c r="E1755">
        <f>152926384/(1000)</f>
        <v>152926.38399999999</v>
      </c>
      <c r="F1755">
        <f>41620000/(1000)</f>
        <v>41620</v>
      </c>
      <c r="G1755">
        <f>26179000/(1000)</f>
        <v>26179</v>
      </c>
      <c r="H1755">
        <f>138911384/(1000)</f>
        <v>138911.38399999999</v>
      </c>
      <c r="I1755">
        <f>27544000/(1000)</f>
        <v>27544</v>
      </c>
      <c r="J1755">
        <f t="shared" si="45"/>
        <v>5.0432538483880336E-3</v>
      </c>
      <c r="K1755">
        <f>4614001/(1000)</f>
        <v>4614.0010000000002</v>
      </c>
      <c r="L1755">
        <v>15.4799556732178</v>
      </c>
      <c r="M1755">
        <v>50.020542144775398</v>
      </c>
      <c r="N1755">
        <v>85.698074199454894</v>
      </c>
      <c r="O1755">
        <v>0</v>
      </c>
      <c r="P1755">
        <v>2</v>
      </c>
      <c r="Q1755">
        <v>6.64750999188555</v>
      </c>
      <c r="R1755">
        <v>10.515151898285101</v>
      </c>
      <c r="S1755">
        <v>25.577037348638498</v>
      </c>
      <c r="T1755">
        <v>0</v>
      </c>
      <c r="U1755">
        <v>0</v>
      </c>
      <c r="V1755">
        <v>0</v>
      </c>
      <c r="W1755">
        <v>0</v>
      </c>
    </row>
    <row r="1756" spans="1:23" x14ac:dyDescent="0.55000000000000004">
      <c r="A1756" t="s">
        <v>3520</v>
      </c>
      <c r="B1756" t="s">
        <v>3521</v>
      </c>
      <c r="C1756" t="s">
        <v>38</v>
      </c>
      <c r="D1756">
        <v>19.84</v>
      </c>
      <c r="E1756">
        <f>1203803904/(1000)</f>
        <v>1203803.9040000001</v>
      </c>
      <c r="F1756">
        <f>41002000/(1000)</f>
        <v>41002</v>
      </c>
      <c r="G1756">
        <f>-22575000/(1000)</f>
        <v>-22575</v>
      </c>
      <c r="H1756">
        <f>1092478904/(1000)</f>
        <v>1092478.9040000001</v>
      </c>
      <c r="I1756">
        <f>-20635000/(1000)</f>
        <v>-20635</v>
      </c>
      <c r="J1756">
        <f t="shared" si="45"/>
        <v>-5.2943004797673859E-2</v>
      </c>
      <c r="K1756">
        <f>-20934999/(1000)</f>
        <v>-20934.999</v>
      </c>
      <c r="L1756">
        <v>0</v>
      </c>
      <c r="M1756">
        <v>-55.153987884521499</v>
      </c>
      <c r="N1756">
        <v>95.435729965225093</v>
      </c>
      <c r="O1756">
        <v>2.2979829311370898</v>
      </c>
      <c r="P1756">
        <v>0</v>
      </c>
      <c r="Q1756">
        <v>7.58699811863581</v>
      </c>
      <c r="R1756">
        <v>0</v>
      </c>
      <c r="S1756">
        <v>32.757001780799698</v>
      </c>
      <c r="T1756">
        <v>0</v>
      </c>
      <c r="U1756">
        <v>0</v>
      </c>
      <c r="V1756">
        <v>0</v>
      </c>
      <c r="W1756">
        <v>0</v>
      </c>
    </row>
    <row r="1757" spans="1:23" x14ac:dyDescent="0.55000000000000004">
      <c r="A1757" t="s">
        <v>3522</v>
      </c>
      <c r="B1757" t="s">
        <v>3523</v>
      </c>
      <c r="C1757" t="s">
        <v>401</v>
      </c>
      <c r="D1757">
        <v>38.19</v>
      </c>
      <c r="E1757">
        <f>218733216/(1000)</f>
        <v>218733.21599999999</v>
      </c>
      <c r="F1757">
        <f>40496196/(1000)</f>
        <v>40496.196000000004</v>
      </c>
      <c r="G1757">
        <f>18713230/(1000)</f>
        <v>18713.23</v>
      </c>
      <c r="H1757">
        <f>227101686/(1000)</f>
        <v>227101.68599999999</v>
      </c>
      <c r="I1757">
        <f>21180212/(1000)</f>
        <v>21180.212</v>
      </c>
      <c r="J1757">
        <f t="shared" si="45"/>
        <v>1.0722351882030263E-2</v>
      </c>
      <c r="K1757">
        <f>11440141/(1000)</f>
        <v>11440.141</v>
      </c>
      <c r="L1757">
        <v>22.810480117797901</v>
      </c>
      <c r="M1757">
        <v>12.321179389953601</v>
      </c>
      <c r="N1757">
        <v>92.659974427707994</v>
      </c>
      <c r="O1757">
        <v>5.8347067832946804</v>
      </c>
      <c r="P1757">
        <v>0.40000000596046398</v>
      </c>
      <c r="Q1757">
        <v>0</v>
      </c>
      <c r="R1757">
        <v>16.390557559641401</v>
      </c>
      <c r="S1757">
        <v>41.937527601556198</v>
      </c>
      <c r="T1757">
        <v>0</v>
      </c>
      <c r="U1757">
        <v>0</v>
      </c>
      <c r="V1757">
        <v>0</v>
      </c>
      <c r="W1757">
        <v>0</v>
      </c>
    </row>
    <row r="1758" spans="1:23" x14ac:dyDescent="0.55000000000000004">
      <c r="A1758" t="s">
        <v>3524</v>
      </c>
      <c r="B1758" t="s">
        <v>3525</v>
      </c>
      <c r="C1758" t="s">
        <v>38</v>
      </c>
      <c r="D1758">
        <v>4.29</v>
      </c>
      <c r="E1758">
        <f>217897680/(1000)</f>
        <v>217897.68</v>
      </c>
      <c r="F1758">
        <f>40249000/(1000)</f>
        <v>40249</v>
      </c>
      <c r="G1758">
        <f>-34112000/(1000)</f>
        <v>-34112</v>
      </c>
      <c r="H1758">
        <f>184598680/(1000)</f>
        <v>184598.68</v>
      </c>
      <c r="I1758">
        <f>-29667000/(1000)</f>
        <v>-29667</v>
      </c>
      <c r="J1758">
        <f t="shared" si="45"/>
        <v>-6.2223575016011048E-3</v>
      </c>
      <c r="K1758">
        <f>-38148999/(1000)</f>
        <v>-38148.999000000003</v>
      </c>
      <c r="L1758">
        <v>0</v>
      </c>
      <c r="M1758">
        <v>-56.323657989502003</v>
      </c>
      <c r="N1758">
        <v>94.022090431878198</v>
      </c>
      <c r="O1758">
        <v>19.868352890014599</v>
      </c>
      <c r="P1758">
        <v>0</v>
      </c>
      <c r="Q1758">
        <v>0</v>
      </c>
      <c r="R1758">
        <v>0</v>
      </c>
      <c r="S1758">
        <v>427.648138437336</v>
      </c>
      <c r="T1758">
        <v>0</v>
      </c>
      <c r="U1758">
        <v>0</v>
      </c>
      <c r="V1758">
        <v>0</v>
      </c>
      <c r="W1758">
        <v>0</v>
      </c>
    </row>
    <row r="1759" spans="1:23" x14ac:dyDescent="0.55000000000000004">
      <c r="A1759" t="s">
        <v>3526</v>
      </c>
      <c r="B1759" t="s">
        <v>3527</v>
      </c>
      <c r="C1759" t="s">
        <v>184</v>
      </c>
      <c r="D1759">
        <v>11.86</v>
      </c>
      <c r="E1759">
        <f>317674848/(1000)</f>
        <v>317674.848</v>
      </c>
      <c r="F1759">
        <f>39707748/(1000)</f>
        <v>39707.748</v>
      </c>
      <c r="G1759">
        <f>0/(1000)</f>
        <v>0</v>
      </c>
      <c r="H1759">
        <f>0/(1000)</f>
        <v>0</v>
      </c>
      <c r="I1759">
        <f>0/(1000)</f>
        <v>0</v>
      </c>
      <c r="J1759">
        <f t="shared" si="45"/>
        <v>1</v>
      </c>
      <c r="K1759">
        <f>2703226/(1000)</f>
        <v>2703.2260000000001</v>
      </c>
      <c r="L1759">
        <v>98.516242980957003</v>
      </c>
      <c r="M1759">
        <v>1.32882297039032</v>
      </c>
      <c r="N1759">
        <v>34.567711757038801</v>
      </c>
      <c r="O1759">
        <v>82.565940856933594</v>
      </c>
      <c r="P1759">
        <v>0.20000000298023199</v>
      </c>
      <c r="Q1759">
        <v>0</v>
      </c>
      <c r="R1759">
        <v>84.714284028401806</v>
      </c>
      <c r="S1759">
        <v>34.379329249720797</v>
      </c>
      <c r="T1759">
        <v>0</v>
      </c>
      <c r="U1759">
        <v>0</v>
      </c>
      <c r="V1759">
        <v>0</v>
      </c>
      <c r="W1759">
        <v>0</v>
      </c>
    </row>
    <row r="1760" spans="1:23" x14ac:dyDescent="0.55000000000000004">
      <c r="A1760" t="s">
        <v>3528</v>
      </c>
      <c r="B1760" t="s">
        <v>3529</v>
      </c>
      <c r="C1760" t="s">
        <v>38</v>
      </c>
      <c r="D1760">
        <v>20.51</v>
      </c>
      <c r="E1760">
        <f>773530560/(1000)</f>
        <v>773530.56</v>
      </c>
      <c r="F1760">
        <f>39485892/(1000)</f>
        <v>39485.892</v>
      </c>
      <c r="G1760">
        <f>-39447352/(1000)</f>
        <v>-39447.351999999999</v>
      </c>
      <c r="H1760">
        <f>517140240/(1000)</f>
        <v>517140.24</v>
      </c>
      <c r="I1760">
        <f>-37194888/(1000)</f>
        <v>-37194.887999999999</v>
      </c>
      <c r="J1760">
        <f t="shared" si="45"/>
        <v>-1.3903529968957024E-2</v>
      </c>
      <c r="K1760">
        <f>-27012609/(1000)</f>
        <v>-27012.609</v>
      </c>
      <c r="L1760">
        <v>0</v>
      </c>
      <c r="M1760">
        <v>-92.506294250488295</v>
      </c>
      <c r="N1760">
        <v>99.228945203100494</v>
      </c>
      <c r="O1760">
        <v>10.863302230835</v>
      </c>
      <c r="P1760">
        <v>0</v>
      </c>
      <c r="Q1760">
        <v>4.0654112822032804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55000000000000004">
      <c r="A1761" t="s">
        <v>3530</v>
      </c>
      <c r="B1761" t="s">
        <v>3531</v>
      </c>
      <c r="C1761" t="s">
        <v>401</v>
      </c>
      <c r="D1761">
        <v>7</v>
      </c>
      <c r="E1761">
        <f>172101296/(1000)</f>
        <v>172101.296</v>
      </c>
      <c r="F1761">
        <f>39480884/(1000)</f>
        <v>39480.883999999998</v>
      </c>
      <c r="G1761">
        <f>18800916/(1000)</f>
        <v>18800.916000000001</v>
      </c>
      <c r="H1761">
        <f>424923264/(1000)</f>
        <v>424923.26400000002</v>
      </c>
      <c r="I1761">
        <f>28888232/(1000)</f>
        <v>28888.232</v>
      </c>
      <c r="J1761">
        <f t="shared" si="45"/>
        <v>1.4709216680342363E-2</v>
      </c>
      <c r="K1761">
        <f>-16020839/(1000)</f>
        <v>-16020.839</v>
      </c>
      <c r="L1761">
        <v>0</v>
      </c>
      <c r="M1761">
        <v>0</v>
      </c>
      <c r="N1761">
        <v>81.230707541885707</v>
      </c>
      <c r="O1761">
        <v>135.44206237793</v>
      </c>
      <c r="P1761">
        <v>0.60000002384185802</v>
      </c>
      <c r="Q1761">
        <v>0</v>
      </c>
      <c r="R1761">
        <v>46.666667709747998</v>
      </c>
      <c r="S1761">
        <v>75.798753228248302</v>
      </c>
      <c r="T1761">
        <v>0</v>
      </c>
      <c r="U1761">
        <v>0</v>
      </c>
      <c r="V1761">
        <v>0</v>
      </c>
      <c r="W1761">
        <v>0</v>
      </c>
    </row>
    <row r="1762" spans="1:23" x14ac:dyDescent="0.55000000000000004">
      <c r="A1762" t="s">
        <v>3532</v>
      </c>
      <c r="B1762" t="s">
        <v>3533</v>
      </c>
      <c r="C1762" t="s">
        <v>5</v>
      </c>
      <c r="D1762">
        <v>0.57999999999999996</v>
      </c>
      <c r="E1762">
        <f>33467450/(1000)</f>
        <v>33467.449999999997</v>
      </c>
      <c r="F1762">
        <f>39320000/(1000)</f>
        <v>39320</v>
      </c>
      <c r="G1762">
        <f>-5977001/(1000)</f>
        <v>-5977.0010000000002</v>
      </c>
      <c r="H1762">
        <f>605290490/(1000)</f>
        <v>605290.49</v>
      </c>
      <c r="I1762">
        <f>-4610001/(1000)</f>
        <v>-4610.0010000000002</v>
      </c>
      <c r="J1762">
        <f t="shared" si="45"/>
        <v>-0.13129942705001582</v>
      </c>
      <c r="K1762">
        <f>-24943999/(1000)</f>
        <v>-24943.999</v>
      </c>
      <c r="L1762">
        <v>0</v>
      </c>
      <c r="M1762">
        <v>3.32430791854858</v>
      </c>
      <c r="N1762">
        <v>100.00000105775599</v>
      </c>
      <c r="O1762">
        <v>143.23196411132801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55000000000000004">
      <c r="A1763" t="s">
        <v>3534</v>
      </c>
      <c r="B1763" t="s">
        <v>3535</v>
      </c>
      <c r="C1763" t="s">
        <v>38</v>
      </c>
      <c r="D1763">
        <v>4.4000000000000004</v>
      </c>
      <c r="E1763">
        <f>184052880/(1000)</f>
        <v>184052.88</v>
      </c>
      <c r="F1763">
        <f>39298808/(1000)</f>
        <v>39298.807999999997</v>
      </c>
      <c r="G1763">
        <f>-49242060/(1000)</f>
        <v>-49242.06</v>
      </c>
      <c r="H1763">
        <f>197694797/(1000)</f>
        <v>197694.79699999999</v>
      </c>
      <c r="I1763">
        <f>-47621412/(1000)</f>
        <v>-47621.411999999997</v>
      </c>
      <c r="J1763">
        <f t="shared" si="45"/>
        <v>-4.1513846124512227E-3</v>
      </c>
      <c r="K1763">
        <f>-40457867/(1000)</f>
        <v>-40457.866999999998</v>
      </c>
      <c r="L1763">
        <v>0</v>
      </c>
      <c r="M1763">
        <v>-139.516189575195</v>
      </c>
      <c r="N1763">
        <v>75.803605653202894</v>
      </c>
      <c r="O1763">
        <v>28.817489624023398</v>
      </c>
      <c r="P1763">
        <v>0</v>
      </c>
      <c r="Q1763">
        <v>12.2163522928492</v>
      </c>
      <c r="R1763">
        <v>0</v>
      </c>
      <c r="S1763">
        <v>206735.83157894699</v>
      </c>
      <c r="T1763">
        <v>0</v>
      </c>
      <c r="U1763">
        <v>0</v>
      </c>
      <c r="V1763">
        <v>0</v>
      </c>
      <c r="W1763">
        <v>0</v>
      </c>
    </row>
    <row r="1764" spans="1:23" x14ac:dyDescent="0.55000000000000004">
      <c r="A1764" t="s">
        <v>3536</v>
      </c>
      <c r="B1764" t="s">
        <v>3537</v>
      </c>
      <c r="C1764" t="s">
        <v>8</v>
      </c>
      <c r="D1764">
        <v>7.31</v>
      </c>
      <c r="E1764">
        <f>150963200/(1000)</f>
        <v>150963.20000000001</v>
      </c>
      <c r="F1764">
        <f>39114000/(1000)</f>
        <v>39114</v>
      </c>
      <c r="G1764">
        <f>6992000/(1000)</f>
        <v>6992</v>
      </c>
      <c r="H1764">
        <f>172865200/(1000)</f>
        <v>172865.2</v>
      </c>
      <c r="I1764">
        <f>20090000/(1000)</f>
        <v>20090</v>
      </c>
      <c r="J1764">
        <f t="shared" si="45"/>
        <v>8.6045395719263323E-3</v>
      </c>
      <c r="K1764">
        <f>-24913999/(1000)</f>
        <v>-24913.999</v>
      </c>
      <c r="L1764">
        <v>0</v>
      </c>
      <c r="M1764">
        <v>2.0112059116363499</v>
      </c>
      <c r="N1764">
        <v>60.667938902335301</v>
      </c>
      <c r="O1764">
        <v>0</v>
      </c>
      <c r="P1764">
        <v>0</v>
      </c>
      <c r="Q1764">
        <v>0.65678345620994105</v>
      </c>
      <c r="R1764">
        <v>7.2376238274528699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55000000000000004">
      <c r="A1765" t="s">
        <v>3538</v>
      </c>
      <c r="B1765" t="s">
        <v>3539</v>
      </c>
      <c r="C1765" t="s">
        <v>5</v>
      </c>
      <c r="D1765">
        <v>8.69</v>
      </c>
      <c r="E1765">
        <f>141096928/(1000)</f>
        <v>141096.92800000001</v>
      </c>
      <c r="F1765">
        <f>38738176/(1000)</f>
        <v>38738.175999999999</v>
      </c>
      <c r="G1765">
        <f>11655545/(1000)</f>
        <v>11655.545</v>
      </c>
      <c r="H1765">
        <f>164909928/(1000)</f>
        <v>164909.92800000001</v>
      </c>
      <c r="I1765">
        <f>19162120/(1000)</f>
        <v>19162.12</v>
      </c>
      <c r="J1765">
        <f t="shared" si="45"/>
        <v>8.6060377453016697E-3</v>
      </c>
      <c r="K1765">
        <f>-89570159/(1000)</f>
        <v>-89570.159</v>
      </c>
      <c r="L1765">
        <v>13.7292890548706</v>
      </c>
      <c r="M1765">
        <v>6.6950430870056197</v>
      </c>
      <c r="N1765">
        <v>52.373326905295798</v>
      </c>
      <c r="O1765">
        <v>141.11207580566401</v>
      </c>
      <c r="P1765">
        <v>0</v>
      </c>
      <c r="Q1765">
        <v>0</v>
      </c>
      <c r="R1765">
        <v>5.7171048906933697</v>
      </c>
      <c r="S1765">
        <v>871.36850551655004</v>
      </c>
      <c r="T1765">
        <v>0</v>
      </c>
      <c r="U1765">
        <v>0</v>
      </c>
      <c r="V1765">
        <v>0</v>
      </c>
      <c r="W1765">
        <v>0</v>
      </c>
    </row>
    <row r="1766" spans="1:23" x14ac:dyDescent="0.55000000000000004">
      <c r="A1766" t="s">
        <v>3540</v>
      </c>
      <c r="B1766" t="s">
        <v>3541</v>
      </c>
      <c r="C1766" t="s">
        <v>17</v>
      </c>
      <c r="D1766">
        <v>8.98</v>
      </c>
      <c r="E1766">
        <f>150237200/(1000)</f>
        <v>150237.20000000001</v>
      </c>
      <c r="F1766">
        <f>38729156/(1000)</f>
        <v>38729.156000000003</v>
      </c>
      <c r="G1766">
        <f>4437049/(1000)</f>
        <v>4437.049</v>
      </c>
      <c r="H1766">
        <f>148382339.875/(1000)</f>
        <v>148382.33987500001</v>
      </c>
      <c r="I1766">
        <f>5486962/(1000)</f>
        <v>5486.9620000000004</v>
      </c>
      <c r="J1766">
        <f t="shared" si="45"/>
        <v>2.7042713230928151E-2</v>
      </c>
      <c r="K1766">
        <f>522259/(1000)</f>
        <v>522.25900000000001</v>
      </c>
      <c r="L1766">
        <v>50.601234436035199</v>
      </c>
      <c r="M1766">
        <v>12.7270755767822</v>
      </c>
      <c r="N1766">
        <v>28.881902510225501</v>
      </c>
      <c r="O1766">
        <v>20.271522521972699</v>
      </c>
      <c r="P1766">
        <v>0</v>
      </c>
      <c r="Q1766">
        <v>0</v>
      </c>
      <c r="R1766">
        <v>52.8235267421882</v>
      </c>
      <c r="S1766">
        <v>217.134028526799</v>
      </c>
      <c r="T1766">
        <v>0</v>
      </c>
      <c r="U1766">
        <v>0</v>
      </c>
      <c r="V1766">
        <v>0</v>
      </c>
      <c r="W1766">
        <v>0</v>
      </c>
    </row>
    <row r="1767" spans="1:23" x14ac:dyDescent="0.55000000000000004">
      <c r="A1767" t="s">
        <v>3542</v>
      </c>
      <c r="B1767" t="s">
        <v>3543</v>
      </c>
      <c r="C1767" t="s">
        <v>5</v>
      </c>
      <c r="D1767">
        <v>16.510000000000002</v>
      </c>
      <c r="E1767">
        <f>198270240/(1000)</f>
        <v>198270.24</v>
      </c>
      <c r="F1767">
        <f>38585832/(1000)</f>
        <v>38585.832000000002</v>
      </c>
      <c r="G1767">
        <f>10921687/(1000)</f>
        <v>10921.687</v>
      </c>
      <c r="H1767">
        <f>153070636/(1000)</f>
        <v>153070.636</v>
      </c>
      <c r="I1767">
        <f>11727721/(1000)</f>
        <v>11727.721</v>
      </c>
      <c r="J1767">
        <f t="shared" si="45"/>
        <v>1.305203594116879E-2</v>
      </c>
      <c r="K1767">
        <f>12749517/(1000)</f>
        <v>12749.517</v>
      </c>
      <c r="L1767">
        <v>191.69227600097699</v>
      </c>
      <c r="M1767">
        <v>10.0656538009644</v>
      </c>
      <c r="N1767">
        <v>95.203637556269797</v>
      </c>
      <c r="O1767">
        <v>0</v>
      </c>
      <c r="P1767">
        <v>0</v>
      </c>
      <c r="Q1767">
        <v>2.4715569840048999</v>
      </c>
      <c r="R1767">
        <v>23.585714763311699</v>
      </c>
      <c r="S1767">
        <v>475.39266328660898</v>
      </c>
      <c r="T1767">
        <v>0</v>
      </c>
      <c r="U1767">
        <v>0</v>
      </c>
      <c r="V1767">
        <v>0</v>
      </c>
      <c r="W1767">
        <v>0</v>
      </c>
    </row>
    <row r="1768" spans="1:23" x14ac:dyDescent="0.55000000000000004">
      <c r="A1768" t="s">
        <v>3544</v>
      </c>
      <c r="B1768" t="s">
        <v>3545</v>
      </c>
      <c r="C1768" t="s">
        <v>401</v>
      </c>
      <c r="D1768">
        <v>8.8000000000000007</v>
      </c>
      <c r="E1768">
        <f>89826008/(1000)</f>
        <v>89826.008000000002</v>
      </c>
      <c r="F1768">
        <f>38581000/(1000)</f>
        <v>38581</v>
      </c>
      <c r="G1768">
        <f>23351000/(1000)</f>
        <v>23351</v>
      </c>
      <c r="H1768">
        <f>339900008/(1000)</f>
        <v>339900.00799999997</v>
      </c>
      <c r="I1768">
        <f>32175000/(1000)</f>
        <v>32175</v>
      </c>
      <c r="J1768">
        <f t="shared" si="45"/>
        <v>1.0564102812742811E-2</v>
      </c>
      <c r="K1768">
        <f>17461001/(1000)</f>
        <v>17461.001</v>
      </c>
      <c r="L1768">
        <v>15.7280321121216</v>
      </c>
      <c r="M1768">
        <v>6.0279369354248002</v>
      </c>
      <c r="N1768">
        <v>67.942196316290094</v>
      </c>
      <c r="O1768">
        <v>129.66380310058599</v>
      </c>
      <c r="P1768">
        <v>0.76342082023620605</v>
      </c>
      <c r="Q1768">
        <v>0</v>
      </c>
      <c r="R1768">
        <v>8.3809527053314099</v>
      </c>
      <c r="S1768">
        <v>145.660617637695</v>
      </c>
      <c r="T1768">
        <v>0</v>
      </c>
      <c r="U1768">
        <v>0</v>
      </c>
      <c r="V1768">
        <v>0</v>
      </c>
      <c r="W1768">
        <v>0</v>
      </c>
    </row>
    <row r="1769" spans="1:23" x14ac:dyDescent="0.55000000000000004">
      <c r="A1769" t="s">
        <v>3546</v>
      </c>
      <c r="B1769" t="s">
        <v>3547</v>
      </c>
      <c r="C1769" t="s">
        <v>5</v>
      </c>
      <c r="D1769">
        <v>3</v>
      </c>
      <c r="E1769">
        <f>206205296/(1000)</f>
        <v>206205.296</v>
      </c>
      <c r="F1769">
        <f>38477000/(1000)</f>
        <v>38477</v>
      </c>
      <c r="G1769">
        <f>-150752992/(1000)</f>
        <v>-150752.992</v>
      </c>
      <c r="H1769">
        <f>192931302/(1000)</f>
        <v>192931.302</v>
      </c>
      <c r="I1769">
        <f>-143534000/(1000)</f>
        <v>-143534</v>
      </c>
      <c r="J1769">
        <f t="shared" si="45"/>
        <v>-1.3441505287945712E-3</v>
      </c>
      <c r="K1769">
        <f>-93939999/(1000)</f>
        <v>-93939.998999999996</v>
      </c>
      <c r="L1769">
        <v>0</v>
      </c>
      <c r="M1769">
        <v>-84.529579162597699</v>
      </c>
      <c r="N1769">
        <v>67.984770722791794</v>
      </c>
      <c r="O1769">
        <v>58.385440826416001</v>
      </c>
      <c r="P1769">
        <v>0</v>
      </c>
      <c r="Q1769">
        <v>0</v>
      </c>
      <c r="R1769">
        <v>0</v>
      </c>
      <c r="S1769">
        <v>-27.092373282804399</v>
      </c>
      <c r="T1769">
        <v>0</v>
      </c>
      <c r="U1769">
        <v>0</v>
      </c>
      <c r="V1769">
        <v>0</v>
      </c>
      <c r="W1769">
        <v>0</v>
      </c>
    </row>
    <row r="1770" spans="1:23" x14ac:dyDescent="0.55000000000000004">
      <c r="A1770" t="s">
        <v>3548</v>
      </c>
      <c r="B1770" t="s">
        <v>3549</v>
      </c>
      <c r="C1770" t="s">
        <v>184</v>
      </c>
      <c r="D1770">
        <v>43.64</v>
      </c>
      <c r="E1770">
        <f>518757408/(1000)</f>
        <v>518757.408</v>
      </c>
      <c r="F1770">
        <f>36822736/(1000)</f>
        <v>36822.735999999997</v>
      </c>
      <c r="G1770">
        <f>28137306/(1000)</f>
        <v>28137.306</v>
      </c>
      <c r="H1770">
        <f>497050726/(1000)</f>
        <v>497050.72600000002</v>
      </c>
      <c r="I1770">
        <f>28462584/(1000)</f>
        <v>28462.583999999999</v>
      </c>
      <c r="J1770">
        <f t="shared" si="45"/>
        <v>1.7463302910234717E-2</v>
      </c>
      <c r="K1770">
        <f>10297163/(1000)</f>
        <v>10297.163</v>
      </c>
      <c r="L1770">
        <v>27.4974365234375</v>
      </c>
      <c r="M1770">
        <v>123.060661315918</v>
      </c>
      <c r="N1770">
        <v>48.994715541163501</v>
      </c>
      <c r="O1770">
        <v>5.1211709976196298</v>
      </c>
      <c r="P1770">
        <v>0.179199993610382</v>
      </c>
      <c r="Q1770">
        <v>0</v>
      </c>
      <c r="R1770">
        <v>21.956116178256298</v>
      </c>
      <c r="S1770">
        <v>507.034882954171</v>
      </c>
      <c r="T1770">
        <v>0</v>
      </c>
      <c r="U1770">
        <v>0</v>
      </c>
      <c r="V1770">
        <v>0</v>
      </c>
      <c r="W1770">
        <v>0</v>
      </c>
    </row>
    <row r="1771" spans="1:23" x14ac:dyDescent="0.55000000000000004">
      <c r="A1771" t="s">
        <v>3550</v>
      </c>
      <c r="B1771" t="s">
        <v>3551</v>
      </c>
      <c r="C1771" t="s">
        <v>184</v>
      </c>
      <c r="D1771">
        <v>28.41</v>
      </c>
      <c r="E1771">
        <f>197577344/(1000)</f>
        <v>197577.34400000001</v>
      </c>
      <c r="F1771">
        <f>36292000/(1000)</f>
        <v>36292</v>
      </c>
      <c r="G1771">
        <f>12207000/(1000)</f>
        <v>12207</v>
      </c>
      <c r="H1771">
        <f>194636344/(1000)</f>
        <v>194636.34400000001</v>
      </c>
      <c r="I1771">
        <f>17751000/(1000)</f>
        <v>17751</v>
      </c>
      <c r="J1771">
        <f t="shared" si="45"/>
        <v>1.0964810095205906E-2</v>
      </c>
      <c r="K1771">
        <f>11572001/(1000)</f>
        <v>11572.001</v>
      </c>
      <c r="L1771">
        <v>26.974042892456101</v>
      </c>
      <c r="M1771">
        <v>30.506326675415</v>
      </c>
      <c r="N1771">
        <v>80.849807169787596</v>
      </c>
      <c r="O1771">
        <v>0</v>
      </c>
      <c r="P1771">
        <v>1.20000004768372</v>
      </c>
      <c r="Q1771">
        <v>0</v>
      </c>
      <c r="R1771">
        <v>20.737226093817</v>
      </c>
      <c r="S1771">
        <v>67.832038475767703</v>
      </c>
      <c r="T1771">
        <v>0</v>
      </c>
      <c r="U1771">
        <v>0</v>
      </c>
      <c r="V1771">
        <v>0</v>
      </c>
      <c r="W1771">
        <v>0</v>
      </c>
    </row>
    <row r="1772" spans="1:23" x14ac:dyDescent="0.55000000000000004">
      <c r="A1772" t="s">
        <v>3552</v>
      </c>
      <c r="B1772" t="s">
        <v>3553</v>
      </c>
      <c r="C1772" t="s">
        <v>5</v>
      </c>
      <c r="D1772">
        <v>1.61</v>
      </c>
      <c r="E1772">
        <f>53022292/(1000)</f>
        <v>53022.292000000001</v>
      </c>
      <c r="F1772">
        <f>36163336/(1000)</f>
        <v>36163.336000000003</v>
      </c>
      <c r="G1772">
        <f>6320771/(1000)</f>
        <v>6320.7709999999997</v>
      </c>
      <c r="H1772">
        <f>42567100/(1000)</f>
        <v>42567.1</v>
      </c>
      <c r="I1772">
        <f>6475597/(1000)</f>
        <v>6475.5969999999998</v>
      </c>
      <c r="J1772">
        <f t="shared" si="45"/>
        <v>6.5734634196661715E-3</v>
      </c>
      <c r="K1772">
        <f>815523.0625/(1000)</f>
        <v>815.52306250000004</v>
      </c>
      <c r="L1772">
        <v>0</v>
      </c>
      <c r="M1772">
        <v>58.251373291015597</v>
      </c>
      <c r="N1772">
        <v>58.4278401777322</v>
      </c>
      <c r="O1772">
        <v>5.6942720413207999</v>
      </c>
      <c r="P1772">
        <v>0</v>
      </c>
      <c r="Q1772">
        <v>0</v>
      </c>
      <c r="R1772">
        <v>2.6393442963843401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55000000000000004">
      <c r="A1773" t="s">
        <v>3554</v>
      </c>
      <c r="B1773" t="s">
        <v>3555</v>
      </c>
      <c r="C1773" t="s">
        <v>2</v>
      </c>
      <c r="D1773">
        <v>7.58</v>
      </c>
      <c r="E1773">
        <f>379061376/(1000)</f>
        <v>379061.37599999999</v>
      </c>
      <c r="F1773">
        <f>35414000/(1000)</f>
        <v>35414</v>
      </c>
      <c r="G1773">
        <f>9328000/(1000)</f>
        <v>9328</v>
      </c>
      <c r="H1773">
        <f>299912376/(1000)</f>
        <v>299912.37599999999</v>
      </c>
      <c r="I1773">
        <f>9651000/(1000)</f>
        <v>9651</v>
      </c>
      <c r="J1773">
        <f t="shared" si="45"/>
        <v>3.1075782405968293E-2</v>
      </c>
      <c r="K1773">
        <f>-3746999/(1000)</f>
        <v>-3746.9989999999998</v>
      </c>
      <c r="L1773">
        <v>0</v>
      </c>
      <c r="M1773">
        <v>41.102596282958999</v>
      </c>
      <c r="N1773">
        <v>54.521768997529499</v>
      </c>
      <c r="O1773">
        <v>4.1373810768127397</v>
      </c>
      <c r="P1773">
        <v>0</v>
      </c>
      <c r="Q1773">
        <v>3.2393163255294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55000000000000004">
      <c r="A1774" t="s">
        <v>3556</v>
      </c>
      <c r="B1774" t="s">
        <v>3557</v>
      </c>
      <c r="C1774" t="s">
        <v>31</v>
      </c>
      <c r="D1774">
        <v>5.89</v>
      </c>
      <c r="E1774">
        <f>164303312/(1000)</f>
        <v>164303.31200000001</v>
      </c>
      <c r="F1774">
        <f>34702000/(1000)</f>
        <v>34702</v>
      </c>
      <c r="G1774">
        <f>-9224000/(1000)</f>
        <v>-9224</v>
      </c>
      <c r="H1774">
        <f>45244312/(1000)</f>
        <v>45244.311999999998</v>
      </c>
      <c r="I1774">
        <f>-7311000/(1000)</f>
        <v>-7311</v>
      </c>
      <c r="J1774">
        <f t="shared" si="45"/>
        <v>-6.1885257830666118E-3</v>
      </c>
      <c r="K1774">
        <f>83077001/(1000)</f>
        <v>83077.001000000004</v>
      </c>
      <c r="L1774">
        <v>0</v>
      </c>
      <c r="M1774">
        <v>0</v>
      </c>
      <c r="N1774">
        <v>99.866286035219701</v>
      </c>
      <c r="O1774">
        <v>0</v>
      </c>
      <c r="P1774">
        <v>0</v>
      </c>
      <c r="Q1774">
        <v>0</v>
      </c>
      <c r="R1774">
        <v>0</v>
      </c>
      <c r="S1774">
        <v>71.494934519397106</v>
      </c>
      <c r="T1774">
        <v>0</v>
      </c>
      <c r="U1774">
        <v>0</v>
      </c>
      <c r="V1774">
        <v>0</v>
      </c>
      <c r="W1774">
        <v>0</v>
      </c>
    </row>
    <row r="1775" spans="1:23" x14ac:dyDescent="0.55000000000000004">
      <c r="A1775" t="s">
        <v>3558</v>
      </c>
      <c r="B1775" t="s">
        <v>3559</v>
      </c>
      <c r="C1775" t="s">
        <v>5</v>
      </c>
      <c r="D1775">
        <v>3.64</v>
      </c>
      <c r="E1775">
        <f>75811368/(1000)</f>
        <v>75811.368000000002</v>
      </c>
      <c r="F1775">
        <f>34641104/(1000)</f>
        <v>34641.103999999999</v>
      </c>
      <c r="G1775">
        <f>25845286/(1000)</f>
        <v>25845.286</v>
      </c>
      <c r="H1775">
        <f>229012120/(1000)</f>
        <v>229012.12</v>
      </c>
      <c r="I1775">
        <f>26257146/(1000)</f>
        <v>26257.146000000001</v>
      </c>
      <c r="J1775">
        <f t="shared" si="45"/>
        <v>8.7218968885651154E-3</v>
      </c>
      <c r="K1775">
        <f>22772697/(1000)</f>
        <v>22772.697</v>
      </c>
      <c r="L1775">
        <v>0</v>
      </c>
      <c r="M1775">
        <v>9.55322265625</v>
      </c>
      <c r="N1775">
        <v>92.017212080073605</v>
      </c>
      <c r="O1775">
        <v>74.414131164550795</v>
      </c>
      <c r="P1775">
        <v>0.91834366321563698</v>
      </c>
      <c r="Q1775">
        <v>0.38086909079478898</v>
      </c>
      <c r="R1775">
        <v>2.8661417906722901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55000000000000004">
      <c r="A1776" t="s">
        <v>3560</v>
      </c>
      <c r="B1776" t="s">
        <v>3561</v>
      </c>
      <c r="C1776" t="s">
        <v>401</v>
      </c>
      <c r="D1776">
        <v>18.13</v>
      </c>
      <c r="E1776">
        <f>142572512/(1000)</f>
        <v>142572.51199999999</v>
      </c>
      <c r="F1776">
        <f>34467952/(1000)</f>
        <v>34467.951999999997</v>
      </c>
      <c r="G1776">
        <f>20678840/(1000)</f>
        <v>20678.84</v>
      </c>
      <c r="H1776">
        <f>245981616/(1000)</f>
        <v>245981.61600000001</v>
      </c>
      <c r="I1776">
        <f>25878428/(1000)</f>
        <v>25878.428</v>
      </c>
      <c r="J1776">
        <f t="shared" si="45"/>
        <v>9.5052765956262879E-3</v>
      </c>
      <c r="K1776">
        <f>1881161/(1000)</f>
        <v>1881.1610000000001</v>
      </c>
      <c r="L1776">
        <v>16.310825347900401</v>
      </c>
      <c r="M1776">
        <v>11.8170680999756</v>
      </c>
      <c r="N1776">
        <v>88.918982131355705</v>
      </c>
      <c r="O1776">
        <v>60.039394378662102</v>
      </c>
      <c r="P1776">
        <v>2</v>
      </c>
      <c r="Q1776">
        <v>0</v>
      </c>
      <c r="R1776">
        <v>8.7584536050191701</v>
      </c>
      <c r="S1776">
        <v>41.210012700233499</v>
      </c>
      <c r="T1776">
        <v>0</v>
      </c>
      <c r="U1776">
        <v>0</v>
      </c>
      <c r="V1776">
        <v>0</v>
      </c>
      <c r="W1776">
        <v>0</v>
      </c>
    </row>
    <row r="1777" spans="1:23" x14ac:dyDescent="0.55000000000000004">
      <c r="A1777" t="s">
        <v>3562</v>
      </c>
      <c r="B1777" t="s">
        <v>3563</v>
      </c>
      <c r="C1777" t="s">
        <v>38</v>
      </c>
      <c r="D1777">
        <v>3.79</v>
      </c>
      <c r="E1777">
        <f>368278848/(1000)</f>
        <v>368278.848</v>
      </c>
      <c r="F1777">
        <f>34440000/(1000)</f>
        <v>34440</v>
      </c>
      <c r="G1777">
        <f>-85280000/(1000)</f>
        <v>-85280</v>
      </c>
      <c r="H1777">
        <f>512119840/(1000)</f>
        <v>512119.84</v>
      </c>
      <c r="I1777">
        <f>-72317000/(1000)</f>
        <v>-72317</v>
      </c>
      <c r="J1777">
        <f t="shared" si="45"/>
        <v>-7.0815968582767543E-3</v>
      </c>
      <c r="K1777">
        <f>-93846999/(1000)</f>
        <v>-93846.998999999996</v>
      </c>
      <c r="L1777">
        <v>0</v>
      </c>
      <c r="M1777">
        <v>0</v>
      </c>
      <c r="N1777">
        <v>92.343921515175694</v>
      </c>
      <c r="O1777">
        <v>0</v>
      </c>
      <c r="P1777">
        <v>0</v>
      </c>
      <c r="Q1777">
        <v>0</v>
      </c>
      <c r="R1777">
        <v>0</v>
      </c>
      <c r="S1777">
        <v>-66.1063653899146</v>
      </c>
      <c r="T1777">
        <v>0</v>
      </c>
      <c r="U1777">
        <v>0</v>
      </c>
      <c r="V1777">
        <v>0</v>
      </c>
      <c r="W1777">
        <v>0</v>
      </c>
    </row>
    <row r="1778" spans="1:23" x14ac:dyDescent="0.55000000000000004">
      <c r="A1778" t="s">
        <v>3564</v>
      </c>
      <c r="B1778" t="s">
        <v>3565</v>
      </c>
      <c r="C1778" t="s">
        <v>31</v>
      </c>
      <c r="D1778">
        <v>4.26</v>
      </c>
      <c r="E1778">
        <f>90651520/(1000)</f>
        <v>90651.520000000004</v>
      </c>
      <c r="F1778">
        <f>34110000/(1000)</f>
        <v>34110</v>
      </c>
      <c r="G1778">
        <f>4464000/(1000)</f>
        <v>4464</v>
      </c>
      <c r="H1778">
        <f>38275520/(1000)</f>
        <v>38275.519999999997</v>
      </c>
      <c r="I1778">
        <f>7830000/(1000)</f>
        <v>7830</v>
      </c>
      <c r="J1778">
        <f t="shared" si="45"/>
        <v>4.888316730523627E-3</v>
      </c>
      <c r="K1778">
        <f>-3456999/(1000)</f>
        <v>-3456.9989999999998</v>
      </c>
      <c r="L1778">
        <v>0</v>
      </c>
      <c r="M1778">
        <v>0</v>
      </c>
      <c r="N1778">
        <v>55.866390864459703</v>
      </c>
      <c r="O1778">
        <v>4.0688000619410997E-2</v>
      </c>
      <c r="P1778">
        <v>0</v>
      </c>
      <c r="Q1778">
        <v>0.85422102238973696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55000000000000004">
      <c r="A1779" t="s">
        <v>3566</v>
      </c>
      <c r="B1779" t="s">
        <v>3567</v>
      </c>
      <c r="C1779" t="s">
        <v>5</v>
      </c>
      <c r="D1779">
        <v>8.9</v>
      </c>
      <c r="E1779">
        <f>202406464/(1000)</f>
        <v>202406.46400000001</v>
      </c>
      <c r="F1779">
        <f>34032000/(1000)</f>
        <v>34032</v>
      </c>
      <c r="G1779">
        <f>-48204000/(1000)</f>
        <v>-48204</v>
      </c>
      <c r="H1779">
        <f>182321464/(1000)</f>
        <v>182321.46400000001</v>
      </c>
      <c r="I1779">
        <f>-41602000/(1000)</f>
        <v>-41602</v>
      </c>
      <c r="J1779">
        <f t="shared" si="45"/>
        <v>-4.3825168020768237E-3</v>
      </c>
      <c r="K1779">
        <f>-27218999/(1000)</f>
        <v>-27218.999</v>
      </c>
      <c r="L1779">
        <v>0</v>
      </c>
      <c r="M1779">
        <v>-45.0900268554688</v>
      </c>
      <c r="N1779">
        <v>50.753002040086301</v>
      </c>
      <c r="O1779">
        <v>7.1421170234680202</v>
      </c>
      <c r="P1779">
        <v>0</v>
      </c>
      <c r="Q1779">
        <v>0</v>
      </c>
      <c r="R1779">
        <v>0</v>
      </c>
      <c r="S1779">
        <v>114.442344045369</v>
      </c>
      <c r="T1779">
        <v>0</v>
      </c>
      <c r="U1779">
        <v>0</v>
      </c>
      <c r="V1779">
        <v>0</v>
      </c>
      <c r="W1779">
        <v>0</v>
      </c>
    </row>
    <row r="1780" spans="1:23" x14ac:dyDescent="0.55000000000000004">
      <c r="A1780" t="s">
        <v>3568</v>
      </c>
      <c r="B1780" t="s">
        <v>3569</v>
      </c>
      <c r="C1780" t="s">
        <v>2</v>
      </c>
      <c r="D1780">
        <v>26.58</v>
      </c>
      <c r="E1780">
        <f>500777856/(1000)</f>
        <v>500777.85600000003</v>
      </c>
      <c r="F1780">
        <f>33928748/(1000)</f>
        <v>33928.748</v>
      </c>
      <c r="G1780">
        <f>2013665/(1000)</f>
        <v>2013.665</v>
      </c>
      <c r="H1780">
        <f>194985952/(1000)</f>
        <v>194985.95199999999</v>
      </c>
      <c r="I1780">
        <f>3648363/(1000)</f>
        <v>3648.3629999999998</v>
      </c>
      <c r="J1780">
        <f t="shared" si="45"/>
        <v>5.3444778384168459E-2</v>
      </c>
      <c r="K1780">
        <f>-104759239/(1000)</f>
        <v>-104759.239</v>
      </c>
      <c r="L1780">
        <v>0</v>
      </c>
      <c r="M1780">
        <v>-0.27274298667907698</v>
      </c>
      <c r="N1780">
        <v>85.411134613429994</v>
      </c>
      <c r="O1780">
        <v>3.59000897407532</v>
      </c>
      <c r="P1780">
        <v>0</v>
      </c>
      <c r="Q1780">
        <v>0</v>
      </c>
      <c r="R1780">
        <v>21.966942204737599</v>
      </c>
      <c r="S1780">
        <v>15.8996715200804</v>
      </c>
      <c r="T1780">
        <v>0</v>
      </c>
      <c r="U1780">
        <v>0</v>
      </c>
      <c r="V1780">
        <v>0</v>
      </c>
      <c r="W1780">
        <v>0</v>
      </c>
    </row>
    <row r="1781" spans="1:23" x14ac:dyDescent="0.55000000000000004">
      <c r="A1781" t="s">
        <v>3570</v>
      </c>
      <c r="B1781" t="s">
        <v>3571</v>
      </c>
      <c r="C1781" t="s">
        <v>5</v>
      </c>
      <c r="D1781">
        <v>7.59</v>
      </c>
      <c r="E1781">
        <f>167318512/(1000)</f>
        <v>167318.51199999999</v>
      </c>
      <c r="F1781">
        <f>33806000/(1000)</f>
        <v>33806</v>
      </c>
      <c r="G1781">
        <f>3854000/(1000)</f>
        <v>3854</v>
      </c>
      <c r="H1781">
        <f>132283512/(1000)</f>
        <v>132283.51199999999</v>
      </c>
      <c r="I1781">
        <f>4274000/(1000)</f>
        <v>4274</v>
      </c>
      <c r="J1781">
        <f t="shared" si="45"/>
        <v>3.0950751520823581E-2</v>
      </c>
      <c r="K1781">
        <f>11253001/(1000)</f>
        <v>11253.001</v>
      </c>
      <c r="L1781">
        <v>0</v>
      </c>
      <c r="M1781">
        <v>21.236133575439499</v>
      </c>
      <c r="N1781">
        <v>57.472125909965399</v>
      </c>
      <c r="O1781">
        <v>0</v>
      </c>
      <c r="P1781">
        <v>0.119999997317791</v>
      </c>
      <c r="Q1781">
        <v>3.53023247252032</v>
      </c>
      <c r="R1781">
        <v>22.068509115303399</v>
      </c>
      <c r="S1781">
        <v>1187.8476190476199</v>
      </c>
      <c r="T1781">
        <v>0</v>
      </c>
      <c r="U1781">
        <v>0</v>
      </c>
      <c r="V1781">
        <v>0</v>
      </c>
      <c r="W1781">
        <v>0</v>
      </c>
    </row>
    <row r="1782" spans="1:23" x14ac:dyDescent="0.55000000000000004">
      <c r="A1782" t="s">
        <v>3572</v>
      </c>
      <c r="B1782" t="s">
        <v>3573</v>
      </c>
      <c r="C1782" t="s">
        <v>31</v>
      </c>
      <c r="D1782">
        <v>7</v>
      </c>
      <c r="E1782">
        <f>137257408/(1000)</f>
        <v>137257.408</v>
      </c>
      <c r="F1782">
        <f>33211000/(1000)</f>
        <v>33211</v>
      </c>
      <c r="G1782">
        <f>-1898000/(1000)</f>
        <v>-1898</v>
      </c>
      <c r="H1782">
        <f>49400408/(1000)</f>
        <v>49400.408000000003</v>
      </c>
      <c r="I1782">
        <f>-868000/(1000)</f>
        <v>-868</v>
      </c>
      <c r="J1782">
        <f t="shared" si="45"/>
        <v>-5.6912912442396317E-2</v>
      </c>
      <c r="K1782">
        <f>27426001/(1000)</f>
        <v>27426.001</v>
      </c>
      <c r="L1782">
        <v>0</v>
      </c>
      <c r="M1782">
        <v>1.17080998420715</v>
      </c>
      <c r="N1782">
        <v>89.564059599562</v>
      </c>
      <c r="O1782">
        <v>0</v>
      </c>
      <c r="P1782">
        <v>0</v>
      </c>
      <c r="Q1782">
        <v>0</v>
      </c>
      <c r="R1782">
        <v>53.8461542781994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55000000000000004">
      <c r="A1783" t="s">
        <v>3574</v>
      </c>
      <c r="B1783" t="s">
        <v>3575</v>
      </c>
      <c r="C1783" t="s">
        <v>401</v>
      </c>
      <c r="D1783">
        <v>24.74</v>
      </c>
      <c r="E1783">
        <f>420233632/(1000)</f>
        <v>420233.63199999998</v>
      </c>
      <c r="F1783">
        <f>32344002/(1000)</f>
        <v>32344.002</v>
      </c>
      <c r="G1783">
        <f>-2574000/(1000)</f>
        <v>-2574</v>
      </c>
      <c r="H1783">
        <f>366843632/(1000)</f>
        <v>366843.63199999998</v>
      </c>
      <c r="I1783">
        <f>-163999.796875/(1000)</f>
        <v>-163.99979687499999</v>
      </c>
      <c r="J1783">
        <f t="shared" si="45"/>
        <v>-2.2368541851280876</v>
      </c>
      <c r="K1783">
        <f>-1723999/(1000)</f>
        <v>-1723.999</v>
      </c>
      <c r="L1783">
        <v>0</v>
      </c>
      <c r="M1783">
        <v>4.6694521903991699</v>
      </c>
      <c r="N1783">
        <v>95.595784420422504</v>
      </c>
      <c r="O1783">
        <v>0.25264498591423001</v>
      </c>
      <c r="P1783">
        <v>0</v>
      </c>
      <c r="Q1783">
        <v>0</v>
      </c>
      <c r="R1783">
        <v>85.310344301350199</v>
      </c>
      <c r="S1783">
        <v>55.358095970027399</v>
      </c>
      <c r="T1783">
        <v>0</v>
      </c>
      <c r="U1783">
        <v>0</v>
      </c>
      <c r="V1783">
        <v>0</v>
      </c>
      <c r="W1783">
        <v>0</v>
      </c>
    </row>
    <row r="1784" spans="1:23" x14ac:dyDescent="0.55000000000000004">
      <c r="A1784" t="s">
        <v>3576</v>
      </c>
      <c r="B1784" t="s">
        <v>3577</v>
      </c>
      <c r="C1784" t="s">
        <v>5</v>
      </c>
      <c r="D1784">
        <v>14.05</v>
      </c>
      <c r="E1784">
        <f>182467360/(1000)</f>
        <v>182467.36</v>
      </c>
      <c r="F1784">
        <f>32297000/(1000)</f>
        <v>32297</v>
      </c>
      <c r="G1784">
        <f>0/(1000)</f>
        <v>0</v>
      </c>
      <c r="H1784">
        <f>0/(1000)</f>
        <v>0</v>
      </c>
      <c r="I1784">
        <f>0/(1000)</f>
        <v>0</v>
      </c>
      <c r="J1784">
        <f t="shared" si="45"/>
        <v>1</v>
      </c>
      <c r="K1784">
        <f>-80863999/(1000)</f>
        <v>-80863.998999999996</v>
      </c>
      <c r="L1784">
        <v>0</v>
      </c>
      <c r="M1784">
        <v>6.5053439140319798</v>
      </c>
      <c r="N1784">
        <v>26.8938159300689</v>
      </c>
      <c r="O1784">
        <v>51.248218536377003</v>
      </c>
      <c r="P1784">
        <v>0.40000000596046398</v>
      </c>
      <c r="Q1784">
        <v>0</v>
      </c>
      <c r="R1784">
        <v>27.5490200945227</v>
      </c>
      <c r="S1784">
        <v>90.903180044922607</v>
      </c>
      <c r="T1784">
        <v>0</v>
      </c>
      <c r="U1784">
        <v>0</v>
      </c>
      <c r="V1784">
        <v>0</v>
      </c>
      <c r="W1784">
        <v>0</v>
      </c>
    </row>
    <row r="1785" spans="1:23" x14ac:dyDescent="0.55000000000000004">
      <c r="A1785" t="s">
        <v>3578</v>
      </c>
      <c r="B1785" t="s">
        <v>3579</v>
      </c>
      <c r="C1785" t="s">
        <v>2</v>
      </c>
      <c r="D1785">
        <v>1.72</v>
      </c>
      <c r="E1785">
        <f>50470992/(1000)</f>
        <v>50470.991999999998</v>
      </c>
      <c r="F1785">
        <f>32211762/(1000)</f>
        <v>32211.761999999999</v>
      </c>
      <c r="G1785">
        <f>-11081429/(1000)</f>
        <v>-11081.429</v>
      </c>
      <c r="H1785">
        <f>63682207/(1000)</f>
        <v>63682.207000000002</v>
      </c>
      <c r="I1785">
        <f>-10560951/(1000)</f>
        <v>-10560.950999999999</v>
      </c>
      <c r="J1785">
        <f t="shared" si="45"/>
        <v>-6.0299689866944754E-3</v>
      </c>
      <c r="K1785">
        <f>-20464147/(1000)</f>
        <v>-20464.147000000001</v>
      </c>
      <c r="L1785">
        <v>0</v>
      </c>
      <c r="M1785">
        <v>-61.027194976806598</v>
      </c>
      <c r="N1785">
        <v>64.676455650126201</v>
      </c>
      <c r="O1785">
        <v>2.6061038970947301</v>
      </c>
      <c r="P1785">
        <v>0</v>
      </c>
      <c r="Q1785">
        <v>2.1910827657921002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55000000000000004">
      <c r="A1786" t="s">
        <v>3580</v>
      </c>
      <c r="B1786" t="s">
        <v>3581</v>
      </c>
      <c r="C1786" t="s">
        <v>2</v>
      </c>
      <c r="D1786">
        <v>2.66</v>
      </c>
      <c r="E1786">
        <f>145719056/(1000)</f>
        <v>145719.05600000001</v>
      </c>
      <c r="F1786">
        <f>31897618/(1000)</f>
        <v>31897.617999999999</v>
      </c>
      <c r="G1786">
        <f>10190656/(1000)</f>
        <v>10190.656000000001</v>
      </c>
      <c r="H1786">
        <f>105079216/(1000)</f>
        <v>105079.216</v>
      </c>
      <c r="I1786">
        <f>11451528/(1000)</f>
        <v>11451.528</v>
      </c>
      <c r="J1786">
        <f t="shared" si="45"/>
        <v>9.1759995696644135E-3</v>
      </c>
      <c r="K1786">
        <f>542540/(1000)</f>
        <v>542.54</v>
      </c>
      <c r="L1786">
        <v>0</v>
      </c>
      <c r="M1786">
        <v>34.198787689208999</v>
      </c>
      <c r="N1786">
        <v>84.752725720001294</v>
      </c>
      <c r="O1786">
        <v>1.12747395038605</v>
      </c>
      <c r="P1786">
        <v>0</v>
      </c>
      <c r="Q1786">
        <v>0</v>
      </c>
      <c r="R1786">
        <v>8.7788781891912198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55000000000000004">
      <c r="A1787" t="s">
        <v>3582</v>
      </c>
      <c r="B1787" t="s">
        <v>3583</v>
      </c>
      <c r="C1787" t="s">
        <v>8</v>
      </c>
      <c r="D1787">
        <v>2.8</v>
      </c>
      <c r="E1787">
        <f>667542976/(1000)</f>
        <v>667542.97600000002</v>
      </c>
      <c r="F1787">
        <f>31461268/(1000)</f>
        <v>31461.268</v>
      </c>
      <c r="G1787">
        <f>1340040/(1000)</f>
        <v>1340.04</v>
      </c>
      <c r="H1787">
        <f>0/(1000)</f>
        <v>0</v>
      </c>
      <c r="I1787">
        <f>10754947/(1000)</f>
        <v>10754.947</v>
      </c>
      <c r="J1787">
        <f t="shared" si="45"/>
        <v>0</v>
      </c>
      <c r="K1787">
        <f>-9863238/(1000)</f>
        <v>-9863.2379999999994</v>
      </c>
      <c r="L1787">
        <v>0</v>
      </c>
      <c r="M1787">
        <v>-11.069207191467299</v>
      </c>
      <c r="N1787">
        <v>99.999998689222906</v>
      </c>
      <c r="O1787">
        <v>0</v>
      </c>
      <c r="P1787">
        <v>0</v>
      </c>
      <c r="Q1787">
        <v>0</v>
      </c>
      <c r="R1787">
        <v>8.7499996900442092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55000000000000004">
      <c r="A1788" t="s">
        <v>3584</v>
      </c>
      <c r="B1788" t="s">
        <v>3585</v>
      </c>
      <c r="C1788" t="s">
        <v>2</v>
      </c>
      <c r="D1788">
        <v>0.84</v>
      </c>
      <c r="E1788">
        <f>145981744/(1000)</f>
        <v>145981.74400000001</v>
      </c>
      <c r="F1788">
        <f>31305000/(1000)</f>
        <v>31305</v>
      </c>
      <c r="G1788">
        <f>-38328000/(1000)</f>
        <v>-38328</v>
      </c>
      <c r="H1788">
        <f>100043744/(1000)</f>
        <v>100043.74400000001</v>
      </c>
      <c r="I1788">
        <f>-36113000/(1000)</f>
        <v>-36113</v>
      </c>
      <c r="J1788">
        <f t="shared" si="45"/>
        <v>-2.7702972336831615E-3</v>
      </c>
      <c r="K1788">
        <f>-21861999/(1000)</f>
        <v>-21861.999</v>
      </c>
      <c r="L1788">
        <v>0</v>
      </c>
      <c r="M1788">
        <v>-53.565036773681598</v>
      </c>
      <c r="N1788">
        <v>99.121517128666696</v>
      </c>
      <c r="O1788">
        <v>3.3927999436854997E-2</v>
      </c>
      <c r="P1788">
        <v>0</v>
      </c>
      <c r="Q1788">
        <v>0</v>
      </c>
      <c r="R1788">
        <v>0</v>
      </c>
      <c r="S1788">
        <v>76.664785553047395</v>
      </c>
      <c r="T1788">
        <v>0</v>
      </c>
      <c r="U1788">
        <v>0</v>
      </c>
      <c r="V1788">
        <v>0</v>
      </c>
      <c r="W1788">
        <v>0</v>
      </c>
    </row>
    <row r="1789" spans="1:23" x14ac:dyDescent="0.55000000000000004">
      <c r="A1789" t="s">
        <v>3586</v>
      </c>
      <c r="B1789" t="s">
        <v>3587</v>
      </c>
      <c r="C1789" t="s">
        <v>8</v>
      </c>
      <c r="D1789">
        <v>0.77</v>
      </c>
      <c r="E1789">
        <f>43031836/(1000)</f>
        <v>43031.836000000003</v>
      </c>
      <c r="F1789">
        <f>31142688/(1000)</f>
        <v>31142.687999999998</v>
      </c>
      <c r="G1789">
        <f>976281/(1000)</f>
        <v>976.28099999999995</v>
      </c>
      <c r="H1789">
        <f>31007893/(1000)</f>
        <v>31007.893</v>
      </c>
      <c r="I1789">
        <f>7325559/(1000)</f>
        <v>7325.5590000000002</v>
      </c>
      <c r="J1789">
        <f t="shared" si="45"/>
        <v>4.2328364292745441E-3</v>
      </c>
      <c r="K1789">
        <f>-8010766/(1000)</f>
        <v>-8010.7659999999996</v>
      </c>
      <c r="L1789">
        <v>0</v>
      </c>
      <c r="M1789">
        <v>2.7057859897613499</v>
      </c>
      <c r="N1789">
        <v>93.339235154776603</v>
      </c>
      <c r="O1789">
        <v>4.5800151824951199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55000000000000004">
      <c r="A1790" t="s">
        <v>3588</v>
      </c>
      <c r="B1790" t="s">
        <v>3589</v>
      </c>
      <c r="C1790" t="s">
        <v>5</v>
      </c>
      <c r="D1790">
        <v>5.57</v>
      </c>
      <c r="E1790">
        <f>224172448/(1000)</f>
        <v>224172.448</v>
      </c>
      <c r="F1790">
        <f>31002880/(1000)</f>
        <v>31002.880000000001</v>
      </c>
      <c r="G1790">
        <f>-10850659/(1000)</f>
        <v>-10850.659</v>
      </c>
      <c r="H1790">
        <f>250079448/(1000)</f>
        <v>250079.448</v>
      </c>
      <c r="I1790">
        <f>-10483966/(1000)</f>
        <v>-10483.966</v>
      </c>
      <c r="J1790">
        <f t="shared" si="45"/>
        <v>-2.3853515740131167E-2</v>
      </c>
      <c r="K1790">
        <f>-14004334/(1000)</f>
        <v>-14004.334000000001</v>
      </c>
      <c r="L1790">
        <v>0</v>
      </c>
      <c r="M1790">
        <v>-34.439502716064503</v>
      </c>
      <c r="N1790">
        <v>79.473197239295899</v>
      </c>
      <c r="O1790">
        <v>38.8223686218262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55000000000000004">
      <c r="A1791" t="s">
        <v>3590</v>
      </c>
      <c r="B1791" t="s">
        <v>3591</v>
      </c>
      <c r="C1791" t="s">
        <v>38</v>
      </c>
      <c r="D1791">
        <v>3.39</v>
      </c>
      <c r="E1791">
        <f>277804064/(1000)</f>
        <v>277804.06400000001</v>
      </c>
      <c r="F1791">
        <f>30675000/(1000)</f>
        <v>30675</v>
      </c>
      <c r="G1791">
        <f>-24541000/(1000)</f>
        <v>-24541</v>
      </c>
      <c r="H1791">
        <f>241267064/(1000)</f>
        <v>241267.06400000001</v>
      </c>
      <c r="I1791">
        <f>-22223000/(1000)</f>
        <v>-22223</v>
      </c>
      <c r="J1791">
        <f t="shared" si="45"/>
        <v>-1.0856637897673582E-2</v>
      </c>
      <c r="K1791">
        <f>-20839999/(1000)</f>
        <v>-20839.999</v>
      </c>
      <c r="L1791">
        <v>0</v>
      </c>
      <c r="M1791">
        <v>-67.973670959472699</v>
      </c>
      <c r="N1791">
        <v>85.776488261305801</v>
      </c>
      <c r="O1791">
        <v>68.242660522460895</v>
      </c>
      <c r="P1791">
        <v>0</v>
      </c>
      <c r="Q1791">
        <v>0</v>
      </c>
      <c r="R1791">
        <v>0</v>
      </c>
      <c r="S1791">
        <v>326.93110647181601</v>
      </c>
      <c r="T1791">
        <v>0</v>
      </c>
      <c r="U1791">
        <v>0</v>
      </c>
      <c r="V1791">
        <v>0</v>
      </c>
      <c r="W1791">
        <v>0</v>
      </c>
    </row>
    <row r="1792" spans="1:23" x14ac:dyDescent="0.55000000000000004">
      <c r="A1792" t="s">
        <v>3592</v>
      </c>
      <c r="B1792" t="s">
        <v>3593</v>
      </c>
      <c r="C1792" t="s">
        <v>31</v>
      </c>
      <c r="D1792">
        <v>3.6</v>
      </c>
      <c r="E1792">
        <f>170144640/(1000)</f>
        <v>170144.64000000001</v>
      </c>
      <c r="F1792">
        <f>30342708/(1000)</f>
        <v>30342.707999999999</v>
      </c>
      <c r="G1792">
        <f>13310477/(1000)</f>
        <v>13310.477000000001</v>
      </c>
      <c r="H1792">
        <f>163229213.5/(1000)</f>
        <v>163229.21350000001</v>
      </c>
      <c r="I1792">
        <f>14753992/(1000)</f>
        <v>14753.992</v>
      </c>
      <c r="J1792">
        <f t="shared" si="45"/>
        <v>1.106339311421614E-2</v>
      </c>
      <c r="K1792">
        <f>-4845258/(1000)</f>
        <v>-4845.2579999999998</v>
      </c>
      <c r="L1792">
        <v>0</v>
      </c>
      <c r="M1792">
        <v>35.244804382324197</v>
      </c>
      <c r="N1792">
        <v>52.106746962259699</v>
      </c>
      <c r="O1792">
        <v>0</v>
      </c>
      <c r="P1792">
        <v>0</v>
      </c>
      <c r="Q1792">
        <v>0</v>
      </c>
      <c r="R1792">
        <v>7.6595741631813103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55000000000000004">
      <c r="A1793" t="s">
        <v>3594</v>
      </c>
      <c r="B1793" t="s">
        <v>3595</v>
      </c>
      <c r="C1793" t="s">
        <v>38</v>
      </c>
      <c r="D1793">
        <v>16.57</v>
      </c>
      <c r="E1793">
        <f>452326176/(1000)</f>
        <v>452326.17599999998</v>
      </c>
      <c r="F1793">
        <f>29927000/(1000)</f>
        <v>29927</v>
      </c>
      <c r="G1793">
        <f>-14119000/(1000)</f>
        <v>-14119</v>
      </c>
      <c r="H1793">
        <f>431496176/(1000)</f>
        <v>431496.17599999998</v>
      </c>
      <c r="I1793">
        <f>-12604000/(1000)</f>
        <v>-12604</v>
      </c>
      <c r="J1793">
        <f t="shared" si="45"/>
        <v>-3.4234860044430333E-2</v>
      </c>
      <c r="K1793">
        <f>-16432999/(1000)</f>
        <v>-16432.999</v>
      </c>
      <c r="L1793">
        <v>0</v>
      </c>
      <c r="M1793">
        <v>-32.088428497314503</v>
      </c>
      <c r="N1793">
        <v>95.223078397153301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55000000000000004">
      <c r="A1794" t="s">
        <v>3596</v>
      </c>
      <c r="B1794" t="s">
        <v>3597</v>
      </c>
      <c r="C1794" t="s">
        <v>38</v>
      </c>
      <c r="D1794">
        <v>1.27</v>
      </c>
      <c r="E1794">
        <f>68184776/(1000)</f>
        <v>68184.775999999998</v>
      </c>
      <c r="F1794">
        <f>29627638/(1000)</f>
        <v>29627.637999999999</v>
      </c>
      <c r="G1794">
        <f>-8107848/(1000)</f>
        <v>-8107.848</v>
      </c>
      <c r="H1794">
        <f>97632976/(1000)</f>
        <v>97632.975999999995</v>
      </c>
      <c r="I1794">
        <f>-2644960.5/(1000)</f>
        <v>-2644.9605000000001</v>
      </c>
      <c r="J1794">
        <f t="shared" ref="J1794:J1857" si="46">(IF(I1794=0,1000,H1794/I1794))/(1000)</f>
        <v>-3.6912829511064532E-2</v>
      </c>
      <c r="K1794">
        <f>-8016319/(1000)</f>
        <v>-8016.3190000000004</v>
      </c>
      <c r="L1794">
        <v>0</v>
      </c>
      <c r="M1794">
        <v>0</v>
      </c>
      <c r="N1794">
        <v>88.126386294010203</v>
      </c>
      <c r="O1794">
        <v>2121.23852539063</v>
      </c>
      <c r="P1794">
        <v>0</v>
      </c>
      <c r="Q1794">
        <v>0</v>
      </c>
      <c r="R1794">
        <v>0</v>
      </c>
      <c r="S1794">
        <v>214.585241027819</v>
      </c>
      <c r="T1794">
        <v>0</v>
      </c>
      <c r="U1794">
        <v>0</v>
      </c>
      <c r="V1794">
        <v>0</v>
      </c>
      <c r="W1794">
        <v>0</v>
      </c>
    </row>
    <row r="1795" spans="1:23" x14ac:dyDescent="0.55000000000000004">
      <c r="A1795" t="s">
        <v>3598</v>
      </c>
      <c r="B1795" t="s">
        <v>3599</v>
      </c>
      <c r="C1795" t="s">
        <v>38</v>
      </c>
      <c r="D1795">
        <v>4.05</v>
      </c>
      <c r="E1795">
        <f>192730592/(1000)</f>
        <v>192730.592</v>
      </c>
      <c r="F1795">
        <f>28808000/(1000)</f>
        <v>28808</v>
      </c>
      <c r="G1795">
        <f>-98494000/(1000)</f>
        <v>-98494</v>
      </c>
      <c r="H1795">
        <f>129204592/(1000)</f>
        <v>129204.592</v>
      </c>
      <c r="I1795">
        <f>-92391000/(1000)</f>
        <v>-92391</v>
      </c>
      <c r="J1795">
        <f t="shared" si="46"/>
        <v>-1.3984543083200745E-3</v>
      </c>
      <c r="K1795">
        <f>-53921999/(1000)</f>
        <v>-53921.999000000003</v>
      </c>
      <c r="L1795">
        <v>0</v>
      </c>
      <c r="M1795">
        <v>-132.145751953125</v>
      </c>
      <c r="N1795">
        <v>92.0391378754192</v>
      </c>
      <c r="O1795">
        <v>92.973411560058594</v>
      </c>
      <c r="P1795">
        <v>0</v>
      </c>
      <c r="Q1795">
        <v>0</v>
      </c>
      <c r="R1795">
        <v>0</v>
      </c>
      <c r="S1795">
        <v>-17.984341637010701</v>
      </c>
      <c r="T1795">
        <v>0</v>
      </c>
      <c r="U1795">
        <v>0</v>
      </c>
      <c r="V1795">
        <v>0</v>
      </c>
      <c r="W1795">
        <v>0</v>
      </c>
    </row>
    <row r="1796" spans="1:23" x14ac:dyDescent="0.55000000000000004">
      <c r="A1796" t="s">
        <v>3600</v>
      </c>
      <c r="B1796" t="s">
        <v>3601</v>
      </c>
      <c r="C1796" t="s">
        <v>81</v>
      </c>
      <c r="D1796">
        <v>2.16</v>
      </c>
      <c r="E1796">
        <f>90942264/(1000)</f>
        <v>90942.263999999996</v>
      </c>
      <c r="F1796">
        <f>28152000/(1000)</f>
        <v>28152</v>
      </c>
      <c r="G1796">
        <f>-8663000/(1000)</f>
        <v>-8663</v>
      </c>
      <c r="H1796">
        <f>4927264/(1000)</f>
        <v>4927.2640000000001</v>
      </c>
      <c r="I1796">
        <f>-6248000/(1000)</f>
        <v>-6248</v>
      </c>
      <c r="J1796">
        <f t="shared" si="46"/>
        <v>-7.8861459667093465E-4</v>
      </c>
      <c r="K1796">
        <f>-16273998/(1000)</f>
        <v>-16273.998</v>
      </c>
      <c r="L1796">
        <v>0</v>
      </c>
      <c r="M1796">
        <v>-2.47892498970032</v>
      </c>
      <c r="N1796">
        <v>64.520969004051196</v>
      </c>
      <c r="O1796">
        <v>0.72738999128341697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55000000000000004">
      <c r="A1797" t="s">
        <v>3602</v>
      </c>
      <c r="B1797" t="s">
        <v>3603</v>
      </c>
      <c r="C1797" t="s">
        <v>401</v>
      </c>
      <c r="D1797">
        <v>12.46</v>
      </c>
      <c r="E1797">
        <f>95135840/(1000)</f>
        <v>95135.84</v>
      </c>
      <c r="F1797">
        <f>28013000/(1000)</f>
        <v>28013</v>
      </c>
      <c r="G1797">
        <f>851000/(1000)</f>
        <v>851</v>
      </c>
      <c r="H1797">
        <f>134469836/(1000)</f>
        <v>134469.83600000001</v>
      </c>
      <c r="I1797">
        <f>2123000/(1000)</f>
        <v>2123</v>
      </c>
      <c r="J1797">
        <f t="shared" si="46"/>
        <v>6.3339536504945837E-2</v>
      </c>
      <c r="K1797">
        <f>-10759999/(1000)</f>
        <v>-10759.999</v>
      </c>
      <c r="L1797">
        <v>0</v>
      </c>
      <c r="M1797">
        <v>9.3278760910034197</v>
      </c>
      <c r="N1797">
        <v>74.920433781725805</v>
      </c>
      <c r="O1797">
        <v>40.354328155517599</v>
      </c>
      <c r="P1797">
        <v>0</v>
      </c>
      <c r="Q1797">
        <v>0</v>
      </c>
      <c r="R1797">
        <v>415.333292313752</v>
      </c>
      <c r="S1797">
        <v>124.805392825616</v>
      </c>
      <c r="T1797">
        <v>0</v>
      </c>
      <c r="U1797">
        <v>0</v>
      </c>
      <c r="V1797">
        <v>0</v>
      </c>
      <c r="W1797">
        <v>0</v>
      </c>
    </row>
    <row r="1798" spans="1:23" x14ac:dyDescent="0.55000000000000004">
      <c r="A1798" t="s">
        <v>3604</v>
      </c>
      <c r="B1798" t="s">
        <v>3605</v>
      </c>
      <c r="C1798" t="s">
        <v>401</v>
      </c>
      <c r="D1798">
        <v>32.909999999999997</v>
      </c>
      <c r="E1798">
        <f>390401472/(1000)</f>
        <v>390401.47200000001</v>
      </c>
      <c r="F1798">
        <f>27960000/(1000)</f>
        <v>27960</v>
      </c>
      <c r="G1798">
        <f>16844000/(1000)</f>
        <v>16844</v>
      </c>
      <c r="H1798">
        <f>447976472/(1000)</f>
        <v>447976.47200000001</v>
      </c>
      <c r="I1798">
        <f>22053000/(1000)</f>
        <v>22053</v>
      </c>
      <c r="J1798">
        <f t="shared" si="46"/>
        <v>2.0313629528862287E-2</v>
      </c>
      <c r="K1798">
        <f>15541000/(1000)</f>
        <v>15541</v>
      </c>
      <c r="L1798">
        <v>19.208915710449201</v>
      </c>
      <c r="M1798">
        <v>13.676958084106399</v>
      </c>
      <c r="N1798">
        <v>92.095387847665194</v>
      </c>
      <c r="O1798">
        <v>22.8296928405762</v>
      </c>
      <c r="P1798">
        <v>2.3599998950958301</v>
      </c>
      <c r="Q1798">
        <v>0</v>
      </c>
      <c r="R1798">
        <v>23.847826058788002</v>
      </c>
      <c r="S1798">
        <v>-1.6497238735094499</v>
      </c>
      <c r="T1798">
        <v>0</v>
      </c>
      <c r="U1798">
        <v>0</v>
      </c>
      <c r="V1798">
        <v>0</v>
      </c>
      <c r="W1798">
        <v>0</v>
      </c>
    </row>
    <row r="1799" spans="1:23" x14ac:dyDescent="0.55000000000000004">
      <c r="A1799" t="s">
        <v>3606</v>
      </c>
      <c r="B1799" t="s">
        <v>3607</v>
      </c>
      <c r="C1799" t="s">
        <v>38</v>
      </c>
      <c r="D1799">
        <v>3.56</v>
      </c>
      <c r="E1799">
        <f>88873264/(1000)</f>
        <v>88873.263999999996</v>
      </c>
      <c r="F1799">
        <f>27537564/(1000)</f>
        <v>27537.563999999998</v>
      </c>
      <c r="G1799">
        <f>-403692/(1000)</f>
        <v>-403.69200000000001</v>
      </c>
      <c r="H1799">
        <f>36093112/(1000)</f>
        <v>36093.112000000001</v>
      </c>
      <c r="I1799">
        <f>417227.96875/(1000)</f>
        <v>417.22796875</v>
      </c>
      <c r="J1799">
        <f t="shared" si="46"/>
        <v>8.6506933147683429E-2</v>
      </c>
      <c r="K1799">
        <f>-10968263/(1000)</f>
        <v>-10968.263000000001</v>
      </c>
      <c r="L1799">
        <v>0</v>
      </c>
      <c r="M1799">
        <v>0</v>
      </c>
      <c r="N1799">
        <v>64.678103332420307</v>
      </c>
      <c r="O1799">
        <v>2.1683530807495099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55000000000000004">
      <c r="A1800" t="s">
        <v>3608</v>
      </c>
      <c r="B1800" t="s">
        <v>3609</v>
      </c>
      <c r="C1800" t="s">
        <v>5</v>
      </c>
      <c r="D1800">
        <v>0.16</v>
      </c>
      <c r="E1800">
        <f>24054736/(1000)</f>
        <v>24054.736000000001</v>
      </c>
      <c r="F1800">
        <f>27144000/(1000)</f>
        <v>27144</v>
      </c>
      <c r="G1800">
        <f>-80434000/(1000)</f>
        <v>-80434</v>
      </c>
      <c r="H1800">
        <f>287029728/(1000)</f>
        <v>287029.728</v>
      </c>
      <c r="I1800">
        <f>-61975000/(1000)</f>
        <v>-61975</v>
      </c>
      <c r="J1800">
        <f t="shared" si="46"/>
        <v>-4.6313792335619195E-3</v>
      </c>
      <c r="K1800">
        <f>-174201007/(1000)</f>
        <v>-174201.00700000001</v>
      </c>
      <c r="L1800">
        <v>0</v>
      </c>
      <c r="M1800">
        <v>-50.082626342773402</v>
      </c>
      <c r="N1800">
        <v>72.601086795455501</v>
      </c>
      <c r="O1800">
        <v>100.67994689941401</v>
      </c>
      <c r="P1800">
        <v>0</v>
      </c>
      <c r="Q1800">
        <v>0</v>
      </c>
      <c r="R1800">
        <v>0</v>
      </c>
      <c r="S1800">
        <v>9101.3559322033907</v>
      </c>
      <c r="T1800">
        <v>0</v>
      </c>
      <c r="U1800">
        <v>0</v>
      </c>
      <c r="V1800">
        <v>0</v>
      </c>
      <c r="W1800">
        <v>0</v>
      </c>
    </row>
    <row r="1801" spans="1:23" x14ac:dyDescent="0.55000000000000004">
      <c r="A1801" t="s">
        <v>3610</v>
      </c>
      <c r="B1801" t="s">
        <v>3611</v>
      </c>
      <c r="C1801" t="s">
        <v>20</v>
      </c>
      <c r="D1801">
        <v>0.85</v>
      </c>
      <c r="E1801">
        <f>82581888/(1000)</f>
        <v>82581.888000000006</v>
      </c>
      <c r="F1801">
        <f>26497162/(1000)</f>
        <v>26497.162</v>
      </c>
      <c r="G1801">
        <f>-18771044/(1000)</f>
        <v>-18771.044000000002</v>
      </c>
      <c r="H1801">
        <f>102439576/(1000)</f>
        <v>102439.576</v>
      </c>
      <c r="I1801">
        <f>-14972906/(1000)</f>
        <v>-14972.906000000001</v>
      </c>
      <c r="J1801">
        <f t="shared" si="46"/>
        <v>-6.841662934369587E-3</v>
      </c>
      <c r="K1801">
        <f>-28152095/(1000)</f>
        <v>-28152.095000000001</v>
      </c>
      <c r="L1801">
        <v>0</v>
      </c>
      <c r="M1801">
        <v>-187.119552612305</v>
      </c>
      <c r="N1801">
        <v>84.094466448109301</v>
      </c>
      <c r="O1801">
        <v>314.24203491210898</v>
      </c>
      <c r="P1801">
        <v>0</v>
      </c>
      <c r="Q1801">
        <v>0</v>
      </c>
      <c r="R1801">
        <v>0</v>
      </c>
      <c r="S1801">
        <v>12.090875248530001</v>
      </c>
      <c r="T1801">
        <v>0</v>
      </c>
      <c r="U1801">
        <v>0</v>
      </c>
      <c r="V1801">
        <v>0</v>
      </c>
      <c r="W1801">
        <v>0</v>
      </c>
    </row>
    <row r="1802" spans="1:23" x14ac:dyDescent="0.55000000000000004">
      <c r="A1802" t="s">
        <v>3612</v>
      </c>
      <c r="B1802" t="s">
        <v>3613</v>
      </c>
      <c r="C1802" t="s">
        <v>38</v>
      </c>
      <c r="D1802">
        <v>3.64</v>
      </c>
      <c r="E1802">
        <f>229120528/(1000)</f>
        <v>229120.52799999999</v>
      </c>
      <c r="F1802">
        <f>26096000/(1000)</f>
        <v>26096</v>
      </c>
      <c r="G1802">
        <f>-46654000/(1000)</f>
        <v>-46654</v>
      </c>
      <c r="H1802">
        <f>206397528/(1000)</f>
        <v>206397.52799999999</v>
      </c>
      <c r="I1802">
        <f>-43491000/(1000)</f>
        <v>-43491</v>
      </c>
      <c r="J1802">
        <f t="shared" si="46"/>
        <v>-4.7457526384769256E-3</v>
      </c>
      <c r="K1802">
        <f>-41281999/(1000)</f>
        <v>-41281.999000000003</v>
      </c>
      <c r="L1802">
        <v>0</v>
      </c>
      <c r="M1802">
        <v>-212.65931701660199</v>
      </c>
      <c r="N1802">
        <v>88.670618789849399</v>
      </c>
      <c r="O1802">
        <v>106.787353515625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55000000000000004">
      <c r="A1803" t="s">
        <v>3614</v>
      </c>
      <c r="B1803" t="s">
        <v>3615</v>
      </c>
      <c r="C1803" t="s">
        <v>401</v>
      </c>
      <c r="D1803">
        <v>1.24</v>
      </c>
      <c r="E1803">
        <f>109246352/(1000)</f>
        <v>109246.352</v>
      </c>
      <c r="F1803">
        <f>25223000/(1000)</f>
        <v>25223</v>
      </c>
      <c r="G1803">
        <f>-2356001/(1000)</f>
        <v>-2356.0010000000002</v>
      </c>
      <c r="H1803">
        <f>451685360/(1000)</f>
        <v>451685.36</v>
      </c>
      <c r="I1803">
        <f>3707999.25/(1000)</f>
        <v>3707.9992499999998</v>
      </c>
      <c r="J1803">
        <f t="shared" si="46"/>
        <v>0.12181376789652804</v>
      </c>
      <c r="K1803">
        <f>-183741007/(1000)</f>
        <v>-183741.00700000001</v>
      </c>
      <c r="L1803">
        <v>0</v>
      </c>
      <c r="M1803">
        <v>0</v>
      </c>
      <c r="N1803">
        <v>48.526196230380897</v>
      </c>
      <c r="O1803">
        <v>73.683425903320298</v>
      </c>
      <c r="P1803">
        <v>0</v>
      </c>
      <c r="Q1803">
        <v>0.450909094376997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</row>
    <row r="1804" spans="1:23" x14ac:dyDescent="0.55000000000000004">
      <c r="A1804" t="s">
        <v>3616</v>
      </c>
      <c r="B1804" t="s">
        <v>3617</v>
      </c>
      <c r="C1804" t="s">
        <v>5</v>
      </c>
      <c r="D1804">
        <v>8.92</v>
      </c>
      <c r="E1804">
        <f>331603680/(1000)</f>
        <v>331603.68</v>
      </c>
      <c r="F1804">
        <f>23157000/(1000)</f>
        <v>23157</v>
      </c>
      <c r="G1804">
        <f>-51645000/(1000)</f>
        <v>-51645</v>
      </c>
      <c r="H1804">
        <f>118768688/(1000)</f>
        <v>118768.68799999999</v>
      </c>
      <c r="I1804">
        <f>-49974000/(1000)</f>
        <v>-49974</v>
      </c>
      <c r="J1804">
        <f t="shared" si="46"/>
        <v>-2.376609596990435E-3</v>
      </c>
      <c r="K1804">
        <f>-42868999/(1000)</f>
        <v>-42868.999000000003</v>
      </c>
      <c r="L1804">
        <v>0</v>
      </c>
      <c r="M1804">
        <v>-28.730556488037099</v>
      </c>
      <c r="N1804">
        <v>71.978705133417407</v>
      </c>
      <c r="O1804">
        <v>0</v>
      </c>
      <c r="P1804">
        <v>0</v>
      </c>
      <c r="Q1804">
        <v>1.8739495057522999</v>
      </c>
      <c r="R1804">
        <v>7.8245607504077697</v>
      </c>
      <c r="S1804">
        <v>-44.616378073280401</v>
      </c>
      <c r="T1804">
        <v>0</v>
      </c>
      <c r="U1804">
        <v>0</v>
      </c>
      <c r="V1804">
        <v>0</v>
      </c>
      <c r="W1804">
        <v>0</v>
      </c>
    </row>
    <row r="1805" spans="1:23" x14ac:dyDescent="0.55000000000000004">
      <c r="A1805" t="s">
        <v>3618</v>
      </c>
      <c r="B1805" t="s">
        <v>3619</v>
      </c>
      <c r="C1805" t="s">
        <v>38</v>
      </c>
      <c r="D1805">
        <v>8.94</v>
      </c>
      <c r="E1805">
        <f>713193856/(1000)</f>
        <v>713193.85600000003</v>
      </c>
      <c r="F1805">
        <f>22420000/(1000)</f>
        <v>22420</v>
      </c>
      <c r="G1805">
        <f>-55645000/(1000)</f>
        <v>-55645</v>
      </c>
      <c r="H1805">
        <f>608667856/(1000)</f>
        <v>608667.85600000003</v>
      </c>
      <c r="I1805">
        <f>-53804000/(1000)</f>
        <v>-53804</v>
      </c>
      <c r="J1805">
        <f t="shared" si="46"/>
        <v>-1.1312687829901122E-2</v>
      </c>
      <c r="K1805">
        <f>35547001/(1000)</f>
        <v>35547.000999999997</v>
      </c>
      <c r="L1805">
        <v>0</v>
      </c>
      <c r="M1805">
        <v>-68.812675476074205</v>
      </c>
      <c r="N1805">
        <v>95.776782924285101</v>
      </c>
      <c r="O1805">
        <v>0</v>
      </c>
      <c r="P1805">
        <v>0</v>
      </c>
      <c r="Q1805">
        <v>8.5142857013105502</v>
      </c>
      <c r="R1805">
        <v>0</v>
      </c>
      <c r="S1805">
        <v>1231.3539192399101</v>
      </c>
      <c r="T1805">
        <v>0</v>
      </c>
      <c r="U1805">
        <v>0</v>
      </c>
      <c r="V1805">
        <v>0</v>
      </c>
      <c r="W1805">
        <v>0</v>
      </c>
    </row>
    <row r="1806" spans="1:23" x14ac:dyDescent="0.55000000000000004">
      <c r="A1806" t="s">
        <v>3620</v>
      </c>
      <c r="B1806" t="s">
        <v>3621</v>
      </c>
      <c r="C1806" t="s">
        <v>5</v>
      </c>
      <c r="D1806">
        <v>0.39</v>
      </c>
      <c r="E1806">
        <f>42033420/(1000)</f>
        <v>42033.42</v>
      </c>
      <c r="F1806">
        <f>22122632/(1000)</f>
        <v>22122.632000000001</v>
      </c>
      <c r="G1806">
        <f>-3084682/(1000)</f>
        <v>-3084.6819999999998</v>
      </c>
      <c r="H1806">
        <f>116984068/(1000)</f>
        <v>116984.068</v>
      </c>
      <c r="I1806">
        <f>103697656/(1000)</f>
        <v>103697.656</v>
      </c>
      <c r="J1806">
        <f t="shared" si="46"/>
        <v>1.1281264448253295E-3</v>
      </c>
      <c r="K1806">
        <f>-52249835/(1000)</f>
        <v>-52249.834999999999</v>
      </c>
      <c r="L1806">
        <v>0</v>
      </c>
      <c r="M1806">
        <v>-203.81608581543</v>
      </c>
      <c r="N1806">
        <v>93.838724150150497</v>
      </c>
      <c r="O1806">
        <v>293.09500122070301</v>
      </c>
      <c r="P1806">
        <v>0</v>
      </c>
      <c r="Q1806">
        <v>0</v>
      </c>
      <c r="R1806">
        <v>4.3333330021964303</v>
      </c>
      <c r="S1806">
        <v>13307.6557575758</v>
      </c>
      <c r="T1806">
        <v>0</v>
      </c>
      <c r="U1806">
        <v>0</v>
      </c>
      <c r="V1806">
        <v>0</v>
      </c>
      <c r="W1806">
        <v>0</v>
      </c>
    </row>
    <row r="1807" spans="1:23" x14ac:dyDescent="0.55000000000000004">
      <c r="A1807" t="s">
        <v>3622</v>
      </c>
      <c r="B1807" t="s">
        <v>3623</v>
      </c>
      <c r="C1807" t="s">
        <v>38</v>
      </c>
      <c r="D1807">
        <v>12.39</v>
      </c>
      <c r="E1807">
        <f>766269504/(1000)</f>
        <v>766269.50399999996</v>
      </c>
      <c r="F1807">
        <f>22002000/(1000)</f>
        <v>22002</v>
      </c>
      <c r="G1807">
        <f>-168564992/(1000)</f>
        <v>-168564.992</v>
      </c>
      <c r="H1807">
        <f>720394496/(1000)</f>
        <v>720394.49600000004</v>
      </c>
      <c r="I1807">
        <f>-164507008/(1000)</f>
        <v>-164507.008</v>
      </c>
      <c r="J1807">
        <f t="shared" si="46"/>
        <v>-4.3791112898971451E-3</v>
      </c>
      <c r="K1807">
        <f>-114189999/(1000)</f>
        <v>-114189.999</v>
      </c>
      <c r="L1807">
        <v>0</v>
      </c>
      <c r="M1807">
        <v>0</v>
      </c>
      <c r="N1807">
        <v>76.655420645348201</v>
      </c>
      <c r="O1807">
        <v>0</v>
      </c>
      <c r="P1807">
        <v>0</v>
      </c>
      <c r="Q1807">
        <v>0</v>
      </c>
      <c r="R1807">
        <v>0</v>
      </c>
      <c r="S1807">
        <v>14003.8461538462</v>
      </c>
      <c r="T1807">
        <v>0</v>
      </c>
      <c r="U1807">
        <v>0</v>
      </c>
      <c r="V1807">
        <v>0</v>
      </c>
      <c r="W1807">
        <v>0</v>
      </c>
    </row>
    <row r="1808" spans="1:23" x14ac:dyDescent="0.55000000000000004">
      <c r="A1808" t="s">
        <v>3624</v>
      </c>
      <c r="B1808" t="s">
        <v>3625</v>
      </c>
      <c r="C1808" t="s">
        <v>38</v>
      </c>
      <c r="D1808">
        <v>11.6</v>
      </c>
      <c r="E1808">
        <f>460777504/(1000)</f>
        <v>460777.50400000002</v>
      </c>
      <c r="F1808">
        <f>21561000/(1000)</f>
        <v>21561</v>
      </c>
      <c r="G1808">
        <f>-76557000/(1000)</f>
        <v>-76557</v>
      </c>
      <c r="H1808">
        <f>372218504/(1000)</f>
        <v>372218.50400000002</v>
      </c>
      <c r="I1808">
        <f>-72981000/(1000)</f>
        <v>-72981</v>
      </c>
      <c r="J1808">
        <f t="shared" si="46"/>
        <v>-5.1002110686343026E-3</v>
      </c>
      <c r="K1808">
        <f>-65152999/(1000)</f>
        <v>-65152.999000000003</v>
      </c>
      <c r="L1808">
        <v>0</v>
      </c>
      <c r="M1808">
        <v>-44.420581817627003</v>
      </c>
      <c r="N1808">
        <v>59.851672127822503</v>
      </c>
      <c r="O1808">
        <v>6.8268771171569798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55000000000000004">
      <c r="A1809" t="s">
        <v>3626</v>
      </c>
      <c r="B1809" t="s">
        <v>3627</v>
      </c>
      <c r="C1809" t="s">
        <v>5</v>
      </c>
      <c r="D1809">
        <v>1.82</v>
      </c>
      <c r="E1809">
        <f>257513616/(1000)</f>
        <v>257513.61600000001</v>
      </c>
      <c r="F1809">
        <f>20777000/(1000)</f>
        <v>20777</v>
      </c>
      <c r="G1809">
        <f>-14181000/(1000)</f>
        <v>-14181</v>
      </c>
      <c r="H1809">
        <f>319965616/(1000)</f>
        <v>319965.61599999998</v>
      </c>
      <c r="I1809">
        <f>-13565000/(1000)</f>
        <v>-13565</v>
      </c>
      <c r="J1809">
        <f t="shared" si="46"/>
        <v>-2.3587586877994837E-2</v>
      </c>
      <c r="K1809">
        <f>-16461999/(1000)</f>
        <v>-16461.999</v>
      </c>
      <c r="L1809">
        <v>0</v>
      </c>
      <c r="M1809">
        <v>0</v>
      </c>
      <c r="N1809">
        <v>60.0590154942102</v>
      </c>
      <c r="O1809">
        <v>0</v>
      </c>
      <c r="P1809">
        <v>0</v>
      </c>
      <c r="Q1809">
        <v>0</v>
      </c>
      <c r="R1809">
        <v>0</v>
      </c>
      <c r="S1809">
        <v>712.55377395385199</v>
      </c>
      <c r="T1809">
        <v>0</v>
      </c>
      <c r="U1809">
        <v>0</v>
      </c>
      <c r="V1809">
        <v>0</v>
      </c>
      <c r="W1809">
        <v>0</v>
      </c>
    </row>
    <row r="1810" spans="1:23" x14ac:dyDescent="0.55000000000000004">
      <c r="A1810" t="s">
        <v>3628</v>
      </c>
      <c r="B1810" t="s">
        <v>3629</v>
      </c>
      <c r="C1810" t="s">
        <v>31</v>
      </c>
      <c r="D1810">
        <v>26.13</v>
      </c>
      <c r="E1810">
        <f>121904288/(1000)</f>
        <v>121904.288</v>
      </c>
      <c r="F1810">
        <f>20528812/(1000)</f>
        <v>20528.812000000002</v>
      </c>
      <c r="G1810">
        <f>10048779/(1000)</f>
        <v>10048.779</v>
      </c>
      <c r="H1810">
        <f>92863100/(1000)</f>
        <v>92863.1</v>
      </c>
      <c r="I1810">
        <f>10609307/(1000)</f>
        <v>10609.307000000001</v>
      </c>
      <c r="J1810">
        <f t="shared" si="46"/>
        <v>8.7529845257564888E-3</v>
      </c>
      <c r="K1810">
        <f>6091631/(1000)</f>
        <v>6091.6310000000003</v>
      </c>
      <c r="L1810">
        <v>48.4151000976563</v>
      </c>
      <c r="M1810">
        <v>25.9464225769043</v>
      </c>
      <c r="N1810">
        <v>97.354941905752199</v>
      </c>
      <c r="O1810">
        <v>0</v>
      </c>
      <c r="P1810">
        <v>0</v>
      </c>
      <c r="Q1810">
        <v>0</v>
      </c>
      <c r="R1810">
        <v>15.2807011890377</v>
      </c>
      <c r="S1810">
        <v>117.29382089846099</v>
      </c>
      <c r="T1810">
        <v>0</v>
      </c>
      <c r="U1810">
        <v>0</v>
      </c>
      <c r="V1810">
        <v>0</v>
      </c>
      <c r="W1810">
        <v>0</v>
      </c>
    </row>
    <row r="1811" spans="1:23" x14ac:dyDescent="0.55000000000000004">
      <c r="A1811" t="s">
        <v>3630</v>
      </c>
      <c r="B1811" t="s">
        <v>3631</v>
      </c>
      <c r="C1811" t="s">
        <v>38</v>
      </c>
      <c r="D1811">
        <v>4.17</v>
      </c>
      <c r="E1811">
        <f>308763904/(1000)</f>
        <v>308763.90399999998</v>
      </c>
      <c r="F1811">
        <f>19332000/(1000)</f>
        <v>19332</v>
      </c>
      <c r="G1811">
        <f>-158300000/(1000)</f>
        <v>-158300</v>
      </c>
      <c r="H1811">
        <f>223456904/(1000)</f>
        <v>223456.90400000001</v>
      </c>
      <c r="I1811">
        <f>-149312992/(1000)</f>
        <v>-149312.992</v>
      </c>
      <c r="J1811">
        <f t="shared" si="46"/>
        <v>-1.4965670502403436E-3</v>
      </c>
      <c r="K1811">
        <f>-145571007/(1000)</f>
        <v>-145571.00700000001</v>
      </c>
      <c r="L1811">
        <v>0</v>
      </c>
      <c r="M1811">
        <v>-41.051143646240199</v>
      </c>
      <c r="N1811">
        <v>98.350985514019996</v>
      </c>
      <c r="O1811">
        <v>15.9047288894653</v>
      </c>
      <c r="P1811">
        <v>0</v>
      </c>
      <c r="Q1811">
        <v>2.8522572099400301</v>
      </c>
      <c r="R1811">
        <v>0</v>
      </c>
      <c r="S1811">
        <v>-0.46339202965709497</v>
      </c>
      <c r="T1811">
        <v>0</v>
      </c>
      <c r="U1811">
        <v>0</v>
      </c>
      <c r="V1811">
        <v>0</v>
      </c>
      <c r="W1811">
        <v>0</v>
      </c>
    </row>
    <row r="1812" spans="1:23" x14ac:dyDescent="0.55000000000000004">
      <c r="A1812" t="s">
        <v>3632</v>
      </c>
      <c r="B1812" t="s">
        <v>3633</v>
      </c>
      <c r="C1812" t="s">
        <v>184</v>
      </c>
      <c r="D1812">
        <v>3.68</v>
      </c>
      <c r="E1812">
        <f>298537408/(1000)</f>
        <v>298537.408</v>
      </c>
      <c r="F1812">
        <f>19317000/(1000)</f>
        <v>19317</v>
      </c>
      <c r="G1812">
        <f>0/(1000)</f>
        <v>0</v>
      </c>
      <c r="H1812">
        <f>1227481408/(1000)</f>
        <v>1227481.4080000001</v>
      </c>
      <c r="I1812">
        <f>0/(1000)</f>
        <v>0</v>
      </c>
      <c r="J1812">
        <f t="shared" si="46"/>
        <v>1</v>
      </c>
      <c r="K1812">
        <f>298031009/(1000)</f>
        <v>298031.00900000002</v>
      </c>
      <c r="L1812">
        <v>0</v>
      </c>
      <c r="M1812">
        <v>-38.015419006347699</v>
      </c>
      <c r="N1812">
        <v>99.146374006359693</v>
      </c>
      <c r="O1812">
        <v>34.846931457519503</v>
      </c>
      <c r="P1812">
        <v>9.9999997764830002E-3</v>
      </c>
      <c r="Q1812">
        <v>0.129077517966107</v>
      </c>
      <c r="R1812">
        <v>0</v>
      </c>
      <c r="S1812">
        <v>-98.190976998959499</v>
      </c>
      <c r="T1812">
        <v>0</v>
      </c>
      <c r="U1812">
        <v>0</v>
      </c>
      <c r="V1812">
        <v>0</v>
      </c>
      <c r="W1812">
        <v>0</v>
      </c>
    </row>
    <row r="1813" spans="1:23" x14ac:dyDescent="0.55000000000000004">
      <c r="A1813" t="s">
        <v>3634</v>
      </c>
      <c r="B1813" t="s">
        <v>3635</v>
      </c>
      <c r="C1813" t="s">
        <v>38</v>
      </c>
      <c r="D1813">
        <v>3.78</v>
      </c>
      <c r="E1813">
        <f>117877408/(1000)</f>
        <v>117877.408</v>
      </c>
      <c r="F1813">
        <f>19296280/(1000)</f>
        <v>19296.28</v>
      </c>
      <c r="G1813">
        <f>-4278176/(1000)</f>
        <v>-4278.1760000000004</v>
      </c>
      <c r="H1813">
        <f>52271460/(1000)</f>
        <v>52271.46</v>
      </c>
      <c r="I1813">
        <f>-3453550/(1000)</f>
        <v>-3453.55</v>
      </c>
      <c r="J1813">
        <f t="shared" si="46"/>
        <v>-1.5135573540270156E-2</v>
      </c>
      <c r="K1813">
        <f>37364017/(1000)</f>
        <v>37364.017</v>
      </c>
      <c r="L1813">
        <v>0</v>
      </c>
      <c r="M1813">
        <v>82.785324096679702</v>
      </c>
      <c r="N1813">
        <v>86.764899950512699</v>
      </c>
      <c r="O1813">
        <v>0</v>
      </c>
      <c r="P1813">
        <v>0</v>
      </c>
      <c r="Q1813">
        <v>0</v>
      </c>
      <c r="R1813">
        <v>13.497927478541801</v>
      </c>
      <c r="S1813">
        <v>148.28646097979299</v>
      </c>
      <c r="T1813">
        <v>0</v>
      </c>
      <c r="U1813">
        <v>0</v>
      </c>
      <c r="V1813">
        <v>0</v>
      </c>
      <c r="W1813">
        <v>0</v>
      </c>
    </row>
    <row r="1814" spans="1:23" x14ac:dyDescent="0.55000000000000004">
      <c r="A1814" t="s">
        <v>3636</v>
      </c>
      <c r="B1814" t="s">
        <v>3637</v>
      </c>
      <c r="C1814" t="s">
        <v>8</v>
      </c>
      <c r="D1814">
        <v>2.79</v>
      </c>
      <c r="E1814">
        <f>116360024/(1000)</f>
        <v>116360.024</v>
      </c>
      <c r="F1814">
        <f>17996000/(1000)</f>
        <v>17996</v>
      </c>
      <c r="G1814">
        <f>-9825000/(1000)</f>
        <v>-9825</v>
      </c>
      <c r="H1814">
        <f>114120023.75/(1000)</f>
        <v>114120.02374999999</v>
      </c>
      <c r="I1814">
        <f>-5157000/(1000)</f>
        <v>-5157</v>
      </c>
      <c r="J1814">
        <f t="shared" si="46"/>
        <v>-2.212914945704867E-2</v>
      </c>
      <c r="K1814">
        <f>-10063999/(1000)</f>
        <v>-10063.999</v>
      </c>
      <c r="L1814">
        <v>0</v>
      </c>
      <c r="M1814">
        <v>-33.639778137207003</v>
      </c>
      <c r="N1814">
        <v>90.876633342492198</v>
      </c>
      <c r="O1814">
        <v>0</v>
      </c>
      <c r="P1814">
        <v>0</v>
      </c>
      <c r="Q1814">
        <v>0</v>
      </c>
      <c r="R1814">
        <v>0</v>
      </c>
      <c r="S1814">
        <v>556.30926331145099</v>
      </c>
      <c r="T1814">
        <v>0</v>
      </c>
      <c r="U1814">
        <v>0</v>
      </c>
      <c r="V1814">
        <v>0</v>
      </c>
      <c r="W1814">
        <v>0</v>
      </c>
    </row>
    <row r="1815" spans="1:23" x14ac:dyDescent="0.55000000000000004">
      <c r="A1815" t="s">
        <v>3638</v>
      </c>
      <c r="B1815" t="s">
        <v>3639</v>
      </c>
      <c r="C1815" t="s">
        <v>8</v>
      </c>
      <c r="D1815">
        <v>7.02</v>
      </c>
      <c r="E1815">
        <f>64379720/(1000)</f>
        <v>64379.72</v>
      </c>
      <c r="F1815">
        <f>16650000/(1000)</f>
        <v>16650</v>
      </c>
      <c r="G1815">
        <f>-15981000/(1000)</f>
        <v>-15981</v>
      </c>
      <c r="H1815">
        <f>119633720/(1000)</f>
        <v>119633.72</v>
      </c>
      <c r="I1815">
        <f>-10919000/(1000)</f>
        <v>-10919</v>
      </c>
      <c r="J1815">
        <f t="shared" si="46"/>
        <v>-1.0956472204414324E-2</v>
      </c>
      <c r="K1815">
        <f>-37140999/(1000)</f>
        <v>-37140.999000000003</v>
      </c>
      <c r="L1815">
        <v>0</v>
      </c>
      <c r="M1815">
        <v>-43.502090454101598</v>
      </c>
      <c r="N1815">
        <v>81.417306035760205</v>
      </c>
      <c r="O1815">
        <v>5.1729831695556596</v>
      </c>
      <c r="P1815">
        <v>0</v>
      </c>
      <c r="Q1815">
        <v>0</v>
      </c>
      <c r="R1815">
        <v>4.9787234822801096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55000000000000004">
      <c r="A1816" t="s">
        <v>3640</v>
      </c>
      <c r="B1816" t="s">
        <v>3641</v>
      </c>
      <c r="C1816" t="s">
        <v>38</v>
      </c>
      <c r="D1816">
        <v>7.21</v>
      </c>
      <c r="E1816">
        <f>148013376/(1000)</f>
        <v>148013.37599999999</v>
      </c>
      <c r="F1816">
        <f>16473000/(1000)</f>
        <v>16473</v>
      </c>
      <c r="G1816">
        <f>-9961000/(1000)</f>
        <v>-9961</v>
      </c>
      <c r="H1816">
        <f>79134376/(1000)</f>
        <v>79134.376000000004</v>
      </c>
      <c r="I1816">
        <f>-9421000/(1000)</f>
        <v>-9421</v>
      </c>
      <c r="J1816">
        <f t="shared" si="46"/>
        <v>-8.3997851608109547E-3</v>
      </c>
      <c r="K1816">
        <f>-7860999/(1000)</f>
        <v>-7860.9989999999998</v>
      </c>
      <c r="L1816">
        <v>0</v>
      </c>
      <c r="M1816">
        <v>0</v>
      </c>
      <c r="N1816">
        <v>59.538016711982202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55000000000000004">
      <c r="A1817" t="s">
        <v>3642</v>
      </c>
      <c r="B1817" t="s">
        <v>3643</v>
      </c>
      <c r="C1817" t="s">
        <v>184</v>
      </c>
      <c r="D1817">
        <v>0</v>
      </c>
      <c r="E1817">
        <f>170149072/(1000)</f>
        <v>170149.07199999999</v>
      </c>
      <c r="F1817">
        <f>16332961/(1000)</f>
        <v>16332.960999999999</v>
      </c>
      <c r="G1817">
        <f>4174979/(1000)</f>
        <v>4174.9790000000003</v>
      </c>
      <c r="H1817">
        <f>83191024/(1000)</f>
        <v>83191.024000000005</v>
      </c>
      <c r="I1817">
        <f>4174979/(1000)</f>
        <v>4174.9790000000003</v>
      </c>
      <c r="J1817">
        <f t="shared" si="46"/>
        <v>1.9926093999514727E-2</v>
      </c>
      <c r="K1817">
        <f>-179376255/(1000)</f>
        <v>-179376.255</v>
      </c>
      <c r="L1817">
        <v>0</v>
      </c>
      <c r="M1817">
        <v>0</v>
      </c>
      <c r="N1817">
        <v>86.722307691786895</v>
      </c>
      <c r="O1817">
        <v>0</v>
      </c>
      <c r="P1817">
        <v>1.3200000524520901</v>
      </c>
      <c r="Q1817">
        <v>0.621654994332136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55000000000000004">
      <c r="A1818" t="s">
        <v>3644</v>
      </c>
      <c r="B1818" t="s">
        <v>3645</v>
      </c>
      <c r="C1818" t="s">
        <v>2</v>
      </c>
      <c r="D1818">
        <v>1.02</v>
      </c>
      <c r="E1818">
        <f>90154840/(1000)</f>
        <v>90154.84</v>
      </c>
      <c r="F1818">
        <f>16270622/(1000)</f>
        <v>16270.621999999999</v>
      </c>
      <c r="G1818">
        <f>-72328608/(1000)</f>
        <v>-72328.607999999993</v>
      </c>
      <c r="H1818">
        <f>-26170768/(1000)</f>
        <v>-26170.768</v>
      </c>
      <c r="I1818">
        <f>-66867480/(1000)</f>
        <v>-66867.48</v>
      </c>
      <c r="J1818">
        <f t="shared" si="46"/>
        <v>3.9138259734029156E-4</v>
      </c>
      <c r="K1818">
        <f>-52255163/(1000)</f>
        <v>-52255.163</v>
      </c>
      <c r="L1818">
        <v>0</v>
      </c>
      <c r="M1818">
        <v>-22.292417526245099</v>
      </c>
      <c r="N1818">
        <v>99.166280805802302</v>
      </c>
      <c r="O1818">
        <v>0</v>
      </c>
      <c r="P1818">
        <v>0</v>
      </c>
      <c r="Q1818">
        <v>0</v>
      </c>
      <c r="R1818">
        <v>0</v>
      </c>
      <c r="S1818">
        <v>37.676611947876097</v>
      </c>
      <c r="T1818">
        <v>0</v>
      </c>
      <c r="U1818">
        <v>0</v>
      </c>
      <c r="V1818">
        <v>0</v>
      </c>
      <c r="W1818">
        <v>0</v>
      </c>
    </row>
    <row r="1819" spans="1:23" x14ac:dyDescent="0.55000000000000004">
      <c r="A1819" t="s">
        <v>3646</v>
      </c>
      <c r="B1819" t="s">
        <v>3647</v>
      </c>
      <c r="C1819" t="s">
        <v>38</v>
      </c>
      <c r="D1819">
        <v>19.16</v>
      </c>
      <c r="E1819">
        <f>609508352/(1000)</f>
        <v>609508.35199999996</v>
      </c>
      <c r="F1819">
        <f>15240000/(1000)</f>
        <v>15240</v>
      </c>
      <c r="G1819">
        <f>-47226000/(1000)</f>
        <v>-47226</v>
      </c>
      <c r="H1819">
        <f>615050352/(1000)</f>
        <v>615050.35199999996</v>
      </c>
      <c r="I1819">
        <f>-45193000/(1000)</f>
        <v>-45193</v>
      </c>
      <c r="J1819">
        <f t="shared" si="46"/>
        <v>-1.360941632553714E-2</v>
      </c>
      <c r="K1819">
        <f>-51219999/(1000)</f>
        <v>-51219.999000000003</v>
      </c>
      <c r="L1819">
        <v>0</v>
      </c>
      <c r="M1819">
        <v>-420.8798828125</v>
      </c>
      <c r="N1819">
        <v>44.782232067031899</v>
      </c>
      <c r="O1819">
        <v>60.114395141601598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55000000000000004">
      <c r="A1820" t="s">
        <v>3648</v>
      </c>
      <c r="B1820" t="s">
        <v>3649</v>
      </c>
      <c r="C1820" t="s">
        <v>5</v>
      </c>
      <c r="D1820">
        <v>5.79</v>
      </c>
      <c r="E1820">
        <f>314894944/(1000)</f>
        <v>314894.94400000002</v>
      </c>
      <c r="F1820">
        <f>14024000/(1000)</f>
        <v>14024</v>
      </c>
      <c r="G1820">
        <f>-69174000/(1000)</f>
        <v>-69174</v>
      </c>
      <c r="H1820">
        <f>217201944/(1000)</f>
        <v>217201.94399999999</v>
      </c>
      <c r="I1820">
        <f>-63561004/(1000)</f>
        <v>-63561.004000000001</v>
      </c>
      <c r="J1820">
        <f t="shared" si="46"/>
        <v>-3.417220155930828E-3</v>
      </c>
      <c r="K1820">
        <f>-41716999/(1000)</f>
        <v>-41716.999000000003</v>
      </c>
      <c r="L1820">
        <v>0</v>
      </c>
      <c r="M1820">
        <v>-30.729499816894499</v>
      </c>
      <c r="N1820">
        <v>98.262601479529593</v>
      </c>
      <c r="O1820">
        <v>0</v>
      </c>
      <c r="P1820">
        <v>0</v>
      </c>
      <c r="Q1820">
        <v>0</v>
      </c>
      <c r="R1820">
        <v>0</v>
      </c>
      <c r="S1820">
        <v>-86.379970087213295</v>
      </c>
      <c r="T1820">
        <v>0</v>
      </c>
      <c r="U1820">
        <v>0</v>
      </c>
      <c r="V1820">
        <v>0</v>
      </c>
      <c r="W1820">
        <v>0</v>
      </c>
    </row>
    <row r="1821" spans="1:23" x14ac:dyDescent="0.55000000000000004">
      <c r="A1821" t="s">
        <v>3650</v>
      </c>
      <c r="B1821" t="s">
        <v>3651</v>
      </c>
      <c r="C1821" t="s">
        <v>5</v>
      </c>
      <c r="D1821">
        <v>6.84</v>
      </c>
      <c r="E1821">
        <f>259120400/(1000)</f>
        <v>259120.4</v>
      </c>
      <c r="F1821">
        <f>13940603/(1000)</f>
        <v>13940.602999999999</v>
      </c>
      <c r="G1821">
        <f>-3797439/(1000)</f>
        <v>-3797.4389999999999</v>
      </c>
      <c r="H1821">
        <f>109361664/(1000)</f>
        <v>109361.664</v>
      </c>
      <c r="I1821">
        <f>-3759449/(1000)</f>
        <v>-3759.4490000000001</v>
      </c>
      <c r="J1821">
        <f t="shared" si="46"/>
        <v>-2.9089811831467857E-2</v>
      </c>
      <c r="K1821">
        <f>2762207/(1000)</f>
        <v>2762.2069999999999</v>
      </c>
      <c r="L1821">
        <v>0</v>
      </c>
      <c r="M1821">
        <v>2.7341558933258101</v>
      </c>
      <c r="N1821">
        <v>92.657415298846701</v>
      </c>
      <c r="O1821">
        <v>0</v>
      </c>
      <c r="P1821">
        <v>0</v>
      </c>
      <c r="Q1821">
        <v>0</v>
      </c>
      <c r="R1821">
        <v>52.615387719058504</v>
      </c>
      <c r="S1821">
        <v>117.821921875</v>
      </c>
      <c r="T1821">
        <v>0</v>
      </c>
      <c r="U1821">
        <v>0</v>
      </c>
      <c r="V1821">
        <v>0</v>
      </c>
      <c r="W1821">
        <v>0</v>
      </c>
    </row>
    <row r="1822" spans="1:23" x14ac:dyDescent="0.55000000000000004">
      <c r="A1822" t="s">
        <v>3652</v>
      </c>
      <c r="B1822" t="s">
        <v>3653</v>
      </c>
      <c r="C1822" t="s">
        <v>184</v>
      </c>
      <c r="D1822">
        <v>4.91</v>
      </c>
      <c r="E1822">
        <f>108413288/(1000)</f>
        <v>108413.288</v>
      </c>
      <c r="F1822">
        <f>13900769/(1000)</f>
        <v>13900.769</v>
      </c>
      <c r="G1822">
        <f>6792224/(1000)</f>
        <v>6792.2240000000002</v>
      </c>
      <c r="H1822">
        <f>205478288/(1000)</f>
        <v>205478.288</v>
      </c>
      <c r="I1822">
        <f>6792224/(1000)</f>
        <v>6792.2240000000002</v>
      </c>
      <c r="J1822">
        <f t="shared" si="46"/>
        <v>3.0251989333685107E-2</v>
      </c>
      <c r="K1822">
        <f>-57401103/(1000)</f>
        <v>-57401.103000000003</v>
      </c>
      <c r="L1822">
        <v>0</v>
      </c>
      <c r="M1822">
        <v>-0.43849998712539701</v>
      </c>
      <c r="N1822">
        <v>98.863233789704196</v>
      </c>
      <c r="O1822">
        <v>70.156471252441406</v>
      </c>
      <c r="P1822">
        <v>0.95999997854232799</v>
      </c>
      <c r="Q1822">
        <v>0.477162280429</v>
      </c>
      <c r="R1822">
        <v>6.45189250898739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55000000000000004">
      <c r="A1823" t="s">
        <v>3654</v>
      </c>
      <c r="B1823" t="s">
        <v>3655</v>
      </c>
      <c r="C1823" t="s">
        <v>38</v>
      </c>
      <c r="D1823">
        <v>2.85</v>
      </c>
      <c r="E1823">
        <f>140917104/(1000)</f>
        <v>140917.10399999999</v>
      </c>
      <c r="F1823">
        <f>13622000/(1000)</f>
        <v>13622</v>
      </c>
      <c r="G1823">
        <f>-56487000/(1000)</f>
        <v>-56487</v>
      </c>
      <c r="H1823">
        <f>75822104/(1000)</f>
        <v>75822.104000000007</v>
      </c>
      <c r="I1823">
        <f>-53658000/(1000)</f>
        <v>-53658</v>
      </c>
      <c r="J1823">
        <f t="shared" si="46"/>
        <v>-1.4130624324425064E-3</v>
      </c>
      <c r="K1823">
        <f>-5567999/(1000)</f>
        <v>-5567.9989999999998</v>
      </c>
      <c r="L1823">
        <v>0</v>
      </c>
      <c r="M1823">
        <v>-47.417194366455099</v>
      </c>
      <c r="N1823">
        <v>84.404365119906103</v>
      </c>
      <c r="O1823">
        <v>8.6963062286377006</v>
      </c>
      <c r="P1823">
        <v>0</v>
      </c>
      <c r="Q1823">
        <v>0</v>
      </c>
      <c r="R1823">
        <v>0</v>
      </c>
      <c r="S1823">
        <v>19.533169533169499</v>
      </c>
      <c r="T1823">
        <v>0</v>
      </c>
      <c r="U1823">
        <v>0</v>
      </c>
      <c r="V1823">
        <v>0</v>
      </c>
      <c r="W1823">
        <v>0</v>
      </c>
    </row>
    <row r="1824" spans="1:23" x14ac:dyDescent="0.55000000000000004">
      <c r="A1824" t="s">
        <v>3656</v>
      </c>
      <c r="B1824" t="s">
        <v>3657</v>
      </c>
      <c r="C1824" t="s">
        <v>38</v>
      </c>
      <c r="D1824">
        <v>7.72</v>
      </c>
      <c r="E1824">
        <f>214327264/(1000)</f>
        <v>214327.264</v>
      </c>
      <c r="F1824">
        <f>13372000/(1000)</f>
        <v>13372</v>
      </c>
      <c r="G1824">
        <f>-52815000/(1000)</f>
        <v>-52815</v>
      </c>
      <c r="H1824">
        <f>225193264/(1000)</f>
        <v>225193.264</v>
      </c>
      <c r="I1824">
        <f>-48134000/(1000)</f>
        <v>-48134</v>
      </c>
      <c r="J1824">
        <f t="shared" si="46"/>
        <v>-4.6784656168197122E-3</v>
      </c>
      <c r="K1824">
        <f>-60460999/(1000)</f>
        <v>-60460.999000000003</v>
      </c>
      <c r="L1824">
        <v>0</v>
      </c>
      <c r="M1824">
        <v>0</v>
      </c>
      <c r="N1824">
        <v>93.252793510785295</v>
      </c>
      <c r="O1824">
        <v>28.910322189331101</v>
      </c>
      <c r="P1824">
        <v>0</v>
      </c>
      <c r="Q1824">
        <v>3.2711864971833799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55000000000000004">
      <c r="A1825" t="s">
        <v>3658</v>
      </c>
      <c r="B1825" t="s">
        <v>3659</v>
      </c>
      <c r="C1825" t="s">
        <v>38</v>
      </c>
      <c r="D1825">
        <v>2.74</v>
      </c>
      <c r="E1825">
        <f>260139968/(1000)</f>
        <v>260139.96799999999</v>
      </c>
      <c r="F1825">
        <f>12894000/(1000)</f>
        <v>12894</v>
      </c>
      <c r="G1825">
        <f>-60175000/(1000)</f>
        <v>-60175</v>
      </c>
      <c r="H1825">
        <f>237826968/(1000)</f>
        <v>237826.96799999999</v>
      </c>
      <c r="I1825">
        <f>-57560000/(1000)</f>
        <v>-57560</v>
      </c>
      <c r="J1825">
        <f t="shared" si="46"/>
        <v>-4.1318097289784568E-3</v>
      </c>
      <c r="K1825">
        <f>-98166999/(1000)</f>
        <v>-98166.998999999996</v>
      </c>
      <c r="L1825">
        <v>0</v>
      </c>
      <c r="M1825">
        <v>694.180419921875</v>
      </c>
      <c r="N1825">
        <v>89.128477598171401</v>
      </c>
      <c r="O1825">
        <v>5.1977810859680202</v>
      </c>
      <c r="P1825">
        <v>0</v>
      </c>
      <c r="Q1825">
        <v>0</v>
      </c>
      <c r="R1825">
        <v>0</v>
      </c>
      <c r="S1825">
        <v>-86.657698675496704</v>
      </c>
      <c r="T1825">
        <v>0</v>
      </c>
      <c r="U1825">
        <v>0</v>
      </c>
      <c r="V1825">
        <v>0</v>
      </c>
      <c r="W1825">
        <v>0</v>
      </c>
    </row>
    <row r="1826" spans="1:23" x14ac:dyDescent="0.55000000000000004">
      <c r="A1826" t="s">
        <v>3660</v>
      </c>
      <c r="B1826" t="s">
        <v>3661</v>
      </c>
      <c r="C1826" t="s">
        <v>38</v>
      </c>
      <c r="D1826">
        <v>8</v>
      </c>
      <c r="E1826">
        <f>292673600/(1000)</f>
        <v>292673.59999999998</v>
      </c>
      <c r="F1826">
        <f>12600000/(1000)</f>
        <v>12600</v>
      </c>
      <c r="G1826">
        <f>-79527000/(1000)</f>
        <v>-79527</v>
      </c>
      <c r="H1826">
        <f>134549600/(1000)</f>
        <v>134549.6</v>
      </c>
      <c r="I1826">
        <f>-78183000/(1000)</f>
        <v>-78183</v>
      </c>
      <c r="J1826">
        <f t="shared" si="46"/>
        <v>-1.7209572413440261E-3</v>
      </c>
      <c r="K1826">
        <f>-53139999/(1000)</f>
        <v>-53139.999000000003</v>
      </c>
      <c r="L1826">
        <v>0</v>
      </c>
      <c r="M1826">
        <v>-87.6826171875</v>
      </c>
      <c r="N1826">
        <v>96.911230102741996</v>
      </c>
      <c r="O1826">
        <v>2.1586239337921098</v>
      </c>
      <c r="P1826">
        <v>0</v>
      </c>
      <c r="Q1826">
        <v>0</v>
      </c>
      <c r="R1826">
        <v>0</v>
      </c>
      <c r="S1826">
        <v>-20.192551304788498</v>
      </c>
      <c r="T1826">
        <v>0</v>
      </c>
      <c r="U1826">
        <v>0</v>
      </c>
      <c r="V1826">
        <v>0</v>
      </c>
      <c r="W1826">
        <v>0</v>
      </c>
    </row>
    <row r="1827" spans="1:23" x14ac:dyDescent="0.55000000000000004">
      <c r="A1827" t="s">
        <v>3662</v>
      </c>
      <c r="B1827" t="s">
        <v>3663</v>
      </c>
      <c r="C1827" t="s">
        <v>20</v>
      </c>
      <c r="D1827">
        <v>0</v>
      </c>
      <c r="E1827">
        <f>14944371/(1000)</f>
        <v>14944.370999999999</v>
      </c>
      <c r="F1827">
        <f>12240563/(1000)</f>
        <v>12240.563</v>
      </c>
      <c r="G1827">
        <f>-20603856/(1000)</f>
        <v>-20603.856</v>
      </c>
      <c r="H1827">
        <f>10110710.5/(1000)</f>
        <v>10110.710499999999</v>
      </c>
      <c r="I1827">
        <f>-18586016/(1000)</f>
        <v>-18586.016</v>
      </c>
      <c r="J1827">
        <f t="shared" si="46"/>
        <v>-5.4399557710485124E-4</v>
      </c>
      <c r="K1827">
        <f>-21921193/(1000)</f>
        <v>-21921.192999999999</v>
      </c>
      <c r="L1827">
        <v>0</v>
      </c>
      <c r="M1827">
        <v>-530.849609375</v>
      </c>
      <c r="N1827">
        <v>34.607290307915598</v>
      </c>
      <c r="O1827">
        <v>2.2656419277191202</v>
      </c>
      <c r="P1827">
        <v>0</v>
      </c>
      <c r="Q1827">
        <v>0</v>
      </c>
      <c r="R1827">
        <v>0</v>
      </c>
      <c r="S1827">
        <v>251.71009732209799</v>
      </c>
      <c r="T1827">
        <v>0</v>
      </c>
      <c r="U1827">
        <v>0</v>
      </c>
      <c r="V1827">
        <v>0</v>
      </c>
      <c r="W1827">
        <v>0</v>
      </c>
    </row>
    <row r="1828" spans="1:23" x14ac:dyDescent="0.55000000000000004">
      <c r="A1828" t="s">
        <v>3664</v>
      </c>
      <c r="B1828" t="s">
        <v>3665</v>
      </c>
      <c r="C1828" t="s">
        <v>8</v>
      </c>
      <c r="D1828">
        <v>16.809999999999999</v>
      </c>
      <c r="E1828">
        <f>518675904/(1000)</f>
        <v>518675.90399999998</v>
      </c>
      <c r="F1828">
        <f>11725000/(1000)</f>
        <v>11725</v>
      </c>
      <c r="G1828">
        <f>783000/(1000)</f>
        <v>783</v>
      </c>
      <c r="H1828">
        <f>0/(1000)</f>
        <v>0</v>
      </c>
      <c r="I1828">
        <f>4626539/(1000)</f>
        <v>4626.5389999999998</v>
      </c>
      <c r="J1828">
        <f t="shared" si="46"/>
        <v>0</v>
      </c>
      <c r="K1828">
        <f>-2073659.875/(1000)</f>
        <v>-2073.6598749999998</v>
      </c>
      <c r="L1828">
        <v>8.0745067596435494</v>
      </c>
      <c r="M1828">
        <v>6.7618880271911603</v>
      </c>
      <c r="N1828">
        <v>97.211815774867205</v>
      </c>
      <c r="O1828">
        <v>60.475383758544901</v>
      </c>
      <c r="P1828">
        <v>0</v>
      </c>
      <c r="Q1828">
        <v>0.445356999380977</v>
      </c>
      <c r="R1828">
        <v>39.115576568801004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55000000000000004">
      <c r="A1829" t="s">
        <v>3666</v>
      </c>
      <c r="B1829" t="s">
        <v>3667</v>
      </c>
      <c r="C1829" t="s">
        <v>31</v>
      </c>
      <c r="D1829">
        <v>9.4499999999999993</v>
      </c>
      <c r="E1829">
        <f>340804800/(1000)</f>
        <v>340804.8</v>
      </c>
      <c r="F1829">
        <f>11305907/(1000)</f>
        <v>11305.906999999999</v>
      </c>
      <c r="G1829">
        <f>-20371858/(1000)</f>
        <v>-20371.858</v>
      </c>
      <c r="H1829">
        <f>261746968/(1000)</f>
        <v>261746.96799999999</v>
      </c>
      <c r="I1829">
        <f>-16902550/(1000)</f>
        <v>-16902.55</v>
      </c>
      <c r="J1829">
        <f t="shared" si="46"/>
        <v>-1.5485649680077858E-2</v>
      </c>
      <c r="K1829">
        <f>-12322620/(1000)</f>
        <v>-12322.62</v>
      </c>
      <c r="L1829">
        <v>0</v>
      </c>
      <c r="M1829">
        <v>-22.2513542175293</v>
      </c>
      <c r="N1829">
        <v>84.965618622712697</v>
      </c>
      <c r="O1829">
        <v>0</v>
      </c>
      <c r="P1829">
        <v>0</v>
      </c>
      <c r="Q1829">
        <v>4.2376680396583097</v>
      </c>
      <c r="R1829">
        <v>0</v>
      </c>
      <c r="S1829">
        <v>354.96607645875298</v>
      </c>
      <c r="T1829">
        <v>0</v>
      </c>
      <c r="U1829">
        <v>0</v>
      </c>
      <c r="V1829">
        <v>0</v>
      </c>
      <c r="W1829">
        <v>0</v>
      </c>
    </row>
    <row r="1830" spans="1:23" x14ac:dyDescent="0.55000000000000004">
      <c r="A1830" t="s">
        <v>3668</v>
      </c>
      <c r="B1830" t="s">
        <v>3669</v>
      </c>
      <c r="C1830" t="s">
        <v>8</v>
      </c>
      <c r="D1830">
        <v>4.3</v>
      </c>
      <c r="E1830">
        <f>141602880/(1000)</f>
        <v>141602.88</v>
      </c>
      <c r="F1830">
        <f>11217000/(1000)</f>
        <v>11217</v>
      </c>
      <c r="G1830">
        <f>-19536000/(1000)</f>
        <v>-19536</v>
      </c>
      <c r="H1830">
        <f>84514880/(1000)</f>
        <v>84514.880000000005</v>
      </c>
      <c r="I1830">
        <f>-19152000/(1000)</f>
        <v>-19152</v>
      </c>
      <c r="J1830">
        <f t="shared" si="46"/>
        <v>-4.4128487886382628E-3</v>
      </c>
      <c r="K1830">
        <f>-21301999/(1000)</f>
        <v>-21301.999</v>
      </c>
      <c r="L1830">
        <v>0</v>
      </c>
      <c r="M1830">
        <v>19.233671188354499</v>
      </c>
      <c r="N1830">
        <v>95.137695763450296</v>
      </c>
      <c r="O1830">
        <v>2.5100450515747101</v>
      </c>
      <c r="P1830">
        <v>0</v>
      </c>
      <c r="Q1830">
        <v>0</v>
      </c>
      <c r="R1830">
        <v>2.6875001698936098</v>
      </c>
      <c r="S1830">
        <v>-91.168759595323394</v>
      </c>
      <c r="T1830">
        <v>0</v>
      </c>
      <c r="U1830">
        <v>0</v>
      </c>
      <c r="V1830">
        <v>0</v>
      </c>
      <c r="W1830">
        <v>0</v>
      </c>
    </row>
    <row r="1831" spans="1:23" x14ac:dyDescent="0.55000000000000004">
      <c r="A1831" t="s">
        <v>3670</v>
      </c>
      <c r="B1831" t="s">
        <v>3671</v>
      </c>
      <c r="C1831" t="s">
        <v>31</v>
      </c>
      <c r="D1831">
        <v>1.68</v>
      </c>
      <c r="E1831">
        <f>114374400/(1000)</f>
        <v>114374.39999999999</v>
      </c>
      <c r="F1831">
        <f>10484000/(1000)</f>
        <v>10484</v>
      </c>
      <c r="G1831">
        <f>-26845000/(1000)</f>
        <v>-26845</v>
      </c>
      <c r="H1831">
        <f>77665400/(1000)</f>
        <v>77665.399999999994</v>
      </c>
      <c r="I1831">
        <f>-25892000/(1000)</f>
        <v>-25892</v>
      </c>
      <c r="J1831">
        <f t="shared" si="46"/>
        <v>-2.9995906071373394E-3</v>
      </c>
      <c r="K1831">
        <f>-22365999/(1000)</f>
        <v>-22365.999</v>
      </c>
      <c r="L1831">
        <v>0</v>
      </c>
      <c r="M1831">
        <v>-72.050979614257798</v>
      </c>
      <c r="N1831">
        <v>99.413628348534203</v>
      </c>
      <c r="O1831">
        <v>1.78457999229431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</row>
    <row r="1832" spans="1:23" x14ac:dyDescent="0.55000000000000004">
      <c r="A1832" t="s">
        <v>3672</v>
      </c>
      <c r="B1832" t="s">
        <v>3673</v>
      </c>
      <c r="C1832" t="s">
        <v>5</v>
      </c>
      <c r="D1832">
        <v>1.5</v>
      </c>
      <c r="E1832">
        <f>129630144/(1000)</f>
        <v>129630.144</v>
      </c>
      <c r="F1832">
        <f>10456700/(1000)</f>
        <v>10456.700000000001</v>
      </c>
      <c r="G1832">
        <f>-40121672/(1000)</f>
        <v>-40121.671999999999</v>
      </c>
      <c r="H1832">
        <f>46359680/(1000)</f>
        <v>46359.68</v>
      </c>
      <c r="I1832">
        <f>-35661604/(1000)</f>
        <v>-35661.603999999999</v>
      </c>
      <c r="J1832">
        <f t="shared" si="46"/>
        <v>-1.2999886376395184E-3</v>
      </c>
      <c r="K1832">
        <f>-36657663/(1000)</f>
        <v>-36657.663</v>
      </c>
      <c r="L1832">
        <v>0</v>
      </c>
      <c r="M1832">
        <v>0</v>
      </c>
      <c r="N1832">
        <v>49.201518284880102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55000000000000004">
      <c r="A1833" t="s">
        <v>3674</v>
      </c>
      <c r="B1833" t="s">
        <v>3675</v>
      </c>
      <c r="C1833" t="s">
        <v>38</v>
      </c>
      <c r="D1833">
        <v>7.22</v>
      </c>
      <c r="E1833">
        <f>181856640/(1000)</f>
        <v>181856.64000000001</v>
      </c>
      <c r="F1833">
        <f>10085000/(1000)</f>
        <v>10085</v>
      </c>
      <c r="G1833">
        <f>-42252000/(1000)</f>
        <v>-42252</v>
      </c>
      <c r="H1833">
        <f>148764640/(1000)</f>
        <v>148764.64000000001</v>
      </c>
      <c r="I1833">
        <f>-40857000/(1000)</f>
        <v>-40857</v>
      </c>
      <c r="J1833">
        <f t="shared" si="46"/>
        <v>-3.6411053185500652E-3</v>
      </c>
      <c r="K1833">
        <f>-35371999/(1000)</f>
        <v>-35371.999000000003</v>
      </c>
      <c r="L1833">
        <v>0</v>
      </c>
      <c r="M1833">
        <v>-75.347442626953097</v>
      </c>
      <c r="N1833">
        <v>79.061770018645007</v>
      </c>
      <c r="O1833">
        <v>6.7442531585693404</v>
      </c>
      <c r="P1833">
        <v>0</v>
      </c>
      <c r="Q1833">
        <v>5.5752895980363899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55000000000000004">
      <c r="A1834" t="s">
        <v>3676</v>
      </c>
      <c r="B1834" t="s">
        <v>3677</v>
      </c>
      <c r="C1834" t="s">
        <v>38</v>
      </c>
      <c r="D1834">
        <v>1.53</v>
      </c>
      <c r="E1834">
        <f>56203940/(1000)</f>
        <v>56203.94</v>
      </c>
      <c r="F1834">
        <f>9949454/(1000)</f>
        <v>9949.4539999999997</v>
      </c>
      <c r="G1834">
        <f>-10225403/(1000)</f>
        <v>-10225.403</v>
      </c>
      <c r="H1834">
        <f>42071473/(1000)</f>
        <v>42071.472999999998</v>
      </c>
      <c r="I1834">
        <f>-9970615/(1000)</f>
        <v>-9970.6149999999998</v>
      </c>
      <c r="J1834">
        <f t="shared" si="46"/>
        <v>-4.2195464372057285E-3</v>
      </c>
      <c r="K1834">
        <f>-10886275/(1000)</f>
        <v>-10886.275</v>
      </c>
      <c r="L1834">
        <v>0</v>
      </c>
      <c r="M1834">
        <v>-35.599449157714801</v>
      </c>
      <c r="N1834">
        <v>58.760405613642298</v>
      </c>
      <c r="O1834">
        <v>0.62475699186325095</v>
      </c>
      <c r="P1834">
        <v>0</v>
      </c>
      <c r="Q1834">
        <v>0</v>
      </c>
      <c r="R1834">
        <v>0</v>
      </c>
      <c r="S1834">
        <v>54.734898911353</v>
      </c>
      <c r="T1834">
        <v>0</v>
      </c>
      <c r="U1834">
        <v>0</v>
      </c>
      <c r="V1834">
        <v>0</v>
      </c>
      <c r="W1834">
        <v>0</v>
      </c>
    </row>
    <row r="1835" spans="1:23" x14ac:dyDescent="0.55000000000000004">
      <c r="A1835" t="s">
        <v>3678</v>
      </c>
      <c r="B1835" t="s">
        <v>3679</v>
      </c>
      <c r="C1835" t="s">
        <v>8</v>
      </c>
      <c r="D1835">
        <v>1.8</v>
      </c>
      <c r="E1835">
        <f>49266720/(1000)</f>
        <v>49266.720000000001</v>
      </c>
      <c r="F1835">
        <f>9619584/(1000)</f>
        <v>9619.5840000000007</v>
      </c>
      <c r="G1835">
        <f>-9198812/(1000)</f>
        <v>-9198.8119999999999</v>
      </c>
      <c r="H1835">
        <f>53667026/(1000)</f>
        <v>53667.025999999998</v>
      </c>
      <c r="I1835">
        <f>-7960079/(1000)</f>
        <v>-7960.0789999999997</v>
      </c>
      <c r="J1835">
        <f t="shared" si="46"/>
        <v>-6.7420217814421193E-3</v>
      </c>
      <c r="K1835">
        <f>-9728714/(1000)</f>
        <v>-9728.7139999999999</v>
      </c>
      <c r="L1835">
        <v>0</v>
      </c>
      <c r="M1835">
        <v>-73.736305236816406</v>
      </c>
      <c r="N1835">
        <v>81.740860305511404</v>
      </c>
      <c r="O1835">
        <v>22.3077278137207</v>
      </c>
      <c r="P1835">
        <v>0</v>
      </c>
      <c r="Q1835">
        <v>0</v>
      </c>
      <c r="R1835">
        <v>0</v>
      </c>
      <c r="S1835">
        <v>55.329953172937202</v>
      </c>
      <c r="T1835">
        <v>0</v>
      </c>
      <c r="U1835">
        <v>0</v>
      </c>
      <c r="V1835">
        <v>0</v>
      </c>
      <c r="W1835">
        <v>0</v>
      </c>
    </row>
    <row r="1836" spans="1:23" x14ac:dyDescent="0.55000000000000004">
      <c r="A1836" t="s">
        <v>3680</v>
      </c>
      <c r="B1836" t="s">
        <v>3681</v>
      </c>
      <c r="C1836" t="s">
        <v>38</v>
      </c>
      <c r="D1836">
        <v>4.22</v>
      </c>
      <c r="E1836">
        <f>186327344/(1000)</f>
        <v>186327.34400000001</v>
      </c>
      <c r="F1836">
        <f>9165000/(1000)</f>
        <v>9165</v>
      </c>
      <c r="G1836">
        <f>-59631000/(1000)</f>
        <v>-59631</v>
      </c>
      <c r="H1836">
        <f>157705346/(1000)</f>
        <v>157705.34599999999</v>
      </c>
      <c r="I1836">
        <f>-57917000/(1000)</f>
        <v>-57917</v>
      </c>
      <c r="J1836">
        <f t="shared" si="46"/>
        <v>-2.7229543311980933E-3</v>
      </c>
      <c r="K1836">
        <f>-17211999/(1000)</f>
        <v>-17211.999</v>
      </c>
      <c r="L1836">
        <v>0</v>
      </c>
      <c r="M1836">
        <v>-63.539985656738303</v>
      </c>
      <c r="N1836">
        <v>91.544931113946603</v>
      </c>
      <c r="O1836">
        <v>0</v>
      </c>
      <c r="P1836">
        <v>0</v>
      </c>
      <c r="Q1836">
        <v>3.73451310442407</v>
      </c>
      <c r="R1836">
        <v>0</v>
      </c>
      <c r="S1836">
        <v>-85.408839075335905</v>
      </c>
      <c r="T1836">
        <v>0</v>
      </c>
      <c r="U1836">
        <v>0</v>
      </c>
      <c r="V1836">
        <v>0</v>
      </c>
      <c r="W1836">
        <v>0</v>
      </c>
    </row>
    <row r="1837" spans="1:23" x14ac:dyDescent="0.55000000000000004">
      <c r="A1837" t="s">
        <v>3682</v>
      </c>
      <c r="B1837" t="s">
        <v>3683</v>
      </c>
      <c r="C1837" t="s">
        <v>5</v>
      </c>
      <c r="D1837">
        <v>1.66</v>
      </c>
      <c r="E1837">
        <f>76913936/(1000)</f>
        <v>76913.936000000002</v>
      </c>
      <c r="F1837">
        <f>9119991/(1000)</f>
        <v>9119.991</v>
      </c>
      <c r="G1837">
        <f>-56460072/(1000)</f>
        <v>-56460.072</v>
      </c>
      <c r="H1837">
        <f>-69877248/(1000)</f>
        <v>-69877.248000000007</v>
      </c>
      <c r="I1837">
        <f>-54100752/(1000)</f>
        <v>-54100.752</v>
      </c>
      <c r="J1837">
        <f t="shared" si="46"/>
        <v>1.2916132478158532E-3</v>
      </c>
      <c r="K1837">
        <f>-18829857/(1000)</f>
        <v>-18829.857</v>
      </c>
      <c r="L1837">
        <v>0</v>
      </c>
      <c r="M1837">
        <v>-36.487190246582003</v>
      </c>
      <c r="N1837">
        <v>97.510670816914796</v>
      </c>
      <c r="O1837">
        <v>0</v>
      </c>
      <c r="P1837">
        <v>0</v>
      </c>
      <c r="Q1837">
        <v>0</v>
      </c>
      <c r="R1837">
        <v>0</v>
      </c>
      <c r="S1837">
        <v>-67.8975289520926</v>
      </c>
      <c r="T1837">
        <v>0</v>
      </c>
      <c r="U1837">
        <v>0</v>
      </c>
      <c r="V1837">
        <v>0</v>
      </c>
      <c r="W1837">
        <v>0</v>
      </c>
    </row>
    <row r="1838" spans="1:23" x14ac:dyDescent="0.55000000000000004">
      <c r="A1838" t="s">
        <v>3684</v>
      </c>
      <c r="B1838" t="s">
        <v>3685</v>
      </c>
      <c r="C1838" t="s">
        <v>38</v>
      </c>
      <c r="D1838">
        <v>3.48</v>
      </c>
      <c r="E1838">
        <f>142608656/(1000)</f>
        <v>142608.65599999999</v>
      </c>
      <c r="F1838">
        <f>9098000/(1000)</f>
        <v>9098</v>
      </c>
      <c r="G1838">
        <f>-24771000/(1000)</f>
        <v>-24771</v>
      </c>
      <c r="H1838">
        <f>83369656/(1000)</f>
        <v>83369.656000000003</v>
      </c>
      <c r="I1838">
        <f>-24497000/(1000)</f>
        <v>-24497</v>
      </c>
      <c r="J1838">
        <f t="shared" si="46"/>
        <v>-3.4032598277340081E-3</v>
      </c>
      <c r="K1838">
        <f>-17436999/(1000)</f>
        <v>-17436.999</v>
      </c>
      <c r="L1838">
        <v>0</v>
      </c>
      <c r="M1838">
        <v>-35.554965972900398</v>
      </c>
      <c r="N1838">
        <v>89.693139653321893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55000000000000004">
      <c r="A1839" t="s">
        <v>3686</v>
      </c>
      <c r="B1839" t="s">
        <v>3687</v>
      </c>
      <c r="C1839" t="s">
        <v>38</v>
      </c>
      <c r="D1839">
        <v>7.68</v>
      </c>
      <c r="E1839">
        <f>179443968/(1000)</f>
        <v>179443.96799999999</v>
      </c>
      <c r="F1839">
        <f>7981000/(1000)</f>
        <v>7981</v>
      </c>
      <c r="G1839">
        <f>-14727000/(1000)</f>
        <v>-14727</v>
      </c>
      <c r="H1839">
        <f>121614968/(1000)</f>
        <v>121614.96799999999</v>
      </c>
      <c r="I1839">
        <f>-14409000/(1000)</f>
        <v>-14409</v>
      </c>
      <c r="J1839">
        <f t="shared" si="46"/>
        <v>-8.4402087584148789E-3</v>
      </c>
      <c r="K1839">
        <f>-17391999/(1000)</f>
        <v>-17391.999</v>
      </c>
      <c r="L1839">
        <v>0</v>
      </c>
      <c r="M1839">
        <v>-132.36984252929699</v>
      </c>
      <c r="N1839">
        <v>95.045598700804405</v>
      </c>
      <c r="O1839">
        <v>15.7144832611084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55000000000000004">
      <c r="A1840" t="s">
        <v>3688</v>
      </c>
      <c r="B1840" t="s">
        <v>3689</v>
      </c>
      <c r="C1840" t="s">
        <v>38</v>
      </c>
      <c r="D1840">
        <v>4.67</v>
      </c>
      <c r="E1840">
        <f>369715008/(1000)</f>
        <v>369715.00799999997</v>
      </c>
      <c r="F1840">
        <f>7622000/(1000)</f>
        <v>7622</v>
      </c>
      <c r="G1840">
        <f>-62839000/(1000)</f>
        <v>-62839</v>
      </c>
      <c r="H1840">
        <f>195371008/(1000)</f>
        <v>195371.008</v>
      </c>
      <c r="I1840">
        <f>-61172000/(1000)</f>
        <v>-61172</v>
      </c>
      <c r="J1840">
        <f t="shared" si="46"/>
        <v>-3.1937979467730332E-3</v>
      </c>
      <c r="K1840">
        <f>-31531999/(1000)</f>
        <v>-31531.999</v>
      </c>
      <c r="L1840">
        <v>0</v>
      </c>
      <c r="M1840">
        <v>-24.1195163726807</v>
      </c>
      <c r="N1840">
        <v>97.801136463050298</v>
      </c>
      <c r="O1840">
        <v>0</v>
      </c>
      <c r="P1840">
        <v>0</v>
      </c>
      <c r="Q1840">
        <v>2.2560387569569</v>
      </c>
      <c r="R1840">
        <v>0</v>
      </c>
      <c r="S1840">
        <v>510.73717948717899</v>
      </c>
      <c r="T1840">
        <v>0</v>
      </c>
      <c r="U1840">
        <v>0</v>
      </c>
      <c r="V1840">
        <v>0</v>
      </c>
      <c r="W1840">
        <v>0</v>
      </c>
    </row>
    <row r="1841" spans="1:23" x14ac:dyDescent="0.55000000000000004">
      <c r="A1841" t="s">
        <v>3690</v>
      </c>
      <c r="B1841" t="s">
        <v>3691</v>
      </c>
      <c r="C1841" t="s">
        <v>38</v>
      </c>
      <c r="D1841">
        <v>0.9</v>
      </c>
      <c r="E1841">
        <f>33428340/(1000)</f>
        <v>33428.339999999997</v>
      </c>
      <c r="F1841">
        <f>7555000/(1000)</f>
        <v>7555</v>
      </c>
      <c r="G1841">
        <f>-62654000/(1000)</f>
        <v>-62654</v>
      </c>
      <c r="H1841">
        <f>-37894660/(1000)</f>
        <v>-37894.660000000003</v>
      </c>
      <c r="I1841">
        <f>-61886000/(1000)</f>
        <v>-61886</v>
      </c>
      <c r="J1841">
        <f t="shared" si="46"/>
        <v>6.1233009081213853E-4</v>
      </c>
      <c r="K1841">
        <f>-55341999/(1000)</f>
        <v>-55341.999000000003</v>
      </c>
      <c r="L1841">
        <v>0</v>
      </c>
      <c r="M1841">
        <v>-62.277393341064503</v>
      </c>
      <c r="N1841">
        <v>82.132374060642704</v>
      </c>
      <c r="O1841">
        <v>1.87301397323608</v>
      </c>
      <c r="P1841">
        <v>0</v>
      </c>
      <c r="Q1841">
        <v>0</v>
      </c>
      <c r="R1841">
        <v>0</v>
      </c>
      <c r="S1841">
        <v>20.379222434671799</v>
      </c>
      <c r="T1841">
        <v>0</v>
      </c>
      <c r="U1841">
        <v>0</v>
      </c>
      <c r="V1841">
        <v>0</v>
      </c>
      <c r="W1841">
        <v>0</v>
      </c>
    </row>
    <row r="1842" spans="1:23" x14ac:dyDescent="0.55000000000000004">
      <c r="A1842" t="s">
        <v>3692</v>
      </c>
      <c r="B1842" t="s">
        <v>3693</v>
      </c>
      <c r="C1842" t="s">
        <v>38</v>
      </c>
      <c r="D1842">
        <v>16.84</v>
      </c>
      <c r="E1842">
        <f>612406784/(1000)</f>
        <v>612406.78399999999</v>
      </c>
      <c r="F1842">
        <f>7126000/(1000)</f>
        <v>7126</v>
      </c>
      <c r="G1842">
        <f>-45504000/(1000)</f>
        <v>-45504</v>
      </c>
      <c r="H1842">
        <f>507123784/(1000)</f>
        <v>507123.78399999999</v>
      </c>
      <c r="I1842">
        <f>-44354000/(1000)</f>
        <v>-44354</v>
      </c>
      <c r="J1842">
        <f t="shared" si="46"/>
        <v>-1.1433552419173017E-2</v>
      </c>
      <c r="K1842">
        <f>-38856999/(1000)</f>
        <v>-38856.999000000003</v>
      </c>
      <c r="L1842">
        <v>0</v>
      </c>
      <c r="M1842">
        <v>-45.871364593505902</v>
      </c>
      <c r="N1842">
        <v>46.935616692896097</v>
      </c>
      <c r="O1842">
        <v>1.2671999633312E-2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</row>
    <row r="1843" spans="1:23" x14ac:dyDescent="0.55000000000000004">
      <c r="A1843" t="s">
        <v>3694</v>
      </c>
      <c r="B1843" t="s">
        <v>3695</v>
      </c>
      <c r="C1843" t="s">
        <v>5</v>
      </c>
      <c r="D1843">
        <v>9.2200000000000006</v>
      </c>
      <c r="E1843">
        <f>172498816/(1000)</f>
        <v>172498.81599999999</v>
      </c>
      <c r="F1843">
        <f>7030284/(1000)</f>
        <v>7030.2839999999997</v>
      </c>
      <c r="G1843">
        <f>-28320016/(1000)</f>
        <v>-28320.016</v>
      </c>
      <c r="H1843">
        <f>152594834/(1000)</f>
        <v>152594.834</v>
      </c>
      <c r="I1843">
        <f>-24956502/(1000)</f>
        <v>-24956.502</v>
      </c>
      <c r="J1843">
        <f t="shared" si="46"/>
        <v>-6.114431982494983E-3</v>
      </c>
      <c r="K1843">
        <f>-18089241/(1000)</f>
        <v>-18089.241000000002</v>
      </c>
      <c r="L1843">
        <v>0</v>
      </c>
      <c r="M1843">
        <v>-45.753528594970703</v>
      </c>
      <c r="N1843">
        <v>68.666218036908703</v>
      </c>
      <c r="O1843">
        <v>0.112487003207207</v>
      </c>
      <c r="P1843">
        <v>0</v>
      </c>
      <c r="Q1843">
        <v>3.0229509544833899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55000000000000004">
      <c r="A1844" t="s">
        <v>3696</v>
      </c>
      <c r="B1844" t="s">
        <v>3697</v>
      </c>
      <c r="C1844" t="s">
        <v>38</v>
      </c>
      <c r="D1844">
        <v>7.34</v>
      </c>
      <c r="E1844">
        <f>313589024/(1000)</f>
        <v>313589.02399999998</v>
      </c>
      <c r="F1844">
        <f>6404000/(1000)</f>
        <v>6404</v>
      </c>
      <c r="G1844">
        <f>-4906000/(1000)</f>
        <v>-4906</v>
      </c>
      <c r="H1844">
        <f>277656024/(1000)</f>
        <v>277656.02399999998</v>
      </c>
      <c r="I1844">
        <f>-4776000/(1000)</f>
        <v>-4776</v>
      </c>
      <c r="J1844">
        <f t="shared" si="46"/>
        <v>-5.8135683417085422E-2</v>
      </c>
      <c r="K1844">
        <f>19189001/(1000)</f>
        <v>19189.001</v>
      </c>
      <c r="L1844">
        <v>0</v>
      </c>
      <c r="M1844">
        <v>0</v>
      </c>
      <c r="N1844">
        <v>69.481288550176103</v>
      </c>
      <c r="O1844">
        <v>0</v>
      </c>
      <c r="P1844">
        <v>0</v>
      </c>
      <c r="Q1844">
        <v>0</v>
      </c>
      <c r="R1844">
        <v>13.5925928038968</v>
      </c>
      <c r="S1844">
        <v>-21.9500304692261</v>
      </c>
      <c r="T1844">
        <v>0</v>
      </c>
      <c r="U1844">
        <v>0</v>
      </c>
      <c r="V1844">
        <v>0</v>
      </c>
      <c r="W1844">
        <v>0</v>
      </c>
    </row>
    <row r="1845" spans="1:23" x14ac:dyDescent="0.55000000000000004">
      <c r="A1845" t="s">
        <v>3698</v>
      </c>
      <c r="B1845" t="s">
        <v>3699</v>
      </c>
      <c r="C1845" t="s">
        <v>2</v>
      </c>
      <c r="D1845">
        <v>3.22</v>
      </c>
      <c r="E1845">
        <f>168561856/(1000)</f>
        <v>168561.856</v>
      </c>
      <c r="F1845">
        <f>6146889/(1000)</f>
        <v>6146.8890000000001</v>
      </c>
      <c r="G1845">
        <f>-23759898/(1000)</f>
        <v>-23759.898000000001</v>
      </c>
      <c r="H1845">
        <f>161505816.5/(1000)</f>
        <v>161505.81649999999</v>
      </c>
      <c r="I1845">
        <f>-20224046/(1000)</f>
        <v>-20224.045999999998</v>
      </c>
      <c r="J1845">
        <f t="shared" si="46"/>
        <v>-7.9858311487226632E-3</v>
      </c>
      <c r="K1845">
        <f>-15786965/(1000)</f>
        <v>-15786.965</v>
      </c>
      <c r="L1845">
        <v>0</v>
      </c>
      <c r="M1845">
        <v>-100.21395874023401</v>
      </c>
      <c r="N1845">
        <v>89.242650962604699</v>
      </c>
      <c r="O1845">
        <v>10.100645065307599</v>
      </c>
      <c r="P1845">
        <v>0</v>
      </c>
      <c r="Q1845">
        <v>0</v>
      </c>
      <c r="R1845">
        <v>0</v>
      </c>
      <c r="S1845">
        <v>61368.89</v>
      </c>
      <c r="T1845">
        <v>0</v>
      </c>
      <c r="U1845">
        <v>0</v>
      </c>
      <c r="V1845">
        <v>0</v>
      </c>
      <c r="W1845">
        <v>0</v>
      </c>
    </row>
    <row r="1846" spans="1:23" x14ac:dyDescent="0.55000000000000004">
      <c r="A1846" t="s">
        <v>3700</v>
      </c>
      <c r="B1846" t="s">
        <v>3701</v>
      </c>
      <c r="C1846" t="s">
        <v>38</v>
      </c>
      <c r="D1846">
        <v>3.61</v>
      </c>
      <c r="E1846">
        <f>105612360/(1000)</f>
        <v>105612.36</v>
      </c>
      <c r="F1846">
        <f>6049000/(1000)</f>
        <v>6049</v>
      </c>
      <c r="G1846">
        <f>-31350000/(1000)</f>
        <v>-31350</v>
      </c>
      <c r="H1846">
        <f>92707360/(1000)</f>
        <v>92707.36</v>
      </c>
      <c r="I1846">
        <f>-29734000/(1000)</f>
        <v>-29734</v>
      </c>
      <c r="J1846">
        <f t="shared" si="46"/>
        <v>-3.1178906302549271E-3</v>
      </c>
      <c r="K1846">
        <f>-30557999/(1000)</f>
        <v>-30557.999</v>
      </c>
      <c r="L1846">
        <v>0</v>
      </c>
      <c r="M1846">
        <v>0</v>
      </c>
      <c r="N1846">
        <v>75.089810135511698</v>
      </c>
      <c r="O1846">
        <v>0</v>
      </c>
      <c r="P1846">
        <v>0</v>
      </c>
      <c r="Q1846">
        <v>0</v>
      </c>
      <c r="R1846">
        <v>0</v>
      </c>
      <c r="S1846">
        <v>-34.006109535238899</v>
      </c>
      <c r="T1846">
        <v>0</v>
      </c>
      <c r="U1846">
        <v>0</v>
      </c>
      <c r="V1846">
        <v>0</v>
      </c>
      <c r="W1846">
        <v>0</v>
      </c>
    </row>
    <row r="1847" spans="1:23" x14ac:dyDescent="0.55000000000000004">
      <c r="A1847" t="s">
        <v>3702</v>
      </c>
      <c r="B1847" t="s">
        <v>3703</v>
      </c>
      <c r="C1847" t="s">
        <v>8</v>
      </c>
      <c r="D1847">
        <v>2.85</v>
      </c>
      <c r="E1847">
        <f>144483600/(1000)</f>
        <v>144483.6</v>
      </c>
      <c r="F1847">
        <f>5376000/(1000)</f>
        <v>5376</v>
      </c>
      <c r="G1847">
        <f>-163940000/(1000)</f>
        <v>-163940</v>
      </c>
      <c r="H1847">
        <f>3429493520/(1000)</f>
        <v>3429493.52</v>
      </c>
      <c r="I1847">
        <f>-157547008/(1000)</f>
        <v>-157547.008</v>
      </c>
      <c r="J1847">
        <f t="shared" si="46"/>
        <v>-2.1768065059033049E-2</v>
      </c>
      <c r="K1847">
        <f>-872807999/(1000)</f>
        <v>-872807.99899999995</v>
      </c>
      <c r="L1847">
        <v>0</v>
      </c>
      <c r="M1847">
        <v>0</v>
      </c>
      <c r="N1847">
        <v>92.129558125374501</v>
      </c>
      <c r="O1847">
        <v>0</v>
      </c>
      <c r="P1847">
        <v>0</v>
      </c>
      <c r="Q1847">
        <v>0.89341688197832103</v>
      </c>
      <c r="R1847">
        <v>0</v>
      </c>
      <c r="S1847">
        <v>2149.37238493724</v>
      </c>
      <c r="T1847">
        <v>0</v>
      </c>
      <c r="U1847">
        <v>0</v>
      </c>
      <c r="V1847">
        <v>0</v>
      </c>
      <c r="W1847">
        <v>0</v>
      </c>
    </row>
    <row r="1848" spans="1:23" x14ac:dyDescent="0.55000000000000004">
      <c r="A1848" t="s">
        <v>3704</v>
      </c>
      <c r="B1848" t="s">
        <v>3705</v>
      </c>
      <c r="C1848" t="s">
        <v>20</v>
      </c>
      <c r="D1848">
        <v>0.15</v>
      </c>
      <c r="E1848">
        <f>7798860/(1000)</f>
        <v>7798.86</v>
      </c>
      <c r="F1848">
        <f>5149000/(1000)</f>
        <v>5149</v>
      </c>
      <c r="G1848">
        <f>-13278000/(1000)</f>
        <v>-13278</v>
      </c>
      <c r="H1848">
        <f>467554860/(1000)</f>
        <v>467554.86</v>
      </c>
      <c r="I1848">
        <f>6177000/(1000)</f>
        <v>6177</v>
      </c>
      <c r="J1848">
        <f t="shared" si="46"/>
        <v>7.5692870325400674E-2</v>
      </c>
      <c r="K1848">
        <f>-43454999/(1000)</f>
        <v>-43454.999000000003</v>
      </c>
      <c r="L1848">
        <v>0</v>
      </c>
      <c r="M1848">
        <v>0</v>
      </c>
      <c r="N1848">
        <v>29.609903884927199</v>
      </c>
      <c r="O1848">
        <v>360.798828125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55000000000000004">
      <c r="A1849" t="s">
        <v>3706</v>
      </c>
      <c r="B1849" t="s">
        <v>3707</v>
      </c>
      <c r="C1849" t="s">
        <v>38</v>
      </c>
      <c r="D1849">
        <v>7.92</v>
      </c>
      <c r="E1849">
        <f>125055216/(1000)</f>
        <v>125055.216</v>
      </c>
      <c r="F1849">
        <f>5102930/(1000)</f>
        <v>5102.93</v>
      </c>
      <c r="G1849">
        <f>-22854962/(1000)</f>
        <v>-22854.962</v>
      </c>
      <c r="H1849">
        <f>86267896/(1000)</f>
        <v>86267.895999999993</v>
      </c>
      <c r="I1849">
        <f>-20167596/(1000)</f>
        <v>-20167.596000000001</v>
      </c>
      <c r="J1849">
        <f t="shared" si="46"/>
        <v>-4.2775497882841362E-3</v>
      </c>
      <c r="K1849">
        <f>-24278801/(1000)</f>
        <v>-24278.800999999999</v>
      </c>
      <c r="L1849">
        <v>0</v>
      </c>
      <c r="M1849">
        <v>0</v>
      </c>
      <c r="N1849">
        <v>54.306578729410703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55000000000000004">
      <c r="A1850" t="s">
        <v>3708</v>
      </c>
      <c r="B1850" t="s">
        <v>3709</v>
      </c>
      <c r="C1850" t="s">
        <v>8</v>
      </c>
      <c r="D1850">
        <v>3.38</v>
      </c>
      <c r="E1850">
        <f>94980704/(1000)</f>
        <v>94980.703999999998</v>
      </c>
      <c r="F1850">
        <f>4977172/(1000)</f>
        <v>4977.1719999999996</v>
      </c>
      <c r="G1850">
        <f>318799/(1000)</f>
        <v>318.79899999999998</v>
      </c>
      <c r="H1850">
        <f>83127456/(1000)</f>
        <v>83127.456000000006</v>
      </c>
      <c r="I1850">
        <f>1418625/(1000)</f>
        <v>1418.625</v>
      </c>
      <c r="J1850">
        <f t="shared" si="46"/>
        <v>5.8597202220459957E-2</v>
      </c>
      <c r="K1850">
        <f>-4341190/(1000)</f>
        <v>-4341.1899999999996</v>
      </c>
      <c r="L1850">
        <v>0</v>
      </c>
      <c r="M1850">
        <v>2.48854303359985</v>
      </c>
      <c r="N1850">
        <v>53.513068080499004</v>
      </c>
      <c r="O1850">
        <v>0</v>
      </c>
      <c r="P1850">
        <v>7.9999998211861004E-2</v>
      </c>
      <c r="Q1850">
        <v>0</v>
      </c>
      <c r="R1850">
        <v>112.666679994929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55000000000000004">
      <c r="A1851" t="s">
        <v>3710</v>
      </c>
      <c r="B1851" t="s">
        <v>3711</v>
      </c>
      <c r="C1851" t="s">
        <v>38</v>
      </c>
      <c r="D1851">
        <v>2.76</v>
      </c>
      <c r="E1851">
        <f>82214056/(1000)</f>
        <v>82214.055999999997</v>
      </c>
      <c r="F1851">
        <f>4627000/(1000)</f>
        <v>4627</v>
      </c>
      <c r="G1851">
        <f>-46676000/(1000)</f>
        <v>-46676</v>
      </c>
      <c r="H1851">
        <f>120756060/(1000)</f>
        <v>120756.06</v>
      </c>
      <c r="I1851">
        <f>-43764000/(1000)</f>
        <v>-43764</v>
      </c>
      <c r="J1851">
        <f t="shared" si="46"/>
        <v>-2.7592555525089114E-3</v>
      </c>
      <c r="K1851">
        <f>-36649999/(1000)</f>
        <v>-36649.999000000003</v>
      </c>
      <c r="L1851">
        <v>0</v>
      </c>
      <c r="M1851">
        <v>-143.49591064453099</v>
      </c>
      <c r="N1851">
        <v>83.6103474050052</v>
      </c>
      <c r="O1851">
        <v>877.10400390625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55000000000000004">
      <c r="A1852" t="s">
        <v>3712</v>
      </c>
      <c r="B1852" t="s">
        <v>3713</v>
      </c>
      <c r="C1852" t="s">
        <v>38</v>
      </c>
      <c r="D1852">
        <v>5.6</v>
      </c>
      <c r="E1852">
        <f>456085280/(1000)</f>
        <v>456085.28</v>
      </c>
      <c r="F1852">
        <f>3799521/(1000)</f>
        <v>3799.5210000000002</v>
      </c>
      <c r="G1852">
        <f>-28150208/(1000)</f>
        <v>-28150.207999999999</v>
      </c>
      <c r="H1852">
        <f>383592240/(1000)</f>
        <v>383592.24</v>
      </c>
      <c r="I1852">
        <f>-27573716/(1000)</f>
        <v>-27573.716</v>
      </c>
      <c r="J1852">
        <f t="shared" si="46"/>
        <v>-1.3911517765686714E-2</v>
      </c>
      <c r="K1852">
        <f>-2512985/(1000)</f>
        <v>-2512.9850000000001</v>
      </c>
      <c r="L1852">
        <v>0</v>
      </c>
      <c r="M1852">
        <v>-59.113006591796903</v>
      </c>
      <c r="N1852">
        <v>75.149610636138505</v>
      </c>
      <c r="O1852">
        <v>0</v>
      </c>
      <c r="P1852">
        <v>0</v>
      </c>
      <c r="Q1852">
        <v>0</v>
      </c>
      <c r="R1852">
        <v>0</v>
      </c>
      <c r="S1852">
        <v>4229.0011279608998</v>
      </c>
      <c r="T1852">
        <v>0</v>
      </c>
      <c r="U1852">
        <v>0</v>
      </c>
      <c r="V1852">
        <v>0</v>
      </c>
      <c r="W1852">
        <v>0</v>
      </c>
    </row>
    <row r="1853" spans="1:23" x14ac:dyDescent="0.55000000000000004">
      <c r="A1853" t="s">
        <v>3714</v>
      </c>
      <c r="B1853" t="s">
        <v>3715</v>
      </c>
      <c r="C1853" t="s">
        <v>38</v>
      </c>
      <c r="D1853">
        <v>1.7</v>
      </c>
      <c r="E1853">
        <f>127689040/(1000)</f>
        <v>127689.04</v>
      </c>
      <c r="F1853">
        <f>3650695/(1000)</f>
        <v>3650.6950000000002</v>
      </c>
      <c r="G1853">
        <f>-23038788/(1000)</f>
        <v>-23038.788</v>
      </c>
      <c r="H1853">
        <f>66609088/(1000)</f>
        <v>66609.088000000003</v>
      </c>
      <c r="I1853">
        <f>-21480242/(1000)</f>
        <v>-21480.241999999998</v>
      </c>
      <c r="J1853">
        <f t="shared" si="46"/>
        <v>-3.1009468142863569E-3</v>
      </c>
      <c r="K1853">
        <f>-15909938/(1000)</f>
        <v>-15909.938</v>
      </c>
      <c r="L1853">
        <v>0</v>
      </c>
      <c r="M1853">
        <v>0</v>
      </c>
      <c r="N1853">
        <v>89.7767595428124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55000000000000004">
      <c r="A1854" t="s">
        <v>3716</v>
      </c>
      <c r="B1854" t="s">
        <v>3717</v>
      </c>
      <c r="C1854" t="s">
        <v>38</v>
      </c>
      <c r="D1854">
        <v>0.85</v>
      </c>
      <c r="E1854">
        <f>59129992/(1000)</f>
        <v>59129.991999999998</v>
      </c>
      <c r="F1854">
        <f>3583000/(1000)</f>
        <v>3583</v>
      </c>
      <c r="G1854">
        <f>-60694000/(1000)</f>
        <v>-60694</v>
      </c>
      <c r="H1854">
        <f>19877992/(1000)</f>
        <v>19877.991999999998</v>
      </c>
      <c r="I1854">
        <f>-58387000/(1000)</f>
        <v>-58387</v>
      </c>
      <c r="J1854">
        <f t="shared" si="46"/>
        <v>-3.4045236097076401E-4</v>
      </c>
      <c r="K1854">
        <f>32642001/(1000)</f>
        <v>32642.001</v>
      </c>
      <c r="L1854">
        <v>0</v>
      </c>
      <c r="M1854">
        <v>0</v>
      </c>
      <c r="N1854">
        <v>96.334207772244397</v>
      </c>
      <c r="O1854">
        <v>0</v>
      </c>
      <c r="P1854">
        <v>0</v>
      </c>
      <c r="Q1854">
        <v>0</v>
      </c>
      <c r="R1854">
        <v>0</v>
      </c>
      <c r="S1854">
        <v>5247.7611940298502</v>
      </c>
      <c r="T1854">
        <v>0</v>
      </c>
      <c r="U1854">
        <v>0</v>
      </c>
      <c r="V1854">
        <v>0</v>
      </c>
      <c r="W1854">
        <v>0</v>
      </c>
    </row>
    <row r="1855" spans="1:23" x14ac:dyDescent="0.55000000000000004">
      <c r="A1855" t="s">
        <v>3718</v>
      </c>
      <c r="B1855" t="s">
        <v>3719</v>
      </c>
      <c r="C1855" t="s">
        <v>5</v>
      </c>
      <c r="D1855">
        <v>11.97</v>
      </c>
      <c r="E1855">
        <f>180077872/(1000)</f>
        <v>180077.872</v>
      </c>
      <c r="F1855">
        <f>3095000/(1000)</f>
        <v>3095</v>
      </c>
      <c r="G1855">
        <f>-27574000/(1000)</f>
        <v>-27574</v>
      </c>
      <c r="H1855">
        <f>151134872/(1000)</f>
        <v>151134.872</v>
      </c>
      <c r="I1855">
        <f>-27325000/(1000)</f>
        <v>-27325</v>
      </c>
      <c r="J1855">
        <f t="shared" si="46"/>
        <v>-5.5310108691674293E-3</v>
      </c>
      <c r="K1855">
        <f>-21120999/(1000)</f>
        <v>-21120.999</v>
      </c>
      <c r="L1855">
        <v>0</v>
      </c>
      <c r="M1855">
        <v>-46.798984527587898</v>
      </c>
      <c r="N1855">
        <v>97.8928629044579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</row>
    <row r="1856" spans="1:23" x14ac:dyDescent="0.55000000000000004">
      <c r="A1856" t="s">
        <v>3720</v>
      </c>
      <c r="B1856" t="s">
        <v>3721</v>
      </c>
      <c r="C1856" t="s">
        <v>38</v>
      </c>
      <c r="D1856">
        <v>35.85</v>
      </c>
      <c r="E1856">
        <f>609521728/(1000)</f>
        <v>609521.728</v>
      </c>
      <c r="F1856">
        <f>2552000/(1000)</f>
        <v>2552</v>
      </c>
      <c r="G1856">
        <f>-42400000/(1000)</f>
        <v>-42400</v>
      </c>
      <c r="H1856">
        <f>428801728/(1000)</f>
        <v>428801.728</v>
      </c>
      <c r="I1856">
        <f>-41602000/(1000)</f>
        <v>-41602</v>
      </c>
      <c r="J1856">
        <f t="shared" si="46"/>
        <v>-1.030723830585068E-2</v>
      </c>
      <c r="K1856">
        <f>-29603999/(1000)</f>
        <v>-29603.999</v>
      </c>
      <c r="L1856">
        <v>0</v>
      </c>
      <c r="M1856">
        <v>-21.050308227539102</v>
      </c>
      <c r="N1856">
        <v>94.468881519910695</v>
      </c>
      <c r="O1856">
        <v>0</v>
      </c>
      <c r="P1856">
        <v>0</v>
      </c>
      <c r="Q1856">
        <v>1.8069555543549201</v>
      </c>
      <c r="R1856">
        <v>0</v>
      </c>
      <c r="S1856">
        <v>-55.317724768740298</v>
      </c>
      <c r="T1856">
        <v>0</v>
      </c>
      <c r="U1856">
        <v>0</v>
      </c>
      <c r="V1856">
        <v>0</v>
      </c>
      <c r="W1856">
        <v>0</v>
      </c>
    </row>
    <row r="1857" spans="1:23" x14ac:dyDescent="0.55000000000000004">
      <c r="A1857" t="s">
        <v>3722</v>
      </c>
      <c r="B1857" t="s">
        <v>3723</v>
      </c>
      <c r="C1857" t="s">
        <v>5</v>
      </c>
      <c r="D1857">
        <v>18.2</v>
      </c>
      <c r="E1857">
        <f>222125552/(1000)</f>
        <v>222125.552</v>
      </c>
      <c r="F1857">
        <f>2480000/(1000)</f>
        <v>2480</v>
      </c>
      <c r="G1857">
        <f>-51576000/(1000)</f>
        <v>-51576</v>
      </c>
      <c r="H1857">
        <f>-25148448/(1000)</f>
        <v>-25148.448</v>
      </c>
      <c r="I1857">
        <f>-44173000/(1000)</f>
        <v>-44173</v>
      </c>
      <c r="J1857">
        <f t="shared" si="46"/>
        <v>5.6931718470558932E-4</v>
      </c>
      <c r="K1857">
        <f>-43568999/(1000)</f>
        <v>-43568.999000000003</v>
      </c>
      <c r="L1857">
        <v>0</v>
      </c>
      <c r="M1857">
        <v>0</v>
      </c>
      <c r="N1857">
        <v>89.417188294390002</v>
      </c>
      <c r="O1857">
        <v>91.629669189453097</v>
      </c>
      <c r="P1857">
        <v>0</v>
      </c>
      <c r="Q1857">
        <v>0</v>
      </c>
      <c r="R1857">
        <v>0</v>
      </c>
      <c r="S1857">
        <v>-89.771930548108998</v>
      </c>
      <c r="T1857">
        <v>0</v>
      </c>
      <c r="U1857">
        <v>0</v>
      </c>
      <c r="V1857">
        <v>0</v>
      </c>
      <c r="W1857">
        <v>0</v>
      </c>
    </row>
    <row r="1858" spans="1:23" x14ac:dyDescent="0.55000000000000004">
      <c r="A1858" t="s">
        <v>3724</v>
      </c>
      <c r="B1858" t="s">
        <v>3725</v>
      </c>
      <c r="C1858" t="s">
        <v>8</v>
      </c>
      <c r="D1858">
        <v>6.4</v>
      </c>
      <c r="E1858">
        <f>504186496/(1000)</f>
        <v>504186.49599999998</v>
      </c>
      <c r="F1858">
        <f>2350388/(1000)</f>
        <v>2350.3879999999999</v>
      </c>
      <c r="G1858">
        <f>-21790822/(1000)</f>
        <v>-21790.822</v>
      </c>
      <c r="H1858">
        <f>505860963/(1000)</f>
        <v>505860.96299999999</v>
      </c>
      <c r="I1858">
        <f>-20998292/(1000)</f>
        <v>-20998.292000000001</v>
      </c>
      <c r="J1858">
        <f t="shared" ref="J1858:J1921" si="47">(IF(I1858=0,1000,H1858/I1858))/(1000)</f>
        <v>-2.4090576652615363E-2</v>
      </c>
      <c r="K1858">
        <f>-70937119/(1000)</f>
        <v>-70937.119000000006</v>
      </c>
      <c r="L1858">
        <v>0</v>
      </c>
      <c r="M1858">
        <v>-26.5714626312256</v>
      </c>
      <c r="N1858">
        <v>72.750987674586796</v>
      </c>
      <c r="O1858">
        <v>23.943061828613299</v>
      </c>
      <c r="P1858">
        <v>0</v>
      </c>
      <c r="Q1858">
        <v>2.7350428761188201</v>
      </c>
      <c r="R1858">
        <v>0</v>
      </c>
      <c r="S1858">
        <v>-54.093984374999998</v>
      </c>
      <c r="T1858">
        <v>0</v>
      </c>
      <c r="U1858">
        <v>0</v>
      </c>
      <c r="V1858">
        <v>0</v>
      </c>
      <c r="W1858">
        <v>0</v>
      </c>
    </row>
    <row r="1859" spans="1:23" x14ac:dyDescent="0.55000000000000004">
      <c r="A1859" t="s">
        <v>3726</v>
      </c>
      <c r="B1859" t="s">
        <v>3727</v>
      </c>
      <c r="C1859" t="s">
        <v>5</v>
      </c>
      <c r="D1859">
        <v>0.8</v>
      </c>
      <c r="E1859">
        <f>38300720/(1000)</f>
        <v>38300.720000000001</v>
      </c>
      <c r="F1859">
        <f>1968508/(1000)</f>
        <v>1968.508</v>
      </c>
      <c r="G1859">
        <f>-4252531/(1000)</f>
        <v>-4252.5309999999999</v>
      </c>
      <c r="H1859">
        <f>29642108/(1000)</f>
        <v>29642.108</v>
      </c>
      <c r="I1859">
        <f>-2985489/(1000)</f>
        <v>-2985.489</v>
      </c>
      <c r="J1859">
        <f t="shared" si="47"/>
        <v>-9.928727923633281E-3</v>
      </c>
      <c r="K1859">
        <f>-17055301/(1000)</f>
        <v>-17055.300999999999</v>
      </c>
      <c r="L1859">
        <v>0</v>
      </c>
      <c r="M1859">
        <v>-4.5533571243286097</v>
      </c>
      <c r="N1859">
        <v>80.830647116660998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55000000000000004">
      <c r="A1860" t="s">
        <v>3728</v>
      </c>
      <c r="B1860" t="s">
        <v>3729</v>
      </c>
      <c r="C1860" t="s">
        <v>5</v>
      </c>
      <c r="D1860">
        <v>13.11</v>
      </c>
      <c r="E1860">
        <f>306564256/(1000)</f>
        <v>306564.25599999999</v>
      </c>
      <c r="F1860">
        <f>1857166/(1000)</f>
        <v>1857.1659999999999</v>
      </c>
      <c r="G1860">
        <f>-54427616/(1000)</f>
        <v>-54427.616000000002</v>
      </c>
      <c r="H1860">
        <f>262209740/(1000)</f>
        <v>262209.74</v>
      </c>
      <c r="I1860">
        <f>-53432368/(1000)</f>
        <v>-53432.368000000002</v>
      </c>
      <c r="J1860">
        <f t="shared" si="47"/>
        <v>-4.9073202220796201E-3</v>
      </c>
      <c r="K1860">
        <f>-52974695/(1000)</f>
        <v>-52974.695</v>
      </c>
      <c r="L1860">
        <v>0</v>
      </c>
      <c r="M1860">
        <v>-116.14020538330099</v>
      </c>
      <c r="N1860">
        <v>69.945259389699004</v>
      </c>
      <c r="O1860">
        <v>54.610252380371101</v>
      </c>
      <c r="P1860">
        <v>0</v>
      </c>
      <c r="Q1860">
        <v>3.6825842324147202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55000000000000004">
      <c r="A1861" t="s">
        <v>3730</v>
      </c>
      <c r="B1861" t="s">
        <v>3731</v>
      </c>
      <c r="C1861" t="s">
        <v>38</v>
      </c>
      <c r="D1861">
        <v>7.98</v>
      </c>
      <c r="E1861">
        <f>180151680/(1000)</f>
        <v>180151.67999999999</v>
      </c>
      <c r="F1861">
        <f>1784000/(1000)</f>
        <v>1784</v>
      </c>
      <c r="G1861">
        <f>-45805000/(1000)</f>
        <v>-45805</v>
      </c>
      <c r="H1861">
        <f>45469680/(1000)</f>
        <v>45469.68</v>
      </c>
      <c r="I1861">
        <f>-44568000/(1000)</f>
        <v>-44568</v>
      </c>
      <c r="J1861">
        <f t="shared" si="47"/>
        <v>-1.0202315562735595E-3</v>
      </c>
      <c r="K1861">
        <f>14523001/(1000)</f>
        <v>14523.001</v>
      </c>
      <c r="L1861">
        <v>0</v>
      </c>
      <c r="M1861">
        <v>0</v>
      </c>
      <c r="N1861">
        <v>28.093412160566601</v>
      </c>
      <c r="O1861">
        <v>2.6341519355773899</v>
      </c>
      <c r="P1861">
        <v>0</v>
      </c>
      <c r="Q1861">
        <v>2.5253163931404599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55000000000000004">
      <c r="A1862" t="s">
        <v>3732</v>
      </c>
      <c r="B1862" t="s">
        <v>3733</v>
      </c>
      <c r="C1862" t="s">
        <v>38</v>
      </c>
      <c r="D1862">
        <v>12.72</v>
      </c>
      <c r="E1862">
        <f>291976160/(1000)</f>
        <v>291976.15999999997</v>
      </c>
      <c r="F1862">
        <f>1683000/(1000)</f>
        <v>1683</v>
      </c>
      <c r="G1862">
        <f>-33816000/(1000)</f>
        <v>-33816</v>
      </c>
      <c r="H1862">
        <f>197368160/(1000)</f>
        <v>197368.16</v>
      </c>
      <c r="I1862">
        <f>-32365002/(1000)</f>
        <v>-32365.002</v>
      </c>
      <c r="J1862">
        <f t="shared" si="47"/>
        <v>-6.0981970586623168E-3</v>
      </c>
      <c r="K1862">
        <f>-15561999/(1000)</f>
        <v>-15561.999</v>
      </c>
      <c r="L1862">
        <v>0</v>
      </c>
      <c r="M1862">
        <v>-28.0446681976318</v>
      </c>
      <c r="N1862">
        <v>83.112822051892394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55000000000000004">
      <c r="A1863" t="s">
        <v>3734</v>
      </c>
      <c r="B1863" t="s">
        <v>3735</v>
      </c>
      <c r="C1863" t="s">
        <v>38</v>
      </c>
      <c r="D1863">
        <v>1.89</v>
      </c>
      <c r="E1863">
        <f>130730736/(1000)</f>
        <v>130730.736</v>
      </c>
      <c r="F1863">
        <f>1455000/(1000)</f>
        <v>1455</v>
      </c>
      <c r="G1863">
        <f>-30271000/(1000)</f>
        <v>-30271</v>
      </c>
      <c r="H1863">
        <f>107544736/(1000)</f>
        <v>107544.736</v>
      </c>
      <c r="I1863">
        <f>-29178000/(1000)</f>
        <v>-29178</v>
      </c>
      <c r="J1863">
        <f t="shared" si="47"/>
        <v>-3.6858158886832549E-3</v>
      </c>
      <c r="K1863">
        <f>-27677999/(1000)</f>
        <v>-27677.999</v>
      </c>
      <c r="L1863">
        <v>0</v>
      </c>
      <c r="M1863">
        <v>-44.268009185791001</v>
      </c>
      <c r="N1863">
        <v>92.6863921962549</v>
      </c>
      <c r="O1863">
        <v>36.072303771972699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55000000000000004">
      <c r="A1864" t="s">
        <v>3736</v>
      </c>
      <c r="B1864" t="s">
        <v>3737</v>
      </c>
      <c r="C1864" t="s">
        <v>2</v>
      </c>
      <c r="D1864">
        <v>0.53</v>
      </c>
      <c r="E1864">
        <f>50158724/(1000)</f>
        <v>50158.724000000002</v>
      </c>
      <c r="F1864">
        <f>1388834/(1000)</f>
        <v>1388.8340000000001</v>
      </c>
      <c r="G1864">
        <f>-14266490/(1000)</f>
        <v>-14266.49</v>
      </c>
      <c r="H1864">
        <f>39580971/(1000)</f>
        <v>39580.970999999998</v>
      </c>
      <c r="I1864">
        <f>-14122066/(1000)</f>
        <v>-14122.066000000001</v>
      </c>
      <c r="J1864">
        <f t="shared" si="47"/>
        <v>-2.8027748206246872E-3</v>
      </c>
      <c r="K1864">
        <f>-18016143/(1000)</f>
        <v>-18016.143</v>
      </c>
      <c r="L1864">
        <v>0</v>
      </c>
      <c r="M1864">
        <v>-64.431358337402301</v>
      </c>
      <c r="N1864">
        <v>95.636793714815298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55000000000000004">
      <c r="A1865" t="s">
        <v>3738</v>
      </c>
      <c r="B1865" t="s">
        <v>3739</v>
      </c>
      <c r="C1865" t="s">
        <v>5</v>
      </c>
      <c r="D1865">
        <v>0.22</v>
      </c>
      <c r="E1865">
        <f>19098134/(1000)</f>
        <v>19098.133999999998</v>
      </c>
      <c r="F1865">
        <f>1380000/(1000)</f>
        <v>1380</v>
      </c>
      <c r="G1865">
        <f>-125152000/(1000)</f>
        <v>-125152</v>
      </c>
      <c r="H1865">
        <f>63075126/(1000)</f>
        <v>63075.125999999997</v>
      </c>
      <c r="I1865">
        <f>-110796000/(1000)</f>
        <v>-110796</v>
      </c>
      <c r="J1865">
        <f t="shared" si="47"/>
        <v>-5.692906422614534E-4</v>
      </c>
      <c r="K1865">
        <f>-94267999/(1000)</f>
        <v>-94267.998999999996</v>
      </c>
      <c r="L1865">
        <v>0</v>
      </c>
      <c r="M1865">
        <v>-244.89115905761699</v>
      </c>
      <c r="N1865">
        <v>90.766584827409901</v>
      </c>
      <c r="O1865">
        <v>514.91632080078102</v>
      </c>
      <c r="P1865">
        <v>0</v>
      </c>
      <c r="Q1865">
        <v>0</v>
      </c>
      <c r="R1865">
        <v>0</v>
      </c>
      <c r="S1865">
        <v>-96.474285276308706</v>
      </c>
      <c r="T1865">
        <v>0</v>
      </c>
      <c r="U1865">
        <v>0</v>
      </c>
      <c r="V1865">
        <v>0</v>
      </c>
      <c r="W1865">
        <v>0</v>
      </c>
    </row>
    <row r="1866" spans="1:23" x14ac:dyDescent="0.55000000000000004">
      <c r="A1866" t="s">
        <v>3740</v>
      </c>
      <c r="B1866" t="s">
        <v>3741</v>
      </c>
      <c r="C1866" t="s">
        <v>38</v>
      </c>
      <c r="D1866">
        <v>3.2</v>
      </c>
      <c r="E1866">
        <f>123513920/(1000)</f>
        <v>123513.92</v>
      </c>
      <c r="F1866">
        <f>1224000/(1000)</f>
        <v>1224</v>
      </c>
      <c r="G1866">
        <f>-212242000/(1000)</f>
        <v>-212242</v>
      </c>
      <c r="H1866">
        <f>135585923/(1000)</f>
        <v>135585.92300000001</v>
      </c>
      <c r="I1866">
        <f>-202838000/(1000)</f>
        <v>-202838</v>
      </c>
      <c r="J1866">
        <f t="shared" si="47"/>
        <v>-6.6844438911840983E-4</v>
      </c>
      <c r="K1866">
        <f>-59957999/(1000)</f>
        <v>-59957.999000000003</v>
      </c>
      <c r="L1866">
        <v>0</v>
      </c>
      <c r="M1866">
        <v>-95.658874511718807</v>
      </c>
      <c r="N1866">
        <v>96.571855097615597</v>
      </c>
      <c r="O1866">
        <v>92.8675537109375</v>
      </c>
      <c r="P1866">
        <v>0</v>
      </c>
      <c r="Q1866">
        <v>2.3616236181839998</v>
      </c>
      <c r="R1866">
        <v>0</v>
      </c>
      <c r="S1866">
        <v>-93.216957605985002</v>
      </c>
      <c r="T1866">
        <v>0</v>
      </c>
      <c r="U1866">
        <v>0</v>
      </c>
      <c r="V1866">
        <v>0</v>
      </c>
      <c r="W1866">
        <v>0</v>
      </c>
    </row>
    <row r="1867" spans="1:23" x14ac:dyDescent="0.55000000000000004">
      <c r="A1867" t="s">
        <v>3742</v>
      </c>
      <c r="B1867" t="s">
        <v>3743</v>
      </c>
      <c r="C1867" t="s">
        <v>38</v>
      </c>
      <c r="D1867">
        <v>4.76</v>
      </c>
      <c r="E1867">
        <f>105808616/(1000)</f>
        <v>105808.61599999999</v>
      </c>
      <c r="F1867">
        <f>1167364/(1000)</f>
        <v>1167.364</v>
      </c>
      <c r="G1867">
        <f>-33727056/(1000)</f>
        <v>-33727.055999999997</v>
      </c>
      <c r="H1867">
        <f>31218080/(1000)</f>
        <v>31218.080000000002</v>
      </c>
      <c r="I1867">
        <f>-31152842/(1000)</f>
        <v>-31152.842000000001</v>
      </c>
      <c r="J1867">
        <f t="shared" si="47"/>
        <v>-1.0020941267573598E-3</v>
      </c>
      <c r="K1867">
        <f>-31594617/(1000)</f>
        <v>-31594.616999999998</v>
      </c>
      <c r="L1867">
        <v>0</v>
      </c>
      <c r="M1867">
        <v>0</v>
      </c>
      <c r="N1867">
        <v>81.920217905224405</v>
      </c>
      <c r="O1867">
        <v>9.8772077560424805</v>
      </c>
      <c r="P1867">
        <v>0</v>
      </c>
      <c r="Q1867">
        <v>1.41666677901669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55000000000000004">
      <c r="A1868" t="s">
        <v>3744</v>
      </c>
      <c r="B1868" t="s">
        <v>3745</v>
      </c>
      <c r="C1868" t="s">
        <v>8</v>
      </c>
      <c r="D1868">
        <v>4.92</v>
      </c>
      <c r="E1868">
        <f>103046448/(1000)</f>
        <v>103046.448</v>
      </c>
      <c r="F1868">
        <f>1053000/(1000)</f>
        <v>1053</v>
      </c>
      <c r="G1868">
        <f>-11884301/(1000)</f>
        <v>-11884.300999999999</v>
      </c>
      <c r="H1868">
        <f>191221400/(1000)</f>
        <v>191221.4</v>
      </c>
      <c r="I1868">
        <f>-11765674/(1000)</f>
        <v>-11765.674000000001</v>
      </c>
      <c r="J1868">
        <f t="shared" si="47"/>
        <v>-1.6252481583290509E-2</v>
      </c>
      <c r="K1868">
        <f>-21499939/(1000)</f>
        <v>-21499.938999999998</v>
      </c>
      <c r="L1868">
        <v>0</v>
      </c>
      <c r="M1868">
        <v>0</v>
      </c>
      <c r="N1868">
        <v>21.5522995660282</v>
      </c>
      <c r="O1868">
        <v>43.967674255371101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55000000000000004">
      <c r="A1869" t="s">
        <v>3746</v>
      </c>
      <c r="B1869" t="s">
        <v>3747</v>
      </c>
      <c r="C1869" t="s">
        <v>31</v>
      </c>
      <c r="D1869">
        <v>0</v>
      </c>
      <c r="E1869">
        <f>78726880/(1000)</f>
        <v>78726.880000000005</v>
      </c>
      <c r="F1869">
        <f>1002674/(1000)</f>
        <v>1002.674</v>
      </c>
      <c r="G1869">
        <f>-7926315/(1000)</f>
        <v>-7926.3149999999996</v>
      </c>
      <c r="H1869">
        <f>-6970488/(1000)</f>
        <v>-6970.4880000000003</v>
      </c>
      <c r="I1869">
        <f>-7823899/(1000)</f>
        <v>-7823.8990000000003</v>
      </c>
      <c r="J1869">
        <f t="shared" si="47"/>
        <v>8.9092254386208204E-4</v>
      </c>
      <c r="K1869">
        <f>-5956199/(1000)</f>
        <v>-5956.1989999999996</v>
      </c>
      <c r="L1869">
        <v>0</v>
      </c>
      <c r="M1869">
        <v>-21.8517456054688</v>
      </c>
      <c r="N1869">
        <v>57.035534227972001</v>
      </c>
      <c r="O1869">
        <v>0</v>
      </c>
      <c r="P1869">
        <v>0</v>
      </c>
      <c r="Q1869">
        <v>0.614379094897609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55000000000000004">
      <c r="A1870" t="s">
        <v>3748</v>
      </c>
      <c r="B1870" t="s">
        <v>3749</v>
      </c>
      <c r="C1870" t="s">
        <v>38</v>
      </c>
      <c r="D1870">
        <v>1.62</v>
      </c>
      <c r="E1870">
        <f>321943904/(1000)</f>
        <v>321943.90399999998</v>
      </c>
      <c r="F1870">
        <f>847000/(1000)</f>
        <v>847</v>
      </c>
      <c r="G1870">
        <f>-23427000/(1000)</f>
        <v>-23427</v>
      </c>
      <c r="H1870">
        <f>319334904.25/(1000)</f>
        <v>319334.90425000002</v>
      </c>
      <c r="I1870">
        <f>-23243000/(1000)</f>
        <v>-23243</v>
      </c>
      <c r="J1870">
        <f t="shared" si="47"/>
        <v>-1.3738971055801748E-2</v>
      </c>
      <c r="K1870">
        <f>-17437999/(1000)</f>
        <v>-17437.999</v>
      </c>
      <c r="L1870">
        <v>0</v>
      </c>
      <c r="M1870">
        <v>-2404.1005859375</v>
      </c>
      <c r="N1870">
        <v>32.296804805765802</v>
      </c>
      <c r="O1870">
        <v>92.987442016601605</v>
      </c>
      <c r="P1870">
        <v>0</v>
      </c>
      <c r="Q1870">
        <v>0</v>
      </c>
      <c r="R1870">
        <v>0</v>
      </c>
      <c r="S1870">
        <v>50.711743772242002</v>
      </c>
      <c r="T1870">
        <v>0</v>
      </c>
      <c r="U1870">
        <v>0</v>
      </c>
      <c r="V1870">
        <v>0</v>
      </c>
      <c r="W1870">
        <v>0</v>
      </c>
    </row>
    <row r="1871" spans="1:23" x14ac:dyDescent="0.55000000000000004">
      <c r="A1871" t="s">
        <v>3750</v>
      </c>
      <c r="B1871" t="s">
        <v>3751</v>
      </c>
      <c r="C1871" t="s">
        <v>5</v>
      </c>
      <c r="D1871">
        <v>12.11</v>
      </c>
      <c r="E1871">
        <f>360070240/(1000)</f>
        <v>360070.24</v>
      </c>
      <c r="F1871">
        <f>767165/(1000)</f>
        <v>767.16499999999996</v>
      </c>
      <c r="G1871">
        <f>-48200704/(1000)</f>
        <v>-48200.703999999998</v>
      </c>
      <c r="H1871">
        <f>313605004/(1000)</f>
        <v>313605.00400000002</v>
      </c>
      <c r="I1871">
        <f>-47915188/(1000)</f>
        <v>-47915.188000000002</v>
      </c>
      <c r="J1871">
        <f t="shared" si="47"/>
        <v>-6.54500205655042E-3</v>
      </c>
      <c r="K1871">
        <f>-41428155/(1000)</f>
        <v>-41428.154999999999</v>
      </c>
      <c r="L1871">
        <v>0</v>
      </c>
      <c r="M1871">
        <v>0</v>
      </c>
      <c r="N1871">
        <v>87.415458932983498</v>
      </c>
      <c r="O1871">
        <v>0</v>
      </c>
      <c r="P1871">
        <v>0</v>
      </c>
      <c r="Q1871">
        <v>10.0916659795576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55000000000000004">
      <c r="A1872" t="s">
        <v>3752</v>
      </c>
      <c r="B1872" t="s">
        <v>3753</v>
      </c>
      <c r="C1872" t="s">
        <v>38</v>
      </c>
      <c r="D1872">
        <v>4.58</v>
      </c>
      <c r="E1872">
        <f>443991136/(1000)</f>
        <v>443991.136</v>
      </c>
      <c r="F1872">
        <f>743000/(1000)</f>
        <v>743</v>
      </c>
      <c r="G1872">
        <f>-101619000/(1000)</f>
        <v>-101619</v>
      </c>
      <c r="H1872">
        <f>443955137.179688/(1000)</f>
        <v>443955.13717968797</v>
      </c>
      <c r="I1872">
        <f>-95378000/(1000)</f>
        <v>-95378</v>
      </c>
      <c r="J1872">
        <f t="shared" si="47"/>
        <v>-4.65469119901537E-3</v>
      </c>
      <c r="K1872">
        <f>-85777999/(1000)</f>
        <v>-85777.998999999996</v>
      </c>
      <c r="L1872">
        <v>0</v>
      </c>
      <c r="M1872">
        <v>-119.52749633789099</v>
      </c>
      <c r="N1872">
        <v>89.776597285281596</v>
      </c>
      <c r="O1872">
        <v>253.71374511718801</v>
      </c>
      <c r="P1872">
        <v>0</v>
      </c>
      <c r="Q1872">
        <v>0</v>
      </c>
      <c r="R1872">
        <v>0</v>
      </c>
      <c r="S1872">
        <v>-95.133931495186303</v>
      </c>
      <c r="T1872">
        <v>0</v>
      </c>
      <c r="U1872">
        <v>0</v>
      </c>
      <c r="V1872">
        <v>0</v>
      </c>
      <c r="W1872">
        <v>0</v>
      </c>
    </row>
    <row r="1873" spans="1:23" x14ac:dyDescent="0.55000000000000004">
      <c r="A1873" t="s">
        <v>3754</v>
      </c>
      <c r="B1873" t="s">
        <v>3755</v>
      </c>
      <c r="C1873" t="s">
        <v>38</v>
      </c>
      <c r="D1873">
        <v>6.12</v>
      </c>
      <c r="E1873">
        <f>207587968/(1000)</f>
        <v>207587.96799999999</v>
      </c>
      <c r="F1873">
        <f>743000/(1000)</f>
        <v>743</v>
      </c>
      <c r="G1873">
        <f>-66216004/(1000)</f>
        <v>-66216.004000000001</v>
      </c>
      <c r="H1873">
        <f>153900968/(1000)</f>
        <v>153900.96799999999</v>
      </c>
      <c r="I1873">
        <f>-62865004/(1000)</f>
        <v>-62865.004000000001</v>
      </c>
      <c r="J1873">
        <f t="shared" si="47"/>
        <v>-2.448118320329702E-3</v>
      </c>
      <c r="K1873">
        <f>24872001/(1000)</f>
        <v>24872.001</v>
      </c>
      <c r="L1873">
        <v>0</v>
      </c>
      <c r="M1873">
        <v>0</v>
      </c>
      <c r="N1873">
        <v>51.122357762527798</v>
      </c>
      <c r="O1873">
        <v>20.9712429046631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55000000000000004">
      <c r="A1874" t="s">
        <v>3756</v>
      </c>
      <c r="B1874" t="s">
        <v>3757</v>
      </c>
      <c r="C1874" t="s">
        <v>5</v>
      </c>
      <c r="D1874">
        <v>4.3</v>
      </c>
      <c r="E1874">
        <f>107449256/(1000)</f>
        <v>107449.25599999999</v>
      </c>
      <c r="F1874">
        <f>730672/(1000)</f>
        <v>730.67200000000003</v>
      </c>
      <c r="G1874">
        <f>-57674608/(1000)</f>
        <v>-57674.608</v>
      </c>
      <c r="H1874">
        <f>150910160/(1000)</f>
        <v>150910.16</v>
      </c>
      <c r="I1874">
        <f>-56952720/(1000)</f>
        <v>-56952.72</v>
      </c>
      <c r="J1874">
        <f t="shared" si="47"/>
        <v>-2.6497445600491072E-3</v>
      </c>
      <c r="K1874">
        <f>-49770883/(1000)</f>
        <v>-49770.883000000002</v>
      </c>
      <c r="L1874">
        <v>0</v>
      </c>
      <c r="M1874">
        <v>0</v>
      </c>
      <c r="N1874">
        <v>72.802364946893803</v>
      </c>
      <c r="O1874">
        <v>466.20913696289102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55000000000000004">
      <c r="A1875" t="s">
        <v>3758</v>
      </c>
      <c r="B1875" t="s">
        <v>3759</v>
      </c>
      <c r="C1875" t="s">
        <v>38</v>
      </c>
      <c r="D1875">
        <v>3.83</v>
      </c>
      <c r="E1875">
        <f>353111808/(1000)</f>
        <v>353111.80800000002</v>
      </c>
      <c r="F1875">
        <f>463777/(1000)</f>
        <v>463.77699999999999</v>
      </c>
      <c r="G1875">
        <f>-17148976/(1000)</f>
        <v>-17148.975999999999</v>
      </c>
      <c r="H1875">
        <f>353347237.765625/(1000)</f>
        <v>353347.237765625</v>
      </c>
      <c r="I1875">
        <f>-16486211/(1000)</f>
        <v>-16486.210999999999</v>
      </c>
      <c r="J1875">
        <f t="shared" si="47"/>
        <v>-2.143289551283949E-2</v>
      </c>
      <c r="K1875">
        <f>-14980754/(1000)</f>
        <v>-14980.754000000001</v>
      </c>
      <c r="L1875">
        <v>0</v>
      </c>
      <c r="M1875">
        <v>0</v>
      </c>
      <c r="N1875">
        <v>64.304426671415499</v>
      </c>
      <c r="O1875">
        <v>0</v>
      </c>
      <c r="P1875">
        <v>0</v>
      </c>
      <c r="Q1875">
        <v>0</v>
      </c>
      <c r="R1875">
        <v>0</v>
      </c>
      <c r="S1875">
        <v>-99.552917076368402</v>
      </c>
      <c r="T1875">
        <v>0</v>
      </c>
      <c r="U1875">
        <v>0</v>
      </c>
      <c r="V1875">
        <v>0</v>
      </c>
      <c r="W1875">
        <v>0</v>
      </c>
    </row>
    <row r="1876" spans="1:23" x14ac:dyDescent="0.55000000000000004">
      <c r="A1876" t="s">
        <v>3760</v>
      </c>
      <c r="B1876" t="s">
        <v>3761</v>
      </c>
      <c r="C1876" t="s">
        <v>94</v>
      </c>
      <c r="D1876">
        <v>12.51</v>
      </c>
      <c r="E1876">
        <f>149597088/(1000)</f>
        <v>149597.08799999999</v>
      </c>
      <c r="F1876">
        <f>426000/(1000)</f>
        <v>426</v>
      </c>
      <c r="G1876">
        <f>-10389000/(1000)</f>
        <v>-10389</v>
      </c>
      <c r="H1876">
        <f>179688088/(1000)</f>
        <v>179688.08799999999</v>
      </c>
      <c r="I1876">
        <f>-10066000/(1000)</f>
        <v>-10066</v>
      </c>
      <c r="J1876">
        <f t="shared" si="47"/>
        <v>-1.7850992251142457E-2</v>
      </c>
      <c r="K1876">
        <f>-6387999/(1000)</f>
        <v>-6387.9989999999998</v>
      </c>
      <c r="L1876">
        <v>0</v>
      </c>
      <c r="M1876">
        <v>-64.350616455078097</v>
      </c>
      <c r="N1876">
        <v>85.952732093146807</v>
      </c>
      <c r="O1876">
        <v>158.11608886718801</v>
      </c>
      <c r="P1876">
        <v>0</v>
      </c>
      <c r="Q1876">
        <v>0</v>
      </c>
      <c r="R1876">
        <v>0</v>
      </c>
      <c r="S1876">
        <v>-99.627133479212205</v>
      </c>
      <c r="T1876">
        <v>0</v>
      </c>
      <c r="U1876">
        <v>0</v>
      </c>
      <c r="V1876">
        <v>0</v>
      </c>
      <c r="W1876">
        <v>0</v>
      </c>
    </row>
    <row r="1877" spans="1:23" x14ac:dyDescent="0.55000000000000004">
      <c r="A1877" t="s">
        <v>3762</v>
      </c>
      <c r="B1877" t="s">
        <v>3763</v>
      </c>
      <c r="C1877" t="s">
        <v>5</v>
      </c>
      <c r="D1877">
        <v>0.45</v>
      </c>
      <c r="E1877">
        <f>20737306/(1000)</f>
        <v>20737.306</v>
      </c>
      <c r="F1877">
        <f>400000/(1000)</f>
        <v>400</v>
      </c>
      <c r="G1877">
        <f>-39303000/(1000)</f>
        <v>-39303</v>
      </c>
      <c r="H1877">
        <f>50617308/(1000)</f>
        <v>50617.307999999997</v>
      </c>
      <c r="I1877">
        <f>-35833000/(1000)</f>
        <v>-35833</v>
      </c>
      <c r="J1877">
        <f t="shared" si="47"/>
        <v>-1.4125891775737447E-3</v>
      </c>
      <c r="K1877">
        <f>-72467999/(1000)</f>
        <v>-72467.998999999996</v>
      </c>
      <c r="L1877">
        <v>0</v>
      </c>
      <c r="M1877">
        <v>-41.870155334472699</v>
      </c>
      <c r="N1877">
        <v>68.133297422691896</v>
      </c>
      <c r="O1877">
        <v>0</v>
      </c>
      <c r="P1877">
        <v>0</v>
      </c>
      <c r="Q1877">
        <v>0</v>
      </c>
      <c r="R1877">
        <v>0</v>
      </c>
      <c r="S1877">
        <v>108.333333333333</v>
      </c>
      <c r="T1877">
        <v>0</v>
      </c>
      <c r="U1877">
        <v>0</v>
      </c>
      <c r="V1877">
        <v>0</v>
      </c>
      <c r="W1877">
        <v>0</v>
      </c>
    </row>
    <row r="1878" spans="1:23" x14ac:dyDescent="0.55000000000000004">
      <c r="A1878" t="s">
        <v>3764</v>
      </c>
      <c r="B1878" t="s">
        <v>3765</v>
      </c>
      <c r="C1878" t="s">
        <v>20</v>
      </c>
      <c r="D1878">
        <v>0.38</v>
      </c>
      <c r="E1878">
        <f>20382744/(1000)</f>
        <v>20382.743999999999</v>
      </c>
      <c r="F1878">
        <f>346162/(1000)</f>
        <v>346.16199999999998</v>
      </c>
      <c r="G1878">
        <f>-17005556/(1000)</f>
        <v>-17005.556</v>
      </c>
      <c r="H1878">
        <f>-4485278/(1000)</f>
        <v>-4485.2780000000002</v>
      </c>
      <c r="I1878">
        <f>-16667705/(1000)</f>
        <v>-16667.705000000002</v>
      </c>
      <c r="J1878">
        <f t="shared" si="47"/>
        <v>2.6909991507529079E-4</v>
      </c>
      <c r="K1878">
        <f>-12821626/(1000)</f>
        <v>-12821.626</v>
      </c>
      <c r="L1878">
        <v>0</v>
      </c>
      <c r="M1878">
        <v>0</v>
      </c>
      <c r="N1878">
        <v>39.429292562667598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55000000000000004">
      <c r="A1879" t="s">
        <v>3766</v>
      </c>
      <c r="B1879" t="s">
        <v>3767</v>
      </c>
      <c r="C1879" t="s">
        <v>8</v>
      </c>
      <c r="D1879">
        <v>37.409999999999997</v>
      </c>
      <c r="E1879">
        <f>309889472/(1000)</f>
        <v>309889.47200000001</v>
      </c>
      <c r="F1879">
        <f>328105/(1000)</f>
        <v>328.10500000000002</v>
      </c>
      <c r="G1879">
        <f>107000000/(1000)</f>
        <v>107000</v>
      </c>
      <c r="H1879">
        <f>654989472/(1000)</f>
        <v>654989.47199999995</v>
      </c>
      <c r="I1879">
        <f>169800000/(1000)</f>
        <v>169800</v>
      </c>
      <c r="J1879">
        <f t="shared" si="47"/>
        <v>3.8574173851590103E-3</v>
      </c>
      <c r="K1879">
        <f>12799996/(1000)</f>
        <v>12799.995999999999</v>
      </c>
      <c r="L1879">
        <v>0</v>
      </c>
      <c r="M1879">
        <v>10.5981492996216</v>
      </c>
      <c r="N1879">
        <v>62.932959497295599</v>
      </c>
      <c r="O1879">
        <v>56.787353515625</v>
      </c>
      <c r="P1879">
        <v>2.0599999427795401</v>
      </c>
      <c r="Q1879">
        <v>0</v>
      </c>
      <c r="R1879">
        <v>5.2175731124266598</v>
      </c>
      <c r="S1879">
        <v>-99.986730365141696</v>
      </c>
      <c r="T1879">
        <v>0</v>
      </c>
      <c r="U1879">
        <v>0</v>
      </c>
      <c r="V1879">
        <v>0</v>
      </c>
      <c r="W1879">
        <v>0</v>
      </c>
    </row>
    <row r="1880" spans="1:23" x14ac:dyDescent="0.55000000000000004">
      <c r="A1880" t="s">
        <v>3768</v>
      </c>
      <c r="B1880" t="s">
        <v>3769</v>
      </c>
      <c r="C1880" t="s">
        <v>8</v>
      </c>
      <c r="D1880">
        <v>0.68</v>
      </c>
      <c r="E1880">
        <f>32647412/(1000)</f>
        <v>32647.412</v>
      </c>
      <c r="F1880">
        <f>328105/(1000)</f>
        <v>328.10500000000002</v>
      </c>
      <c r="G1880">
        <f>-28060436/(1000)</f>
        <v>-28060.436000000002</v>
      </c>
      <c r="H1880">
        <f>-68398660/(1000)</f>
        <v>-68398.66</v>
      </c>
      <c r="I1880">
        <f>-26863870/(1000)</f>
        <v>-26863.87</v>
      </c>
      <c r="J1880">
        <f t="shared" si="47"/>
        <v>2.5461208679166481E-3</v>
      </c>
      <c r="K1880">
        <f>-41108827/(1000)</f>
        <v>-41108.826999999997</v>
      </c>
      <c r="L1880">
        <v>0</v>
      </c>
      <c r="M1880">
        <v>-32.354156494140597</v>
      </c>
      <c r="N1880">
        <v>49.414405263595697</v>
      </c>
      <c r="O1880">
        <v>8.7376890182495099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55000000000000004">
      <c r="A1881" t="s">
        <v>3770</v>
      </c>
      <c r="B1881" t="s">
        <v>3771</v>
      </c>
      <c r="C1881" t="s">
        <v>5</v>
      </c>
      <c r="D1881">
        <v>3.73</v>
      </c>
      <c r="E1881">
        <f>242036704/(1000)</f>
        <v>242036.704</v>
      </c>
      <c r="F1881">
        <f>320072/(1000)</f>
        <v>320.072</v>
      </c>
      <c r="G1881">
        <f>-16470446/(1000)</f>
        <v>-16470.446</v>
      </c>
      <c r="H1881">
        <f>321469096/(1000)</f>
        <v>321469.09600000002</v>
      </c>
      <c r="I1881">
        <f>-16198071/(1000)</f>
        <v>-16198.071</v>
      </c>
      <c r="J1881">
        <f t="shared" si="47"/>
        <v>-1.9846134518116388E-2</v>
      </c>
      <c r="K1881">
        <f>-7562479/(1000)</f>
        <v>-7562.4790000000003</v>
      </c>
      <c r="L1881">
        <v>0</v>
      </c>
      <c r="M1881">
        <v>-104.430549621582</v>
      </c>
      <c r="N1881">
        <v>73.620419498429001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55000000000000004">
      <c r="A1882" t="s">
        <v>3772</v>
      </c>
      <c r="B1882" t="s">
        <v>3773</v>
      </c>
      <c r="C1882" t="s">
        <v>31</v>
      </c>
      <c r="D1882">
        <v>2.4700000000000002</v>
      </c>
      <c r="E1882">
        <f>65894412/(1000)</f>
        <v>65894.411999999997</v>
      </c>
      <c r="F1882">
        <f>283675/(1000)</f>
        <v>283.67500000000001</v>
      </c>
      <c r="G1882">
        <f>-19071984/(1000)</f>
        <v>-19071.984</v>
      </c>
      <c r="H1882">
        <f>56071833/(1000)</f>
        <v>56071.832999999999</v>
      </c>
      <c r="I1882">
        <f>-17422968/(1000)</f>
        <v>-17422.968000000001</v>
      </c>
      <c r="J1882">
        <f t="shared" si="47"/>
        <v>-3.2182710201843906E-3</v>
      </c>
      <c r="K1882">
        <f>-14011342/(1000)</f>
        <v>-14011.342000000001</v>
      </c>
      <c r="L1882">
        <v>0</v>
      </c>
      <c r="M1882">
        <v>-73.445579528808594</v>
      </c>
      <c r="N1882">
        <v>83.173712093377603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</row>
    <row r="1883" spans="1:23" x14ac:dyDescent="0.55000000000000004">
      <c r="A1883" t="s">
        <v>3774</v>
      </c>
      <c r="B1883" t="s">
        <v>3775</v>
      </c>
      <c r="C1883" t="s">
        <v>5</v>
      </c>
      <c r="D1883">
        <v>7.15</v>
      </c>
      <c r="E1883">
        <f>807036928/(1000)</f>
        <v>807036.92799999996</v>
      </c>
      <c r="F1883">
        <f>280000/(1000)</f>
        <v>280</v>
      </c>
      <c r="G1883">
        <f>-21046000/(1000)</f>
        <v>-21046</v>
      </c>
      <c r="H1883">
        <f>792536927/(1000)</f>
        <v>792536.92700000003</v>
      </c>
      <c r="I1883">
        <f>-20516000/(1000)</f>
        <v>-20516</v>
      </c>
      <c r="J1883">
        <f t="shared" si="47"/>
        <v>-3.8630187512185617E-2</v>
      </c>
      <c r="K1883">
        <f>-38797999/(1000)</f>
        <v>-38797.999000000003</v>
      </c>
      <c r="L1883">
        <v>0</v>
      </c>
      <c r="M1883">
        <v>0</v>
      </c>
      <c r="N1883">
        <v>37.566790348617097</v>
      </c>
      <c r="O1883">
        <v>1019.21429443359</v>
      </c>
      <c r="P1883">
        <v>0</v>
      </c>
      <c r="Q1883">
        <v>15.8888895217283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55000000000000004">
      <c r="A1884" t="s">
        <v>3776</v>
      </c>
      <c r="B1884" t="s">
        <v>3777</v>
      </c>
      <c r="C1884" t="s">
        <v>94</v>
      </c>
      <c r="D1884">
        <v>0.83</v>
      </c>
      <c r="E1884">
        <f>51488140/(1000)</f>
        <v>51488.14</v>
      </c>
      <c r="F1884">
        <f>184242/(1000)</f>
        <v>184.24199999999999</v>
      </c>
      <c r="G1884">
        <f>-4384629/(1000)</f>
        <v>-4384.6289999999999</v>
      </c>
      <c r="H1884">
        <f>45145973/(1000)</f>
        <v>45145.972999999998</v>
      </c>
      <c r="I1884">
        <f>-4327860/(1000)</f>
        <v>-4327.8599999999997</v>
      </c>
      <c r="J1884">
        <f t="shared" si="47"/>
        <v>-1.0431477219688252E-2</v>
      </c>
      <c r="K1884">
        <f>-5221451/(1000)</f>
        <v>-5221.451</v>
      </c>
      <c r="L1884">
        <v>0</v>
      </c>
      <c r="M1884">
        <v>-12.5157356262207</v>
      </c>
      <c r="N1884">
        <v>99.999998042038996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55000000000000004">
      <c r="A1885" t="s">
        <v>3778</v>
      </c>
      <c r="B1885" t="s">
        <v>3779</v>
      </c>
      <c r="C1885" t="s">
        <v>38</v>
      </c>
      <c r="D1885">
        <v>5.58</v>
      </c>
      <c r="E1885">
        <f>192082016/(1000)</f>
        <v>192082.016</v>
      </c>
      <c r="F1885">
        <f>88000/(1000)</f>
        <v>88</v>
      </c>
      <c r="G1885">
        <f>-60822000/(1000)</f>
        <v>-60822</v>
      </c>
      <c r="H1885">
        <f>104487016/(1000)</f>
        <v>104487.016</v>
      </c>
      <c r="I1885">
        <f>-60481000/(1000)</f>
        <v>-60481</v>
      </c>
      <c r="J1885">
        <f t="shared" si="47"/>
        <v>-1.7276006679783735E-3</v>
      </c>
      <c r="K1885">
        <f>-54921999/(1000)</f>
        <v>-54921.999000000003</v>
      </c>
      <c r="L1885">
        <v>0</v>
      </c>
      <c r="M1885">
        <v>0</v>
      </c>
      <c r="N1885">
        <v>61.233812449702803</v>
      </c>
      <c r="O1885">
        <v>24.3623142242432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55000000000000004">
      <c r="A1886" t="s">
        <v>3780</v>
      </c>
      <c r="B1886" t="s">
        <v>3781</v>
      </c>
      <c r="C1886" t="s">
        <v>38</v>
      </c>
      <c r="D1886">
        <v>0.89</v>
      </c>
      <c r="E1886">
        <f>49862872/(1000)</f>
        <v>49862.872000000003</v>
      </c>
      <c r="F1886">
        <f>75000/(1000)</f>
        <v>75</v>
      </c>
      <c r="G1886">
        <f>-4432129/(1000)</f>
        <v>-4432.1289999999999</v>
      </c>
      <c r="H1886">
        <f>45016487/(1000)</f>
        <v>45016.487000000001</v>
      </c>
      <c r="I1886">
        <f>-4367059/(1000)</f>
        <v>-4367.0590000000002</v>
      </c>
      <c r="J1886">
        <f t="shared" si="47"/>
        <v>-1.0308192996705563E-2</v>
      </c>
      <c r="K1886">
        <f>-3394838/(1000)</f>
        <v>-3394.8380000000002</v>
      </c>
      <c r="L1886">
        <v>0</v>
      </c>
      <c r="M1886">
        <v>-86.376510620117202</v>
      </c>
      <c r="N1886">
        <v>47.033415344839199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55000000000000004">
      <c r="A1887" t="s">
        <v>3782</v>
      </c>
      <c r="B1887" t="s">
        <v>3783</v>
      </c>
      <c r="C1887" t="s">
        <v>38</v>
      </c>
      <c r="D1887">
        <v>3.43</v>
      </c>
      <c r="E1887">
        <f>348880736/(1000)</f>
        <v>348880.73599999998</v>
      </c>
      <c r="F1887">
        <f>10000/(1000)</f>
        <v>10</v>
      </c>
      <c r="G1887">
        <f>-307356992/(1000)</f>
        <v>-307356.99200000003</v>
      </c>
      <c r="H1887">
        <f>365775732/(1000)</f>
        <v>365775.73200000002</v>
      </c>
      <c r="I1887">
        <f>-298384000/(1000)</f>
        <v>-298384</v>
      </c>
      <c r="J1887">
        <f t="shared" si="47"/>
        <v>-1.2258557161241889E-3</v>
      </c>
      <c r="K1887">
        <f>-323407999/(1000)</f>
        <v>-323407.99900000001</v>
      </c>
      <c r="L1887">
        <v>0</v>
      </c>
      <c r="M1887">
        <v>-78.436340332031307</v>
      </c>
      <c r="N1887">
        <v>52.4208443988163</v>
      </c>
      <c r="O1887">
        <v>30.695131301879901</v>
      </c>
      <c r="P1887">
        <v>0</v>
      </c>
      <c r="Q1887">
        <v>3.8888888363274798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55000000000000004">
      <c r="A1888" t="s">
        <v>3784</v>
      </c>
      <c r="B1888" t="s">
        <v>3785</v>
      </c>
      <c r="C1888" t="s">
        <v>2</v>
      </c>
      <c r="D1888">
        <v>14.1</v>
      </c>
      <c r="E1888">
        <f>461244832/(1000)</f>
        <v>461244.83199999999</v>
      </c>
      <c r="F1888">
        <f t="shared" ref="F1888:I1891" si="48">0/(1000)</f>
        <v>0</v>
      </c>
      <c r="G1888">
        <f t="shared" si="48"/>
        <v>0</v>
      </c>
      <c r="H1888">
        <f t="shared" si="48"/>
        <v>0</v>
      </c>
      <c r="I1888">
        <f t="shared" si="48"/>
        <v>0</v>
      </c>
      <c r="J1888">
        <f t="shared" si="47"/>
        <v>1</v>
      </c>
      <c r="K1888">
        <f>0/(1000)</f>
        <v>0</v>
      </c>
      <c r="L1888">
        <v>0</v>
      </c>
      <c r="M1888">
        <v>0</v>
      </c>
      <c r="N1888">
        <v>89.128285637954093</v>
      </c>
      <c r="O1888">
        <v>0</v>
      </c>
      <c r="P1888">
        <v>1.6499999761581401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55000000000000004">
      <c r="A1889" t="s">
        <v>3786</v>
      </c>
      <c r="B1889" t="s">
        <v>3787</v>
      </c>
      <c r="C1889" t="s">
        <v>5</v>
      </c>
      <c r="D1889">
        <v>15.17</v>
      </c>
      <c r="E1889">
        <f>864689984/(1000)</f>
        <v>864689.98400000005</v>
      </c>
      <c r="F1889">
        <f t="shared" si="48"/>
        <v>0</v>
      </c>
      <c r="G1889">
        <f t="shared" si="48"/>
        <v>0</v>
      </c>
      <c r="H1889">
        <f t="shared" si="48"/>
        <v>0</v>
      </c>
      <c r="I1889">
        <f t="shared" si="48"/>
        <v>0</v>
      </c>
      <c r="J1889">
        <f t="shared" si="47"/>
        <v>1</v>
      </c>
      <c r="K1889">
        <f>0/(1000)</f>
        <v>0</v>
      </c>
      <c r="L1889">
        <v>0</v>
      </c>
      <c r="M1889">
        <v>0</v>
      </c>
      <c r="N1889">
        <v>43.3343859649123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55000000000000004">
      <c r="A1890" t="s">
        <v>3788</v>
      </c>
      <c r="B1890" t="s">
        <v>3789</v>
      </c>
      <c r="C1890" t="s">
        <v>2</v>
      </c>
      <c r="D1890">
        <v>31.57</v>
      </c>
      <c r="E1890">
        <f>2516643584/(1000)</f>
        <v>2516643.5839999998</v>
      </c>
      <c r="F1890">
        <f t="shared" si="48"/>
        <v>0</v>
      </c>
      <c r="G1890">
        <f t="shared" si="48"/>
        <v>0</v>
      </c>
      <c r="H1890">
        <f t="shared" si="48"/>
        <v>0</v>
      </c>
      <c r="I1890">
        <f t="shared" si="48"/>
        <v>0</v>
      </c>
      <c r="J1890">
        <f t="shared" si="47"/>
        <v>1</v>
      </c>
      <c r="K1890">
        <f>0/(1000)</f>
        <v>0</v>
      </c>
      <c r="L1890">
        <v>0</v>
      </c>
      <c r="M1890">
        <v>0</v>
      </c>
      <c r="N1890">
        <v>98.504570646236402</v>
      </c>
      <c r="O1890">
        <v>0</v>
      </c>
      <c r="P1890">
        <v>0</v>
      </c>
      <c r="Q1890">
        <v>2.3052209126193399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55000000000000004">
      <c r="A1891" t="s">
        <v>3790</v>
      </c>
      <c r="B1891" t="s">
        <v>3791</v>
      </c>
      <c r="C1891" t="s">
        <v>8</v>
      </c>
      <c r="D1891">
        <v>11.02</v>
      </c>
      <c r="E1891">
        <f>439408160/(1000)</f>
        <v>439408.16</v>
      </c>
      <c r="F1891">
        <f t="shared" si="48"/>
        <v>0</v>
      </c>
      <c r="G1891">
        <f t="shared" si="48"/>
        <v>0</v>
      </c>
      <c r="H1891">
        <f t="shared" si="48"/>
        <v>0</v>
      </c>
      <c r="I1891">
        <f t="shared" si="48"/>
        <v>0</v>
      </c>
      <c r="J1891">
        <f t="shared" si="47"/>
        <v>1</v>
      </c>
      <c r="K1891">
        <f>0/(1000)</f>
        <v>0</v>
      </c>
      <c r="L1891">
        <v>0</v>
      </c>
      <c r="M1891">
        <v>0</v>
      </c>
      <c r="N1891">
        <v>81.950259607825799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55000000000000004">
      <c r="A1892" t="s">
        <v>3792</v>
      </c>
      <c r="B1892" t="s">
        <v>3793</v>
      </c>
      <c r="C1892" t="s">
        <v>184</v>
      </c>
      <c r="D1892">
        <v>21.36</v>
      </c>
      <c r="E1892">
        <f>320498240/(1000)</f>
        <v>320498.24</v>
      </c>
      <c r="F1892">
        <f>0/(1000)</f>
        <v>0</v>
      </c>
      <c r="G1892">
        <f>0/(1000)</f>
        <v>0</v>
      </c>
      <c r="H1892">
        <f>1737830208/(1000)</f>
        <v>1737830.2080000001</v>
      </c>
      <c r="I1892">
        <f>0/(1000)</f>
        <v>0</v>
      </c>
      <c r="J1892">
        <f t="shared" si="47"/>
        <v>1</v>
      </c>
      <c r="K1892">
        <f>0/(1000)</f>
        <v>0</v>
      </c>
      <c r="L1892">
        <v>0</v>
      </c>
      <c r="M1892">
        <v>0</v>
      </c>
      <c r="N1892">
        <v>66.6462303944148</v>
      </c>
      <c r="O1892">
        <v>0</v>
      </c>
      <c r="P1892">
        <v>4.8000001907348597</v>
      </c>
      <c r="Q1892">
        <v>1.1558442175029799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55000000000000004">
      <c r="A1893" t="s">
        <v>3794</v>
      </c>
      <c r="B1893" t="s">
        <v>3795</v>
      </c>
      <c r="C1893" t="s">
        <v>38</v>
      </c>
      <c r="D1893">
        <v>4.82</v>
      </c>
      <c r="E1893">
        <f>114292808/(1000)</f>
        <v>114292.808</v>
      </c>
      <c r="F1893">
        <f t="shared" ref="F1893:I1928" si="49">0/(1000)</f>
        <v>0</v>
      </c>
      <c r="G1893">
        <f>-47354000/(1000)</f>
        <v>-47354</v>
      </c>
      <c r="H1893">
        <f>24009808/(1000)</f>
        <v>24009.808000000001</v>
      </c>
      <c r="I1893">
        <f>-46787000/(1000)</f>
        <v>-46787</v>
      </c>
      <c r="J1893">
        <f t="shared" si="47"/>
        <v>-5.1317263342381438E-4</v>
      </c>
      <c r="K1893">
        <f>-37671999/(1000)</f>
        <v>-37671.999000000003</v>
      </c>
      <c r="L1893">
        <v>0</v>
      </c>
      <c r="M1893">
        <v>-52.333595275878899</v>
      </c>
      <c r="N1893">
        <v>71.753358531701394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55000000000000004">
      <c r="A1894" t="s">
        <v>3796</v>
      </c>
      <c r="B1894" t="s">
        <v>3797</v>
      </c>
      <c r="C1894" t="s">
        <v>5</v>
      </c>
      <c r="D1894">
        <v>6.12</v>
      </c>
      <c r="E1894">
        <f>496594528/(1000)</f>
        <v>496594.52799999999</v>
      </c>
      <c r="F1894">
        <f t="shared" si="49"/>
        <v>0</v>
      </c>
      <c r="G1894">
        <f>-42663744/(1000)</f>
        <v>-42663.743999999999</v>
      </c>
      <c r="H1894">
        <f>404687768/(1000)</f>
        <v>404687.76799999998</v>
      </c>
      <c r="I1894">
        <f>-42302700/(1000)</f>
        <v>-42302.7</v>
      </c>
      <c r="J1894">
        <f t="shared" si="47"/>
        <v>-9.5664760878147251E-3</v>
      </c>
      <c r="K1894">
        <f>-31202395/(1000)</f>
        <v>-31202.395</v>
      </c>
      <c r="L1894">
        <v>0</v>
      </c>
      <c r="M1894">
        <v>-95.872657775878906</v>
      </c>
      <c r="N1894">
        <v>98.731498901515494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55000000000000004">
      <c r="A1895" t="s">
        <v>3798</v>
      </c>
      <c r="B1895" t="s">
        <v>3799</v>
      </c>
      <c r="C1895" t="s">
        <v>38</v>
      </c>
      <c r="D1895">
        <v>3.17</v>
      </c>
      <c r="E1895">
        <f>104042256/(1000)</f>
        <v>104042.25599999999</v>
      </c>
      <c r="F1895">
        <f t="shared" si="49"/>
        <v>0</v>
      </c>
      <c r="G1895">
        <f>-60533000/(1000)</f>
        <v>-60533</v>
      </c>
      <c r="H1895">
        <f>68338256/(1000)</f>
        <v>68338.255999999994</v>
      </c>
      <c r="I1895">
        <f>-55940000/(1000)</f>
        <v>-55940</v>
      </c>
      <c r="J1895">
        <f t="shared" si="47"/>
        <v>-1.2216348945298535E-3</v>
      </c>
      <c r="K1895">
        <f>-54886999/(1000)</f>
        <v>-54886.999000000003</v>
      </c>
      <c r="L1895">
        <v>0</v>
      </c>
      <c r="M1895">
        <v>-71.751274108886705</v>
      </c>
      <c r="N1895">
        <v>71.081841223217396</v>
      </c>
      <c r="O1895">
        <v>10.909216880798301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55000000000000004">
      <c r="A1896" t="s">
        <v>3800</v>
      </c>
      <c r="B1896" t="s">
        <v>3801</v>
      </c>
      <c r="C1896" t="s">
        <v>38</v>
      </c>
      <c r="D1896">
        <v>23.34</v>
      </c>
      <c r="E1896">
        <f>734164352/(1000)</f>
        <v>734164.35199999996</v>
      </c>
      <c r="F1896">
        <f t="shared" si="49"/>
        <v>0</v>
      </c>
      <c r="G1896">
        <f>0/(1000)</f>
        <v>0</v>
      </c>
      <c r="H1896">
        <f>0/(1000)</f>
        <v>0</v>
      </c>
      <c r="I1896">
        <f>0/(1000)</f>
        <v>0</v>
      </c>
      <c r="J1896">
        <f t="shared" si="47"/>
        <v>1</v>
      </c>
      <c r="K1896">
        <f>0/(1000)</f>
        <v>0</v>
      </c>
      <c r="L1896">
        <v>0</v>
      </c>
      <c r="M1896">
        <v>0</v>
      </c>
      <c r="N1896">
        <v>98.081715609610299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55000000000000004">
      <c r="A1897" t="s">
        <v>3802</v>
      </c>
      <c r="B1897" t="s">
        <v>3803</v>
      </c>
      <c r="C1897" t="s">
        <v>121</v>
      </c>
      <c r="D1897">
        <v>5.0599999999999996</v>
      </c>
      <c r="E1897">
        <f>290578080/(1000)</f>
        <v>290578.08</v>
      </c>
      <c r="F1897">
        <f t="shared" si="49"/>
        <v>0</v>
      </c>
      <c r="G1897">
        <f>-11668000/(1000)</f>
        <v>-11668</v>
      </c>
      <c r="H1897">
        <f>0/(1000)</f>
        <v>0</v>
      </c>
      <c r="I1897">
        <f>-11438000/(1000)</f>
        <v>-11438</v>
      </c>
      <c r="J1897">
        <f t="shared" si="47"/>
        <v>0</v>
      </c>
      <c r="K1897">
        <f>-23683999/(1000)</f>
        <v>-23683.999</v>
      </c>
      <c r="L1897">
        <v>0</v>
      </c>
      <c r="M1897">
        <v>-20.078245162963899</v>
      </c>
      <c r="N1897">
        <v>76.842923074593003</v>
      </c>
      <c r="O1897">
        <v>2.3056000471115001E-2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55000000000000004">
      <c r="A1898" t="s">
        <v>3804</v>
      </c>
      <c r="B1898" t="s">
        <v>3805</v>
      </c>
      <c r="C1898" t="s">
        <v>5</v>
      </c>
      <c r="D1898">
        <v>0.43</v>
      </c>
      <c r="E1898">
        <f>34280504/(1000)</f>
        <v>34280.504000000001</v>
      </c>
      <c r="F1898">
        <f t="shared" si="49"/>
        <v>0</v>
      </c>
      <c r="G1898">
        <f>-333557/(1000)</f>
        <v>-333.55700000000002</v>
      </c>
      <c r="H1898">
        <f>1116435512/(1000)</f>
        <v>1116435.5120000001</v>
      </c>
      <c r="I1898">
        <f>-333557/(1000)</f>
        <v>-333.55700000000002</v>
      </c>
      <c r="J1898">
        <f t="shared" si="47"/>
        <v>-3.347060658298282</v>
      </c>
      <c r="K1898">
        <f>-3439716/(1000)</f>
        <v>-3439.7159999999999</v>
      </c>
      <c r="L1898">
        <v>0</v>
      </c>
      <c r="M1898">
        <v>0.58608800172805797</v>
      </c>
      <c r="N1898">
        <v>34.641837383910101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55000000000000004">
      <c r="A1899" t="s">
        <v>3806</v>
      </c>
      <c r="B1899" t="s">
        <v>3807</v>
      </c>
      <c r="C1899" t="s">
        <v>5</v>
      </c>
      <c r="D1899">
        <v>7.23</v>
      </c>
      <c r="E1899">
        <f>277362336/(1000)</f>
        <v>277362.33600000001</v>
      </c>
      <c r="F1899">
        <f t="shared" si="49"/>
        <v>0</v>
      </c>
      <c r="G1899">
        <f>-54233864/(1000)</f>
        <v>-54233.864000000001</v>
      </c>
      <c r="H1899">
        <f>232135828/(1000)</f>
        <v>232135.82800000001</v>
      </c>
      <c r="I1899">
        <f>-53718104/(1000)</f>
        <v>-53718.103999999999</v>
      </c>
      <c r="J1899">
        <f t="shared" si="47"/>
        <v>-4.3213704638570263E-3</v>
      </c>
      <c r="K1899">
        <f>-42771351/(1000)</f>
        <v>-42771.351000000002</v>
      </c>
      <c r="L1899">
        <v>0</v>
      </c>
      <c r="M1899">
        <v>-99.576377868652301</v>
      </c>
      <c r="N1899">
        <v>39.769097161730997</v>
      </c>
      <c r="O1899">
        <v>66.871284484863295</v>
      </c>
      <c r="P1899">
        <v>0</v>
      </c>
      <c r="Q1899">
        <v>7.8586955303449502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55000000000000004">
      <c r="A1900" t="s">
        <v>3808</v>
      </c>
      <c r="B1900" t="s">
        <v>3809</v>
      </c>
      <c r="C1900" t="s">
        <v>5</v>
      </c>
      <c r="D1900">
        <v>26</v>
      </c>
      <c r="E1900">
        <f>539057984/(1000)</f>
        <v>539057.98400000005</v>
      </c>
      <c r="F1900">
        <f t="shared" si="49"/>
        <v>0</v>
      </c>
      <c r="G1900">
        <f>-34146528/(1000)</f>
        <v>-34146.527999999998</v>
      </c>
      <c r="H1900">
        <f>432883104/(1000)</f>
        <v>432883.10399999999</v>
      </c>
      <c r="I1900">
        <f>-34576856/(1000)</f>
        <v>-34576.856</v>
      </c>
      <c r="J1900">
        <f t="shared" si="47"/>
        <v>-1.251944664951608E-2</v>
      </c>
      <c r="K1900">
        <f>-23469543/(1000)</f>
        <v>-23469.543000000001</v>
      </c>
      <c r="L1900">
        <v>0</v>
      </c>
      <c r="M1900">
        <v>0</v>
      </c>
      <c r="N1900">
        <v>80.7041921578559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55000000000000004">
      <c r="A1901" t="s">
        <v>3810</v>
      </c>
      <c r="B1901" t="s">
        <v>3811</v>
      </c>
      <c r="C1901" t="s">
        <v>184</v>
      </c>
      <c r="D1901">
        <v>3.45</v>
      </c>
      <c r="E1901">
        <f>611236864/(1000)</f>
        <v>611236.86399999994</v>
      </c>
      <c r="F1901">
        <f t="shared" si="49"/>
        <v>0</v>
      </c>
      <c r="G1901">
        <f>0/(1000)</f>
        <v>0</v>
      </c>
      <c r="H1901">
        <f>1725414912/(1000)</f>
        <v>1725414.912</v>
      </c>
      <c r="I1901">
        <f>0/(1000)</f>
        <v>0</v>
      </c>
      <c r="J1901">
        <f t="shared" si="47"/>
        <v>1</v>
      </c>
      <c r="K1901">
        <f>0/(1000)</f>
        <v>0</v>
      </c>
      <c r="L1901">
        <v>0</v>
      </c>
      <c r="M1901">
        <v>0</v>
      </c>
      <c r="N1901">
        <v>99.479028936303607</v>
      </c>
      <c r="O1901">
        <v>0</v>
      </c>
      <c r="P1901">
        <v>0.15999999642372101</v>
      </c>
      <c r="Q1901">
        <v>1.12012991335807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55000000000000004">
      <c r="A1902" t="s">
        <v>3812</v>
      </c>
      <c r="B1902" t="s">
        <v>3813</v>
      </c>
      <c r="C1902" t="s">
        <v>31</v>
      </c>
      <c r="D1902">
        <v>10.02</v>
      </c>
      <c r="E1902">
        <f>72939584/(1000)</f>
        <v>72939.584000000003</v>
      </c>
      <c r="F1902">
        <f t="shared" si="49"/>
        <v>0</v>
      </c>
      <c r="G1902">
        <f>0/(1000)</f>
        <v>0</v>
      </c>
      <c r="H1902">
        <f>-31217416/(1000)</f>
        <v>-31217.416000000001</v>
      </c>
      <c r="I1902">
        <f>0/(1000)</f>
        <v>0</v>
      </c>
      <c r="J1902">
        <f t="shared" si="47"/>
        <v>1</v>
      </c>
      <c r="K1902">
        <f>0/(1000)</f>
        <v>0</v>
      </c>
      <c r="L1902">
        <v>0</v>
      </c>
      <c r="M1902">
        <v>0</v>
      </c>
      <c r="N1902">
        <v>100.00000176077501</v>
      </c>
      <c r="O1902">
        <v>0</v>
      </c>
      <c r="P1902">
        <v>0</v>
      </c>
      <c r="Q1902">
        <v>1.4563953911471601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55000000000000004">
      <c r="A1903" t="s">
        <v>3814</v>
      </c>
      <c r="B1903" t="s">
        <v>3815</v>
      </c>
      <c r="C1903" t="s">
        <v>5</v>
      </c>
      <c r="D1903">
        <v>9.59</v>
      </c>
      <c r="E1903">
        <f>229200992/(1000)</f>
        <v>229200.992</v>
      </c>
      <c r="F1903">
        <f t="shared" si="49"/>
        <v>0</v>
      </c>
      <c r="G1903">
        <f>0/(1000)</f>
        <v>0</v>
      </c>
      <c r="H1903">
        <f>0/(1000)</f>
        <v>0</v>
      </c>
      <c r="I1903">
        <f>0/(1000)</f>
        <v>0</v>
      </c>
      <c r="J1903">
        <f t="shared" si="47"/>
        <v>1</v>
      </c>
      <c r="K1903">
        <f>0/(1000)</f>
        <v>0</v>
      </c>
      <c r="L1903">
        <v>0</v>
      </c>
      <c r="M1903">
        <v>0</v>
      </c>
      <c r="N1903">
        <v>100.00000159610801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55000000000000004">
      <c r="A1904" t="s">
        <v>3816</v>
      </c>
      <c r="B1904" t="s">
        <v>3817</v>
      </c>
      <c r="C1904" t="s">
        <v>8</v>
      </c>
      <c r="D1904">
        <v>1.6</v>
      </c>
      <c r="E1904">
        <f>116489280/(1000)</f>
        <v>116489.28</v>
      </c>
      <c r="F1904">
        <f t="shared" si="49"/>
        <v>0</v>
      </c>
      <c r="G1904">
        <f>-3730540/(1000)</f>
        <v>-3730.54</v>
      </c>
      <c r="H1904">
        <f>87938384/(1000)</f>
        <v>87938.384000000005</v>
      </c>
      <c r="I1904">
        <f>-3675115/(1000)</f>
        <v>-3675.1149999999998</v>
      </c>
      <c r="J1904">
        <f t="shared" si="47"/>
        <v>-2.3928063203464384E-2</v>
      </c>
      <c r="K1904">
        <f>-13684889/(1000)</f>
        <v>-13684.888999999999</v>
      </c>
      <c r="L1904">
        <v>0</v>
      </c>
      <c r="M1904">
        <v>-2.5695419311523402</v>
      </c>
      <c r="N1904">
        <v>54.872962368914301</v>
      </c>
      <c r="O1904">
        <v>0</v>
      </c>
      <c r="P1904">
        <v>0</v>
      </c>
      <c r="Q1904">
        <v>0</v>
      </c>
      <c r="R1904">
        <v>80.000002980232296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55000000000000004">
      <c r="A1905" t="s">
        <v>3818</v>
      </c>
      <c r="B1905" t="s">
        <v>3819</v>
      </c>
      <c r="C1905" t="s">
        <v>121</v>
      </c>
      <c r="D1905">
        <v>1.18</v>
      </c>
      <c r="E1905">
        <f>84774264/(1000)</f>
        <v>84774.263999999996</v>
      </c>
      <c r="F1905">
        <f t="shared" si="49"/>
        <v>0</v>
      </c>
      <c r="G1905">
        <f>-38985000/(1000)</f>
        <v>-38985</v>
      </c>
      <c r="H1905">
        <f>105671260/(1000)</f>
        <v>105671.26</v>
      </c>
      <c r="I1905">
        <f>-38800000/(1000)</f>
        <v>-38800</v>
      </c>
      <c r="J1905">
        <f t="shared" si="47"/>
        <v>-2.7234860824742269E-3</v>
      </c>
      <c r="K1905">
        <f>-24974999/(1000)</f>
        <v>-24974.999</v>
      </c>
      <c r="L1905">
        <v>0</v>
      </c>
      <c r="M1905">
        <v>-58.849266052246101</v>
      </c>
      <c r="N1905">
        <v>76.230539476600399</v>
      </c>
      <c r="O1905">
        <v>0.20860899984836601</v>
      </c>
      <c r="P1905">
        <v>0</v>
      </c>
      <c r="Q1905">
        <v>0.364197513603288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55000000000000004">
      <c r="A1906" t="s">
        <v>3820</v>
      </c>
      <c r="B1906" t="s">
        <v>3821</v>
      </c>
      <c r="C1906" t="s">
        <v>81</v>
      </c>
      <c r="D1906">
        <v>8.09</v>
      </c>
      <c r="E1906">
        <f>430691136/(1000)</f>
        <v>430691.136</v>
      </c>
      <c r="F1906">
        <f t="shared" si="49"/>
        <v>0</v>
      </c>
      <c r="G1906">
        <f>0/(1000)</f>
        <v>0</v>
      </c>
      <c r="H1906">
        <f>0/(1000)</f>
        <v>0</v>
      </c>
      <c r="I1906">
        <f>0/(1000)</f>
        <v>0</v>
      </c>
      <c r="J1906">
        <f t="shared" si="47"/>
        <v>1</v>
      </c>
      <c r="K1906">
        <f>0/(1000)</f>
        <v>0</v>
      </c>
      <c r="L1906">
        <v>0</v>
      </c>
      <c r="M1906">
        <v>0</v>
      </c>
      <c r="N1906">
        <v>77.469903297692596</v>
      </c>
      <c r="O1906">
        <v>0</v>
      </c>
      <c r="P1906">
        <v>0</v>
      </c>
      <c r="Q1906">
        <v>1.56782953329839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</row>
    <row r="1907" spans="1:23" x14ac:dyDescent="0.55000000000000004">
      <c r="A1907" t="s">
        <v>3822</v>
      </c>
      <c r="B1907" t="s">
        <v>3823</v>
      </c>
      <c r="C1907" t="s">
        <v>184</v>
      </c>
      <c r="D1907">
        <v>26.6</v>
      </c>
      <c r="E1907">
        <f>962653952/(1000)</f>
        <v>962653.95200000005</v>
      </c>
      <c r="F1907">
        <f t="shared" si="49"/>
        <v>0</v>
      </c>
      <c r="G1907">
        <f>0/(1000)</f>
        <v>0</v>
      </c>
      <c r="H1907">
        <f>5434010880/(1000)</f>
        <v>5434010.8799999999</v>
      </c>
      <c r="I1907">
        <f>0/(1000)</f>
        <v>0</v>
      </c>
      <c r="J1907">
        <f t="shared" si="47"/>
        <v>1</v>
      </c>
      <c r="K1907">
        <f>0/(1000)</f>
        <v>0</v>
      </c>
      <c r="L1907">
        <v>0</v>
      </c>
      <c r="M1907">
        <v>0</v>
      </c>
      <c r="N1907">
        <v>99.408403882748502</v>
      </c>
      <c r="O1907">
        <v>0</v>
      </c>
      <c r="P1907">
        <v>4</v>
      </c>
      <c r="Q1907">
        <v>1.22535471517876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55000000000000004">
      <c r="A1908" t="s">
        <v>3824</v>
      </c>
      <c r="B1908" t="s">
        <v>3825</v>
      </c>
      <c r="C1908" t="s">
        <v>5</v>
      </c>
      <c r="D1908">
        <v>1.25</v>
      </c>
      <c r="E1908">
        <f>75775624/(1000)</f>
        <v>75775.623999999996</v>
      </c>
      <c r="F1908">
        <f t="shared" si="49"/>
        <v>0</v>
      </c>
      <c r="G1908">
        <f>-32927276/(1000)</f>
        <v>-32927.275999999998</v>
      </c>
      <c r="H1908">
        <f>41110908/(1000)</f>
        <v>41110.908000000003</v>
      </c>
      <c r="I1908">
        <f>-32825204/(1000)</f>
        <v>-32825.203999999998</v>
      </c>
      <c r="J1908">
        <f t="shared" si="47"/>
        <v>-1.2524189644030849E-3</v>
      </c>
      <c r="K1908">
        <f>-25535939/(1000)</f>
        <v>-25535.938999999998</v>
      </c>
      <c r="L1908">
        <v>0</v>
      </c>
      <c r="M1908">
        <v>-117.671867370605</v>
      </c>
      <c r="N1908">
        <v>84.414680072744204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55000000000000004">
      <c r="A1909" t="s">
        <v>3826</v>
      </c>
      <c r="B1909" t="s">
        <v>3827</v>
      </c>
      <c r="C1909" t="s">
        <v>184</v>
      </c>
      <c r="D1909">
        <v>7.51</v>
      </c>
      <c r="E1909">
        <f>0/(1000)</f>
        <v>0</v>
      </c>
      <c r="F1909">
        <f t="shared" si="49"/>
        <v>0</v>
      </c>
      <c r="G1909">
        <f t="shared" si="49"/>
        <v>0</v>
      </c>
      <c r="H1909">
        <f t="shared" si="49"/>
        <v>0</v>
      </c>
      <c r="I1909">
        <f t="shared" si="49"/>
        <v>0</v>
      </c>
      <c r="J1909">
        <f t="shared" si="47"/>
        <v>1</v>
      </c>
      <c r="K1909">
        <f>0/(1000)</f>
        <v>0</v>
      </c>
      <c r="L1909">
        <v>0</v>
      </c>
      <c r="M1909">
        <v>0</v>
      </c>
      <c r="N1909">
        <v>0</v>
      </c>
      <c r="O1909">
        <v>0</v>
      </c>
      <c r="P1909">
        <v>1.6799999475479099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55000000000000004">
      <c r="A1910" t="s">
        <v>3828</v>
      </c>
      <c r="B1910" t="s">
        <v>3829</v>
      </c>
      <c r="C1910" t="s">
        <v>20</v>
      </c>
      <c r="D1910">
        <v>18.78</v>
      </c>
      <c r="E1910">
        <f>821277568/(1000)</f>
        <v>821277.56799999997</v>
      </c>
      <c r="F1910">
        <f t="shared" si="49"/>
        <v>0</v>
      </c>
      <c r="G1910">
        <f t="shared" si="49"/>
        <v>0</v>
      </c>
      <c r="H1910">
        <f t="shared" si="49"/>
        <v>0</v>
      </c>
      <c r="I1910">
        <f t="shared" si="49"/>
        <v>0</v>
      </c>
      <c r="J1910">
        <f t="shared" si="47"/>
        <v>1</v>
      </c>
      <c r="K1910">
        <f>0/(1000)</f>
        <v>0</v>
      </c>
      <c r="L1910">
        <v>0</v>
      </c>
      <c r="M1910">
        <v>0</v>
      </c>
      <c r="N1910">
        <v>17.906543863153601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55000000000000004">
      <c r="A1911" t="s">
        <v>3830</v>
      </c>
      <c r="B1911" t="s">
        <v>3831</v>
      </c>
      <c r="C1911" t="s">
        <v>5</v>
      </c>
      <c r="D1911">
        <v>6.98</v>
      </c>
      <c r="E1911">
        <f>142593728/(1000)</f>
        <v>142593.728</v>
      </c>
      <c r="F1911">
        <f t="shared" si="49"/>
        <v>0</v>
      </c>
      <c r="G1911">
        <f>-40929000/(1000)</f>
        <v>-40929</v>
      </c>
      <c r="H1911">
        <f>100124728/(1000)</f>
        <v>100124.728</v>
      </c>
      <c r="I1911">
        <f>-40048000/(1000)</f>
        <v>-40048</v>
      </c>
      <c r="J1911">
        <f t="shared" si="47"/>
        <v>-2.500118058330004E-3</v>
      </c>
      <c r="K1911">
        <f>-35376999/(1000)</f>
        <v>-35376.999000000003</v>
      </c>
      <c r="L1911">
        <v>0</v>
      </c>
      <c r="M1911">
        <v>0</v>
      </c>
      <c r="N1911">
        <v>77.634626350072693</v>
      </c>
      <c r="O1911">
        <v>12.4708957672119</v>
      </c>
      <c r="P1911">
        <v>0</v>
      </c>
      <c r="Q1911">
        <v>10.1897810142761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55000000000000004">
      <c r="A1912" t="s">
        <v>3832</v>
      </c>
      <c r="B1912" t="s">
        <v>3833</v>
      </c>
      <c r="C1912" t="s">
        <v>38</v>
      </c>
      <c r="D1912">
        <v>14.57</v>
      </c>
      <c r="E1912">
        <f>438256832/(1000)</f>
        <v>438256.83199999999</v>
      </c>
      <c r="F1912">
        <f t="shared" si="49"/>
        <v>0</v>
      </c>
      <c r="G1912">
        <f>-33762944/(1000)</f>
        <v>-33762.944000000003</v>
      </c>
      <c r="H1912">
        <f>417893832/(1000)</f>
        <v>417893.83199999999</v>
      </c>
      <c r="I1912">
        <f>-33688624/(1000)</f>
        <v>-33688.624000000003</v>
      </c>
      <c r="J1912">
        <f t="shared" si="47"/>
        <v>-1.2404597825069969E-2</v>
      </c>
      <c r="K1912">
        <f>-24114539/(1000)</f>
        <v>-24114.539000000001</v>
      </c>
      <c r="L1912">
        <v>0</v>
      </c>
      <c r="M1912">
        <v>-73.030426025390597</v>
      </c>
      <c r="N1912">
        <v>78.740934665156004</v>
      </c>
      <c r="O1912">
        <v>2.6791000738739999E-2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55000000000000004">
      <c r="A1913" t="s">
        <v>3834</v>
      </c>
      <c r="B1913" t="s">
        <v>3835</v>
      </c>
      <c r="C1913" t="s">
        <v>38</v>
      </c>
      <c r="D1913">
        <v>0.7</v>
      </c>
      <c r="E1913">
        <f>51424244/(1000)</f>
        <v>51424.243999999999</v>
      </c>
      <c r="F1913">
        <f t="shared" si="49"/>
        <v>0</v>
      </c>
      <c r="G1913">
        <f>-13081000/(1000)</f>
        <v>-13081</v>
      </c>
      <c r="H1913">
        <f>24483244/(1000)</f>
        <v>24483.243999999999</v>
      </c>
      <c r="I1913">
        <f>-13081000/(1000)</f>
        <v>-13081</v>
      </c>
      <c r="J1913">
        <f t="shared" si="47"/>
        <v>-1.8716645516397828E-3</v>
      </c>
      <c r="K1913">
        <f>-11497999/(1000)</f>
        <v>-11497.999</v>
      </c>
      <c r="L1913">
        <v>0</v>
      </c>
      <c r="M1913">
        <v>-81.881759643554702</v>
      </c>
      <c r="N1913">
        <v>28.606294061181401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55000000000000004">
      <c r="A1914" t="s">
        <v>3836</v>
      </c>
      <c r="B1914" t="s">
        <v>3837</v>
      </c>
      <c r="C1914" t="s">
        <v>8</v>
      </c>
      <c r="D1914">
        <v>2.6</v>
      </c>
      <c r="E1914">
        <f>88639720/(1000)</f>
        <v>88639.72</v>
      </c>
      <c r="F1914">
        <f t="shared" si="49"/>
        <v>0</v>
      </c>
      <c r="G1914">
        <f>-4513189/(1000)</f>
        <v>-4513.1890000000003</v>
      </c>
      <c r="H1914">
        <f>82855992/(1000)</f>
        <v>82855.991999999998</v>
      </c>
      <c r="I1914">
        <f>-4509743/(1000)</f>
        <v>-4509.7430000000004</v>
      </c>
      <c r="J1914">
        <f t="shared" si="47"/>
        <v>-1.8372663808115006E-2</v>
      </c>
      <c r="K1914">
        <f>-5205976/(1000)</f>
        <v>-5205.9759999999997</v>
      </c>
      <c r="L1914">
        <v>0</v>
      </c>
      <c r="M1914">
        <v>0</v>
      </c>
      <c r="N1914">
        <v>44.464128016957702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55000000000000004">
      <c r="A1915" t="s">
        <v>3838</v>
      </c>
      <c r="B1915" t="s">
        <v>3839</v>
      </c>
      <c r="C1915" t="s">
        <v>8</v>
      </c>
      <c r="D1915">
        <v>0.73</v>
      </c>
      <c r="E1915">
        <f>175223072/(1000)</f>
        <v>175223.07199999999</v>
      </c>
      <c r="F1915">
        <f t="shared" si="49"/>
        <v>0</v>
      </c>
      <c r="G1915">
        <f>-124850472/(1000)</f>
        <v>-124850.47199999999</v>
      </c>
      <c r="H1915">
        <f>94669744/(1000)</f>
        <v>94669.744000000006</v>
      </c>
      <c r="I1915">
        <f>-123777904/(1000)</f>
        <v>-123777.90399999999</v>
      </c>
      <c r="J1915">
        <f t="shared" si="47"/>
        <v>-7.6483557194505409E-4</v>
      </c>
      <c r="K1915">
        <f>-111366759/(1000)</f>
        <v>-111366.75900000001</v>
      </c>
      <c r="L1915">
        <v>0</v>
      </c>
      <c r="M1915">
        <v>-22.493837356567401</v>
      </c>
      <c r="N1915">
        <v>97.902775746118493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55000000000000004">
      <c r="A1916" t="s">
        <v>3840</v>
      </c>
      <c r="B1916" t="s">
        <v>3841</v>
      </c>
      <c r="C1916" t="s">
        <v>5</v>
      </c>
      <c r="D1916">
        <v>34.159999999999997</v>
      </c>
      <c r="E1916">
        <f>1927122688/(1000)</f>
        <v>1927122.6880000001</v>
      </c>
      <c r="F1916">
        <f t="shared" si="49"/>
        <v>0</v>
      </c>
      <c r="G1916">
        <f>-85959000/(1000)</f>
        <v>-85959</v>
      </c>
      <c r="H1916">
        <f>1480600704/(1000)</f>
        <v>1480600.7039999999</v>
      </c>
      <c r="I1916">
        <f>-84929000/(1000)</f>
        <v>-84929</v>
      </c>
      <c r="J1916">
        <f t="shared" si="47"/>
        <v>-1.7433393823075745E-2</v>
      </c>
      <c r="K1916">
        <f>-29138999/(1000)</f>
        <v>-29138.999</v>
      </c>
      <c r="L1916">
        <v>0</v>
      </c>
      <c r="M1916">
        <v>-10.432400703430201</v>
      </c>
      <c r="N1916">
        <v>99.466626776882904</v>
      </c>
      <c r="O1916">
        <v>0</v>
      </c>
      <c r="P1916">
        <v>0</v>
      </c>
      <c r="Q1916">
        <v>4.0877524534944198</v>
      </c>
      <c r="R1916">
        <v>100.47058672971001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55000000000000004">
      <c r="A1917" t="s">
        <v>3842</v>
      </c>
      <c r="B1917" t="s">
        <v>3843</v>
      </c>
      <c r="C1917" t="s">
        <v>2</v>
      </c>
      <c r="D1917">
        <v>1.1299999999999999</v>
      </c>
      <c r="E1917">
        <f>234438832/(1000)</f>
        <v>234438.83199999999</v>
      </c>
      <c r="F1917">
        <f t="shared" si="49"/>
        <v>0</v>
      </c>
      <c r="G1917">
        <f>-51389000/(1000)</f>
        <v>-51389</v>
      </c>
      <c r="H1917">
        <f>904181872/(1000)</f>
        <v>904181.87199999997</v>
      </c>
      <c r="I1917">
        <f>-51121000/(1000)</f>
        <v>-51121</v>
      </c>
      <c r="J1917">
        <f t="shared" si="47"/>
        <v>-1.7687092818998065E-2</v>
      </c>
      <c r="K1917">
        <f>-123558999/(1000)</f>
        <v>-123558.999</v>
      </c>
      <c r="L1917">
        <v>0</v>
      </c>
      <c r="M1917">
        <v>0</v>
      </c>
      <c r="N1917">
        <v>90.045186992290894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55000000000000004">
      <c r="A1918" t="s">
        <v>3844</v>
      </c>
      <c r="B1918" t="s">
        <v>3845</v>
      </c>
      <c r="C1918" t="s">
        <v>38</v>
      </c>
      <c r="D1918">
        <v>1.84</v>
      </c>
      <c r="E1918">
        <f>139711568/(1000)</f>
        <v>139711.568</v>
      </c>
      <c r="F1918">
        <f t="shared" si="49"/>
        <v>0</v>
      </c>
      <c r="G1918">
        <f>-24567000/(1000)</f>
        <v>-24567</v>
      </c>
      <c r="H1918">
        <f>93666568/(1000)</f>
        <v>93666.567999999999</v>
      </c>
      <c r="I1918">
        <f>-23808000/(1000)</f>
        <v>-23808</v>
      </c>
      <c r="J1918">
        <f t="shared" si="47"/>
        <v>-3.9342476478494625E-3</v>
      </c>
      <c r="K1918">
        <f>-12783999/(1000)</f>
        <v>-12783.999</v>
      </c>
      <c r="L1918">
        <v>0</v>
      </c>
      <c r="M1918">
        <v>-51.1111869812012</v>
      </c>
      <c r="N1918">
        <v>55.973513496296299</v>
      </c>
      <c r="O1918">
        <v>0</v>
      </c>
      <c r="P1918">
        <v>0</v>
      </c>
      <c r="Q1918">
        <v>2.78787872767208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55000000000000004">
      <c r="A1919" t="s">
        <v>3846</v>
      </c>
      <c r="B1919" t="s">
        <v>3847</v>
      </c>
      <c r="C1919" t="s">
        <v>38</v>
      </c>
      <c r="D1919">
        <v>5.04</v>
      </c>
      <c r="E1919">
        <f>150082624/(1000)</f>
        <v>150082.62400000001</v>
      </c>
      <c r="F1919">
        <f t="shared" si="49"/>
        <v>0</v>
      </c>
      <c r="G1919">
        <f t="shared" si="49"/>
        <v>0</v>
      </c>
      <c r="H1919">
        <f t="shared" si="49"/>
        <v>0</v>
      </c>
      <c r="I1919">
        <f t="shared" si="49"/>
        <v>0</v>
      </c>
      <c r="J1919">
        <f t="shared" si="47"/>
        <v>1</v>
      </c>
      <c r="K1919">
        <f>0/(1000)</f>
        <v>0</v>
      </c>
      <c r="L1919">
        <v>0</v>
      </c>
      <c r="M1919">
        <v>0</v>
      </c>
      <c r="N1919">
        <v>83.543051679737999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55000000000000004">
      <c r="A1920" t="s">
        <v>3848</v>
      </c>
      <c r="B1920" t="s">
        <v>3849</v>
      </c>
      <c r="C1920" t="s">
        <v>121</v>
      </c>
      <c r="D1920">
        <v>34.18</v>
      </c>
      <c r="E1920">
        <f>1306930304/(1000)</f>
        <v>1306930.304</v>
      </c>
      <c r="F1920">
        <f t="shared" si="49"/>
        <v>0</v>
      </c>
      <c r="G1920">
        <f t="shared" si="49"/>
        <v>0</v>
      </c>
      <c r="H1920">
        <f t="shared" si="49"/>
        <v>0</v>
      </c>
      <c r="I1920">
        <f t="shared" si="49"/>
        <v>0</v>
      </c>
      <c r="J1920">
        <f t="shared" si="47"/>
        <v>1</v>
      </c>
      <c r="K1920">
        <f>0/(1000)</f>
        <v>0</v>
      </c>
      <c r="L1920">
        <v>0</v>
      </c>
      <c r="M1920">
        <v>0</v>
      </c>
      <c r="N1920">
        <v>92.653397687299702</v>
      </c>
      <c r="O1920">
        <v>0</v>
      </c>
      <c r="P1920">
        <v>0.40000000596046398</v>
      </c>
      <c r="Q1920">
        <v>1.6485557789998699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55000000000000004">
      <c r="A1921" t="s">
        <v>3850</v>
      </c>
      <c r="B1921" t="s">
        <v>3851</v>
      </c>
      <c r="C1921" t="s">
        <v>31</v>
      </c>
      <c r="D1921">
        <v>12.65</v>
      </c>
      <c r="E1921">
        <f>1302948736/(1000)</f>
        <v>1302948.736</v>
      </c>
      <c r="F1921">
        <f t="shared" si="49"/>
        <v>0</v>
      </c>
      <c r="G1921">
        <f t="shared" si="49"/>
        <v>0</v>
      </c>
      <c r="H1921">
        <f t="shared" si="49"/>
        <v>0</v>
      </c>
      <c r="I1921">
        <f t="shared" si="49"/>
        <v>0</v>
      </c>
      <c r="J1921">
        <f t="shared" si="47"/>
        <v>1</v>
      </c>
      <c r="K1921">
        <f>0/(1000)</f>
        <v>0</v>
      </c>
      <c r="L1921">
        <v>0</v>
      </c>
      <c r="M1921">
        <v>0</v>
      </c>
      <c r="N1921">
        <v>97.829802941438103</v>
      </c>
      <c r="O1921">
        <v>0</v>
      </c>
      <c r="P1921">
        <v>0</v>
      </c>
      <c r="Q1921">
        <v>0.60613316290575403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55000000000000004">
      <c r="A1922" t="s">
        <v>3852</v>
      </c>
      <c r="B1922" t="s">
        <v>3853</v>
      </c>
      <c r="C1922" t="s">
        <v>5</v>
      </c>
      <c r="D1922">
        <v>5.74</v>
      </c>
      <c r="E1922">
        <f>322065088/(1000)</f>
        <v>322065.08799999999</v>
      </c>
      <c r="F1922">
        <f t="shared" si="49"/>
        <v>0</v>
      </c>
      <c r="G1922">
        <f>-133120000/(1000)</f>
        <v>-133120</v>
      </c>
      <c r="H1922">
        <f>220587088/(1000)</f>
        <v>220587.08799999999</v>
      </c>
      <c r="I1922">
        <f>-126884000/(1000)</f>
        <v>-126884</v>
      </c>
      <c r="J1922">
        <f t="shared" ref="J1922:J1935" si="50">(IF(I1922=0,1000,H1922/I1922))/(1000)</f>
        <v>-1.7384941206141041E-3</v>
      </c>
      <c r="K1922">
        <f>-33942999/(1000)</f>
        <v>-33942.999000000003</v>
      </c>
      <c r="L1922">
        <v>0</v>
      </c>
      <c r="M1922">
        <v>0</v>
      </c>
      <c r="N1922">
        <v>42.534608201957298</v>
      </c>
      <c r="O1922">
        <v>0.45128598809242199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55000000000000004">
      <c r="A1923" t="s">
        <v>3854</v>
      </c>
      <c r="B1923" t="s">
        <v>3855</v>
      </c>
      <c r="C1923" t="s">
        <v>8</v>
      </c>
      <c r="D1923">
        <v>0.94</v>
      </c>
      <c r="E1923">
        <f>84476864/(1000)</f>
        <v>84476.864000000001</v>
      </c>
      <c r="F1923">
        <f t="shared" si="49"/>
        <v>0</v>
      </c>
      <c r="G1923">
        <f>-19156218/(1000)</f>
        <v>-19156.218000000001</v>
      </c>
      <c r="H1923">
        <f>66944034/(1000)</f>
        <v>66944.034</v>
      </c>
      <c r="I1923">
        <f>-18966338/(1000)</f>
        <v>-18966.338</v>
      </c>
      <c r="J1923">
        <f t="shared" si="50"/>
        <v>-3.5296235889078851E-3</v>
      </c>
      <c r="K1923">
        <f>-16840429/(1000)</f>
        <v>-16840.429</v>
      </c>
      <c r="L1923">
        <v>0</v>
      </c>
      <c r="M1923">
        <v>0</v>
      </c>
      <c r="N1923">
        <v>70.172025600820405</v>
      </c>
      <c r="O1923">
        <v>106.21160125732401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55000000000000004">
      <c r="A1924" t="s">
        <v>3856</v>
      </c>
      <c r="B1924" t="s">
        <v>3857</v>
      </c>
      <c r="C1924" t="s">
        <v>184</v>
      </c>
      <c r="D1924">
        <v>7.79</v>
      </c>
      <c r="E1924">
        <f>163756704/(1000)</f>
        <v>163756.704</v>
      </c>
      <c r="F1924">
        <f t="shared" si="49"/>
        <v>0</v>
      </c>
      <c r="G1924">
        <f>0/(1000)</f>
        <v>0</v>
      </c>
      <c r="H1924">
        <f>0/(1000)</f>
        <v>0</v>
      </c>
      <c r="I1924">
        <f>0/(1000)</f>
        <v>0</v>
      </c>
      <c r="J1924">
        <f t="shared" si="50"/>
        <v>1</v>
      </c>
      <c r="K1924">
        <f>0/(1000)</f>
        <v>0</v>
      </c>
      <c r="L1924">
        <v>0</v>
      </c>
      <c r="M1924">
        <v>0</v>
      </c>
      <c r="N1924">
        <v>62.919214304561002</v>
      </c>
      <c r="O1924">
        <v>0</v>
      </c>
      <c r="P1924">
        <v>0.45333334803581199</v>
      </c>
      <c r="Q1924">
        <v>0.64234180427873599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55000000000000004">
      <c r="A1925" t="s">
        <v>3858</v>
      </c>
      <c r="B1925" t="s">
        <v>3859</v>
      </c>
      <c r="C1925" t="s">
        <v>5</v>
      </c>
      <c r="D1925">
        <v>0.4</v>
      </c>
      <c r="E1925">
        <f>48704440/(1000)</f>
        <v>48704.44</v>
      </c>
      <c r="F1925">
        <f t="shared" si="49"/>
        <v>0</v>
      </c>
      <c r="G1925">
        <f>-176136992/(1000)</f>
        <v>-176136.992</v>
      </c>
      <c r="H1925">
        <f>1041071480/(1000)</f>
        <v>1041071.48</v>
      </c>
      <c r="I1925">
        <f>-156136992/(1000)</f>
        <v>-156136.992</v>
      </c>
      <c r="J1925">
        <f t="shared" si="50"/>
        <v>-6.6676798794740449E-3</v>
      </c>
      <c r="K1925">
        <f>-400727999/(1000)</f>
        <v>-400727.99900000001</v>
      </c>
      <c r="L1925">
        <v>0</v>
      </c>
      <c r="M1925">
        <v>-395.30383300781301</v>
      </c>
      <c r="N1925">
        <v>66.010079978214804</v>
      </c>
      <c r="O1925">
        <v>129.89610290527301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55000000000000004">
      <c r="A1926" t="s">
        <v>3860</v>
      </c>
      <c r="B1926" t="s">
        <v>3861</v>
      </c>
      <c r="C1926" t="s">
        <v>184</v>
      </c>
      <c r="D1926">
        <v>3.95</v>
      </c>
      <c r="E1926">
        <f>102145296/(1000)</f>
        <v>102145.296</v>
      </c>
      <c r="F1926">
        <f t="shared" si="49"/>
        <v>0</v>
      </c>
      <c r="G1926">
        <f>0/(1000)</f>
        <v>0</v>
      </c>
      <c r="H1926">
        <f>0/(1000)</f>
        <v>0</v>
      </c>
      <c r="I1926">
        <f>0/(1000)</f>
        <v>0</v>
      </c>
      <c r="J1926">
        <f t="shared" si="50"/>
        <v>1</v>
      </c>
      <c r="K1926">
        <f>0/(1000)</f>
        <v>0</v>
      </c>
      <c r="L1926">
        <v>0</v>
      </c>
      <c r="M1926">
        <v>0</v>
      </c>
      <c r="N1926">
        <v>94.285680894901105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55000000000000004">
      <c r="A1927" t="s">
        <v>3862</v>
      </c>
      <c r="B1927" t="s">
        <v>3863</v>
      </c>
      <c r="C1927" t="s">
        <v>38</v>
      </c>
      <c r="D1927">
        <v>3.35</v>
      </c>
      <c r="E1927">
        <f>174001344/(1000)</f>
        <v>174001.34400000001</v>
      </c>
      <c r="F1927">
        <f t="shared" si="49"/>
        <v>0</v>
      </c>
      <c r="G1927">
        <f>-44931000/(1000)</f>
        <v>-44931</v>
      </c>
      <c r="H1927">
        <f>55931352/(1000)</f>
        <v>55931.351999999999</v>
      </c>
      <c r="I1927">
        <f>-43206000/(1000)</f>
        <v>-43206</v>
      </c>
      <c r="J1927">
        <f t="shared" si="50"/>
        <v>-1.2945274267462852E-3</v>
      </c>
      <c r="K1927">
        <f>59199001/(1000)</f>
        <v>59199.000999999997</v>
      </c>
      <c r="L1927">
        <v>0</v>
      </c>
      <c r="M1927">
        <v>36.498912811279297</v>
      </c>
      <c r="N1927">
        <v>96.113836528252193</v>
      </c>
      <c r="O1927">
        <v>48.957225799560497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55000000000000004">
      <c r="A1928" t="s">
        <v>3864</v>
      </c>
      <c r="B1928" t="s">
        <v>3865</v>
      </c>
      <c r="C1928" t="s">
        <v>38</v>
      </c>
      <c r="D1928">
        <v>1.1200000000000001</v>
      </c>
      <c r="E1928">
        <f>112543424/(1000)</f>
        <v>112543.424</v>
      </c>
      <c r="F1928">
        <f t="shared" si="49"/>
        <v>0</v>
      </c>
      <c r="G1928">
        <f>-39947000/(1000)</f>
        <v>-39947</v>
      </c>
      <c r="H1928">
        <f>95445426/(1000)</f>
        <v>95445.426000000007</v>
      </c>
      <c r="I1928">
        <f>-37885000/(1000)</f>
        <v>-37885</v>
      </c>
      <c r="J1928">
        <f t="shared" si="50"/>
        <v>-2.5193460736439226E-3</v>
      </c>
      <c r="K1928">
        <f>-33159999/(1000)</f>
        <v>-33159.999000000003</v>
      </c>
      <c r="L1928">
        <v>0</v>
      </c>
      <c r="M1928">
        <v>-150.66944885253901</v>
      </c>
      <c r="N1928">
        <v>91.792225065212506</v>
      </c>
      <c r="O1928">
        <v>39.32080078125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55000000000000004">
      <c r="A1929" t="s">
        <v>3866</v>
      </c>
      <c r="B1929" t="s">
        <v>3867</v>
      </c>
      <c r="C1929" t="s">
        <v>184</v>
      </c>
      <c r="D1929">
        <v>8.09</v>
      </c>
      <c r="E1929">
        <f>170598688/(1000)</f>
        <v>170598.68799999999</v>
      </c>
      <c r="F1929">
        <f>-2090000/(1000)</f>
        <v>-2090</v>
      </c>
      <c r="G1929">
        <f>-12978000/(1000)</f>
        <v>-12978</v>
      </c>
      <c r="H1929">
        <f>315135680/(1000)</f>
        <v>315135.68</v>
      </c>
      <c r="I1929">
        <f>-12978000/(1000)</f>
        <v>-12978</v>
      </c>
      <c r="J1929">
        <f t="shared" si="50"/>
        <v>-2.4282299275697333E-2</v>
      </c>
      <c r="K1929">
        <f>-80217999/(1000)</f>
        <v>-80217.998999999996</v>
      </c>
      <c r="L1929">
        <v>13.7515411376953</v>
      </c>
      <c r="M1929">
        <v>-8.6306915283203107</v>
      </c>
      <c r="N1929">
        <v>93.227770537852095</v>
      </c>
      <c r="O1929">
        <v>55.577224731445298</v>
      </c>
      <c r="P1929">
        <v>1.6800000667571999</v>
      </c>
      <c r="Q1929">
        <v>0.62713181331935597</v>
      </c>
      <c r="R1929">
        <v>5.9051095798760098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55000000000000004">
      <c r="A1930" t="s">
        <v>3868</v>
      </c>
      <c r="B1930" t="s">
        <v>3869</v>
      </c>
      <c r="C1930" t="s">
        <v>184</v>
      </c>
      <c r="D1930">
        <v>3.61</v>
      </c>
      <c r="E1930">
        <f>76058368/(1000)</f>
        <v>76058.368000000002</v>
      </c>
      <c r="F1930">
        <f>-19447980/(1000)</f>
        <v>-19447.98</v>
      </c>
      <c r="G1930">
        <f>-34814736/(1000)</f>
        <v>-34814.735999999997</v>
      </c>
      <c r="H1930">
        <f>237809168/(1000)</f>
        <v>237809.16800000001</v>
      </c>
      <c r="I1930">
        <f>-34814736/(1000)</f>
        <v>-34814.735999999997</v>
      </c>
      <c r="J1930">
        <f t="shared" si="50"/>
        <v>-6.8307043316370416E-3</v>
      </c>
      <c r="K1930">
        <f>-390748543/(1000)</f>
        <v>-390748.54300000001</v>
      </c>
      <c r="L1930">
        <v>0</v>
      </c>
      <c r="M1930">
        <v>-16.920030593872099</v>
      </c>
      <c r="N1930">
        <v>98.101458208081993</v>
      </c>
      <c r="O1930">
        <v>95.858047485351605</v>
      </c>
      <c r="P1930">
        <v>0.95999997854232799</v>
      </c>
      <c r="Q1930">
        <v>0</v>
      </c>
      <c r="R1930">
        <v>4.1976742995323697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55000000000000004">
      <c r="A1931" t="s">
        <v>3870</v>
      </c>
      <c r="B1931" t="s">
        <v>3871</v>
      </c>
      <c r="C1931" t="s">
        <v>184</v>
      </c>
      <c r="D1931">
        <v>1.29</v>
      </c>
      <c r="E1931">
        <f>127820032/(1000)</f>
        <v>127820.03200000001</v>
      </c>
      <c r="F1931">
        <f>-28409000/(1000)</f>
        <v>-28409</v>
      </c>
      <c r="G1931">
        <f>-386956000/(1000)</f>
        <v>-386956</v>
      </c>
      <c r="H1931">
        <f>219676032/(1000)</f>
        <v>219676.03200000001</v>
      </c>
      <c r="I1931">
        <f>-367323008/(1000)</f>
        <v>-367323.00799999997</v>
      </c>
      <c r="J1931">
        <f t="shared" si="50"/>
        <v>-5.9804593563602749E-4</v>
      </c>
      <c r="K1931">
        <f>-465195007/(1000)</f>
        <v>-465195.00699999998</v>
      </c>
      <c r="L1931">
        <v>0</v>
      </c>
      <c r="M1931">
        <v>-31.762048721313501</v>
      </c>
      <c r="N1931">
        <v>64.995516176254498</v>
      </c>
      <c r="O1931">
        <v>38.547107696533203</v>
      </c>
      <c r="P1931">
        <v>0</v>
      </c>
      <c r="Q1931">
        <v>0.20283017842331399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55000000000000004">
      <c r="A1932" t="s">
        <v>3872</v>
      </c>
      <c r="B1932" t="s">
        <v>3873</v>
      </c>
      <c r="C1932" t="s">
        <v>184</v>
      </c>
      <c r="D1932">
        <v>108.16</v>
      </c>
      <c r="E1932">
        <f>404691456/(1000)</f>
        <v>404691.45600000001</v>
      </c>
      <c r="F1932">
        <f>-135934992/(1000)</f>
        <v>-135934.992</v>
      </c>
      <c r="G1932">
        <f>-138903312/(1000)</f>
        <v>-138903.31200000001</v>
      </c>
      <c r="H1932">
        <f>395290804/(1000)</f>
        <v>395290.804</v>
      </c>
      <c r="I1932">
        <f>-138870560/(1000)</f>
        <v>-138870.56</v>
      </c>
      <c r="J1932">
        <f t="shared" si="50"/>
        <v>-2.8464694316779598E-3</v>
      </c>
      <c r="K1932">
        <f>-5414543/(1000)</f>
        <v>-5414.5429999999997</v>
      </c>
      <c r="L1932">
        <v>0</v>
      </c>
      <c r="M1932">
        <v>-21.232791900634801</v>
      </c>
      <c r="N1932">
        <v>74.147422836390902</v>
      </c>
      <c r="O1932">
        <v>0</v>
      </c>
      <c r="P1932">
        <v>0.80000001192092896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55000000000000004">
      <c r="A1933" t="s">
        <v>3874</v>
      </c>
      <c r="B1933" t="s">
        <v>3875</v>
      </c>
      <c r="C1933" t="s">
        <v>184</v>
      </c>
      <c r="D1933">
        <v>11.4</v>
      </c>
      <c r="E1933">
        <f>1036826560/(1000)</f>
        <v>1036826.56</v>
      </c>
      <c r="F1933">
        <f>-299321984/(1000)</f>
        <v>-299321.984</v>
      </c>
      <c r="G1933">
        <f>0/(1000)</f>
        <v>0</v>
      </c>
      <c r="H1933">
        <f>1376156544/(1000)</f>
        <v>1376156.544</v>
      </c>
      <c r="I1933">
        <f>0/(1000)</f>
        <v>0</v>
      </c>
      <c r="J1933">
        <f t="shared" si="50"/>
        <v>1</v>
      </c>
      <c r="K1933">
        <f>385850017/(1000)</f>
        <v>385850.01699999999</v>
      </c>
      <c r="L1933">
        <v>0</v>
      </c>
      <c r="M1933">
        <v>-18.284095764160199</v>
      </c>
      <c r="N1933">
        <v>77.231811058153994</v>
      </c>
      <c r="O1933">
        <v>20.8299674987793</v>
      </c>
      <c r="P1933">
        <v>0.18000000715255701</v>
      </c>
      <c r="Q1933">
        <v>0.491025848412252</v>
      </c>
      <c r="R1933">
        <v>8.7022900662634193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55000000000000004">
      <c r="A1934" t="s">
        <v>3876</v>
      </c>
      <c r="B1934" t="s">
        <v>3877</v>
      </c>
      <c r="C1934" t="s">
        <v>184</v>
      </c>
      <c r="D1934">
        <v>1.1399999999999999</v>
      </c>
      <c r="E1934">
        <f>51566876/(1000)</f>
        <v>51566.875999999997</v>
      </c>
      <c r="F1934">
        <f>-492532000/(1000)</f>
        <v>-492532</v>
      </c>
      <c r="G1934">
        <f>0/(1000)</f>
        <v>0</v>
      </c>
      <c r="H1934">
        <f>177938884/(1000)</f>
        <v>177938.88399999999</v>
      </c>
      <c r="I1934">
        <f>0/(1000)</f>
        <v>0</v>
      </c>
      <c r="J1934">
        <f t="shared" si="50"/>
        <v>1</v>
      </c>
      <c r="K1934">
        <f>65894997/(1000)</f>
        <v>65894.997000000003</v>
      </c>
      <c r="L1934">
        <v>0</v>
      </c>
      <c r="M1934">
        <v>0</v>
      </c>
      <c r="N1934">
        <v>79.614714845391802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55000000000000004">
      <c r="A1935" t="s">
        <v>3878</v>
      </c>
      <c r="B1935" t="s">
        <v>3879</v>
      </c>
      <c r="C1935" t="s">
        <v>5</v>
      </c>
      <c r="D1935">
        <v>1.3</v>
      </c>
      <c r="E1935">
        <f>373411360/(1000)</f>
        <v>373411.36</v>
      </c>
      <c r="F1935">
        <f>-4214926080/(1000)</f>
        <v>-4214926.08</v>
      </c>
      <c r="G1935">
        <f>0/(1000)</f>
        <v>0</v>
      </c>
      <c r="H1935">
        <f>7795177504/(1000)</f>
        <v>7795177.5039999997</v>
      </c>
      <c r="I1935">
        <f>0/(1000)</f>
        <v>0</v>
      </c>
      <c r="J1935">
        <f t="shared" si="50"/>
        <v>1</v>
      </c>
      <c r="K1935">
        <f>0/(1000)</f>
        <v>0</v>
      </c>
      <c r="L1935">
        <v>0</v>
      </c>
      <c r="M1935">
        <v>-76.702468872070298</v>
      </c>
      <c r="N1935">
        <v>99.057162425533306</v>
      </c>
      <c r="O1935">
        <v>459.51153564453102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CHERBLAND</dc:creator>
  <cp:lastModifiedBy>Alexandre CHERBLAND</cp:lastModifiedBy>
  <dcterms:created xsi:type="dcterms:W3CDTF">2018-12-09T16:35:43Z</dcterms:created>
  <dcterms:modified xsi:type="dcterms:W3CDTF">2018-12-09T17:11:07Z</dcterms:modified>
</cp:coreProperties>
</file>