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autoCompressPictures="0"/>
  <bookViews>
    <workbookView xWindow="0" yWindow="0" windowWidth="20730" windowHeight="11760"/>
  </bookViews>
  <sheets>
    <sheet name="Calendrier familial saisonnier" sheetId="6" r:id="rId1"/>
  </sheets>
  <definedNames>
    <definedName name="Annéecivile">'Calendrier familial saisonnier'!$L$2</definedName>
    <definedName name="AprSun1">DATE(Annéecivile,4,1)-WEEKDAY(DATE(Annéecivile,4,1))+1</definedName>
    <definedName name="AugSun1">DATE(Annéecivile,8,1)-WEEKDAY(DATE(Annéecivile,8,1))+1</definedName>
    <definedName name="DecSun1">DATE(Annéecivile,12,1)-WEEKDAY(DATE(Annéecivile,12,1))+1</definedName>
    <definedName name="FebSun1">DATE(Annéecivile,2,1)-WEEKDAY(DATE(Annéecivile,2,1))+1</definedName>
    <definedName name="JanSun1">DATE(Annéecivile,1,1)-WEEKDAY(DATE(Annéecivile,1,1))+1</definedName>
    <definedName name="JulSun1">DATE(Annéecivile,7,1)-WEEKDAY(DATE(Annéecivile,7,1))+1</definedName>
    <definedName name="JunSun1">DATE(Annéecivile,6,1)-WEEKDAY(DATE(Annéecivile,6,1))+1</definedName>
    <definedName name="MarSun1">DATE(Annéecivile,3,1)-WEEKDAY(DATE(Annéecivile,3,1))+1</definedName>
    <definedName name="MaySun1">DATE(Annéecivile,5,1)-WEEKDAY(DATE(Annéecivile,5,1))+1</definedName>
    <definedName name="NovSun1">DATE(Annéecivile,11,1)-WEEKDAY(DATE(Annéecivile,11,1))+1</definedName>
    <definedName name="OctSun1">DATE(Annéecivile,10,1)-WEEKDAY(DATE(Annéecivile,10,1))+1</definedName>
    <definedName name="SepSun1">DATE(Annéecivile,9,1)-WEEKDAY(DATE(Annéecivile,9,1))+1</definedName>
    <definedName name="_xlnm.Print_Area" localSheetId="0">'Calendrier familial saisonnier'!$A$1:$Q$402</definedName>
  </definedNames>
  <calcPr calcId="162913" calcMode="manual"/>
  <extLst>
    <ext xmlns:mx="http://schemas.microsoft.com/office/mac/excel/2008/main" uri="{7523E5D3-25F3-A5E0-1632-64F254C22452}">
      <mx:ArchID Flags="2"/>
    </ext>
  </extLst>
</workbook>
</file>

<file path=xl/calcChain.xml><?xml version="1.0" encoding="utf-8"?>
<calcChain xmlns="http://schemas.openxmlformats.org/spreadsheetml/2006/main">
  <c r="L34" i="6" l="1"/>
  <c r="O400" i="6" l="1"/>
  <c r="M400" i="6"/>
  <c r="K400" i="6"/>
  <c r="I400" i="6"/>
  <c r="G400" i="6"/>
  <c r="E400" i="6"/>
  <c r="C400" i="6"/>
  <c r="O397" i="6"/>
  <c r="M397" i="6"/>
  <c r="K397" i="6"/>
  <c r="I397" i="6"/>
  <c r="G397" i="6"/>
  <c r="E397" i="6"/>
  <c r="C397" i="6"/>
  <c r="O394" i="6"/>
  <c r="M394" i="6"/>
  <c r="K394" i="6"/>
  <c r="I394" i="6"/>
  <c r="G394" i="6"/>
  <c r="E394" i="6"/>
  <c r="C394" i="6"/>
  <c r="O391" i="6"/>
  <c r="M391" i="6"/>
  <c r="K391" i="6"/>
  <c r="I391" i="6"/>
  <c r="G391" i="6"/>
  <c r="E391" i="6"/>
  <c r="C391" i="6"/>
  <c r="O388" i="6"/>
  <c r="M388" i="6"/>
  <c r="K388" i="6"/>
  <c r="I388" i="6"/>
  <c r="G388" i="6"/>
  <c r="E388" i="6"/>
  <c r="C388" i="6"/>
  <c r="O385" i="6"/>
  <c r="M385" i="6"/>
  <c r="K385" i="6"/>
  <c r="I385" i="6"/>
  <c r="G385" i="6"/>
  <c r="E385" i="6"/>
  <c r="C385" i="6"/>
  <c r="L368" i="6"/>
  <c r="O364" i="6"/>
  <c r="M364" i="6"/>
  <c r="K364" i="6"/>
  <c r="I364" i="6"/>
  <c r="G364" i="6"/>
  <c r="E364" i="6"/>
  <c r="C364" i="6"/>
  <c r="O361" i="6"/>
  <c r="M361" i="6"/>
  <c r="K361" i="6"/>
  <c r="I361" i="6"/>
  <c r="G361" i="6"/>
  <c r="E361" i="6"/>
  <c r="C361" i="6"/>
  <c r="O358" i="6"/>
  <c r="M358" i="6"/>
  <c r="K358" i="6"/>
  <c r="I358" i="6"/>
  <c r="G358" i="6"/>
  <c r="E358" i="6"/>
  <c r="C358" i="6"/>
  <c r="O355" i="6"/>
  <c r="M355" i="6"/>
  <c r="K355" i="6"/>
  <c r="I355" i="6"/>
  <c r="G355" i="6"/>
  <c r="E355" i="6"/>
  <c r="C355" i="6"/>
  <c r="O352" i="6"/>
  <c r="M352" i="6"/>
  <c r="K352" i="6"/>
  <c r="I352" i="6"/>
  <c r="G352" i="6"/>
  <c r="E352" i="6"/>
  <c r="C352" i="6"/>
  <c r="O299" i="6"/>
  <c r="M299" i="6"/>
  <c r="K299" i="6"/>
  <c r="I299" i="6"/>
  <c r="G299" i="6"/>
  <c r="E299" i="6"/>
  <c r="C299" i="6"/>
  <c r="O296" i="6"/>
  <c r="M296" i="6"/>
  <c r="K296" i="6"/>
  <c r="I296" i="6"/>
  <c r="G296" i="6"/>
  <c r="E296" i="6"/>
  <c r="C296" i="6"/>
  <c r="O293" i="6"/>
  <c r="M293" i="6"/>
  <c r="K293" i="6"/>
  <c r="I293" i="6"/>
  <c r="G293" i="6"/>
  <c r="E293" i="6"/>
  <c r="C293" i="6"/>
  <c r="O290" i="6"/>
  <c r="M290" i="6"/>
  <c r="K290" i="6"/>
  <c r="I290" i="6"/>
  <c r="G290" i="6"/>
  <c r="E290" i="6"/>
  <c r="C290" i="6"/>
  <c r="O287" i="6"/>
  <c r="M287" i="6"/>
  <c r="K287" i="6"/>
  <c r="I287" i="6"/>
  <c r="G287" i="6"/>
  <c r="E287" i="6"/>
  <c r="C287" i="6"/>
  <c r="O284" i="6"/>
  <c r="M284" i="6"/>
  <c r="K284" i="6"/>
  <c r="I284" i="6"/>
  <c r="G284" i="6"/>
  <c r="E284" i="6"/>
  <c r="C284" i="6"/>
  <c r="L335" i="6"/>
  <c r="O332" i="6"/>
  <c r="M332" i="6"/>
  <c r="K332" i="6"/>
  <c r="I332" i="6"/>
  <c r="G332" i="6"/>
  <c r="E332" i="6"/>
  <c r="C332" i="6"/>
  <c r="O329" i="6"/>
  <c r="M329" i="6"/>
  <c r="K329" i="6"/>
  <c r="I329" i="6"/>
  <c r="G329" i="6"/>
  <c r="E329" i="6"/>
  <c r="C329" i="6"/>
  <c r="O326" i="6"/>
  <c r="M326" i="6"/>
  <c r="K326" i="6"/>
  <c r="I326" i="6"/>
  <c r="G326" i="6"/>
  <c r="E326" i="6"/>
  <c r="C326" i="6"/>
  <c r="O323" i="6"/>
  <c r="M323" i="6"/>
  <c r="K323" i="6"/>
  <c r="I323" i="6"/>
  <c r="G323" i="6"/>
  <c r="E323" i="6"/>
  <c r="C323" i="6"/>
  <c r="O320" i="6"/>
  <c r="M320" i="6"/>
  <c r="K320" i="6"/>
  <c r="I320" i="6"/>
  <c r="G320" i="6"/>
  <c r="E320" i="6"/>
  <c r="C320" i="6"/>
  <c r="L303" i="6"/>
  <c r="L267" i="6"/>
  <c r="O263" i="6"/>
  <c r="M263" i="6"/>
  <c r="K263" i="6"/>
  <c r="I263" i="6"/>
  <c r="G263" i="6"/>
  <c r="E263" i="6"/>
  <c r="C263" i="6"/>
  <c r="O260" i="6"/>
  <c r="M260" i="6"/>
  <c r="I260" i="6"/>
  <c r="G260" i="6"/>
  <c r="E260" i="6"/>
  <c r="C260" i="6"/>
  <c r="O257" i="6"/>
  <c r="M257" i="6"/>
  <c r="K257" i="6"/>
  <c r="I257" i="6"/>
  <c r="G257" i="6"/>
  <c r="E257" i="6"/>
  <c r="C257" i="6"/>
  <c r="M254" i="6"/>
  <c r="K254" i="6"/>
  <c r="I254" i="6"/>
  <c r="G254" i="6"/>
  <c r="E254" i="6"/>
  <c r="C254" i="6"/>
  <c r="O251" i="6"/>
  <c r="M251" i="6"/>
  <c r="K251" i="6"/>
  <c r="I251" i="6"/>
  <c r="G251" i="6"/>
  <c r="E251" i="6"/>
  <c r="C251" i="6"/>
  <c r="O231" i="6"/>
  <c r="M231" i="6"/>
  <c r="K231" i="6"/>
  <c r="I231" i="6"/>
  <c r="G231" i="6"/>
  <c r="E231" i="6"/>
  <c r="C231" i="6"/>
  <c r="O228" i="6"/>
  <c r="M228" i="6"/>
  <c r="K228" i="6"/>
  <c r="I228" i="6"/>
  <c r="G228" i="6"/>
  <c r="E228" i="6"/>
  <c r="C228" i="6"/>
  <c r="O225" i="6"/>
  <c r="M225" i="6"/>
  <c r="K225" i="6"/>
  <c r="I225" i="6"/>
  <c r="G225" i="6"/>
  <c r="E225" i="6"/>
  <c r="C225" i="6"/>
  <c r="O222" i="6"/>
  <c r="M222" i="6"/>
  <c r="K222" i="6"/>
  <c r="I222" i="6"/>
  <c r="G222" i="6"/>
  <c r="E222" i="6"/>
  <c r="C222" i="6"/>
  <c r="O219" i="6"/>
  <c r="M219" i="6"/>
  <c r="K219" i="6"/>
  <c r="I219" i="6"/>
  <c r="G219" i="6"/>
  <c r="E219" i="6"/>
  <c r="C219" i="6"/>
  <c r="L234" i="6"/>
  <c r="L202" i="6"/>
  <c r="O197" i="6"/>
  <c r="M197" i="6"/>
  <c r="K197" i="6"/>
  <c r="I197" i="6"/>
  <c r="G197" i="6"/>
  <c r="E197" i="6"/>
  <c r="C197" i="6"/>
  <c r="O194" i="6"/>
  <c r="M194" i="6"/>
  <c r="K194" i="6"/>
  <c r="I194" i="6"/>
  <c r="G194" i="6"/>
  <c r="E194" i="6"/>
  <c r="C194" i="6"/>
  <c r="O191" i="6"/>
  <c r="M191" i="6"/>
  <c r="K191" i="6"/>
  <c r="I191" i="6"/>
  <c r="G191" i="6"/>
  <c r="E191" i="6"/>
  <c r="C191" i="6"/>
  <c r="O188" i="6"/>
  <c r="M188" i="6"/>
  <c r="K188" i="6"/>
  <c r="I188" i="6"/>
  <c r="G188" i="6"/>
  <c r="E188" i="6"/>
  <c r="C188" i="6"/>
  <c r="O185" i="6"/>
  <c r="M185" i="6"/>
  <c r="K185" i="6"/>
  <c r="I185" i="6"/>
  <c r="G185" i="6"/>
  <c r="E185" i="6"/>
  <c r="C185" i="6"/>
  <c r="L168" i="6"/>
  <c r="O163" i="6"/>
  <c r="M163" i="6"/>
  <c r="K163" i="6"/>
  <c r="I163" i="6"/>
  <c r="G163" i="6"/>
  <c r="E163" i="6"/>
  <c r="C163" i="6"/>
  <c r="O160" i="6"/>
  <c r="M160" i="6"/>
  <c r="K160" i="6"/>
  <c r="I160" i="6"/>
  <c r="G160" i="6"/>
  <c r="E160" i="6"/>
  <c r="C160" i="6"/>
  <c r="O157" i="6"/>
  <c r="I157" i="6"/>
  <c r="G157" i="6"/>
  <c r="E157" i="6"/>
  <c r="C157" i="6"/>
  <c r="O154" i="6"/>
  <c r="M154" i="6"/>
  <c r="K154" i="6"/>
  <c r="I154" i="6"/>
  <c r="G154" i="6"/>
  <c r="E154" i="6"/>
  <c r="C154" i="6"/>
  <c r="O151" i="6"/>
  <c r="M151" i="6"/>
  <c r="K151" i="6"/>
  <c r="I151" i="6"/>
  <c r="G151" i="6"/>
  <c r="E151" i="6"/>
  <c r="C151" i="6"/>
  <c r="L134" i="6"/>
  <c r="O129" i="6"/>
  <c r="M129" i="6"/>
  <c r="K129" i="6"/>
  <c r="I129" i="6"/>
  <c r="G129" i="6"/>
  <c r="E129" i="6"/>
  <c r="C129" i="6"/>
  <c r="O126" i="6"/>
  <c r="M126" i="6"/>
  <c r="K126" i="6"/>
  <c r="I126" i="6"/>
  <c r="G126" i="6"/>
  <c r="E126" i="6"/>
  <c r="C126" i="6"/>
  <c r="O123" i="6"/>
  <c r="M123" i="6"/>
  <c r="K123" i="6"/>
  <c r="I123" i="6"/>
  <c r="G123" i="6"/>
  <c r="E123" i="6"/>
  <c r="C123" i="6"/>
  <c r="O120" i="6"/>
  <c r="M120" i="6"/>
  <c r="K120" i="6"/>
  <c r="I120" i="6"/>
  <c r="G120" i="6"/>
  <c r="E120" i="6"/>
  <c r="C120" i="6"/>
  <c r="O117" i="6"/>
  <c r="M117" i="6"/>
  <c r="K117" i="6"/>
  <c r="I117" i="6"/>
  <c r="G117" i="6"/>
  <c r="E117" i="6"/>
  <c r="C117" i="6"/>
  <c r="L100" i="6"/>
  <c r="O96" i="6"/>
  <c r="M96" i="6"/>
  <c r="K96" i="6"/>
  <c r="I96" i="6"/>
  <c r="G96" i="6"/>
  <c r="E96" i="6"/>
  <c r="C96" i="6"/>
  <c r="O93" i="6"/>
  <c r="M93" i="6"/>
  <c r="K93" i="6"/>
  <c r="I93" i="6"/>
  <c r="G93" i="6"/>
  <c r="E93" i="6"/>
  <c r="C93" i="6"/>
  <c r="O90" i="6"/>
  <c r="M90" i="6"/>
  <c r="K90" i="6"/>
  <c r="I90" i="6"/>
  <c r="G90" i="6"/>
  <c r="E90" i="6"/>
  <c r="C90" i="6"/>
  <c r="O87" i="6"/>
  <c r="M87" i="6"/>
  <c r="K87" i="6"/>
  <c r="I87" i="6"/>
  <c r="G87" i="6"/>
  <c r="E87" i="6"/>
  <c r="C87" i="6"/>
</calcChain>
</file>

<file path=xl/sharedStrings.xml><?xml version="1.0" encoding="utf-8"?>
<sst xmlns="http://schemas.openxmlformats.org/spreadsheetml/2006/main" count="103" uniqueCount="26">
  <si>
    <t>LUNDI</t>
  </si>
  <si>
    <t>MARDI</t>
  </si>
  <si>
    <t>MERCREDI</t>
  </si>
  <si>
    <t>JEUDI</t>
  </si>
  <si>
    <t>VENDREDI</t>
  </si>
  <si>
    <t>SAMEDI</t>
  </si>
  <si>
    <t>DIMANCHE</t>
  </si>
  <si>
    <t>JANVIER</t>
  </si>
  <si>
    <t>FÉVRIER</t>
  </si>
  <si>
    <t>ANNIVERSAIRE JASON</t>
  </si>
  <si>
    <t>ANNIVERSAIRE PAPY                         JEAN-PIERRE</t>
  </si>
  <si>
    <t>MARS</t>
  </si>
  <si>
    <t>AVRIL</t>
  </si>
  <si>
    <t>MAI</t>
  </si>
  <si>
    <t>JUIN</t>
  </si>
  <si>
    <t>JUILLET</t>
  </si>
  <si>
    <t>AOÛT</t>
  </si>
  <si>
    <t>SEPTEMBRE</t>
  </si>
  <si>
    <t>OCTOBRE</t>
  </si>
  <si>
    <t>NOVEMBRE</t>
  </si>
  <si>
    <t>DÉCEMBRE</t>
  </si>
  <si>
    <t>ANNIVERSAIRE LOLA</t>
  </si>
  <si>
    <t>ANNIVERSAIRE PAPA JULIEN</t>
  </si>
  <si>
    <t>ANNIVERSAIRE MAMAN MÉLANIE</t>
  </si>
  <si>
    <t>ANNIVERSAIRE TONTON ENZO</t>
  </si>
  <si>
    <t>ANNIVERSAIRE MAMIE LILI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</si>
</sst>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
    <numFmt numFmtId="165" formatCode="mmmm\ yyyy"/>
    <numFmt numFmtId="166" formatCode="mmmm"/>
  </numFmts>
  <fonts count="34" x14ac:knownFonts="1">
    <font>
      <sz val="12"/>
      <color theme="1"/>
      <name val="Cambria"/>
      <family val="2"/>
      <scheme val="minor"/>
    </font>
    <font>
      <b/>
      <sz val="11"/>
      <color theme="0"/>
      <name val="Cambria"/>
      <family val="2"/>
      <scheme val="minor"/>
    </font>
    <font>
      <sz val="11"/>
      <name val="Cambria"/>
      <family val="2"/>
      <scheme val="minor"/>
    </font>
    <font>
      <sz val="10"/>
      <color indexed="63"/>
      <name val="Cambria"/>
      <family val="4"/>
      <scheme val="minor"/>
    </font>
    <font>
      <b/>
      <sz val="28"/>
      <color theme="1" tint="0.34998626667073579"/>
      <name val="Cambria"/>
      <family val="2"/>
      <scheme val="minor"/>
    </font>
    <font>
      <b/>
      <sz val="12"/>
      <color theme="4" tint="-0.249977111117893"/>
      <name val="Cambria"/>
      <family val="1"/>
      <scheme val="major"/>
    </font>
    <font>
      <sz val="40"/>
      <color theme="4"/>
      <name val="Cambria"/>
      <family val="1"/>
      <scheme val="major"/>
    </font>
    <font>
      <sz val="40"/>
      <color theme="4" tint="-0.249977111117893"/>
      <name val="Cambria"/>
      <family val="1"/>
      <scheme val="major"/>
    </font>
    <font>
      <sz val="11"/>
      <name val="Cambria"/>
      <family val="1"/>
      <scheme val="major"/>
    </font>
    <font>
      <sz val="10"/>
      <color theme="4" tint="-0.249977111117893"/>
      <name val="Cambria"/>
      <family val="1"/>
      <scheme val="major"/>
    </font>
    <font>
      <sz val="22"/>
      <color theme="4"/>
      <name val="Cambria"/>
      <family val="1"/>
      <scheme val="major"/>
    </font>
    <font>
      <sz val="40"/>
      <color theme="8"/>
      <name val="Cambria"/>
      <family val="1"/>
      <scheme val="major"/>
    </font>
    <font>
      <sz val="12"/>
      <color theme="1"/>
      <name val="Cambria"/>
      <family val="1"/>
      <scheme val="major"/>
    </font>
    <font>
      <sz val="10"/>
      <name val="Cambria"/>
      <family val="1"/>
      <scheme val="major"/>
    </font>
    <font>
      <b/>
      <sz val="40"/>
      <color theme="4" tint="-0.249977111117893"/>
      <name val="Cambria"/>
      <family val="1"/>
      <scheme val="major"/>
    </font>
    <font>
      <sz val="40"/>
      <color theme="5"/>
      <name val="Cambria"/>
      <family val="1"/>
      <scheme val="major"/>
    </font>
    <font>
      <sz val="40"/>
      <color theme="5" tint="-0.249977111117893"/>
      <name val="Cambria"/>
      <family val="1"/>
      <scheme val="major"/>
    </font>
    <font>
      <b/>
      <sz val="12"/>
      <color theme="5" tint="-0.249977111117893"/>
      <name val="Cambria"/>
      <family val="1"/>
      <scheme val="major"/>
    </font>
    <font>
      <sz val="10"/>
      <color theme="5" tint="-0.249977111117893"/>
      <name val="Cambria"/>
      <family val="1"/>
      <scheme val="major"/>
    </font>
    <font>
      <sz val="40"/>
      <color theme="6"/>
      <name val="Cambria"/>
      <family val="1"/>
      <scheme val="major"/>
    </font>
    <font>
      <sz val="40"/>
      <color theme="7" tint="-0.249977111117893"/>
      <name val="Cambria"/>
      <family val="1"/>
      <scheme val="major"/>
    </font>
    <font>
      <sz val="40"/>
      <color theme="6" tint="-0.249977111117893"/>
      <name val="Cambria"/>
      <family val="1"/>
      <scheme val="major"/>
    </font>
    <font>
      <b/>
      <sz val="12"/>
      <color theme="6" tint="-0.249977111117893"/>
      <name val="Cambria"/>
      <family val="1"/>
      <scheme val="major"/>
    </font>
    <font>
      <sz val="40"/>
      <color theme="7"/>
      <name val="Cambria"/>
      <family val="1"/>
      <scheme val="major"/>
    </font>
    <font>
      <b/>
      <sz val="12"/>
      <color theme="7" tint="-0.249977111117893"/>
      <name val="Cambria"/>
      <family val="1"/>
      <scheme val="major"/>
    </font>
    <font>
      <sz val="11"/>
      <name val="Cambria"/>
      <family val="1"/>
      <scheme val="minor"/>
    </font>
    <font>
      <sz val="11"/>
      <color theme="0"/>
      <name val="Cambria"/>
      <family val="1"/>
      <scheme val="minor"/>
    </font>
    <font>
      <sz val="10"/>
      <color theme="4" tint="-0.249977111117893"/>
      <name val="Cambria"/>
      <family val="1"/>
      <scheme val="minor"/>
    </font>
    <font>
      <sz val="10"/>
      <color theme="5" tint="-0.249977111117893"/>
      <name val="Cambria"/>
      <family val="1"/>
      <scheme val="minor"/>
    </font>
    <font>
      <sz val="10"/>
      <color theme="6" tint="-0.249977111117893"/>
      <name val="Cambria"/>
      <family val="1"/>
      <scheme val="minor"/>
    </font>
    <font>
      <sz val="10"/>
      <color theme="7" tint="-0.249977111117893"/>
      <name val="Cambria"/>
      <family val="1"/>
      <scheme val="minor"/>
    </font>
    <font>
      <sz val="11"/>
      <color theme="7" tint="-0.249977111117893"/>
      <name val="Cambria"/>
      <family val="1"/>
      <scheme val="major"/>
    </font>
    <font>
      <b/>
      <sz val="10"/>
      <color rgb="FFFF0000"/>
      <name val="Cambria"/>
      <family val="1"/>
      <scheme val="minor"/>
    </font>
    <font>
      <sz val="10"/>
      <color rgb="FFFF0000"/>
      <name val="Cambria"/>
      <family val="1"/>
      <scheme val="minor"/>
    </font>
  </fonts>
  <fills count="9">
    <fill>
      <patternFill patternType="none"/>
    </fill>
    <fill>
      <patternFill patternType="gray125"/>
    </fill>
    <fill>
      <patternFill patternType="solid">
        <fgColor theme="4"/>
      </patternFill>
    </fill>
    <fill>
      <patternFill patternType="solid">
        <fgColor theme="4" tint="0.59999389629810485"/>
        <bgColor indexed="65"/>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6"/>
        <bgColor indexed="64"/>
      </patternFill>
    </fill>
  </fills>
  <borders count="22">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right/>
      <top style="thin">
        <color theme="4" tint="-0.24994659260841701"/>
      </top>
      <bottom/>
      <diagonal/>
    </border>
    <border>
      <left/>
      <right style="thin">
        <color theme="4" tint="-0.24994659260841701"/>
      </right>
      <top/>
      <bottom/>
      <diagonal/>
    </border>
    <border>
      <left/>
      <right style="thin">
        <color theme="4" tint="-0.24994659260841701"/>
      </right>
      <top style="thin">
        <color theme="4" tint="-0.24994659260841701"/>
      </top>
      <bottom/>
      <diagonal/>
    </border>
    <border>
      <left style="thin">
        <color theme="4" tint="-0.24994659260841701"/>
      </left>
      <right style="thin">
        <color theme="4" tint="-0.24994659260841701"/>
      </right>
      <top/>
      <bottom/>
      <diagonal/>
    </border>
    <border>
      <left style="thin">
        <color theme="4" tint="-0.24994659260841701"/>
      </left>
      <right/>
      <top style="thin">
        <color theme="4" tint="-0.24994659260841701"/>
      </top>
      <bottom/>
      <diagonal/>
    </border>
    <border>
      <left/>
      <right/>
      <top/>
      <bottom style="thin">
        <color theme="4" tint="-0.24994659260841701"/>
      </bottom>
      <diagonal/>
    </border>
    <border>
      <left/>
      <right style="thin">
        <color theme="5" tint="-0.24994659260841701"/>
      </right>
      <top style="thin">
        <color theme="5" tint="-0.24994659260841701"/>
      </top>
      <bottom/>
      <diagonal/>
    </border>
    <border>
      <left/>
      <right style="thin">
        <color theme="5" tint="-0.24994659260841701"/>
      </right>
      <top/>
      <bottom/>
      <diagonal/>
    </border>
    <border>
      <left style="thin">
        <color theme="5" tint="-0.24994659260841701"/>
      </left>
      <right style="thin">
        <color theme="5" tint="-0.24994659260841701"/>
      </right>
      <top/>
      <bottom/>
      <diagonal/>
    </border>
    <border>
      <left style="thin">
        <color theme="5" tint="-0.24994659260841701"/>
      </left>
      <right/>
      <top style="thin">
        <color theme="5" tint="-0.24994659260841701"/>
      </top>
      <bottom/>
      <diagonal/>
    </border>
    <border>
      <left/>
      <right/>
      <top style="thin">
        <color theme="5" tint="-0.24994659260841701"/>
      </top>
      <bottom/>
      <diagonal/>
    </border>
    <border>
      <left/>
      <right style="thin">
        <color theme="6" tint="-0.24994659260841701"/>
      </right>
      <top/>
      <bottom/>
      <diagonal/>
    </border>
    <border>
      <left style="thin">
        <color theme="6" tint="-0.24994659260841701"/>
      </left>
      <right style="thin">
        <color theme="6" tint="-0.24994659260841701"/>
      </right>
      <top/>
      <bottom/>
      <diagonal/>
    </border>
    <border>
      <left/>
      <right style="thin">
        <color theme="6" tint="-0.24994659260841701"/>
      </right>
      <top style="thin">
        <color theme="6" tint="-0.24994659260841701"/>
      </top>
      <bottom/>
      <diagonal/>
    </border>
    <border>
      <left/>
      <right/>
      <top style="thin">
        <color theme="6" tint="-0.24994659260841701"/>
      </top>
      <bottom/>
      <diagonal/>
    </border>
    <border>
      <left/>
      <right style="thin">
        <color theme="7" tint="-0.24994659260841701"/>
      </right>
      <top style="thin">
        <color theme="7" tint="-0.24994659260841701"/>
      </top>
      <bottom/>
      <diagonal/>
    </border>
    <border>
      <left/>
      <right/>
      <top style="thin">
        <color theme="7" tint="-0.24994659260841701"/>
      </top>
      <bottom/>
      <diagonal/>
    </border>
    <border>
      <left/>
      <right style="thin">
        <color theme="7" tint="-0.24994659260841701"/>
      </right>
      <top/>
      <bottom/>
      <diagonal/>
    </border>
    <border>
      <left style="thin">
        <color theme="7" tint="-0.24994659260841701"/>
      </left>
      <right style="thin">
        <color theme="7" tint="-0.24994659260841701"/>
      </right>
      <top/>
      <bottom/>
      <diagonal/>
    </border>
    <border>
      <left style="thin">
        <color theme="4" tint="-0.24994659260841701"/>
      </left>
      <right/>
      <top/>
      <bottom/>
      <diagonal/>
    </border>
  </borders>
  <cellStyleXfs count="5">
    <xf numFmtId="0" fontId="0" fillId="0" borderId="0"/>
    <xf numFmtId="0" fontId="2" fillId="0" borderId="0"/>
    <xf numFmtId="0" fontId="1" fillId="2" borderId="1" applyNumberFormat="0" applyAlignment="0" applyProtection="0"/>
    <xf numFmtId="0" fontId="3" fillId="3" borderId="0" applyNumberFormat="0" applyBorder="0" applyAlignment="0" applyProtection="0"/>
    <xf numFmtId="0" fontId="4" fillId="0" borderId="0" applyNumberFormat="0" applyFill="0" applyAlignment="0" applyProtection="0"/>
  </cellStyleXfs>
  <cellXfs count="86">
    <xf numFmtId="0" fontId="0" fillId="0" borderId="0" xfId="0"/>
    <xf numFmtId="165" fontId="6" fillId="0" borderId="0" xfId="1" applyNumberFormat="1" applyFont="1" applyBorder="1" applyAlignment="1">
      <alignment vertical="center"/>
    </xf>
    <xf numFmtId="165" fontId="7" fillId="0" borderId="0" xfId="1" applyNumberFormat="1" applyFont="1" applyBorder="1" applyAlignment="1">
      <alignment vertical="center"/>
    </xf>
    <xf numFmtId="0" fontId="10" fillId="0" borderId="0" xfId="0" applyFont="1"/>
    <xf numFmtId="165" fontId="11" fillId="0" borderId="0" xfId="1" applyNumberFormat="1" applyFont="1" applyBorder="1" applyAlignment="1">
      <alignment vertical="center"/>
    </xf>
    <xf numFmtId="0" fontId="8" fillId="0" borderId="0" xfId="1" applyFont="1"/>
    <xf numFmtId="0" fontId="12" fillId="0" borderId="0" xfId="0" applyFont="1"/>
    <xf numFmtId="0" fontId="8" fillId="0" borderId="0" xfId="1" applyFont="1" applyAlignment="1"/>
    <xf numFmtId="166" fontId="12" fillId="0" borderId="0" xfId="0" applyNumberFormat="1" applyFont="1"/>
    <xf numFmtId="0" fontId="12" fillId="0" borderId="0" xfId="0" applyFont="1" applyAlignment="1">
      <alignment horizontal="center"/>
    </xf>
    <xf numFmtId="0" fontId="8" fillId="0" borderId="0" xfId="1" applyFont="1" applyAlignment="1">
      <alignment horizontal="center"/>
    </xf>
    <xf numFmtId="0" fontId="13" fillId="0" borderId="0" xfId="1" applyFont="1" applyAlignment="1">
      <alignment horizontal="center"/>
    </xf>
    <xf numFmtId="0" fontId="13" fillId="0" borderId="0" xfId="1" applyFont="1"/>
    <xf numFmtId="165" fontId="14" fillId="0" borderId="0" xfId="1" applyNumberFormat="1" applyFont="1" applyBorder="1" applyAlignment="1">
      <alignment vertical="center"/>
    </xf>
    <xf numFmtId="0" fontId="8" fillId="0" borderId="0" xfId="1" applyFont="1"/>
    <xf numFmtId="0" fontId="8" fillId="0" borderId="0" xfId="1" applyFont="1"/>
    <xf numFmtId="0" fontId="8" fillId="0" borderId="0" xfId="1" applyFont="1" applyAlignment="1">
      <alignment vertical="top"/>
    </xf>
    <xf numFmtId="165" fontId="14" fillId="0" borderId="0" xfId="1" applyNumberFormat="1" applyFont="1" applyBorder="1" applyAlignment="1">
      <alignment vertical="top"/>
    </xf>
    <xf numFmtId="165" fontId="11" fillId="0" borderId="0" xfId="1" applyNumberFormat="1" applyFont="1" applyBorder="1" applyAlignment="1">
      <alignment vertical="top"/>
    </xf>
    <xf numFmtId="164" fontId="26" fillId="4" borderId="4" xfId="1" applyNumberFormat="1" applyFont="1" applyFill="1" applyBorder="1" applyAlignment="1">
      <alignment horizontal="center" vertical="top" wrapText="1"/>
    </xf>
    <xf numFmtId="164" fontId="26" fillId="4" borderId="3" xfId="1" applyNumberFormat="1" applyFont="1" applyFill="1" applyBorder="1" applyAlignment="1">
      <alignment horizontal="center" vertical="top" wrapText="1"/>
    </xf>
    <xf numFmtId="0" fontId="25" fillId="0" borderId="0" xfId="1" applyFont="1"/>
    <xf numFmtId="164" fontId="26" fillId="5" borderId="8" xfId="1" applyNumberFormat="1" applyFont="1" applyFill="1" applyBorder="1" applyAlignment="1">
      <alignment horizontal="center" vertical="top" wrapText="1"/>
    </xf>
    <xf numFmtId="164" fontId="26" fillId="6" borderId="15" xfId="1" applyNumberFormat="1" applyFont="1" applyFill="1" applyBorder="1" applyAlignment="1">
      <alignment horizontal="center" vertical="top" wrapText="1"/>
    </xf>
    <xf numFmtId="164" fontId="26" fillId="7" borderId="17" xfId="1" applyNumberFormat="1" applyFont="1" applyFill="1" applyBorder="1" applyAlignment="1">
      <alignment horizontal="center" vertical="top" wrapText="1"/>
    </xf>
    <xf numFmtId="0" fontId="31" fillId="0" borderId="0" xfId="1" applyFont="1"/>
    <xf numFmtId="0" fontId="27" fillId="0" borderId="2" xfId="1" applyFont="1" applyBorder="1" applyAlignment="1">
      <alignment horizontal="center"/>
    </xf>
    <xf numFmtId="164" fontId="27" fillId="0" borderId="6" xfId="1" applyNumberFormat="1" applyFont="1" applyFill="1" applyBorder="1" applyAlignment="1">
      <alignment horizontal="center" vertical="top" wrapText="1"/>
    </xf>
    <xf numFmtId="164" fontId="27" fillId="0" borderId="2" xfId="1" applyNumberFormat="1" applyFont="1" applyFill="1" applyBorder="1" applyAlignment="1">
      <alignment horizontal="center" vertical="top" wrapText="1"/>
    </xf>
    <xf numFmtId="0" fontId="9" fillId="0" borderId="0" xfId="1" applyFont="1"/>
    <xf numFmtId="0" fontId="30" fillId="0" borderId="18" xfId="1" applyFont="1" applyBorder="1" applyAlignment="1">
      <alignment horizontal="center"/>
    </xf>
    <xf numFmtId="164" fontId="30" fillId="0" borderId="18" xfId="1" applyNumberFormat="1" applyFont="1" applyFill="1" applyBorder="1" applyAlignment="1">
      <alignment horizontal="center" vertical="top" wrapText="1"/>
    </xf>
    <xf numFmtId="0" fontId="29" fillId="0" borderId="16" xfId="1" applyFont="1" applyBorder="1" applyAlignment="1">
      <alignment horizontal="center"/>
    </xf>
    <xf numFmtId="164" fontId="29" fillId="0" borderId="16" xfId="1" applyNumberFormat="1" applyFont="1" applyFill="1" applyBorder="1" applyAlignment="1">
      <alignment horizontal="center" vertical="top" wrapText="1"/>
    </xf>
    <xf numFmtId="0" fontId="29" fillId="0" borderId="0" xfId="1" applyFont="1"/>
    <xf numFmtId="0" fontId="28" fillId="0" borderId="12" xfId="1" applyFont="1" applyBorder="1" applyAlignment="1">
      <alignment horizontal="center"/>
    </xf>
    <xf numFmtId="164" fontId="28" fillId="0" borderId="11" xfId="1" applyNumberFormat="1" applyFont="1" applyFill="1" applyBorder="1" applyAlignment="1">
      <alignment horizontal="center" vertical="top" wrapText="1"/>
    </xf>
    <xf numFmtId="164" fontId="28" fillId="0" borderId="12" xfId="1" applyNumberFormat="1" applyFont="1" applyFill="1" applyBorder="1" applyAlignment="1">
      <alignment horizontal="center" vertical="top" wrapText="1"/>
    </xf>
    <xf numFmtId="0" fontId="18" fillId="0" borderId="0" xfId="1" applyFont="1"/>
    <xf numFmtId="164" fontId="26" fillId="8" borderId="15" xfId="1" applyNumberFormat="1" applyFont="1" applyFill="1" applyBorder="1" applyAlignment="1">
      <alignment horizontal="center" vertical="top" wrapText="1"/>
    </xf>
    <xf numFmtId="14" fontId="26" fillId="8" borderId="15" xfId="1" applyNumberFormat="1" applyFont="1" applyFill="1" applyBorder="1" applyAlignment="1">
      <alignment horizontal="center" vertical="top" wrapText="1"/>
    </xf>
    <xf numFmtId="0" fontId="27" fillId="0" borderId="0" xfId="3" applyFont="1" applyFill="1" applyBorder="1" applyAlignment="1">
      <alignment horizontal="center" vertical="top" wrapText="1"/>
    </xf>
    <xf numFmtId="0" fontId="27" fillId="0" borderId="3" xfId="1" applyFont="1" applyFill="1" applyBorder="1" applyAlignment="1">
      <alignment horizontal="left" vertical="top" wrapText="1"/>
    </xf>
    <xf numFmtId="0" fontId="27" fillId="0" borderId="5" xfId="1" applyFont="1" applyFill="1" applyBorder="1" applyAlignment="1">
      <alignment horizontal="left" vertical="top" wrapText="1"/>
    </xf>
    <xf numFmtId="0" fontId="27" fillId="0" borderId="5" xfId="2" applyFont="1" applyFill="1" applyBorder="1" applyAlignment="1">
      <alignment horizontal="left" vertical="top" wrapText="1"/>
    </xf>
    <xf numFmtId="0" fontId="27" fillId="0" borderId="0" xfId="1" applyFont="1" applyFill="1" applyBorder="1" applyAlignment="1">
      <alignment horizontal="center" vertical="top" wrapText="1"/>
    </xf>
    <xf numFmtId="0" fontId="27" fillId="0" borderId="5" xfId="3" applyFont="1" applyFill="1" applyBorder="1" applyAlignment="1">
      <alignment horizontal="left" vertical="top" wrapText="1"/>
    </xf>
    <xf numFmtId="0" fontId="5" fillId="0" borderId="0" xfId="2" applyFont="1" applyFill="1" applyBorder="1" applyAlignment="1">
      <alignment horizontal="center"/>
    </xf>
    <xf numFmtId="0" fontId="5" fillId="0" borderId="7" xfId="2" applyFont="1" applyFill="1" applyBorder="1" applyAlignment="1">
      <alignment horizontal="center"/>
    </xf>
    <xf numFmtId="0" fontId="7" fillId="0" borderId="0" xfId="1" applyNumberFormat="1" applyFont="1" applyBorder="1" applyAlignment="1">
      <alignment vertical="top"/>
    </xf>
    <xf numFmtId="0" fontId="8" fillId="0" borderId="0" xfId="1" applyFont="1"/>
    <xf numFmtId="165" fontId="6" fillId="0" borderId="0" xfId="1" applyNumberFormat="1" applyFont="1" applyBorder="1" applyAlignment="1">
      <alignment horizontal="left" vertical="top" indent="2"/>
    </xf>
    <xf numFmtId="0" fontId="30" fillId="0" borderId="20" xfId="3" applyFont="1" applyFill="1" applyBorder="1" applyAlignment="1">
      <alignment horizontal="left" vertical="top" wrapText="1"/>
    </xf>
    <xf numFmtId="0" fontId="30" fillId="0" borderId="0" xfId="1" applyFont="1" applyFill="1" applyBorder="1" applyAlignment="1">
      <alignment horizontal="center" vertical="top" wrapText="1"/>
    </xf>
    <xf numFmtId="0" fontId="30" fillId="0" borderId="0" xfId="3" applyFont="1" applyFill="1" applyBorder="1" applyAlignment="1">
      <alignment horizontal="center" vertical="top" wrapText="1"/>
    </xf>
    <xf numFmtId="0" fontId="30" fillId="0" borderId="19" xfId="1" applyFont="1" applyFill="1" applyBorder="1" applyAlignment="1">
      <alignment horizontal="left" vertical="top" wrapText="1"/>
    </xf>
    <xf numFmtId="0" fontId="30" fillId="0" borderId="20" xfId="1" applyFont="1" applyFill="1" applyBorder="1" applyAlignment="1">
      <alignment horizontal="left" vertical="top" wrapText="1"/>
    </xf>
    <xf numFmtId="0" fontId="32" fillId="0" borderId="20" xfId="1" applyFont="1" applyFill="1" applyBorder="1" applyAlignment="1">
      <alignment horizontal="center" vertical="center" wrapText="1"/>
    </xf>
    <xf numFmtId="0" fontId="20" fillId="0" borderId="0" xfId="1" applyNumberFormat="1" applyFont="1" applyBorder="1" applyAlignment="1">
      <alignment vertical="top"/>
    </xf>
    <xf numFmtId="0" fontId="24" fillId="0" borderId="0" xfId="2" applyFont="1" applyFill="1" applyBorder="1" applyAlignment="1">
      <alignment horizontal="center"/>
    </xf>
    <xf numFmtId="165" fontId="23" fillId="0" borderId="0" xfId="1" applyNumberFormat="1" applyFont="1" applyBorder="1" applyAlignment="1">
      <alignment horizontal="left" vertical="top" indent="2"/>
    </xf>
    <xf numFmtId="0" fontId="30" fillId="0" borderId="20" xfId="2" applyFont="1" applyFill="1" applyBorder="1" applyAlignment="1">
      <alignment horizontal="left" vertical="top" wrapText="1"/>
    </xf>
    <xf numFmtId="0" fontId="29" fillId="0" borderId="14" xfId="3" applyFont="1" applyFill="1" applyBorder="1" applyAlignment="1">
      <alignment horizontal="left" vertical="top" wrapText="1"/>
    </xf>
    <xf numFmtId="0" fontId="29" fillId="0" borderId="0" xfId="1" applyFont="1" applyFill="1" applyBorder="1" applyAlignment="1">
      <alignment horizontal="center" vertical="top" wrapText="1"/>
    </xf>
    <xf numFmtId="0" fontId="29" fillId="0" borderId="0" xfId="3" applyFont="1" applyFill="1" applyBorder="1" applyAlignment="1">
      <alignment horizontal="center" vertical="top" wrapText="1"/>
    </xf>
    <xf numFmtId="0" fontId="29" fillId="0" borderId="13" xfId="1" applyFont="1" applyFill="1" applyBorder="1" applyAlignment="1">
      <alignment horizontal="left" vertical="top" wrapText="1"/>
    </xf>
    <xf numFmtId="0" fontId="29" fillId="0" borderId="14" xfId="1" applyFont="1" applyFill="1" applyBorder="1" applyAlignment="1">
      <alignment horizontal="left" vertical="top" wrapText="1"/>
    </xf>
    <xf numFmtId="0" fontId="32" fillId="0" borderId="14" xfId="1" applyFont="1" applyFill="1" applyBorder="1" applyAlignment="1">
      <alignment horizontal="center" vertical="center" wrapText="1"/>
    </xf>
    <xf numFmtId="0" fontId="21" fillId="0" borderId="0" xfId="1" applyNumberFormat="1" applyFont="1" applyBorder="1" applyAlignment="1">
      <alignment vertical="top"/>
    </xf>
    <xf numFmtId="0" fontId="22" fillId="0" borderId="0" xfId="2" applyFont="1" applyFill="1" applyBorder="1" applyAlignment="1">
      <alignment horizontal="center"/>
    </xf>
    <xf numFmtId="165" fontId="19" fillId="0" borderId="0" xfId="1" applyNumberFormat="1" applyFont="1" applyBorder="1" applyAlignment="1">
      <alignment horizontal="left" vertical="top" indent="2"/>
    </xf>
    <xf numFmtId="0" fontId="28" fillId="0" borderId="10" xfId="3" applyFont="1" applyFill="1" applyBorder="1" applyAlignment="1">
      <alignment horizontal="left" vertical="top" wrapText="1"/>
    </xf>
    <xf numFmtId="0" fontId="28" fillId="0" borderId="0" xfId="1" applyFont="1" applyFill="1" applyBorder="1" applyAlignment="1">
      <alignment horizontal="center" vertical="top" wrapText="1"/>
    </xf>
    <xf numFmtId="0" fontId="28" fillId="0" borderId="0" xfId="3" applyFont="1" applyFill="1" applyBorder="1" applyAlignment="1">
      <alignment horizontal="center" vertical="top" wrapText="1"/>
    </xf>
    <xf numFmtId="0" fontId="28" fillId="0" borderId="9" xfId="1" applyFont="1" applyFill="1" applyBorder="1" applyAlignment="1">
      <alignment horizontal="left" vertical="top" wrapText="1"/>
    </xf>
    <xf numFmtId="0" fontId="28" fillId="0" borderId="10" xfId="1" applyFont="1" applyFill="1" applyBorder="1" applyAlignment="1">
      <alignment horizontal="left" vertical="top" wrapText="1"/>
    </xf>
    <xf numFmtId="0" fontId="32" fillId="0" borderId="10" xfId="1" applyFont="1" applyFill="1" applyBorder="1" applyAlignment="1">
      <alignment horizontal="center" vertical="center" wrapText="1"/>
    </xf>
    <xf numFmtId="0" fontId="33" fillId="0" borderId="10" xfId="1" applyFont="1" applyFill="1" applyBorder="1" applyAlignment="1">
      <alignment horizontal="center" vertical="center" wrapText="1"/>
    </xf>
    <xf numFmtId="0" fontId="16" fillId="0" borderId="0" xfId="1" applyNumberFormat="1" applyFont="1" applyBorder="1" applyAlignment="1">
      <alignment vertical="top"/>
    </xf>
    <xf numFmtId="0" fontId="17" fillId="0" borderId="0" xfId="2" applyFont="1" applyFill="1" applyBorder="1" applyAlignment="1">
      <alignment horizontal="center"/>
    </xf>
    <xf numFmtId="165" fontId="15" fillId="0" borderId="0" xfId="1" applyNumberFormat="1" applyFont="1" applyBorder="1" applyAlignment="1">
      <alignment horizontal="left" vertical="top" indent="2"/>
    </xf>
    <xf numFmtId="0" fontId="32" fillId="0" borderId="5" xfId="1" applyFont="1" applyFill="1" applyBorder="1" applyAlignment="1">
      <alignment horizontal="center" vertical="center" wrapText="1"/>
    </xf>
    <xf numFmtId="0" fontId="32" fillId="0" borderId="21" xfId="3" applyFont="1" applyFill="1" applyBorder="1" applyAlignment="1">
      <alignment horizontal="center" vertical="center" wrapText="1"/>
    </xf>
    <xf numFmtId="0" fontId="32" fillId="0" borderId="3" xfId="3" applyFont="1" applyFill="1" applyBorder="1" applyAlignment="1">
      <alignment horizontal="center" vertical="center" wrapText="1"/>
    </xf>
    <xf numFmtId="0" fontId="32" fillId="0" borderId="5" xfId="3" applyFont="1" applyFill="1" applyBorder="1" applyAlignment="1">
      <alignment horizontal="center" vertical="center" wrapText="1"/>
    </xf>
    <xf numFmtId="0" fontId="27" fillId="0" borderId="5" xfId="3" applyFont="1" applyFill="1" applyBorder="1" applyAlignment="1">
      <alignment horizontal="center" vertical="center" wrapText="1"/>
    </xf>
  </cellXfs>
  <cellStyles count="5">
    <cellStyle name="40% - Accent1 2" xfId="3"/>
    <cellStyle name="Accent1 2" xfId="2"/>
    <cellStyle name="Heading 1 2" xfId="4"/>
    <cellStyle name="Normal" xfId="0" builtinId="0" customBuiltin="1"/>
    <cellStyle name="Normal 2" xfId="1"/>
  </cellStyles>
  <dxfs count="47">
    <dxf>
      <font>
        <color theme="0"/>
      </font>
      <fill>
        <patternFill>
          <bgColor theme="0" tint="-0.14996795556505021"/>
        </patternFill>
      </fill>
    </dxf>
    <dxf>
      <font>
        <b/>
        <i/>
        <color theme="0"/>
      </font>
      <fill>
        <patternFill>
          <bgColor theme="4"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7"/>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7"/>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7"/>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6"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6"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6"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5"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5"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5"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4" tint="-0.24994659260841701"/>
        </patternFill>
      </fill>
    </dxf>
    <dxf>
      <font>
        <color theme="0"/>
      </font>
      <fill>
        <patternFill>
          <bgColor theme="0" tint="-0.14996795556505021"/>
        </patternFill>
      </fill>
    </dxf>
    <dxf>
      <font>
        <color theme="0"/>
      </font>
      <fill>
        <patternFill>
          <bgColor theme="0" tint="-0.14996795556505021"/>
        </patternFill>
      </fill>
    </dxf>
    <dxf>
      <font>
        <b/>
        <i val="0"/>
        <color theme="0"/>
      </font>
      <fill>
        <patternFill>
          <bgColor theme="4" tint="-0.24994659260841701"/>
        </patternFill>
      </fill>
    </dxf>
    <dxf>
      <font>
        <color theme="0"/>
      </font>
      <fill>
        <patternFill>
          <bgColor theme="0" tint="-0.14996795556505021"/>
        </patternFill>
      </fill>
    </dxf>
    <dxf>
      <font>
        <b/>
        <color theme="1"/>
      </font>
      <border diagonalUp="0" diagonalDown="0">
        <left/>
        <right/>
        <top/>
        <bottom/>
        <vertical/>
        <horizontal/>
      </border>
    </dxf>
    <dxf>
      <font>
        <b/>
        <color theme="1"/>
      </font>
      <border>
        <top style="double">
          <color theme="6" tint="-0.24994659260841701"/>
        </top>
      </border>
    </dxf>
    <dxf>
      <font>
        <color theme="0"/>
      </font>
      <fill>
        <patternFill patternType="solid">
          <fgColor theme="4"/>
          <bgColor theme="7"/>
        </patternFill>
      </fill>
      <border diagonalUp="0" diagonalDown="0">
        <left/>
        <right/>
        <top/>
        <bottom/>
        <vertical/>
        <horizontal/>
      </border>
    </dxf>
    <dxf>
      <font>
        <color theme="1"/>
      </font>
      <fill>
        <patternFill>
          <bgColor theme="0"/>
        </patternFill>
      </fill>
      <border>
        <left style="thin">
          <color theme="9" tint="0.59996337778862885"/>
        </left>
        <right style="thin">
          <color theme="9" tint="0.59996337778862885"/>
        </right>
        <top style="thin">
          <color theme="9" tint="0.59996337778862885"/>
        </top>
        <bottom style="thin">
          <color theme="9" tint="0.59996337778862885"/>
        </bottom>
        <vertical/>
        <horizontal style="dashDotDot">
          <color theme="9" tint="0.59996337778862885"/>
        </horizontal>
      </border>
    </dxf>
    <dxf>
      <fill>
        <patternFill patternType="solid">
          <fgColor theme="9" tint="0.79998168889431442"/>
          <bgColor theme="9" tint="0.79998168889431442"/>
        </patternFill>
      </fill>
    </dxf>
    <dxf>
      <fill>
        <patternFill patternType="solid">
          <fgColor theme="9" tint="0.79998168889431442"/>
          <bgColor theme="9" tint="0.79998168889431442"/>
        </patternFill>
      </fill>
    </dxf>
    <dxf>
      <font>
        <b/>
        <color theme="9" tint="-0.249977111117893"/>
      </font>
    </dxf>
    <dxf>
      <font>
        <b/>
        <color theme="9" tint="-0.249977111117893"/>
      </font>
    </dxf>
    <dxf>
      <font>
        <b/>
        <color theme="9" tint="-0.249977111117893"/>
      </font>
      <border>
        <top style="thin">
          <color theme="9"/>
        </top>
      </border>
    </dxf>
    <dxf>
      <font>
        <b/>
        <color theme="9" tint="-0.249977111117893"/>
      </font>
      <border>
        <bottom style="thin">
          <color theme="9"/>
        </bottom>
      </border>
    </dxf>
    <dxf>
      <font>
        <color theme="9" tint="-0.249977111117893"/>
      </font>
      <fill>
        <patternFill>
          <bgColor theme="0"/>
        </patternFill>
      </fill>
      <border>
        <top style="thin">
          <color theme="9"/>
        </top>
        <bottom style="thin">
          <color theme="9"/>
        </bottom>
      </border>
    </dxf>
  </dxfs>
  <tableStyles count="2" defaultTableStyle="TableStyleMedium2" defaultPivotStyle="PivotStyleLight16">
    <tableStyle name="TableStyleLight7 2" pivot="0" count="7">
      <tableStyleElement type="wholeTable" dxfId="46"/>
      <tableStyleElement type="headerRow" dxfId="45"/>
      <tableStyleElement type="totalRow" dxfId="44"/>
      <tableStyleElement type="firstColumn" dxfId="43"/>
      <tableStyleElement type="lastColumn" dxfId="42"/>
      <tableStyleElement type="firstRowStripe" dxfId="41"/>
      <tableStyleElement type="firstColumnStripe" dxfId="40"/>
    </tableStyle>
    <tableStyle name="TableStyleLight9 2" pivot="0" count="4">
      <tableStyleElement type="wholeTable" dxfId="39"/>
      <tableStyleElement type="headerRow" dxfId="38"/>
      <tableStyleElement type="totalRow" dxfId="37"/>
      <tableStyleElement type="firstColumn" dxfId="36"/>
    </tableStyle>
  </tableStyles>
  <colors>
    <mruColors>
      <color rgb="FFF45500"/>
      <color rgb="FF3F8583"/>
      <color rgb="FFB1CFCE"/>
      <color rgb="FFD9D9D9"/>
      <color rgb="FF136C69"/>
      <color rgb="FF56B053"/>
      <color rgb="FFC17529"/>
      <color rgb="FFFDFDFD"/>
      <color rgb="FFA19574"/>
      <color rgb="FFEAE8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Spin" dx="16" fmlaLink="$L$2" max="2999" min="1900" page="10" val="2019"/>
</file>

<file path=xl/drawings/drawing1.xml><?xml version="1.0" encoding="utf-8"?>
<xdr:wsDr xmlns:xdr="http://schemas.openxmlformats.org/drawingml/2006/spreadsheetDrawing" xmlns:a="http://schemas.openxmlformats.org/drawingml/2006/main">
  <xdr:twoCellAnchor>
    <xdr:from>
      <xdr:col>1</xdr:col>
      <xdr:colOff>4064</xdr:colOff>
      <xdr:row>2</xdr:row>
      <xdr:rowOff>28573</xdr:rowOff>
    </xdr:from>
    <xdr:to>
      <xdr:col>15</xdr:col>
      <xdr:colOff>13737</xdr:colOff>
      <xdr:row>17</xdr:row>
      <xdr:rowOff>22858</xdr:rowOff>
    </xdr:to>
    <xdr:sp macro="" textlink="">
      <xdr:nvSpPr>
        <xdr:cNvPr id="2" name="Rectangle 1" title="Bloc d’une couleur suggérant l’hiver derrière l’image"/>
        <xdr:cNvSpPr/>
      </xdr:nvSpPr>
      <xdr:spPr>
        <a:xfrm>
          <a:off x="327914" y="895348"/>
          <a:ext cx="7277248" cy="3566160"/>
        </a:xfrm>
        <a:prstGeom prst="rect">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209550</xdr:colOff>
      <xdr:row>2</xdr:row>
      <xdr:rowOff>219074</xdr:rowOff>
    </xdr:from>
    <xdr:to>
      <xdr:col>14</xdr:col>
      <xdr:colOff>153924</xdr:colOff>
      <xdr:row>16</xdr:row>
      <xdr:rowOff>49148</xdr:rowOff>
    </xdr:to>
    <xdr:sp macro="" textlink="">
      <xdr:nvSpPr>
        <xdr:cNvPr id="5" name="Zone de texte  4"/>
        <xdr:cNvSpPr txBox="1"/>
      </xdr:nvSpPr>
      <xdr:spPr>
        <a:xfrm>
          <a:off x="5486400" y="857249"/>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4064</xdr:colOff>
      <xdr:row>34</xdr:row>
      <xdr:rowOff>28573</xdr:rowOff>
    </xdr:from>
    <xdr:to>
      <xdr:col>15</xdr:col>
      <xdr:colOff>13737</xdr:colOff>
      <xdr:row>49</xdr:row>
      <xdr:rowOff>22858</xdr:rowOff>
    </xdr:to>
    <xdr:sp macro="" textlink="">
      <xdr:nvSpPr>
        <xdr:cNvPr id="7" name="Rectangle 6" title="Bloc d’une couleur suggérant l’hiver derrière l’image"/>
        <xdr:cNvSpPr/>
      </xdr:nvSpPr>
      <xdr:spPr>
        <a:xfrm>
          <a:off x="327914" y="11782423"/>
          <a:ext cx="7277248" cy="3566160"/>
        </a:xfrm>
        <a:prstGeom prst="rect">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209550</xdr:colOff>
      <xdr:row>34</xdr:row>
      <xdr:rowOff>219074</xdr:rowOff>
    </xdr:from>
    <xdr:to>
      <xdr:col>14</xdr:col>
      <xdr:colOff>153924</xdr:colOff>
      <xdr:row>48</xdr:row>
      <xdr:rowOff>49148</xdr:rowOff>
    </xdr:to>
    <xdr:sp macro="" textlink="">
      <xdr:nvSpPr>
        <xdr:cNvPr id="9" name="Zone de texte  8"/>
        <xdr:cNvSpPr txBox="1"/>
      </xdr:nvSpPr>
      <xdr:spPr>
        <a:xfrm>
          <a:off x="5486400" y="1038224"/>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67</xdr:row>
      <xdr:rowOff>28574</xdr:rowOff>
    </xdr:from>
    <xdr:to>
      <xdr:col>15</xdr:col>
      <xdr:colOff>11049</xdr:colOff>
      <xdr:row>82</xdr:row>
      <xdr:rowOff>19050</xdr:rowOff>
    </xdr:to>
    <xdr:sp macro="" textlink="">
      <xdr:nvSpPr>
        <xdr:cNvPr id="11" name="Rectangle 10" title="Bloc d’une couleur suggérant le printemps derrière l’image"/>
        <xdr:cNvSpPr/>
      </xdr:nvSpPr>
      <xdr:spPr>
        <a:xfrm>
          <a:off x="323850" y="22669499"/>
          <a:ext cx="7278624" cy="3562351"/>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209551</xdr:colOff>
      <xdr:row>67</xdr:row>
      <xdr:rowOff>209550</xdr:rowOff>
    </xdr:from>
    <xdr:to>
      <xdr:col>14</xdr:col>
      <xdr:colOff>153925</xdr:colOff>
      <xdr:row>81</xdr:row>
      <xdr:rowOff>39624</xdr:rowOff>
    </xdr:to>
    <xdr:sp macro="" textlink="">
      <xdr:nvSpPr>
        <xdr:cNvPr id="13" name="Zone de texte  12"/>
        <xdr:cNvSpPr txBox="1"/>
      </xdr:nvSpPr>
      <xdr:spPr>
        <a:xfrm>
          <a:off x="5486401" y="10287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100</xdr:row>
      <xdr:rowOff>28574</xdr:rowOff>
    </xdr:from>
    <xdr:to>
      <xdr:col>15</xdr:col>
      <xdr:colOff>11049</xdr:colOff>
      <xdr:row>115</xdr:row>
      <xdr:rowOff>19050</xdr:rowOff>
    </xdr:to>
    <xdr:sp macro="" textlink="">
      <xdr:nvSpPr>
        <xdr:cNvPr id="15" name="Rectangle 14" title="Bloc d’une couleur suggérant l’été derrière l’image"/>
        <xdr:cNvSpPr/>
      </xdr:nvSpPr>
      <xdr:spPr>
        <a:xfrm>
          <a:off x="323850" y="33556574"/>
          <a:ext cx="7278624" cy="3562351"/>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209551</xdr:colOff>
      <xdr:row>100</xdr:row>
      <xdr:rowOff>209550</xdr:rowOff>
    </xdr:from>
    <xdr:to>
      <xdr:col>14</xdr:col>
      <xdr:colOff>153925</xdr:colOff>
      <xdr:row>114</xdr:row>
      <xdr:rowOff>39624</xdr:rowOff>
    </xdr:to>
    <xdr:sp macro="" textlink="">
      <xdr:nvSpPr>
        <xdr:cNvPr id="17" name="Zone de texte  16"/>
        <xdr:cNvSpPr txBox="1"/>
      </xdr:nvSpPr>
      <xdr:spPr>
        <a:xfrm>
          <a:off x="5486401" y="227076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134</xdr:row>
      <xdr:rowOff>28574</xdr:rowOff>
    </xdr:from>
    <xdr:to>
      <xdr:col>15</xdr:col>
      <xdr:colOff>11049</xdr:colOff>
      <xdr:row>149</xdr:row>
      <xdr:rowOff>19050</xdr:rowOff>
    </xdr:to>
    <xdr:sp macro="" textlink="">
      <xdr:nvSpPr>
        <xdr:cNvPr id="19" name="Rectangle 18" title="Bloc d’une couleur suggérant l’été derrière l’image"/>
        <xdr:cNvSpPr/>
      </xdr:nvSpPr>
      <xdr:spPr>
        <a:xfrm>
          <a:off x="323850" y="44443649"/>
          <a:ext cx="7278624" cy="3562351"/>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209551</xdr:colOff>
      <xdr:row>134</xdr:row>
      <xdr:rowOff>209550</xdr:rowOff>
    </xdr:from>
    <xdr:to>
      <xdr:col>14</xdr:col>
      <xdr:colOff>153925</xdr:colOff>
      <xdr:row>148</xdr:row>
      <xdr:rowOff>39624</xdr:rowOff>
    </xdr:to>
    <xdr:sp macro="" textlink="">
      <xdr:nvSpPr>
        <xdr:cNvPr id="21" name="Zone de texte  20"/>
        <xdr:cNvSpPr txBox="1"/>
      </xdr:nvSpPr>
      <xdr:spPr>
        <a:xfrm>
          <a:off x="5486401" y="3354705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168</xdr:row>
      <xdr:rowOff>28574</xdr:rowOff>
    </xdr:from>
    <xdr:to>
      <xdr:col>15</xdr:col>
      <xdr:colOff>11049</xdr:colOff>
      <xdr:row>183</xdr:row>
      <xdr:rowOff>19050</xdr:rowOff>
    </xdr:to>
    <xdr:sp macro="" textlink="">
      <xdr:nvSpPr>
        <xdr:cNvPr id="23" name="Rectangle 22" title="Bloc d’une couleur suggérant l’été derrière l’image"/>
        <xdr:cNvSpPr/>
      </xdr:nvSpPr>
      <xdr:spPr>
        <a:xfrm>
          <a:off x="323850" y="55330724"/>
          <a:ext cx="7278624" cy="3562351"/>
        </a:xfrm>
        <a:prstGeom prst="rect">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228600</xdr:colOff>
      <xdr:row>168</xdr:row>
      <xdr:rowOff>209550</xdr:rowOff>
    </xdr:from>
    <xdr:to>
      <xdr:col>14</xdr:col>
      <xdr:colOff>172974</xdr:colOff>
      <xdr:row>182</xdr:row>
      <xdr:rowOff>39624</xdr:rowOff>
    </xdr:to>
    <xdr:sp macro="" textlink="">
      <xdr:nvSpPr>
        <xdr:cNvPr id="25" name="Zone de texte  24"/>
        <xdr:cNvSpPr txBox="1"/>
      </xdr:nvSpPr>
      <xdr:spPr>
        <a:xfrm>
          <a:off x="5505450" y="10287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202</xdr:row>
      <xdr:rowOff>28574</xdr:rowOff>
    </xdr:from>
    <xdr:to>
      <xdr:col>15</xdr:col>
      <xdr:colOff>11049</xdr:colOff>
      <xdr:row>217</xdr:row>
      <xdr:rowOff>19050</xdr:rowOff>
    </xdr:to>
    <xdr:sp macro="" textlink="">
      <xdr:nvSpPr>
        <xdr:cNvPr id="27" name="Rectangle 26" title="Bloc d’une couleur suggérant l’été derrière l’image"/>
        <xdr:cNvSpPr/>
      </xdr:nvSpPr>
      <xdr:spPr>
        <a:xfrm>
          <a:off x="323850" y="66217799"/>
          <a:ext cx="7278624" cy="3562351"/>
        </a:xfrm>
        <a:prstGeom prst="rect">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228600</xdr:colOff>
      <xdr:row>202</xdr:row>
      <xdr:rowOff>209550</xdr:rowOff>
    </xdr:from>
    <xdr:to>
      <xdr:col>14</xdr:col>
      <xdr:colOff>172974</xdr:colOff>
      <xdr:row>216</xdr:row>
      <xdr:rowOff>39624</xdr:rowOff>
    </xdr:to>
    <xdr:sp macro="" textlink="">
      <xdr:nvSpPr>
        <xdr:cNvPr id="29" name="Zone de texte  28"/>
        <xdr:cNvSpPr txBox="1"/>
      </xdr:nvSpPr>
      <xdr:spPr>
        <a:xfrm>
          <a:off x="5505450" y="548640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234</xdr:row>
      <xdr:rowOff>28574</xdr:rowOff>
    </xdr:from>
    <xdr:to>
      <xdr:col>15</xdr:col>
      <xdr:colOff>11049</xdr:colOff>
      <xdr:row>249</xdr:row>
      <xdr:rowOff>19050</xdr:rowOff>
    </xdr:to>
    <xdr:sp macro="" textlink="">
      <xdr:nvSpPr>
        <xdr:cNvPr id="31" name="Rectangle 30" title="Bloc d’une couleur suggérant l’été derrière l’image"/>
        <xdr:cNvSpPr/>
      </xdr:nvSpPr>
      <xdr:spPr>
        <a:xfrm>
          <a:off x="323850" y="77104874"/>
          <a:ext cx="7278624" cy="3562351"/>
        </a:xfrm>
        <a:prstGeom prst="rect">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228600</xdr:colOff>
      <xdr:row>234</xdr:row>
      <xdr:rowOff>209550</xdr:rowOff>
    </xdr:from>
    <xdr:to>
      <xdr:col>14</xdr:col>
      <xdr:colOff>172974</xdr:colOff>
      <xdr:row>248</xdr:row>
      <xdr:rowOff>39624</xdr:rowOff>
    </xdr:to>
    <xdr:sp macro="" textlink="">
      <xdr:nvSpPr>
        <xdr:cNvPr id="33" name="Zone de texte  32"/>
        <xdr:cNvSpPr txBox="1"/>
      </xdr:nvSpPr>
      <xdr:spPr>
        <a:xfrm>
          <a:off x="5505450" y="548640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267</xdr:row>
      <xdr:rowOff>28574</xdr:rowOff>
    </xdr:from>
    <xdr:to>
      <xdr:col>15</xdr:col>
      <xdr:colOff>11049</xdr:colOff>
      <xdr:row>282</xdr:row>
      <xdr:rowOff>19050</xdr:rowOff>
    </xdr:to>
    <xdr:sp macro="" textlink="">
      <xdr:nvSpPr>
        <xdr:cNvPr id="35" name="Rectangle 34" title="Bloc d’une couleur suggérant l’automne derrière l’image"/>
        <xdr:cNvSpPr/>
      </xdr:nvSpPr>
      <xdr:spPr>
        <a:xfrm>
          <a:off x="323850" y="87991949"/>
          <a:ext cx="7278624" cy="3562351"/>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9525</xdr:colOff>
      <xdr:row>267</xdr:row>
      <xdr:rowOff>200026</xdr:rowOff>
    </xdr:from>
    <xdr:to>
      <xdr:col>14</xdr:col>
      <xdr:colOff>190499</xdr:colOff>
      <xdr:row>281</xdr:row>
      <xdr:rowOff>28576</xdr:rowOff>
    </xdr:to>
    <xdr:sp macro="" textlink="">
      <xdr:nvSpPr>
        <xdr:cNvPr id="37" name="Zone de texte  36"/>
        <xdr:cNvSpPr txBox="1"/>
      </xdr:nvSpPr>
      <xdr:spPr>
        <a:xfrm>
          <a:off x="5524500" y="1019176"/>
          <a:ext cx="2019299" cy="3162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303</xdr:row>
      <xdr:rowOff>28574</xdr:rowOff>
    </xdr:from>
    <xdr:to>
      <xdr:col>15</xdr:col>
      <xdr:colOff>11049</xdr:colOff>
      <xdr:row>318</xdr:row>
      <xdr:rowOff>19050</xdr:rowOff>
    </xdr:to>
    <xdr:sp macro="" textlink="">
      <xdr:nvSpPr>
        <xdr:cNvPr id="39" name="Rectangle 38" title="Bloc d’une couleur suggérant l’automne derrière l’image"/>
        <xdr:cNvSpPr/>
      </xdr:nvSpPr>
      <xdr:spPr>
        <a:xfrm>
          <a:off x="323850" y="98879024"/>
          <a:ext cx="7278624" cy="3562351"/>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9525</xdr:colOff>
      <xdr:row>303</xdr:row>
      <xdr:rowOff>200026</xdr:rowOff>
    </xdr:from>
    <xdr:to>
      <xdr:col>14</xdr:col>
      <xdr:colOff>190499</xdr:colOff>
      <xdr:row>317</xdr:row>
      <xdr:rowOff>28576</xdr:rowOff>
    </xdr:to>
    <xdr:sp macro="" textlink="">
      <xdr:nvSpPr>
        <xdr:cNvPr id="41" name="Zone de texte  40"/>
        <xdr:cNvSpPr txBox="1"/>
      </xdr:nvSpPr>
      <xdr:spPr>
        <a:xfrm>
          <a:off x="5524500" y="1019176"/>
          <a:ext cx="2019299" cy="3162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335</xdr:row>
      <xdr:rowOff>28574</xdr:rowOff>
    </xdr:from>
    <xdr:to>
      <xdr:col>15</xdr:col>
      <xdr:colOff>11049</xdr:colOff>
      <xdr:row>350</xdr:row>
      <xdr:rowOff>19050</xdr:rowOff>
    </xdr:to>
    <xdr:sp macro="" textlink="">
      <xdr:nvSpPr>
        <xdr:cNvPr id="43" name="Rectangle 42" title="Bloc d’une couleur suggérant l’automne derrière l’image"/>
        <xdr:cNvSpPr/>
      </xdr:nvSpPr>
      <xdr:spPr>
        <a:xfrm>
          <a:off x="323850" y="109766099"/>
          <a:ext cx="7278624" cy="3562351"/>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9525</xdr:colOff>
      <xdr:row>335</xdr:row>
      <xdr:rowOff>200026</xdr:rowOff>
    </xdr:from>
    <xdr:to>
      <xdr:col>14</xdr:col>
      <xdr:colOff>190499</xdr:colOff>
      <xdr:row>349</xdr:row>
      <xdr:rowOff>28576</xdr:rowOff>
    </xdr:to>
    <xdr:sp macro="" textlink="">
      <xdr:nvSpPr>
        <xdr:cNvPr id="45" name="Zone de texte  44"/>
        <xdr:cNvSpPr txBox="1"/>
      </xdr:nvSpPr>
      <xdr:spPr>
        <a:xfrm>
          <a:off x="5524500" y="1019176"/>
          <a:ext cx="2019299" cy="3162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4064</xdr:colOff>
      <xdr:row>368</xdr:row>
      <xdr:rowOff>28573</xdr:rowOff>
    </xdr:from>
    <xdr:to>
      <xdr:col>15</xdr:col>
      <xdr:colOff>13737</xdr:colOff>
      <xdr:row>383</xdr:row>
      <xdr:rowOff>62992</xdr:rowOff>
    </xdr:to>
    <xdr:sp macro="" textlink="">
      <xdr:nvSpPr>
        <xdr:cNvPr id="59" name="Rectangle 58" title="Bloc d’une couleur suggérant l’hiver derrière l’image"/>
        <xdr:cNvSpPr/>
      </xdr:nvSpPr>
      <xdr:spPr>
        <a:xfrm>
          <a:off x="327914" y="120653173"/>
          <a:ext cx="7277248" cy="3606294"/>
        </a:xfrm>
        <a:prstGeom prst="rect">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209550</xdr:colOff>
      <xdr:row>368</xdr:row>
      <xdr:rowOff>219074</xdr:rowOff>
    </xdr:from>
    <xdr:to>
      <xdr:col>14</xdr:col>
      <xdr:colOff>153924</xdr:colOff>
      <xdr:row>382</xdr:row>
      <xdr:rowOff>49148</xdr:rowOff>
    </xdr:to>
    <xdr:sp macro="" textlink="">
      <xdr:nvSpPr>
        <xdr:cNvPr id="61" name="Zone de texte  60"/>
        <xdr:cNvSpPr txBox="1"/>
      </xdr:nvSpPr>
      <xdr:spPr>
        <a:xfrm>
          <a:off x="5486400" y="1038224"/>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15</xdr:col>
          <xdr:colOff>47625</xdr:colOff>
          <xdr:row>1</xdr:row>
          <xdr:rowOff>142875</xdr:rowOff>
        </xdr:from>
        <xdr:to>
          <xdr:col>16</xdr:col>
          <xdr:colOff>104775</xdr:colOff>
          <xdr:row>1</xdr:row>
          <xdr:rowOff>523875</xdr:rowOff>
        </xdr:to>
        <xdr:sp macro="" textlink="">
          <xdr:nvSpPr>
            <xdr:cNvPr id="1025" name="Compteur1" descr="Compteur. Utilisez le compteur pour changer l’année civile ou tapez l’année désirée dans la cellule L2."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twoCellAnchor>
    <xdr:from>
      <xdr:col>16</xdr:col>
      <xdr:colOff>114300</xdr:colOff>
      <xdr:row>1</xdr:row>
      <xdr:rowOff>142875</xdr:rowOff>
    </xdr:from>
    <xdr:to>
      <xdr:col>20</xdr:col>
      <xdr:colOff>38100</xdr:colOff>
      <xdr:row>1</xdr:row>
      <xdr:rowOff>571499</xdr:rowOff>
    </xdr:to>
    <xdr:sp macro="" textlink="">
      <xdr:nvSpPr>
        <xdr:cNvPr id="63" name="Zone de texte  62"/>
        <xdr:cNvSpPr txBox="1"/>
      </xdr:nvSpPr>
      <xdr:spPr>
        <a:xfrm>
          <a:off x="7810500" y="323850"/>
          <a:ext cx="1905000" cy="4286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l"/>
          <a:r>
            <a:rPr lang="fr-FR" sz="1000" b="1" smtClean="0">
              <a:solidFill>
                <a:schemeClr val="accent1"/>
              </a:solidFill>
              <a:latin typeface="+mn-lt"/>
              <a:ea typeface="+mn-ea"/>
              <a:cs typeface="+mn-cs"/>
            </a:rPr>
            <a:t>Cliquer sur le compteur pour modifier l’année civile</a:t>
          </a:r>
          <a:endParaRPr lang="en-US" sz="1000" b="1">
            <a:solidFill>
              <a:schemeClr val="accent1"/>
            </a:solidFill>
            <a:latin typeface="+mn-lt"/>
            <a:ea typeface="+mn-ea"/>
            <a:cs typeface="+mn-cs"/>
          </a:endParaRPr>
        </a:p>
      </xdr:txBody>
    </xdr:sp>
    <xdr:clientData fPrintsWithSheet="0"/>
  </xdr:twoCellAnchor>
</xdr:wsDr>
</file>

<file path=xl/theme/theme1.xml><?xml version="1.0" encoding="utf-8"?>
<a:theme xmlns:a="http://schemas.openxmlformats.org/drawingml/2006/main" name="Thatch">
  <a:themeElements>
    <a:clrScheme name="Family Calendar 1">
      <a:dk1>
        <a:sysClr val="windowText" lastClr="000000"/>
      </a:dk1>
      <a:lt1>
        <a:sysClr val="window" lastClr="FFFFFF"/>
      </a:lt1>
      <a:dk2>
        <a:srgbClr val="4E5B6F"/>
      </a:dk2>
      <a:lt2>
        <a:srgbClr val="D6ECFF"/>
      </a:lt2>
      <a:accent1>
        <a:srgbClr val="56B0AD"/>
      </a:accent1>
      <a:accent2>
        <a:srgbClr val="74AA15"/>
      </a:accent2>
      <a:accent3>
        <a:srgbClr val="F4DB0B"/>
      </a:accent3>
      <a:accent4>
        <a:srgbClr val="F45500"/>
      </a:accent4>
      <a:accent5>
        <a:srgbClr val="EB8803"/>
      </a:accent5>
      <a:accent6>
        <a:srgbClr val="7030A0"/>
      </a:accent6>
      <a:hlink>
        <a:srgbClr val="425EA9"/>
      </a:hlink>
      <a:folHlink>
        <a:srgbClr val="AAB8DE"/>
      </a:folHlink>
    </a:clrScheme>
    <a:fontScheme name="Family Calendar 1">
      <a:majorFont>
        <a:latin typeface="Cambria"/>
        <a:ea typeface=""/>
        <a:cs typeface=""/>
      </a:majorFont>
      <a:minorFont>
        <a:latin typeface="Cambria"/>
        <a:ea typeface=""/>
        <a:cs typeface=""/>
      </a:minorFont>
    </a:fontScheme>
    <a:fmtScheme name="Thatch">
      <a:fillStyleLst>
        <a:solidFill>
          <a:schemeClr val="phClr"/>
        </a:solidFill>
        <a:gradFill rotWithShape="1">
          <a:gsLst>
            <a:gs pos="0">
              <a:schemeClr val="phClr">
                <a:tint val="79000"/>
                <a:satMod val="180000"/>
              </a:schemeClr>
            </a:gs>
            <a:gs pos="65000">
              <a:schemeClr val="phClr">
                <a:tint val="52000"/>
                <a:satMod val="250000"/>
              </a:schemeClr>
            </a:gs>
            <a:gs pos="100000">
              <a:schemeClr val="phClr">
                <a:tint val="29000"/>
                <a:satMod val="300000"/>
              </a:schemeClr>
            </a:gs>
          </a:gsLst>
          <a:lin ang="16200000" scaled="0"/>
        </a:gradFill>
        <a:gradFill rotWithShape="1">
          <a:gsLst>
            <a:gs pos="0">
              <a:schemeClr val="phClr">
                <a:shade val="15000"/>
                <a:satMod val="180000"/>
              </a:schemeClr>
            </a:gs>
            <a:gs pos="50000">
              <a:schemeClr val="phClr">
                <a:shade val="45000"/>
                <a:satMod val="170000"/>
              </a:schemeClr>
            </a:gs>
            <a:gs pos="70000">
              <a:schemeClr val="phClr">
                <a:tint val="99000"/>
                <a:shade val="65000"/>
                <a:satMod val="155000"/>
              </a:schemeClr>
            </a:gs>
            <a:gs pos="100000">
              <a:schemeClr val="phClr">
                <a:tint val="95500"/>
                <a:shade val="100000"/>
                <a:satMod val="155000"/>
              </a:schemeClr>
            </a:gs>
          </a:gsLst>
          <a:lin ang="16200000" scaled="0"/>
        </a:gradFill>
      </a:fillStyleLst>
      <a:lnStyleLst>
        <a:ln w="9525" cap="flat" cmpd="sng" algn="ctr">
          <a:solidFill>
            <a:schemeClr val="phClr"/>
          </a:solidFill>
          <a:prstDash val="solid"/>
        </a:ln>
        <a:ln w="15875" cap="flat" cmpd="sng" algn="ctr">
          <a:solidFill>
            <a:schemeClr val="phClr"/>
          </a:solidFill>
          <a:prstDash val="solid"/>
        </a:ln>
        <a:ln w="38100" cap="flat" cmpd="sng" algn="ctr">
          <a:solidFill>
            <a:schemeClr val="phClr"/>
          </a:solidFill>
          <a:prstDash val="solid"/>
        </a:ln>
      </a:lnStyleLst>
      <a:effectStyleLst>
        <a:effectStyle>
          <a:effectLst>
            <a:outerShdw blurRad="63500" dist="25400" dir="5400000" rotWithShape="0">
              <a:srgbClr val="000000">
                <a:alpha val="43000"/>
              </a:srgbClr>
            </a:outerShdw>
          </a:effectLst>
        </a:effectStyle>
        <a:effectStyle>
          <a:effectLst>
            <a:outerShdw blurRad="63500" dist="25400" dir="5400000" rotWithShape="0">
              <a:srgbClr val="000000">
                <a:alpha val="43000"/>
              </a:srgbClr>
            </a:outerShdw>
          </a:effectLst>
          <a:scene3d>
            <a:camera prst="orthographicFront">
              <a:rot lat="0" lon="0" rev="0"/>
            </a:camera>
            <a:lightRig rig="brightRoom" dir="t">
              <a:rot lat="0" lon="0" rev="8700000"/>
            </a:lightRig>
          </a:scene3d>
          <a:sp3d contourW="12700" prstMaterial="dkEdge">
            <a:bevelT w="0" h="0" prst="relaxedInset"/>
            <a:contourClr>
              <a:schemeClr val="phClr">
                <a:shade val="65000"/>
                <a:satMod val="150000"/>
              </a:schemeClr>
            </a:contourClr>
          </a:sp3d>
        </a:effectStyle>
        <a:effectStyle>
          <a:effectLst>
            <a:outerShdw blurRad="63500" dist="25400" dir="5400000" rotWithShape="0">
              <a:srgbClr val="000000">
                <a:alpha val="43000"/>
              </a:srgbClr>
            </a:outerShdw>
          </a:effectLst>
          <a:scene3d>
            <a:camera prst="orthographicFront">
              <a:rot lat="0" lon="0" rev="0"/>
            </a:camera>
            <a:lightRig rig="glow" dir="t">
              <a:rot lat="0" lon="0" rev="13200000"/>
            </a:lightRig>
          </a:scene3d>
          <a:sp3d prstMaterial="dkEdge">
            <a:bevelT w="63500" h="50800" prst="relaxedInset"/>
          </a:sp3d>
        </a:effectStyle>
      </a:effectStyleLst>
      <a:bgFillStyleLst>
        <a:solidFill>
          <a:schemeClr val="phClr"/>
        </a:solidFill>
        <a:gradFill rotWithShape="1">
          <a:gsLst>
            <a:gs pos="0">
              <a:schemeClr val="phClr">
                <a:tint val="85000"/>
                <a:shade val="95000"/>
                <a:satMod val="200000"/>
              </a:schemeClr>
            </a:gs>
            <a:gs pos="53000">
              <a:schemeClr val="phClr">
                <a:shade val="60000"/>
                <a:satMod val="220000"/>
              </a:schemeClr>
            </a:gs>
            <a:gs pos="100000">
              <a:schemeClr val="phClr">
                <a:shade val="45000"/>
                <a:satMod val="220000"/>
              </a:schemeClr>
            </a:gs>
          </a:gsLst>
          <a:lin ang="16200000" scaled="0"/>
        </a:gradFill>
        <a:gradFill rotWithShape="1">
          <a:gsLst>
            <a:gs pos="0">
              <a:schemeClr val="phClr">
                <a:tint val="83000"/>
                <a:shade val="97000"/>
                <a:satMod val="230000"/>
              </a:schemeClr>
            </a:gs>
            <a:gs pos="100000">
              <a:schemeClr val="phClr">
                <a:shade val="35000"/>
                <a:satMod val="250000"/>
              </a:schemeClr>
            </a:gs>
          </a:gsLst>
          <a:path path="circle">
            <a:fillToRect l="15000" t="50000" r="85000" b="6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pageSetUpPr autoPageBreaks="0"/>
  </sheetPr>
  <dimension ref="A1:V402"/>
  <sheetViews>
    <sheetView showGridLines="0" tabSelected="1" topLeftCell="A364" zoomScaleNormal="100" workbookViewId="0">
      <selection activeCell="E28" sqref="E28"/>
    </sheetView>
  </sheetViews>
  <sheetFormatPr baseColWidth="10" defaultColWidth="6.6640625" defaultRowHeight="14.25" x14ac:dyDescent="0.2"/>
  <cols>
    <col min="1" max="1" width="4.44140625" style="5" customWidth="1"/>
    <col min="2" max="2" width="9.33203125" style="5" customWidth="1"/>
    <col min="3" max="3" width="2.77734375" style="5" customWidth="1"/>
    <col min="4" max="4" width="9.33203125" style="5" customWidth="1"/>
    <col min="5" max="5" width="2.77734375" style="5" customWidth="1"/>
    <col min="6" max="6" width="9.33203125" style="5" customWidth="1"/>
    <col min="7" max="7" width="2.77734375" style="5" customWidth="1"/>
    <col min="8" max="8" width="9.33203125" style="5" customWidth="1"/>
    <col min="9" max="9" width="2.77734375" style="5" customWidth="1"/>
    <col min="10" max="10" width="9.33203125" style="5" customWidth="1"/>
    <col min="11" max="11" width="2.77734375" style="5" customWidth="1"/>
    <col min="12" max="12" width="9.33203125" style="5" customWidth="1"/>
    <col min="13" max="13" width="2.77734375" style="5" customWidth="1"/>
    <col min="14" max="14" width="9.33203125" style="5" customWidth="1"/>
    <col min="15" max="15" width="2.77734375" style="5" customWidth="1"/>
    <col min="16" max="16" width="1.21875" style="5" customWidth="1"/>
    <col min="17" max="17" width="3.109375" style="5" customWidth="1"/>
    <col min="18" max="16384" width="6.6640625" style="5"/>
  </cols>
  <sheetData>
    <row r="1" spans="1:16" s="14" customFormat="1" x14ac:dyDescent="0.2"/>
    <row r="2" spans="1:16" ht="54" customHeight="1" x14ac:dyDescent="0.2">
      <c r="A2" s="51" t="s">
        <v>7</v>
      </c>
      <c r="B2" s="51"/>
      <c r="C2" s="51"/>
      <c r="D2" s="51"/>
      <c r="E2" s="51"/>
      <c r="F2" s="51"/>
      <c r="G2" s="51"/>
      <c r="H2" s="13"/>
      <c r="I2" s="4"/>
      <c r="J2" s="4"/>
      <c r="L2" s="49">
        <v>2019</v>
      </c>
      <c r="M2" s="49"/>
      <c r="N2" s="49"/>
      <c r="O2" s="49"/>
      <c r="P2" s="49"/>
    </row>
    <row r="3" spans="1:16" ht="18.75" customHeight="1" x14ac:dyDescent="0.35">
      <c r="A3" s="3"/>
      <c r="B3" s="1"/>
      <c r="C3" s="1"/>
      <c r="D3" s="1"/>
      <c r="E3" s="2"/>
      <c r="F3" s="2"/>
      <c r="G3" s="2"/>
      <c r="H3" s="4"/>
      <c r="I3" s="4"/>
      <c r="J3" s="4"/>
      <c r="L3" s="50"/>
      <c r="M3" s="50"/>
      <c r="N3" s="50"/>
      <c r="O3" s="50"/>
    </row>
    <row r="4" spans="1:16" ht="18.75" customHeight="1" x14ac:dyDescent="0.35">
      <c r="A4" s="3"/>
      <c r="B4" s="1"/>
      <c r="C4" s="1"/>
      <c r="D4" s="1"/>
      <c r="E4" s="2"/>
      <c r="F4" s="2"/>
      <c r="G4" s="2"/>
      <c r="H4" s="4"/>
      <c r="I4" s="4"/>
      <c r="J4" s="4"/>
    </row>
    <row r="5" spans="1:16" ht="18.75" customHeight="1" x14ac:dyDescent="0.35">
      <c r="A5" s="3"/>
      <c r="B5" s="1"/>
      <c r="C5" s="1"/>
      <c r="D5" s="1"/>
      <c r="E5" s="2"/>
      <c r="F5" s="2"/>
      <c r="G5" s="2"/>
      <c r="H5" s="4"/>
      <c r="I5" s="4"/>
      <c r="J5" s="4"/>
    </row>
    <row r="6" spans="1:16" ht="18.75" customHeight="1" x14ac:dyDescent="0.35">
      <c r="A6" s="3"/>
      <c r="B6" s="1"/>
      <c r="C6" s="1"/>
      <c r="D6" s="1"/>
      <c r="E6" s="2"/>
      <c r="F6" s="2"/>
      <c r="G6" s="2"/>
      <c r="H6" s="4"/>
      <c r="I6" s="4"/>
      <c r="J6" s="4"/>
    </row>
    <row r="7" spans="1:16" ht="18.75" customHeight="1" x14ac:dyDescent="0.35">
      <c r="A7" s="3"/>
      <c r="B7" s="1"/>
      <c r="C7" s="1"/>
      <c r="D7" s="1"/>
      <c r="E7" s="2"/>
      <c r="F7" s="2"/>
      <c r="G7" s="2"/>
      <c r="H7" s="4"/>
      <c r="I7" s="4"/>
      <c r="J7" s="4"/>
    </row>
    <row r="8" spans="1:16" ht="18.75" customHeight="1" x14ac:dyDescent="0.35">
      <c r="A8" s="3"/>
      <c r="B8" s="1"/>
      <c r="C8" s="1"/>
      <c r="D8" s="1"/>
      <c r="E8" s="2"/>
      <c r="F8" s="2"/>
      <c r="G8" s="2"/>
      <c r="H8" s="4"/>
      <c r="I8" s="4"/>
      <c r="J8" s="4"/>
    </row>
    <row r="9" spans="1:16" ht="18.75" customHeight="1" x14ac:dyDescent="0.35">
      <c r="A9" s="3"/>
      <c r="B9" s="1"/>
      <c r="C9" s="1"/>
      <c r="D9" s="1"/>
      <c r="E9" s="2"/>
      <c r="F9" s="2"/>
      <c r="G9" s="2"/>
      <c r="H9" s="4"/>
      <c r="I9" s="4"/>
      <c r="J9" s="4"/>
    </row>
    <row r="10" spans="1:16" ht="18.75" customHeight="1" x14ac:dyDescent="0.35">
      <c r="A10" s="3"/>
      <c r="B10" s="1"/>
      <c r="C10" s="1"/>
      <c r="D10" s="1"/>
      <c r="E10" s="2"/>
      <c r="F10" s="2"/>
      <c r="G10" s="2"/>
      <c r="H10" s="4"/>
      <c r="I10" s="4"/>
      <c r="J10" s="4"/>
    </row>
    <row r="11" spans="1:16" ht="18.75" customHeight="1" x14ac:dyDescent="0.35">
      <c r="A11" s="3"/>
      <c r="B11" s="1"/>
      <c r="C11" s="1"/>
      <c r="D11" s="1"/>
      <c r="E11" s="2"/>
      <c r="F11" s="2"/>
      <c r="G11" s="2"/>
      <c r="H11" s="4"/>
      <c r="I11" s="4"/>
      <c r="J11" s="4"/>
    </row>
    <row r="12" spans="1:16" ht="18.75" customHeight="1" x14ac:dyDescent="0.35">
      <c r="A12" s="3"/>
      <c r="B12" s="1"/>
      <c r="C12" s="1"/>
      <c r="D12" s="1"/>
      <c r="E12" s="2"/>
      <c r="F12" s="2"/>
      <c r="G12" s="2"/>
      <c r="H12" s="4"/>
      <c r="I12" s="4"/>
      <c r="J12" s="4"/>
    </row>
    <row r="13" spans="1:16" ht="18.75" customHeight="1" x14ac:dyDescent="0.35">
      <c r="A13" s="3"/>
      <c r="B13" s="1"/>
      <c r="C13" s="1"/>
      <c r="D13" s="1"/>
      <c r="E13" s="2"/>
      <c r="F13" s="2"/>
      <c r="G13" s="2"/>
      <c r="H13" s="4"/>
      <c r="I13" s="4"/>
      <c r="J13" s="4"/>
    </row>
    <row r="14" spans="1:16" ht="18.75" customHeight="1" x14ac:dyDescent="0.35">
      <c r="A14" s="3"/>
      <c r="B14" s="1"/>
      <c r="C14" s="1"/>
      <c r="D14" s="1"/>
      <c r="E14" s="2"/>
      <c r="F14" s="2"/>
      <c r="G14" s="2"/>
      <c r="H14" s="4"/>
      <c r="I14" s="4"/>
      <c r="J14" s="4"/>
    </row>
    <row r="15" spans="1:16" ht="18.75" customHeight="1" x14ac:dyDescent="0.35">
      <c r="A15" s="3"/>
      <c r="B15" s="1"/>
      <c r="C15" s="1"/>
      <c r="D15" s="1"/>
      <c r="E15" s="2"/>
      <c r="F15" s="2"/>
      <c r="G15" s="2"/>
      <c r="H15" s="4"/>
      <c r="I15" s="4"/>
      <c r="J15" s="4"/>
    </row>
    <row r="16" spans="1:16" ht="18.75" customHeight="1" x14ac:dyDescent="0.35">
      <c r="A16" s="3"/>
      <c r="B16" s="1"/>
      <c r="C16" s="1"/>
      <c r="D16" s="1"/>
      <c r="E16" s="2"/>
      <c r="F16" s="2"/>
      <c r="G16" s="2"/>
      <c r="H16" s="4"/>
      <c r="I16" s="4"/>
      <c r="J16" s="4"/>
    </row>
    <row r="17" spans="1:22" ht="18.75" customHeight="1" x14ac:dyDescent="0.25">
      <c r="A17" s="6"/>
      <c r="B17" s="7"/>
      <c r="C17" s="7"/>
      <c r="D17" s="7"/>
      <c r="E17" s="7"/>
      <c r="F17" s="7"/>
      <c r="G17" s="7"/>
      <c r="H17" s="7"/>
      <c r="I17" s="7"/>
      <c r="J17" s="7"/>
      <c r="K17" s="7"/>
      <c r="L17" s="7"/>
      <c r="M17" s="7"/>
      <c r="N17" s="7"/>
      <c r="O17" s="7"/>
    </row>
    <row r="18" spans="1:22" s="6" customFormat="1" ht="27" customHeight="1" x14ac:dyDescent="0.25">
      <c r="B18" s="48" t="s">
        <v>0</v>
      </c>
      <c r="C18" s="48"/>
      <c r="D18" s="47" t="s">
        <v>1</v>
      </c>
      <c r="E18" s="47"/>
      <c r="F18" s="47" t="s">
        <v>2</v>
      </c>
      <c r="G18" s="47"/>
      <c r="H18" s="47" t="s">
        <v>3</v>
      </c>
      <c r="I18" s="47"/>
      <c r="J18" s="47" t="s">
        <v>4</v>
      </c>
      <c r="K18" s="47"/>
      <c r="L18" s="47" t="s">
        <v>5</v>
      </c>
      <c r="M18" s="47"/>
      <c r="N18" s="47" t="s">
        <v>6</v>
      </c>
      <c r="O18" s="47"/>
      <c r="P18" s="5"/>
      <c r="Q18" s="8"/>
      <c r="U18" s="5"/>
      <c r="V18" s="5"/>
    </row>
    <row r="19" spans="1:22" s="9" customFormat="1" ht="16.5" customHeight="1" x14ac:dyDescent="0.25">
      <c r="B19" s="26"/>
      <c r="C19" s="19">
        <v>31</v>
      </c>
      <c r="D19" s="27"/>
      <c r="E19" s="19">
        <v>1</v>
      </c>
      <c r="F19" s="27"/>
      <c r="G19" s="19">
        <v>2</v>
      </c>
      <c r="H19" s="27"/>
      <c r="I19" s="19">
        <v>3</v>
      </c>
      <c r="J19" s="27"/>
      <c r="K19" s="19">
        <v>4</v>
      </c>
      <c r="L19" s="27"/>
      <c r="M19" s="19">
        <v>5</v>
      </c>
      <c r="N19" s="27"/>
      <c r="O19" s="19">
        <v>6</v>
      </c>
      <c r="P19" s="10"/>
      <c r="Q19" s="10"/>
      <c r="U19" s="11"/>
      <c r="V19" s="10"/>
    </row>
    <row r="20" spans="1:22" s="12" customFormat="1" ht="55.5" customHeight="1" x14ac:dyDescent="0.25">
      <c r="A20" s="6"/>
      <c r="B20" s="42"/>
      <c r="C20" s="43"/>
      <c r="D20" s="43"/>
      <c r="E20" s="43"/>
      <c r="F20" s="43"/>
      <c r="G20" s="43"/>
      <c r="H20" s="43"/>
      <c r="I20" s="43"/>
      <c r="J20" s="43"/>
      <c r="K20" s="43"/>
      <c r="L20" s="46"/>
      <c r="M20" s="46"/>
      <c r="N20" s="84" t="s">
        <v>9</v>
      </c>
      <c r="O20" s="85"/>
    </row>
    <row r="21" spans="1:22" s="12" customFormat="1" ht="8.25" customHeight="1" x14ac:dyDescent="0.25">
      <c r="A21" s="6"/>
      <c r="B21" s="45"/>
      <c r="C21" s="45"/>
      <c r="D21" s="45"/>
      <c r="E21" s="45"/>
      <c r="F21" s="45"/>
      <c r="G21" s="45"/>
      <c r="H21" s="45"/>
      <c r="I21" s="45"/>
      <c r="J21" s="45"/>
      <c r="K21" s="45"/>
      <c r="L21" s="41"/>
      <c r="M21" s="41"/>
      <c r="N21" s="82"/>
      <c r="O21" s="83"/>
    </row>
    <row r="22" spans="1:22" s="10" customFormat="1" ht="16.5" customHeight="1" x14ac:dyDescent="0.25">
      <c r="A22" s="9"/>
      <c r="B22" s="28"/>
      <c r="C22" s="19">
        <v>7</v>
      </c>
      <c r="D22" s="27"/>
      <c r="E22" s="19">
        <v>8</v>
      </c>
      <c r="F22" s="27"/>
      <c r="G22" s="19">
        <v>9</v>
      </c>
      <c r="H22" s="27"/>
      <c r="I22" s="19">
        <v>10</v>
      </c>
      <c r="J22" s="27"/>
      <c r="K22" s="19">
        <v>11</v>
      </c>
      <c r="L22" s="27"/>
      <c r="M22" s="19">
        <v>12</v>
      </c>
      <c r="N22" s="27"/>
      <c r="O22" s="20">
        <v>13</v>
      </c>
    </row>
    <row r="23" spans="1:22" ht="55.5" customHeight="1" x14ac:dyDescent="0.25">
      <c r="A23" s="6"/>
      <c r="B23" s="42"/>
      <c r="C23" s="43"/>
      <c r="D23" s="43"/>
      <c r="E23" s="43"/>
      <c r="F23" s="43"/>
      <c r="G23" s="43"/>
      <c r="H23" s="43"/>
      <c r="I23" s="43"/>
      <c r="J23" s="43"/>
      <c r="K23" s="43"/>
      <c r="L23" s="46"/>
      <c r="M23" s="46"/>
      <c r="N23" s="46"/>
      <c r="O23" s="46"/>
    </row>
    <row r="24" spans="1:22" ht="8.25" customHeight="1" x14ac:dyDescent="0.25">
      <c r="A24" s="6"/>
      <c r="B24" s="45"/>
      <c r="C24" s="45"/>
      <c r="D24" s="45"/>
      <c r="E24" s="45"/>
      <c r="F24" s="45"/>
      <c r="G24" s="45"/>
      <c r="H24" s="45"/>
      <c r="I24" s="45"/>
      <c r="J24" s="45"/>
      <c r="K24" s="45"/>
      <c r="L24" s="41"/>
      <c r="M24" s="41"/>
      <c r="N24" s="41"/>
      <c r="O24" s="41"/>
    </row>
    <row r="25" spans="1:22" s="10" customFormat="1" ht="16.5" customHeight="1" x14ac:dyDescent="0.25">
      <c r="A25" s="9"/>
      <c r="B25" s="28"/>
      <c r="C25" s="19">
        <v>14</v>
      </c>
      <c r="D25" s="27"/>
      <c r="E25" s="19">
        <v>15</v>
      </c>
      <c r="F25" s="27"/>
      <c r="G25" s="19">
        <v>16</v>
      </c>
      <c r="H25" s="27"/>
      <c r="I25" s="19">
        <v>17</v>
      </c>
      <c r="J25" s="27"/>
      <c r="K25" s="19">
        <v>18</v>
      </c>
      <c r="L25" s="27"/>
      <c r="M25" s="19">
        <v>19</v>
      </c>
      <c r="N25" s="27"/>
      <c r="O25" s="19">
        <v>20</v>
      </c>
    </row>
    <row r="26" spans="1:22" ht="55.5" customHeight="1" x14ac:dyDescent="0.25">
      <c r="A26" s="6"/>
      <c r="B26" s="42"/>
      <c r="C26" s="43"/>
      <c r="D26" s="43"/>
      <c r="E26" s="43"/>
      <c r="F26" s="43"/>
      <c r="G26" s="43"/>
      <c r="H26" s="43"/>
      <c r="I26" s="43"/>
      <c r="J26" s="43"/>
      <c r="K26" s="43"/>
      <c r="L26" s="46"/>
      <c r="M26" s="46"/>
      <c r="N26" s="46"/>
      <c r="O26" s="46"/>
    </row>
    <row r="27" spans="1:22" ht="8.25" customHeight="1" x14ac:dyDescent="0.25">
      <c r="A27" s="6"/>
      <c r="B27" s="45"/>
      <c r="C27" s="45"/>
      <c r="D27" s="45"/>
      <c r="E27" s="45"/>
      <c r="F27" s="45"/>
      <c r="G27" s="45"/>
      <c r="H27" s="45"/>
      <c r="I27" s="45"/>
      <c r="J27" s="45"/>
      <c r="K27" s="45"/>
      <c r="L27" s="41"/>
      <c r="M27" s="41"/>
      <c r="N27" s="41"/>
      <c r="O27" s="41"/>
    </row>
    <row r="28" spans="1:22" s="10" customFormat="1" ht="16.5" customHeight="1" x14ac:dyDescent="0.25">
      <c r="A28" s="9"/>
      <c r="B28" s="28"/>
      <c r="C28" s="19">
        <v>21</v>
      </c>
      <c r="D28" s="27"/>
      <c r="E28" s="19">
        <v>22</v>
      </c>
      <c r="F28" s="27"/>
      <c r="G28" s="19">
        <v>23</v>
      </c>
      <c r="H28" s="27"/>
      <c r="I28" s="19">
        <v>24</v>
      </c>
      <c r="J28" s="27"/>
      <c r="K28" s="19">
        <v>25</v>
      </c>
      <c r="L28" s="27"/>
      <c r="M28" s="19">
        <v>26</v>
      </c>
      <c r="N28" s="27"/>
      <c r="O28" s="19">
        <v>27</v>
      </c>
    </row>
    <row r="29" spans="1:22" ht="55.5" customHeight="1" x14ac:dyDescent="0.25">
      <c r="A29" s="6"/>
      <c r="B29" s="42"/>
      <c r="C29" s="43"/>
      <c r="D29" s="81" t="s">
        <v>10</v>
      </c>
      <c r="E29" s="81"/>
      <c r="F29" s="43"/>
      <c r="G29" s="43"/>
      <c r="H29" s="43"/>
      <c r="I29" s="43"/>
      <c r="J29" s="43"/>
      <c r="K29" s="43"/>
      <c r="L29" s="46"/>
      <c r="M29" s="46"/>
      <c r="N29" s="46"/>
      <c r="O29" s="46"/>
    </row>
    <row r="30" spans="1:22" ht="8.25" customHeight="1" x14ac:dyDescent="0.25">
      <c r="A30" s="6"/>
      <c r="B30" s="45"/>
      <c r="C30" s="45"/>
      <c r="D30" s="45"/>
      <c r="E30" s="45"/>
      <c r="F30" s="45"/>
      <c r="G30" s="45"/>
      <c r="H30" s="45"/>
      <c r="I30" s="45"/>
      <c r="J30" s="45"/>
      <c r="K30" s="45"/>
      <c r="L30" s="41"/>
      <c r="M30" s="41"/>
      <c r="N30" s="41"/>
      <c r="O30" s="41"/>
    </row>
    <row r="31" spans="1:22" s="10" customFormat="1" ht="16.5" customHeight="1" x14ac:dyDescent="0.25">
      <c r="A31" s="9"/>
      <c r="B31" s="28"/>
      <c r="C31" s="19">
        <v>28</v>
      </c>
      <c r="D31" s="27"/>
      <c r="E31" s="19">
        <v>29</v>
      </c>
      <c r="F31" s="27"/>
      <c r="G31" s="19">
        <v>30</v>
      </c>
      <c r="H31" s="27"/>
      <c r="I31" s="19">
        <v>31</v>
      </c>
      <c r="J31" s="27"/>
      <c r="K31" s="19">
        <v>1</v>
      </c>
      <c r="L31" s="27"/>
      <c r="M31" s="19">
        <v>2</v>
      </c>
      <c r="N31" s="27"/>
      <c r="O31" s="19">
        <v>3</v>
      </c>
    </row>
    <row r="32" spans="1:22" ht="55.5" customHeight="1" x14ac:dyDescent="0.25">
      <c r="A32" s="6"/>
      <c r="B32" s="42"/>
      <c r="C32" s="43"/>
      <c r="D32" s="43"/>
      <c r="E32" s="43"/>
      <c r="F32" s="43"/>
      <c r="G32" s="43"/>
      <c r="H32" s="43"/>
      <c r="I32" s="43"/>
      <c r="J32" s="43"/>
      <c r="K32" s="43"/>
      <c r="L32" s="46"/>
      <c r="M32" s="46"/>
      <c r="N32" s="46"/>
      <c r="O32" s="46"/>
    </row>
    <row r="33" spans="1:16" ht="8.25" customHeight="1" x14ac:dyDescent="0.25">
      <c r="A33" s="6"/>
      <c r="B33" s="45"/>
      <c r="C33" s="45"/>
      <c r="D33" s="45"/>
      <c r="E33" s="45"/>
      <c r="F33" s="45"/>
      <c r="G33" s="45"/>
      <c r="H33" s="45"/>
      <c r="I33" s="45"/>
      <c r="J33" s="45"/>
      <c r="K33" s="45"/>
      <c r="L33" s="41"/>
      <c r="M33" s="41"/>
      <c r="N33" s="41"/>
      <c r="O33" s="41"/>
    </row>
    <row r="34" spans="1:16" s="15" customFormat="1" ht="54" customHeight="1" x14ac:dyDescent="0.2">
      <c r="A34" s="51" t="s">
        <v>8</v>
      </c>
      <c r="B34" s="51"/>
      <c r="C34" s="51"/>
      <c r="D34" s="51"/>
      <c r="E34" s="51"/>
      <c r="F34" s="51"/>
      <c r="G34" s="51"/>
      <c r="H34" s="13"/>
      <c r="I34" s="4"/>
      <c r="J34" s="4"/>
      <c r="L34" s="49">
        <f>Annéecivile</f>
        <v>2019</v>
      </c>
      <c r="M34" s="49"/>
      <c r="N34" s="49"/>
      <c r="O34" s="49"/>
      <c r="P34" s="49"/>
    </row>
    <row r="35" spans="1:16" s="15" customFormat="1" ht="18.75" customHeight="1" x14ac:dyDescent="0.35">
      <c r="A35" s="3"/>
      <c r="B35" s="1"/>
      <c r="C35" s="1"/>
      <c r="D35" s="1"/>
      <c r="E35" s="2"/>
      <c r="F35" s="2"/>
      <c r="G35" s="2"/>
      <c r="H35" s="4"/>
      <c r="I35" s="4"/>
      <c r="J35" s="4"/>
      <c r="L35" s="50"/>
      <c r="M35" s="50"/>
      <c r="N35" s="50"/>
      <c r="O35" s="50"/>
    </row>
    <row r="36" spans="1:16" s="15" customFormat="1" ht="18.75" customHeight="1" x14ac:dyDescent="0.35">
      <c r="A36" s="3"/>
      <c r="B36" s="1"/>
      <c r="C36" s="1"/>
      <c r="D36" s="1"/>
      <c r="E36" s="2"/>
      <c r="F36" s="2"/>
      <c r="G36" s="2"/>
      <c r="H36" s="4"/>
      <c r="I36" s="4"/>
      <c r="J36" s="4"/>
    </row>
    <row r="37" spans="1:16" s="15" customFormat="1" ht="18.75" customHeight="1" x14ac:dyDescent="0.35">
      <c r="A37" s="3"/>
      <c r="B37" s="1"/>
      <c r="C37" s="1"/>
      <c r="D37" s="1"/>
      <c r="E37" s="2"/>
      <c r="F37" s="2"/>
      <c r="G37" s="2"/>
      <c r="H37" s="4"/>
      <c r="I37" s="4"/>
      <c r="J37" s="4"/>
    </row>
    <row r="38" spans="1:16" s="15" customFormat="1" ht="18.75" customHeight="1" x14ac:dyDescent="0.35">
      <c r="A38" s="3"/>
      <c r="B38" s="1"/>
      <c r="C38" s="1"/>
      <c r="D38" s="1"/>
      <c r="E38" s="2"/>
      <c r="F38" s="2"/>
      <c r="G38" s="2"/>
      <c r="H38" s="4"/>
      <c r="I38" s="4"/>
      <c r="J38" s="4"/>
    </row>
    <row r="39" spans="1:16" s="15" customFormat="1" ht="18.75" customHeight="1" x14ac:dyDescent="0.35">
      <c r="A39" s="3"/>
      <c r="B39" s="1"/>
      <c r="C39" s="1"/>
      <c r="D39" s="1"/>
      <c r="E39" s="2"/>
      <c r="F39" s="2"/>
      <c r="G39" s="2"/>
      <c r="H39" s="4"/>
      <c r="I39" s="4"/>
      <c r="J39" s="4"/>
    </row>
    <row r="40" spans="1:16" s="15" customFormat="1" ht="18.75" customHeight="1" x14ac:dyDescent="0.35">
      <c r="A40" s="3"/>
      <c r="B40" s="1"/>
      <c r="C40" s="1"/>
      <c r="D40" s="1"/>
      <c r="E40" s="2"/>
      <c r="F40" s="2"/>
      <c r="G40" s="2"/>
      <c r="H40" s="4"/>
      <c r="I40" s="4"/>
      <c r="J40" s="4"/>
    </row>
    <row r="41" spans="1:16" s="15" customFormat="1" ht="18.75" customHeight="1" x14ac:dyDescent="0.35">
      <c r="A41" s="3"/>
      <c r="B41" s="1"/>
      <c r="C41" s="1"/>
      <c r="D41" s="1"/>
      <c r="E41" s="2"/>
      <c r="F41" s="2"/>
      <c r="G41" s="2"/>
      <c r="H41" s="4"/>
      <c r="I41" s="4"/>
      <c r="J41" s="4"/>
    </row>
    <row r="42" spans="1:16" s="15" customFormat="1" ht="18.75" customHeight="1" x14ac:dyDescent="0.35">
      <c r="A42" s="3"/>
      <c r="B42" s="1"/>
      <c r="C42" s="1"/>
      <c r="D42" s="1"/>
      <c r="E42" s="2"/>
      <c r="F42" s="2"/>
      <c r="G42" s="2"/>
      <c r="H42" s="4"/>
      <c r="I42" s="4"/>
      <c r="J42" s="4"/>
    </row>
    <row r="43" spans="1:16" s="15" customFormat="1" ht="18.75" customHeight="1" x14ac:dyDescent="0.35">
      <c r="A43" s="3"/>
      <c r="B43" s="1"/>
      <c r="C43" s="1"/>
      <c r="D43" s="1"/>
      <c r="E43" s="2"/>
      <c r="F43" s="2"/>
      <c r="G43" s="2"/>
      <c r="H43" s="4"/>
      <c r="I43" s="4"/>
      <c r="J43" s="4"/>
    </row>
    <row r="44" spans="1:16" s="15" customFormat="1" ht="18.75" customHeight="1" x14ac:dyDescent="0.35">
      <c r="A44" s="3"/>
      <c r="B44" s="1"/>
      <c r="C44" s="1"/>
      <c r="D44" s="1"/>
      <c r="E44" s="2"/>
      <c r="F44" s="2"/>
      <c r="G44" s="2"/>
      <c r="H44" s="4"/>
      <c r="I44" s="4"/>
      <c r="J44" s="4"/>
    </row>
    <row r="45" spans="1:16" s="15" customFormat="1" ht="18.75" customHeight="1" x14ac:dyDescent="0.35">
      <c r="A45" s="3"/>
      <c r="B45" s="1"/>
      <c r="C45" s="1"/>
      <c r="D45" s="1"/>
      <c r="E45" s="2"/>
      <c r="F45" s="2"/>
      <c r="G45" s="2"/>
      <c r="H45" s="4"/>
      <c r="I45" s="4"/>
      <c r="J45" s="4"/>
    </row>
    <row r="46" spans="1:16" s="15" customFormat="1" ht="18.75" customHeight="1" x14ac:dyDescent="0.35">
      <c r="A46" s="3"/>
      <c r="B46" s="1"/>
      <c r="C46" s="1"/>
      <c r="D46" s="1"/>
      <c r="E46" s="2"/>
      <c r="F46" s="2"/>
      <c r="G46" s="2"/>
      <c r="H46" s="4"/>
      <c r="I46" s="4"/>
      <c r="J46" s="4"/>
    </row>
    <row r="47" spans="1:16" s="15" customFormat="1" ht="18.75" customHeight="1" x14ac:dyDescent="0.35">
      <c r="A47" s="3"/>
      <c r="B47" s="1"/>
      <c r="C47" s="1"/>
      <c r="D47" s="1"/>
      <c r="E47" s="2"/>
      <c r="F47" s="2"/>
      <c r="G47" s="2"/>
      <c r="H47" s="4"/>
      <c r="I47" s="4"/>
      <c r="J47" s="4"/>
    </row>
    <row r="48" spans="1:16" s="15" customFormat="1" ht="18.75" customHeight="1" x14ac:dyDescent="0.35">
      <c r="A48" s="3"/>
      <c r="B48" s="1"/>
      <c r="C48" s="1"/>
      <c r="D48" s="1"/>
      <c r="E48" s="2"/>
      <c r="F48" s="2"/>
      <c r="G48" s="2"/>
      <c r="H48" s="4"/>
      <c r="I48" s="4"/>
      <c r="J48" s="4"/>
    </row>
    <row r="49" spans="1:22" s="15" customFormat="1" ht="18.75" customHeight="1" x14ac:dyDescent="0.25">
      <c r="A49" s="6"/>
      <c r="B49" s="7"/>
      <c r="C49" s="7"/>
      <c r="D49" s="7"/>
      <c r="E49" s="7"/>
      <c r="F49" s="7"/>
      <c r="G49" s="7"/>
      <c r="H49" s="7"/>
      <c r="I49" s="7"/>
      <c r="J49" s="7"/>
      <c r="K49" s="7"/>
      <c r="L49" s="7"/>
      <c r="M49" s="7"/>
      <c r="N49" s="7"/>
      <c r="O49" s="7"/>
    </row>
    <row r="50" spans="1:22" s="6" customFormat="1" ht="27" customHeight="1" x14ac:dyDescent="0.25">
      <c r="B50" s="48" t="s">
        <v>0</v>
      </c>
      <c r="C50" s="48"/>
      <c r="D50" s="47" t="s">
        <v>1</v>
      </c>
      <c r="E50" s="47"/>
      <c r="F50" s="47" t="s">
        <v>2</v>
      </c>
      <c r="G50" s="47"/>
      <c r="H50" s="47" t="s">
        <v>3</v>
      </c>
      <c r="I50" s="47"/>
      <c r="J50" s="47" t="s">
        <v>4</v>
      </c>
      <c r="K50" s="47"/>
      <c r="L50" s="47" t="s">
        <v>5</v>
      </c>
      <c r="M50" s="47"/>
      <c r="N50" s="47" t="s">
        <v>6</v>
      </c>
      <c r="O50" s="47"/>
      <c r="P50" s="15"/>
      <c r="Q50" s="8"/>
      <c r="U50" s="15"/>
      <c r="V50" s="15"/>
    </row>
    <row r="51" spans="1:22" s="9" customFormat="1" ht="16.5" customHeight="1" x14ac:dyDescent="0.25">
      <c r="B51" s="26"/>
      <c r="C51" s="19">
        <v>28</v>
      </c>
      <c r="D51" s="27"/>
      <c r="E51" s="19">
        <v>29</v>
      </c>
      <c r="F51" s="27"/>
      <c r="G51" s="19">
        <v>30</v>
      </c>
      <c r="H51" s="27"/>
      <c r="I51" s="19">
        <v>31</v>
      </c>
      <c r="J51" s="27"/>
      <c r="K51" s="19">
        <v>1</v>
      </c>
      <c r="L51" s="27"/>
      <c r="M51" s="19">
        <v>2</v>
      </c>
      <c r="N51" s="27"/>
      <c r="O51" s="19">
        <v>3</v>
      </c>
      <c r="P51" s="10"/>
      <c r="Q51" s="10"/>
      <c r="U51" s="11"/>
      <c r="V51" s="10"/>
    </row>
    <row r="52" spans="1:22" s="12" customFormat="1" ht="55.5" customHeight="1" x14ac:dyDescent="0.25">
      <c r="A52" s="6"/>
      <c r="B52" s="42"/>
      <c r="C52" s="43"/>
      <c r="D52" s="43"/>
      <c r="E52" s="43"/>
      <c r="F52" s="43"/>
      <c r="G52" s="43"/>
      <c r="H52" s="43"/>
      <c r="I52" s="43"/>
      <c r="J52" s="43"/>
      <c r="K52" s="43"/>
      <c r="L52" s="46"/>
      <c r="M52" s="46"/>
      <c r="N52" s="46"/>
      <c r="O52" s="46"/>
    </row>
    <row r="53" spans="1:22" s="12" customFormat="1" ht="8.25" customHeight="1" x14ac:dyDescent="0.25">
      <c r="A53" s="6"/>
      <c r="B53" s="45"/>
      <c r="C53" s="45"/>
      <c r="D53" s="45"/>
      <c r="E53" s="45"/>
      <c r="F53" s="45"/>
      <c r="G53" s="45"/>
      <c r="H53" s="45"/>
      <c r="I53" s="45"/>
      <c r="J53" s="45"/>
      <c r="K53" s="45"/>
      <c r="L53" s="41"/>
      <c r="M53" s="41"/>
      <c r="N53" s="41"/>
      <c r="O53" s="41"/>
    </row>
    <row r="54" spans="1:22" s="10" customFormat="1" ht="16.5" customHeight="1" x14ac:dyDescent="0.25">
      <c r="A54" s="9"/>
      <c r="B54" s="28"/>
      <c r="C54" s="19">
        <v>4</v>
      </c>
      <c r="D54" s="27"/>
      <c r="E54" s="19">
        <v>5</v>
      </c>
      <c r="F54" s="27"/>
      <c r="G54" s="19">
        <v>6</v>
      </c>
      <c r="H54" s="27"/>
      <c r="I54" s="19">
        <v>7</v>
      </c>
      <c r="J54" s="27"/>
      <c r="K54" s="19">
        <v>8</v>
      </c>
      <c r="L54" s="27"/>
      <c r="M54" s="19">
        <v>9</v>
      </c>
      <c r="N54" s="27"/>
      <c r="O54" s="20">
        <v>10</v>
      </c>
    </row>
    <row r="55" spans="1:22" s="15" customFormat="1" ht="55.5" customHeight="1" x14ac:dyDescent="0.25">
      <c r="A55" s="6"/>
      <c r="B55" s="42"/>
      <c r="C55" s="43"/>
      <c r="D55" s="43"/>
      <c r="E55" s="43"/>
      <c r="F55" s="43"/>
      <c r="G55" s="43"/>
      <c r="H55" s="43"/>
      <c r="I55" s="43"/>
      <c r="J55" s="43"/>
      <c r="K55" s="43"/>
      <c r="L55" s="46"/>
      <c r="M55" s="46"/>
      <c r="N55" s="46"/>
      <c r="O55" s="46"/>
    </row>
    <row r="56" spans="1:22" s="15" customFormat="1" ht="8.25" customHeight="1" x14ac:dyDescent="0.25">
      <c r="A56" s="6"/>
      <c r="B56" s="45"/>
      <c r="C56" s="45"/>
      <c r="D56" s="45"/>
      <c r="E56" s="45"/>
      <c r="F56" s="45"/>
      <c r="G56" s="45"/>
      <c r="H56" s="45"/>
      <c r="I56" s="45"/>
      <c r="J56" s="45"/>
      <c r="K56" s="45"/>
      <c r="L56" s="41"/>
      <c r="M56" s="41"/>
      <c r="N56" s="41"/>
      <c r="O56" s="41"/>
    </row>
    <row r="57" spans="1:22" s="10" customFormat="1" ht="16.5" customHeight="1" x14ac:dyDescent="0.25">
      <c r="A57" s="9"/>
      <c r="B57" s="28"/>
      <c r="C57" s="19">
        <v>11</v>
      </c>
      <c r="D57" s="27"/>
      <c r="E57" s="19">
        <v>12</v>
      </c>
      <c r="F57" s="27"/>
      <c r="G57" s="19">
        <v>13</v>
      </c>
      <c r="H57" s="27"/>
      <c r="I57" s="19">
        <v>14</v>
      </c>
      <c r="J57" s="27"/>
      <c r="K57" s="19">
        <v>15</v>
      </c>
      <c r="L57" s="27"/>
      <c r="M57" s="19">
        <v>16</v>
      </c>
      <c r="N57" s="27"/>
      <c r="O57" s="19">
        <v>17</v>
      </c>
    </row>
    <row r="58" spans="1:22" s="15" customFormat="1" ht="55.5" customHeight="1" x14ac:dyDescent="0.25">
      <c r="A58" s="6"/>
      <c r="B58" s="42"/>
      <c r="C58" s="43"/>
      <c r="D58" s="43"/>
      <c r="E58" s="43"/>
      <c r="F58" s="43"/>
      <c r="G58" s="43"/>
      <c r="H58" s="43"/>
      <c r="I58" s="43"/>
      <c r="J58" s="43"/>
      <c r="K58" s="43"/>
      <c r="L58" s="46"/>
      <c r="M58" s="46"/>
      <c r="N58" s="46"/>
      <c r="O58" s="46"/>
    </row>
    <row r="59" spans="1:22" s="15" customFormat="1" ht="8.25" customHeight="1" x14ac:dyDescent="0.25">
      <c r="A59" s="6"/>
      <c r="B59" s="45"/>
      <c r="C59" s="45"/>
      <c r="D59" s="45"/>
      <c r="E59" s="45"/>
      <c r="F59" s="45"/>
      <c r="G59" s="45"/>
      <c r="H59" s="45"/>
      <c r="I59" s="45"/>
      <c r="J59" s="45"/>
      <c r="K59" s="45"/>
      <c r="L59" s="41"/>
      <c r="M59" s="41"/>
      <c r="N59" s="41"/>
      <c r="O59" s="41"/>
    </row>
    <row r="60" spans="1:22" s="10" customFormat="1" ht="16.5" customHeight="1" x14ac:dyDescent="0.25">
      <c r="A60" s="9"/>
      <c r="B60" s="28"/>
      <c r="C60" s="19">
        <v>18</v>
      </c>
      <c r="D60" s="27"/>
      <c r="E60" s="19">
        <v>19</v>
      </c>
      <c r="F60" s="27"/>
      <c r="G60" s="19">
        <v>20</v>
      </c>
      <c r="H60" s="27"/>
      <c r="I60" s="19">
        <v>21</v>
      </c>
      <c r="J60" s="27"/>
      <c r="K60" s="19">
        <v>22</v>
      </c>
      <c r="L60" s="27"/>
      <c r="M60" s="19">
        <v>23</v>
      </c>
      <c r="N60" s="27"/>
      <c r="O60" s="19">
        <v>24</v>
      </c>
    </row>
    <row r="61" spans="1:22" s="15" customFormat="1" ht="55.5" customHeight="1" x14ac:dyDescent="0.25">
      <c r="A61" s="6"/>
      <c r="B61" s="42"/>
      <c r="C61" s="43"/>
      <c r="D61" s="43"/>
      <c r="E61" s="43"/>
      <c r="F61" s="43"/>
      <c r="G61" s="43"/>
      <c r="H61" s="43"/>
      <c r="I61" s="43"/>
      <c r="J61" s="43"/>
      <c r="K61" s="43"/>
      <c r="L61" s="46"/>
      <c r="M61" s="46"/>
      <c r="N61" s="46"/>
      <c r="O61" s="46"/>
    </row>
    <row r="62" spans="1:22" s="15" customFormat="1" ht="8.25" customHeight="1" x14ac:dyDescent="0.25">
      <c r="A62" s="6"/>
      <c r="B62" s="45"/>
      <c r="C62" s="45"/>
      <c r="D62" s="45"/>
      <c r="E62" s="45"/>
      <c r="F62" s="45"/>
      <c r="G62" s="45"/>
      <c r="H62" s="45"/>
      <c r="I62" s="45"/>
      <c r="J62" s="45"/>
      <c r="K62" s="45"/>
      <c r="L62" s="41"/>
      <c r="M62" s="41"/>
      <c r="N62" s="41"/>
      <c r="O62" s="41"/>
    </row>
    <row r="63" spans="1:22" s="10" customFormat="1" ht="16.5" customHeight="1" x14ac:dyDescent="0.25">
      <c r="A63" s="9"/>
      <c r="B63" s="28"/>
      <c r="C63" s="19">
        <v>25</v>
      </c>
      <c r="D63" s="27"/>
      <c r="E63" s="19">
        <v>26</v>
      </c>
      <c r="F63" s="27"/>
      <c r="G63" s="19">
        <v>27</v>
      </c>
      <c r="H63" s="27"/>
      <c r="I63" s="19">
        <v>28</v>
      </c>
      <c r="J63" s="27"/>
      <c r="K63" s="19">
        <v>1</v>
      </c>
      <c r="L63" s="27"/>
      <c r="M63" s="19">
        <v>2</v>
      </c>
      <c r="N63" s="27"/>
      <c r="O63" s="19">
        <v>3</v>
      </c>
    </row>
    <row r="64" spans="1:22" s="15" customFormat="1" ht="55.5" customHeight="1" x14ac:dyDescent="0.25">
      <c r="A64" s="6"/>
      <c r="B64" s="42"/>
      <c r="C64" s="43"/>
      <c r="D64" s="43"/>
      <c r="E64" s="43"/>
      <c r="F64" s="43"/>
      <c r="G64" s="43"/>
      <c r="H64" s="43"/>
      <c r="I64" s="43"/>
      <c r="J64" s="43"/>
      <c r="K64" s="43"/>
      <c r="L64" s="46"/>
      <c r="M64" s="46"/>
      <c r="N64" s="46"/>
      <c r="O64" s="46"/>
    </row>
    <row r="65" spans="1:16" s="15" customFormat="1" ht="8.25" customHeight="1" x14ac:dyDescent="0.25">
      <c r="A65" s="6"/>
      <c r="B65" s="45"/>
      <c r="C65" s="45"/>
      <c r="D65" s="45"/>
      <c r="E65" s="45"/>
      <c r="F65" s="45"/>
      <c r="G65" s="45"/>
      <c r="H65" s="45"/>
      <c r="I65" s="45"/>
      <c r="J65" s="45"/>
      <c r="K65" s="45"/>
      <c r="L65" s="41"/>
      <c r="M65" s="41"/>
      <c r="N65" s="41"/>
      <c r="O65" s="41"/>
    </row>
    <row r="66" spans="1:16" s="15" customFormat="1" x14ac:dyDescent="0.2"/>
    <row r="67" spans="1:16" s="15" customFormat="1" ht="54" customHeight="1" x14ac:dyDescent="0.2">
      <c r="A67" s="80" t="s">
        <v>11</v>
      </c>
      <c r="B67" s="80"/>
      <c r="C67" s="80"/>
      <c r="D67" s="80"/>
      <c r="E67" s="80"/>
      <c r="F67" s="80"/>
      <c r="G67" s="80"/>
      <c r="H67" s="13"/>
      <c r="I67" s="4"/>
      <c r="J67" s="4"/>
      <c r="L67" s="78">
        <v>2019</v>
      </c>
      <c r="M67" s="78"/>
      <c r="N67" s="78"/>
      <c r="O67" s="78"/>
      <c r="P67" s="78"/>
    </row>
    <row r="68" spans="1:16" s="15" customFormat="1" ht="18.95" customHeight="1" x14ac:dyDescent="0.35">
      <c r="A68" s="3"/>
      <c r="B68" s="1"/>
      <c r="C68" s="1"/>
      <c r="D68" s="1"/>
      <c r="E68" s="2"/>
      <c r="F68" s="2"/>
      <c r="G68" s="2"/>
      <c r="H68" s="4"/>
      <c r="I68" s="4"/>
      <c r="J68" s="4"/>
    </row>
    <row r="69" spans="1:16" s="15" customFormat="1" ht="18.95" customHeight="1" x14ac:dyDescent="0.35">
      <c r="A69" s="3"/>
      <c r="B69" s="1"/>
      <c r="C69" s="1"/>
      <c r="D69" s="1"/>
      <c r="E69" s="2"/>
      <c r="F69" s="2"/>
      <c r="G69" s="2"/>
      <c r="H69" s="4"/>
      <c r="I69" s="4"/>
      <c r="J69" s="4"/>
    </row>
    <row r="70" spans="1:16" s="15" customFormat="1" ht="18.95" customHeight="1" x14ac:dyDescent="0.35">
      <c r="A70" s="3"/>
      <c r="B70" s="1"/>
      <c r="C70" s="1"/>
      <c r="D70" s="1"/>
      <c r="E70" s="2"/>
      <c r="F70" s="2"/>
      <c r="G70" s="2"/>
      <c r="H70" s="4"/>
      <c r="I70" s="4"/>
      <c r="J70" s="4"/>
    </row>
    <row r="71" spans="1:16" s="15" customFormat="1" ht="18.95" customHeight="1" x14ac:dyDescent="0.35">
      <c r="A71" s="3"/>
      <c r="B71" s="1"/>
      <c r="C71" s="1"/>
      <c r="D71" s="1"/>
      <c r="E71" s="2"/>
      <c r="F71" s="2"/>
      <c r="G71" s="2"/>
      <c r="H71" s="4"/>
      <c r="I71" s="4"/>
      <c r="J71" s="4"/>
    </row>
    <row r="72" spans="1:16" s="15" customFormat="1" ht="18.95" customHeight="1" x14ac:dyDescent="0.35">
      <c r="A72" s="3"/>
      <c r="B72" s="1"/>
      <c r="C72" s="1"/>
      <c r="D72" s="1"/>
      <c r="E72" s="2"/>
      <c r="F72" s="2"/>
      <c r="G72" s="2"/>
      <c r="H72" s="4"/>
      <c r="I72" s="4"/>
      <c r="J72" s="4"/>
    </row>
    <row r="73" spans="1:16" s="15" customFormat="1" ht="18.95" customHeight="1" x14ac:dyDescent="0.35">
      <c r="A73" s="3"/>
      <c r="B73" s="1"/>
      <c r="C73" s="1"/>
      <c r="D73" s="1"/>
      <c r="E73" s="2"/>
      <c r="F73" s="2"/>
      <c r="G73" s="2"/>
      <c r="H73" s="4"/>
      <c r="I73" s="4"/>
      <c r="J73" s="4"/>
    </row>
    <row r="74" spans="1:16" s="15" customFormat="1" ht="18.95" customHeight="1" x14ac:dyDescent="0.35">
      <c r="A74" s="3"/>
      <c r="B74" s="1"/>
      <c r="C74" s="1"/>
      <c r="D74" s="1"/>
      <c r="E74" s="2"/>
      <c r="F74" s="2"/>
      <c r="G74" s="2"/>
      <c r="H74" s="4"/>
      <c r="I74" s="4"/>
      <c r="J74" s="4"/>
    </row>
    <row r="75" spans="1:16" s="15" customFormat="1" ht="18.95" customHeight="1" x14ac:dyDescent="0.35">
      <c r="A75" s="3"/>
      <c r="B75" s="1"/>
      <c r="C75" s="1"/>
      <c r="D75" s="1"/>
      <c r="E75" s="2"/>
      <c r="F75" s="2"/>
      <c r="G75" s="2"/>
      <c r="H75" s="4"/>
      <c r="I75" s="4"/>
      <c r="J75" s="4"/>
    </row>
    <row r="76" spans="1:16" s="15" customFormat="1" ht="18.95" customHeight="1" x14ac:dyDescent="0.35">
      <c r="A76" s="3"/>
      <c r="B76" s="1"/>
      <c r="C76" s="1"/>
      <c r="D76" s="1"/>
      <c r="E76" s="2"/>
      <c r="F76" s="2"/>
      <c r="G76" s="2"/>
      <c r="H76" s="4"/>
      <c r="I76" s="4"/>
      <c r="J76" s="4"/>
    </row>
    <row r="77" spans="1:16" s="15" customFormat="1" ht="18.95" customHeight="1" x14ac:dyDescent="0.35">
      <c r="A77" s="3"/>
      <c r="B77" s="1"/>
      <c r="C77" s="1"/>
      <c r="D77" s="1"/>
      <c r="E77" s="2"/>
      <c r="F77" s="2"/>
      <c r="G77" s="2"/>
      <c r="H77" s="4"/>
      <c r="I77" s="4"/>
      <c r="J77" s="4"/>
    </row>
    <row r="78" spans="1:16" s="15" customFormat="1" ht="18.95" customHeight="1" x14ac:dyDescent="0.35">
      <c r="A78" s="3"/>
      <c r="B78" s="1"/>
      <c r="C78" s="1"/>
      <c r="D78" s="1"/>
      <c r="E78" s="2"/>
      <c r="F78" s="2"/>
      <c r="G78" s="2"/>
      <c r="H78" s="4"/>
      <c r="I78" s="4"/>
      <c r="J78" s="4"/>
    </row>
    <row r="79" spans="1:16" s="15" customFormat="1" ht="18.95" customHeight="1" x14ac:dyDescent="0.35">
      <c r="A79" s="3"/>
      <c r="B79" s="1"/>
      <c r="C79" s="1"/>
      <c r="D79" s="1"/>
      <c r="E79" s="2"/>
      <c r="F79" s="2"/>
      <c r="G79" s="2"/>
      <c r="H79" s="4"/>
      <c r="I79" s="4"/>
      <c r="J79" s="4"/>
    </row>
    <row r="80" spans="1:16" s="15" customFormat="1" ht="18.95" customHeight="1" x14ac:dyDescent="0.35">
      <c r="A80" s="3"/>
      <c r="B80" s="1"/>
      <c r="C80" s="1"/>
      <c r="D80" s="1"/>
      <c r="E80" s="2"/>
      <c r="F80" s="2"/>
      <c r="G80" s="2"/>
      <c r="H80" s="4"/>
      <c r="I80" s="4"/>
      <c r="J80" s="4"/>
    </row>
    <row r="81" spans="1:22" s="15" customFormat="1" ht="18.95" customHeight="1" x14ac:dyDescent="0.35">
      <c r="A81" s="3"/>
      <c r="B81" s="1"/>
      <c r="C81" s="1"/>
      <c r="D81" s="1"/>
      <c r="E81" s="2"/>
      <c r="F81" s="2"/>
      <c r="G81" s="2"/>
      <c r="H81" s="4"/>
      <c r="I81" s="4"/>
      <c r="J81" s="4"/>
    </row>
    <row r="82" spans="1:22" s="15" customFormat="1" ht="18.95" customHeight="1" x14ac:dyDescent="0.25">
      <c r="A82" s="6"/>
      <c r="B82" s="7"/>
      <c r="C82" s="7"/>
      <c r="D82" s="7"/>
      <c r="E82" s="7"/>
      <c r="F82" s="7"/>
      <c r="G82" s="7"/>
      <c r="H82" s="7"/>
      <c r="I82" s="7"/>
      <c r="J82" s="7"/>
      <c r="K82" s="7"/>
      <c r="L82" s="7"/>
      <c r="M82" s="7"/>
      <c r="N82" s="7"/>
      <c r="O82" s="7"/>
    </row>
    <row r="83" spans="1:22" s="6" customFormat="1" ht="27" customHeight="1" x14ac:dyDescent="0.25">
      <c r="B83" s="79" t="s">
        <v>0</v>
      </c>
      <c r="C83" s="79"/>
      <c r="D83" s="79" t="s">
        <v>1</v>
      </c>
      <c r="E83" s="79"/>
      <c r="F83" s="79" t="s">
        <v>2</v>
      </c>
      <c r="G83" s="79"/>
      <c r="H83" s="79" t="s">
        <v>3</v>
      </c>
      <c r="I83" s="79"/>
      <c r="J83" s="79" t="s">
        <v>4</v>
      </c>
      <c r="K83" s="79"/>
      <c r="L83" s="79" t="s">
        <v>5</v>
      </c>
      <c r="M83" s="79"/>
      <c r="N83" s="79" t="s">
        <v>6</v>
      </c>
      <c r="O83" s="79"/>
      <c r="P83" s="15"/>
      <c r="Q83" s="8"/>
      <c r="U83" s="15"/>
      <c r="V83" s="15"/>
    </row>
    <row r="84" spans="1:22" s="9" customFormat="1" ht="16.5" customHeight="1" x14ac:dyDescent="0.25">
      <c r="B84" s="35"/>
      <c r="C84" s="22">
        <v>25</v>
      </c>
      <c r="D84" s="36"/>
      <c r="E84" s="22">
        <v>26</v>
      </c>
      <c r="F84" s="36"/>
      <c r="G84" s="22">
        <v>27</v>
      </c>
      <c r="H84" s="36"/>
      <c r="I84" s="22">
        <v>28</v>
      </c>
      <c r="J84" s="36"/>
      <c r="K84" s="22">
        <v>1</v>
      </c>
      <c r="L84" s="36"/>
      <c r="M84" s="22">
        <v>2</v>
      </c>
      <c r="N84" s="36"/>
      <c r="O84" s="22">
        <v>3</v>
      </c>
      <c r="P84" s="10"/>
      <c r="Q84" s="10"/>
      <c r="U84" s="11"/>
      <c r="V84" s="10"/>
    </row>
    <row r="85" spans="1:22" s="12" customFormat="1" ht="55.5" customHeight="1" x14ac:dyDescent="0.25">
      <c r="A85" s="6"/>
      <c r="B85" s="74"/>
      <c r="C85" s="75"/>
      <c r="D85" s="75"/>
      <c r="E85" s="75"/>
      <c r="F85" s="75"/>
      <c r="G85" s="75"/>
      <c r="H85" s="75"/>
      <c r="I85" s="75"/>
      <c r="J85" s="75"/>
      <c r="K85" s="75"/>
      <c r="L85" s="71"/>
      <c r="M85" s="71"/>
      <c r="N85" s="71"/>
      <c r="O85" s="71"/>
    </row>
    <row r="86" spans="1:22" s="12" customFormat="1" ht="8.25" customHeight="1" x14ac:dyDescent="0.25">
      <c r="A86" s="6"/>
      <c r="B86" s="72"/>
      <c r="C86" s="72"/>
      <c r="D86" s="72"/>
      <c r="E86" s="72"/>
      <c r="F86" s="72"/>
      <c r="G86" s="72"/>
      <c r="H86" s="72"/>
      <c r="I86" s="72"/>
      <c r="J86" s="72"/>
      <c r="K86" s="72"/>
      <c r="L86" s="73"/>
      <c r="M86" s="73"/>
      <c r="N86" s="73"/>
      <c r="O86" s="73"/>
    </row>
    <row r="87" spans="1:22" s="10" customFormat="1" ht="16.5" customHeight="1" x14ac:dyDescent="0.25">
      <c r="A87" s="9"/>
      <c r="B87" s="37"/>
      <c r="C87" s="22">
        <f>IF(DAY(MarSun1)=1,MarSun1+1,MarSun1+8)</f>
        <v>43528</v>
      </c>
      <c r="D87" s="36"/>
      <c r="E87" s="22">
        <f>IF(DAY(MarSun1)=1,MarSun1+2,MarSun1+9)</f>
        <v>43529</v>
      </c>
      <c r="F87" s="36"/>
      <c r="G87" s="22">
        <f>IF(DAY(MarSun1)=1,MarSun1+3,MarSun1+10)</f>
        <v>43530</v>
      </c>
      <c r="H87" s="36"/>
      <c r="I87" s="22">
        <f>IF(DAY(MarSun1)=1,MarSun1+4,MarSun1+11)</f>
        <v>43531</v>
      </c>
      <c r="J87" s="36"/>
      <c r="K87" s="22">
        <f>IF(DAY(MarSun1)=1,MarSun1+5,MarSun1+12)</f>
        <v>43532</v>
      </c>
      <c r="L87" s="36"/>
      <c r="M87" s="22">
        <f>IF(DAY(MarSun1)=1,MarSun1+6,MarSun1+13)</f>
        <v>43533</v>
      </c>
      <c r="N87" s="36"/>
      <c r="O87" s="22">
        <f>IF(DAY(MarSun1)=1,MarSun1+7,MarSun1+14)</f>
        <v>43534</v>
      </c>
    </row>
    <row r="88" spans="1:22" s="15" customFormat="1" ht="55.5" customHeight="1" x14ac:dyDescent="0.25">
      <c r="A88" s="6"/>
      <c r="B88" s="74"/>
      <c r="C88" s="75"/>
      <c r="D88" s="75"/>
      <c r="E88" s="75"/>
      <c r="F88" s="75"/>
      <c r="G88" s="75"/>
      <c r="H88" s="75"/>
      <c r="I88" s="75"/>
      <c r="J88" s="75"/>
      <c r="K88" s="75"/>
      <c r="L88" s="71"/>
      <c r="M88" s="71"/>
      <c r="N88" s="71"/>
      <c r="O88" s="71"/>
    </row>
    <row r="89" spans="1:22" s="15" customFormat="1" ht="8.25" customHeight="1" x14ac:dyDescent="0.25">
      <c r="A89" s="6"/>
      <c r="B89" s="72"/>
      <c r="C89" s="72"/>
      <c r="D89" s="72"/>
      <c r="E89" s="72"/>
      <c r="F89" s="72"/>
      <c r="G89" s="72"/>
      <c r="H89" s="72"/>
      <c r="I89" s="72"/>
      <c r="J89" s="72"/>
      <c r="K89" s="72"/>
      <c r="L89" s="73"/>
      <c r="M89" s="73"/>
      <c r="N89" s="73"/>
      <c r="O89" s="73"/>
    </row>
    <row r="90" spans="1:22" s="10" customFormat="1" ht="16.5" customHeight="1" x14ac:dyDescent="0.25">
      <c r="A90" s="9"/>
      <c r="B90" s="37"/>
      <c r="C90" s="22">
        <f>IF(DAY(MarSun1)=1,MarSun1+8,MarSun1+15)</f>
        <v>43535</v>
      </c>
      <c r="D90" s="36"/>
      <c r="E90" s="22">
        <f>IF(DAY(MarSun1)=1,MarSun1+9,MarSun1+16)</f>
        <v>43536</v>
      </c>
      <c r="F90" s="36"/>
      <c r="G90" s="22">
        <f>IF(DAY(MarSun1)=1,MarSun1+10,MarSun1+17)</f>
        <v>43537</v>
      </c>
      <c r="H90" s="36"/>
      <c r="I90" s="22">
        <f>IF(DAY(MarSun1)=1,MarSun1+11,MarSun1+18)</f>
        <v>43538</v>
      </c>
      <c r="J90" s="36"/>
      <c r="K90" s="22">
        <f>IF(DAY(MarSun1)=1,MarSun1+12,MarSun1+19)</f>
        <v>43539</v>
      </c>
      <c r="L90" s="36"/>
      <c r="M90" s="22">
        <f>IF(DAY(MarSun1)=1,MarSun1+13,MarSun1+20)</f>
        <v>43540</v>
      </c>
      <c r="N90" s="36"/>
      <c r="O90" s="22">
        <f>IF(DAY(MarSun1)=1,MarSun1+14,MarSun1+21)</f>
        <v>43541</v>
      </c>
    </row>
    <row r="91" spans="1:22" s="15" customFormat="1" ht="55.5" customHeight="1" x14ac:dyDescent="0.25">
      <c r="A91" s="6"/>
      <c r="B91" s="74"/>
      <c r="C91" s="75"/>
      <c r="D91" s="75"/>
      <c r="E91" s="75"/>
      <c r="F91" s="75"/>
      <c r="G91" s="75"/>
      <c r="H91" s="75"/>
      <c r="I91" s="75"/>
      <c r="J91" s="75"/>
      <c r="K91" s="75"/>
      <c r="L91" s="71"/>
      <c r="M91" s="71"/>
      <c r="N91" s="71"/>
      <c r="O91" s="71"/>
    </row>
    <row r="92" spans="1:22" s="15" customFormat="1" ht="8.25" customHeight="1" x14ac:dyDescent="0.25">
      <c r="A92" s="6"/>
      <c r="B92" s="72"/>
      <c r="C92" s="72"/>
      <c r="D92" s="72"/>
      <c r="E92" s="72"/>
      <c r="F92" s="72"/>
      <c r="G92" s="72"/>
      <c r="H92" s="72"/>
      <c r="I92" s="72"/>
      <c r="J92" s="72"/>
      <c r="K92" s="72"/>
      <c r="L92" s="73"/>
      <c r="M92" s="73"/>
      <c r="N92" s="73"/>
      <c r="O92" s="73"/>
    </row>
    <row r="93" spans="1:22" s="10" customFormat="1" ht="16.5" customHeight="1" x14ac:dyDescent="0.25">
      <c r="A93" s="9"/>
      <c r="B93" s="37"/>
      <c r="C93" s="22">
        <f>IF(DAY(MarSun1)=1,MarSun1+15,MarSun1+22)</f>
        <v>43542</v>
      </c>
      <c r="D93" s="36"/>
      <c r="E93" s="22">
        <f>IF(DAY(MarSun1)=1,MarSun1+16,MarSun1+23)</f>
        <v>43543</v>
      </c>
      <c r="F93" s="36"/>
      <c r="G93" s="22">
        <f>IF(DAY(MarSun1)=1,MarSun1+17,MarSun1+24)</f>
        <v>43544</v>
      </c>
      <c r="H93" s="36"/>
      <c r="I93" s="22">
        <f>IF(DAY(MarSun1)=1,MarSun1+18,MarSun1+25)</f>
        <v>43545</v>
      </c>
      <c r="J93" s="36"/>
      <c r="K93" s="22">
        <f>IF(DAY(MarSun1)=1,MarSun1+19,MarSun1+26)</f>
        <v>43546</v>
      </c>
      <c r="L93" s="36"/>
      <c r="M93" s="22">
        <f>IF(DAY(MarSun1)=1,MarSun1+20,MarSun1+27)</f>
        <v>43547</v>
      </c>
      <c r="N93" s="36"/>
      <c r="O93" s="22">
        <f>IF(DAY(MarSun1)=1,MarSun1+21,MarSun1+28)</f>
        <v>43548</v>
      </c>
    </row>
    <row r="94" spans="1:22" s="15" customFormat="1" ht="55.5" customHeight="1" x14ac:dyDescent="0.25">
      <c r="A94" s="6"/>
      <c r="B94" s="74"/>
      <c r="C94" s="75"/>
      <c r="D94" s="75"/>
      <c r="E94" s="75"/>
      <c r="F94" s="75"/>
      <c r="G94" s="75"/>
      <c r="H94" s="75"/>
      <c r="I94" s="75"/>
      <c r="J94" s="75"/>
      <c r="K94" s="75"/>
      <c r="L94" s="71"/>
      <c r="M94" s="71"/>
      <c r="N94" s="71"/>
      <c r="O94" s="71"/>
    </row>
    <row r="95" spans="1:22" s="15" customFormat="1" ht="8.25" customHeight="1" x14ac:dyDescent="0.25">
      <c r="A95" s="6"/>
      <c r="B95" s="72"/>
      <c r="C95" s="72"/>
      <c r="D95" s="72"/>
      <c r="E95" s="72"/>
      <c r="F95" s="72"/>
      <c r="G95" s="72"/>
      <c r="H95" s="72"/>
      <c r="I95" s="72"/>
      <c r="J95" s="72"/>
      <c r="K95" s="72"/>
      <c r="L95" s="73"/>
      <c r="M95" s="73"/>
      <c r="N95" s="73"/>
      <c r="O95" s="73"/>
    </row>
    <row r="96" spans="1:22" s="10" customFormat="1" ht="16.5" customHeight="1" x14ac:dyDescent="0.25">
      <c r="A96" s="9"/>
      <c r="B96" s="37"/>
      <c r="C96" s="22">
        <f>IF(DAY(MarSun1)=1,MarSun1+22,MarSun1+29)</f>
        <v>43549</v>
      </c>
      <c r="D96" s="36"/>
      <c r="E96" s="22">
        <f>IF(DAY(MarSun1)=1,MarSun1+23,MarSun1+30)</f>
        <v>43550</v>
      </c>
      <c r="F96" s="36"/>
      <c r="G96" s="22">
        <f>IF(DAY(MarSun1)=1,MarSun1+24,MarSun1+31)</f>
        <v>43551</v>
      </c>
      <c r="H96" s="36"/>
      <c r="I96" s="22">
        <f>IF(DAY(MarSun1)=1,MarSun1+25,MarSun1+32)</f>
        <v>43552</v>
      </c>
      <c r="J96" s="36"/>
      <c r="K96" s="22">
        <f>IF(DAY(MarSun1)=1,MarSun1+26,MarSun1+33)</f>
        <v>43553</v>
      </c>
      <c r="L96" s="36"/>
      <c r="M96" s="22">
        <f>IF(DAY(MarSun1)=1,MarSun1+27,MarSun1+34)</f>
        <v>43554</v>
      </c>
      <c r="N96" s="36"/>
      <c r="O96" s="22">
        <f>IF(DAY(MarSun1)=1,MarSun1+28,MarSun1+35)</f>
        <v>43555</v>
      </c>
    </row>
    <row r="97" spans="1:16" s="15" customFormat="1" ht="55.5" customHeight="1" x14ac:dyDescent="0.25">
      <c r="A97" s="6"/>
      <c r="B97" s="74"/>
      <c r="C97" s="75"/>
      <c r="D97" s="75"/>
      <c r="E97" s="75"/>
      <c r="F97" s="75"/>
      <c r="G97" s="75"/>
      <c r="H97" s="75"/>
      <c r="I97" s="75"/>
      <c r="J97" s="75"/>
      <c r="K97" s="75"/>
      <c r="L97" s="71"/>
      <c r="M97" s="71"/>
      <c r="N97" s="71"/>
      <c r="O97" s="71"/>
    </row>
    <row r="98" spans="1:16" s="15" customFormat="1" ht="8.25" customHeight="1" x14ac:dyDescent="0.25">
      <c r="A98" s="6"/>
      <c r="B98" s="72"/>
      <c r="C98" s="72"/>
      <c r="D98" s="72"/>
      <c r="E98" s="72"/>
      <c r="F98" s="72"/>
      <c r="G98" s="72"/>
      <c r="H98" s="72"/>
      <c r="I98" s="72"/>
      <c r="J98" s="72"/>
      <c r="K98" s="72"/>
      <c r="L98" s="73"/>
      <c r="M98" s="73"/>
      <c r="N98" s="73"/>
      <c r="O98" s="73"/>
    </row>
    <row r="99" spans="1:16" s="15" customFormat="1" x14ac:dyDescent="0.2"/>
    <row r="100" spans="1:16" s="15" customFormat="1" ht="54" customHeight="1" x14ac:dyDescent="0.2">
      <c r="A100" s="80" t="s">
        <v>12</v>
      </c>
      <c r="B100" s="80"/>
      <c r="C100" s="80"/>
      <c r="D100" s="80"/>
      <c r="E100" s="80"/>
      <c r="F100" s="80"/>
      <c r="G100" s="80"/>
      <c r="H100" s="13"/>
      <c r="I100" s="4"/>
      <c r="J100" s="4"/>
      <c r="L100" s="78">
        <f>Annéecivile</f>
        <v>2019</v>
      </c>
      <c r="M100" s="78"/>
      <c r="N100" s="78"/>
      <c r="O100" s="78"/>
      <c r="P100" s="78"/>
    </row>
    <row r="101" spans="1:16" s="15" customFormat="1" ht="18.95" customHeight="1" x14ac:dyDescent="0.35">
      <c r="A101" s="3"/>
      <c r="B101" s="1"/>
      <c r="C101" s="1"/>
      <c r="D101" s="1"/>
      <c r="E101" s="2"/>
      <c r="F101" s="2"/>
      <c r="G101" s="2"/>
      <c r="H101" s="4"/>
      <c r="I101" s="4"/>
      <c r="J101" s="4"/>
    </row>
    <row r="102" spans="1:16" s="15" customFormat="1" ht="18.95" customHeight="1" x14ac:dyDescent="0.35">
      <c r="A102" s="3"/>
      <c r="B102" s="1"/>
      <c r="C102" s="1"/>
      <c r="D102" s="1"/>
      <c r="E102" s="2"/>
      <c r="F102" s="2"/>
      <c r="G102" s="2"/>
      <c r="H102" s="4"/>
      <c r="I102" s="4"/>
      <c r="J102" s="4"/>
    </row>
    <row r="103" spans="1:16" s="15" customFormat="1" ht="18.95" customHeight="1" x14ac:dyDescent="0.35">
      <c r="A103" s="3"/>
      <c r="B103" s="1"/>
      <c r="C103" s="1"/>
      <c r="D103" s="1"/>
      <c r="E103" s="2"/>
      <c r="F103" s="2"/>
      <c r="G103" s="2"/>
      <c r="H103" s="4"/>
      <c r="I103" s="4"/>
      <c r="J103" s="4"/>
    </row>
    <row r="104" spans="1:16" s="15" customFormat="1" ht="18.95" customHeight="1" x14ac:dyDescent="0.35">
      <c r="A104" s="3"/>
      <c r="B104" s="1"/>
      <c r="C104" s="1"/>
      <c r="D104" s="1"/>
      <c r="E104" s="2"/>
      <c r="F104" s="2"/>
      <c r="G104" s="2"/>
      <c r="H104" s="4"/>
      <c r="I104" s="4"/>
      <c r="J104" s="4"/>
    </row>
    <row r="105" spans="1:16" s="15" customFormat="1" ht="18.95" customHeight="1" x14ac:dyDescent="0.35">
      <c r="A105" s="3"/>
      <c r="B105" s="1"/>
      <c r="C105" s="1"/>
      <c r="D105" s="1"/>
      <c r="E105" s="2"/>
      <c r="F105" s="2"/>
      <c r="G105" s="2"/>
      <c r="H105" s="4"/>
      <c r="I105" s="4"/>
      <c r="J105" s="4"/>
    </row>
    <row r="106" spans="1:16" s="15" customFormat="1" ht="18.95" customHeight="1" x14ac:dyDescent="0.35">
      <c r="A106" s="3"/>
      <c r="B106" s="1"/>
      <c r="C106" s="1"/>
      <c r="D106" s="1"/>
      <c r="E106" s="2"/>
      <c r="F106" s="2"/>
      <c r="G106" s="2"/>
      <c r="H106" s="4"/>
      <c r="I106" s="4"/>
      <c r="J106" s="4"/>
    </row>
    <row r="107" spans="1:16" s="15" customFormat="1" ht="18.95" customHeight="1" x14ac:dyDescent="0.35">
      <c r="A107" s="3"/>
      <c r="B107" s="1"/>
      <c r="C107" s="1"/>
      <c r="D107" s="1"/>
      <c r="E107" s="2"/>
      <c r="F107" s="2"/>
      <c r="G107" s="2"/>
      <c r="H107" s="4"/>
      <c r="I107" s="4"/>
      <c r="J107" s="4"/>
    </row>
    <row r="108" spans="1:16" s="15" customFormat="1" ht="18.95" customHeight="1" x14ac:dyDescent="0.35">
      <c r="A108" s="3"/>
      <c r="B108" s="1"/>
      <c r="C108" s="1"/>
      <c r="D108" s="1"/>
      <c r="E108" s="2"/>
      <c r="F108" s="2"/>
      <c r="G108" s="2"/>
      <c r="H108" s="4"/>
      <c r="I108" s="4"/>
      <c r="J108" s="4"/>
    </row>
    <row r="109" spans="1:16" s="15" customFormat="1" ht="18.95" customHeight="1" x14ac:dyDescent="0.35">
      <c r="A109" s="3"/>
      <c r="B109" s="1"/>
      <c r="C109" s="1"/>
      <c r="D109" s="1"/>
      <c r="E109" s="2"/>
      <c r="F109" s="2"/>
      <c r="G109" s="2"/>
      <c r="H109" s="4"/>
      <c r="I109" s="4"/>
      <c r="J109" s="4"/>
    </row>
    <row r="110" spans="1:16" s="15" customFormat="1" ht="18.95" customHeight="1" x14ac:dyDescent="0.35">
      <c r="A110" s="3"/>
      <c r="B110" s="1"/>
      <c r="C110" s="1"/>
      <c r="D110" s="1"/>
      <c r="E110" s="2"/>
      <c r="F110" s="2"/>
      <c r="G110" s="2"/>
      <c r="H110" s="4"/>
      <c r="I110" s="4"/>
      <c r="J110" s="4"/>
    </row>
    <row r="111" spans="1:16" s="15" customFormat="1" ht="18.95" customHeight="1" x14ac:dyDescent="0.35">
      <c r="A111" s="3"/>
      <c r="B111" s="1"/>
      <c r="C111" s="1"/>
      <c r="D111" s="1"/>
      <c r="E111" s="2"/>
      <c r="F111" s="2"/>
      <c r="G111" s="2"/>
      <c r="H111" s="4"/>
      <c r="I111" s="4"/>
      <c r="J111" s="4"/>
    </row>
    <row r="112" spans="1:16" s="15" customFormat="1" ht="18.95" customHeight="1" x14ac:dyDescent="0.35">
      <c r="A112" s="3"/>
      <c r="B112" s="1"/>
      <c r="C112" s="1"/>
      <c r="D112" s="1"/>
      <c r="E112" s="2"/>
      <c r="F112" s="2"/>
      <c r="G112" s="2"/>
      <c r="H112" s="4"/>
      <c r="I112" s="4"/>
      <c r="J112" s="4"/>
    </row>
    <row r="113" spans="1:22" s="15" customFormat="1" ht="18.95" customHeight="1" x14ac:dyDescent="0.35">
      <c r="A113" s="3"/>
      <c r="B113" s="1"/>
      <c r="C113" s="1"/>
      <c r="D113" s="1"/>
      <c r="E113" s="2"/>
      <c r="F113" s="2"/>
      <c r="G113" s="2"/>
      <c r="H113" s="4"/>
      <c r="I113" s="4"/>
      <c r="J113" s="4"/>
    </row>
    <row r="114" spans="1:22" s="15" customFormat="1" ht="18.95" customHeight="1" x14ac:dyDescent="0.35">
      <c r="A114" s="3"/>
      <c r="B114" s="1"/>
      <c r="C114" s="1"/>
      <c r="D114" s="1"/>
      <c r="E114" s="2"/>
      <c r="F114" s="2"/>
      <c r="G114" s="2"/>
      <c r="H114" s="4"/>
      <c r="I114" s="4"/>
      <c r="J114" s="4"/>
    </row>
    <row r="115" spans="1:22" s="15" customFormat="1" ht="18.95" customHeight="1" x14ac:dyDescent="0.25">
      <c r="A115" s="6"/>
      <c r="B115" s="7"/>
      <c r="C115" s="7"/>
      <c r="D115" s="7"/>
      <c r="E115" s="7"/>
      <c r="F115" s="7"/>
      <c r="G115" s="7"/>
      <c r="H115" s="7"/>
      <c r="I115" s="7"/>
      <c r="J115" s="7"/>
      <c r="K115" s="7"/>
      <c r="L115" s="7"/>
      <c r="M115" s="7"/>
      <c r="N115" s="7"/>
      <c r="O115" s="7"/>
    </row>
    <row r="116" spans="1:22" s="6" customFormat="1" ht="27" customHeight="1" x14ac:dyDescent="0.25">
      <c r="B116" s="79" t="s">
        <v>0</v>
      </c>
      <c r="C116" s="79"/>
      <c r="D116" s="79" t="s">
        <v>1</v>
      </c>
      <c r="E116" s="79"/>
      <c r="F116" s="79" t="s">
        <v>2</v>
      </c>
      <c r="G116" s="79"/>
      <c r="H116" s="79" t="s">
        <v>3</v>
      </c>
      <c r="I116" s="79"/>
      <c r="J116" s="79" t="s">
        <v>4</v>
      </c>
      <c r="K116" s="79"/>
      <c r="L116" s="79" t="s">
        <v>5</v>
      </c>
      <c r="M116" s="79"/>
      <c r="N116" s="79" t="s">
        <v>6</v>
      </c>
      <c r="O116" s="79"/>
      <c r="P116" s="15"/>
      <c r="Q116" s="8"/>
      <c r="U116" s="15"/>
      <c r="V116" s="15"/>
    </row>
    <row r="117" spans="1:22" s="9" customFormat="1" ht="16.5" customHeight="1" x14ac:dyDescent="0.25">
      <c r="B117" s="35"/>
      <c r="C117" s="22">
        <f>IF(DAY(AprSun1)=1,AprSun1-6,AprSun1+1)</f>
        <v>43556</v>
      </c>
      <c r="D117" s="36"/>
      <c r="E117" s="22">
        <f>IF(DAY(AprSun1)=1,AprSun1-5,AprSun1+2)</f>
        <v>43557</v>
      </c>
      <c r="F117" s="36"/>
      <c r="G117" s="22">
        <f>IF(DAY(AprSun1)=1,AprSun1-4,AprSun1+3)</f>
        <v>43558</v>
      </c>
      <c r="H117" s="36"/>
      <c r="I117" s="22">
        <f>IF(DAY(AprSun1)=1,AprSun1-3,AprSun1+4)</f>
        <v>43559</v>
      </c>
      <c r="J117" s="36"/>
      <c r="K117" s="22">
        <f>IF(DAY(AprSun1)=1,AprSun1-2,AprSun1+5)</f>
        <v>43560</v>
      </c>
      <c r="L117" s="36"/>
      <c r="M117" s="22">
        <f>IF(DAY(AprSun1)=1,AprSun1-1,AprSun1+6)</f>
        <v>43561</v>
      </c>
      <c r="N117" s="36"/>
      <c r="O117" s="22">
        <f>IF(DAY(AprSun1)=1,AprSun1,AprSun1+7)</f>
        <v>43562</v>
      </c>
      <c r="P117" s="10"/>
      <c r="Q117" s="10"/>
      <c r="U117" s="11"/>
      <c r="V117" s="10"/>
    </row>
    <row r="118" spans="1:22" s="12" customFormat="1" ht="55.5" customHeight="1" x14ac:dyDescent="0.25">
      <c r="A118" s="6"/>
      <c r="B118" s="74"/>
      <c r="C118" s="75"/>
      <c r="D118" s="75"/>
      <c r="E118" s="75"/>
      <c r="F118" s="75"/>
      <c r="G118" s="75"/>
      <c r="H118" s="75"/>
      <c r="I118" s="75"/>
      <c r="J118" s="75"/>
      <c r="K118" s="75"/>
      <c r="L118" s="71"/>
      <c r="M118" s="71"/>
      <c r="N118" s="71"/>
      <c r="O118" s="71"/>
    </row>
    <row r="119" spans="1:22" s="12" customFormat="1" ht="8.25" customHeight="1" x14ac:dyDescent="0.25">
      <c r="A119" s="6"/>
      <c r="B119" s="72"/>
      <c r="C119" s="72"/>
      <c r="D119" s="72"/>
      <c r="E119" s="72"/>
      <c r="F119" s="72"/>
      <c r="G119" s="72"/>
      <c r="H119" s="72"/>
      <c r="I119" s="72"/>
      <c r="J119" s="72"/>
      <c r="K119" s="72"/>
      <c r="L119" s="73"/>
      <c r="M119" s="73"/>
      <c r="N119" s="73"/>
      <c r="O119" s="73"/>
    </row>
    <row r="120" spans="1:22" s="10" customFormat="1" ht="16.5" customHeight="1" x14ac:dyDescent="0.25">
      <c r="A120" s="9"/>
      <c r="B120" s="37"/>
      <c r="C120" s="22">
        <f>IF(DAY(AprSun1)=1,AprSun1+1,AprSun1+8)</f>
        <v>43563</v>
      </c>
      <c r="D120" s="36"/>
      <c r="E120" s="22">
        <f>IF(DAY(AprSun1)=1,AprSun1+2,AprSun1+9)</f>
        <v>43564</v>
      </c>
      <c r="F120" s="36"/>
      <c r="G120" s="22">
        <f>IF(DAY(AprSun1)=1,AprSun1+3,AprSun1+10)</f>
        <v>43565</v>
      </c>
      <c r="H120" s="36"/>
      <c r="I120" s="22">
        <f>IF(DAY(AprSun1)=1,AprSun1+4,AprSun1+11)</f>
        <v>43566</v>
      </c>
      <c r="J120" s="36"/>
      <c r="K120" s="22">
        <f>IF(DAY(AprSun1)=1,AprSun1+5,AprSun1+12)</f>
        <v>43567</v>
      </c>
      <c r="L120" s="36"/>
      <c r="M120" s="22">
        <f>IF(DAY(AprSun1)=1,AprSun1+6,AprSun1+13)</f>
        <v>43568</v>
      </c>
      <c r="N120" s="36"/>
      <c r="O120" s="22">
        <f>IF(DAY(AprSun1)=1,AprSun1+7,AprSun1+14)</f>
        <v>43569</v>
      </c>
    </row>
    <row r="121" spans="1:22" s="15" customFormat="1" ht="55.5" customHeight="1" x14ac:dyDescent="0.25">
      <c r="A121" s="6"/>
      <c r="B121" s="74"/>
      <c r="C121" s="75"/>
      <c r="D121" s="75"/>
      <c r="E121" s="75"/>
      <c r="F121" s="75"/>
      <c r="G121" s="75"/>
      <c r="H121" s="75"/>
      <c r="I121" s="75"/>
      <c r="J121" s="75"/>
      <c r="K121" s="75"/>
      <c r="L121" s="71"/>
      <c r="M121" s="71"/>
      <c r="N121" s="71"/>
      <c r="O121" s="71"/>
    </row>
    <row r="122" spans="1:22" s="15" customFormat="1" ht="8.25" customHeight="1" x14ac:dyDescent="0.25">
      <c r="A122" s="6"/>
      <c r="B122" s="72"/>
      <c r="C122" s="72"/>
      <c r="D122" s="72"/>
      <c r="E122" s="72"/>
      <c r="F122" s="72"/>
      <c r="G122" s="72"/>
      <c r="H122" s="72"/>
      <c r="I122" s="72"/>
      <c r="J122" s="72"/>
      <c r="K122" s="72"/>
      <c r="L122" s="73"/>
      <c r="M122" s="73"/>
      <c r="N122" s="73"/>
      <c r="O122" s="73"/>
    </row>
    <row r="123" spans="1:22" s="10" customFormat="1" ht="16.5" customHeight="1" x14ac:dyDescent="0.25">
      <c r="A123" s="9"/>
      <c r="B123" s="37"/>
      <c r="C123" s="22">
        <f>IF(DAY(AprSun1)=1,AprSun1+8,AprSun1+15)</f>
        <v>43570</v>
      </c>
      <c r="D123" s="36"/>
      <c r="E123" s="22">
        <f>IF(DAY(AprSun1)=1,AprSun1+9,AprSun1+16)</f>
        <v>43571</v>
      </c>
      <c r="F123" s="36"/>
      <c r="G123" s="22">
        <f>IF(DAY(AprSun1)=1,AprSun1+10,AprSun1+17)</f>
        <v>43572</v>
      </c>
      <c r="H123" s="36"/>
      <c r="I123" s="22">
        <f>IF(DAY(AprSun1)=1,AprSun1+11,AprSun1+18)</f>
        <v>43573</v>
      </c>
      <c r="J123" s="36"/>
      <c r="K123" s="22">
        <f>IF(DAY(AprSun1)=1,AprSun1+12,AprSun1+19)</f>
        <v>43574</v>
      </c>
      <c r="L123" s="36"/>
      <c r="M123" s="22">
        <f>IF(DAY(AprSun1)=1,AprSun1+13,AprSun1+20)</f>
        <v>43575</v>
      </c>
      <c r="N123" s="36"/>
      <c r="O123" s="22">
        <f>IF(DAY(AprSun1)=1,AprSun1+14,AprSun1+21)</f>
        <v>43576</v>
      </c>
    </row>
    <row r="124" spans="1:22" s="15" customFormat="1" ht="55.5" customHeight="1" x14ac:dyDescent="0.25">
      <c r="A124" s="6"/>
      <c r="B124" s="74"/>
      <c r="C124" s="75"/>
      <c r="D124" s="75"/>
      <c r="E124" s="75"/>
      <c r="F124" s="75"/>
      <c r="G124" s="75"/>
      <c r="H124" s="75"/>
      <c r="I124" s="75"/>
      <c r="J124" s="75"/>
      <c r="K124" s="75"/>
      <c r="L124" s="71"/>
      <c r="M124" s="71"/>
      <c r="N124" s="71"/>
      <c r="O124" s="71"/>
    </row>
    <row r="125" spans="1:22" s="15" customFormat="1" ht="8.25" customHeight="1" x14ac:dyDescent="0.25">
      <c r="A125" s="6"/>
      <c r="B125" s="72"/>
      <c r="C125" s="72"/>
      <c r="D125" s="72"/>
      <c r="E125" s="72"/>
      <c r="F125" s="72"/>
      <c r="G125" s="72"/>
      <c r="H125" s="72"/>
      <c r="I125" s="72"/>
      <c r="J125" s="72"/>
      <c r="K125" s="72"/>
      <c r="L125" s="73"/>
      <c r="M125" s="73"/>
      <c r="N125" s="73"/>
      <c r="O125" s="73"/>
    </row>
    <row r="126" spans="1:22" s="10" customFormat="1" ht="16.5" customHeight="1" x14ac:dyDescent="0.25">
      <c r="A126" s="9"/>
      <c r="B126" s="37"/>
      <c r="C126" s="22">
        <f>IF(DAY(AprSun1)=1,AprSun1+15,AprSun1+22)</f>
        <v>43577</v>
      </c>
      <c r="D126" s="36"/>
      <c r="E126" s="22">
        <f>IF(DAY(AprSun1)=1,AprSun1+16,AprSun1+23)</f>
        <v>43578</v>
      </c>
      <c r="F126" s="36"/>
      <c r="G126" s="22">
        <f>IF(DAY(AprSun1)=1,AprSun1+17,AprSun1+24)</f>
        <v>43579</v>
      </c>
      <c r="H126" s="36"/>
      <c r="I126" s="22">
        <f>IF(DAY(AprSun1)=1,AprSun1+18,AprSun1+25)</f>
        <v>43580</v>
      </c>
      <c r="J126" s="36"/>
      <c r="K126" s="22">
        <f>IF(DAY(AprSun1)=1,AprSun1+19,AprSun1+26)</f>
        <v>43581</v>
      </c>
      <c r="L126" s="36"/>
      <c r="M126" s="22">
        <f>IF(DAY(AprSun1)=1,AprSun1+20,AprSun1+27)</f>
        <v>43582</v>
      </c>
      <c r="N126" s="36"/>
      <c r="O126" s="22">
        <f>IF(DAY(AprSun1)=1,AprSun1+21,AprSun1+28)</f>
        <v>43583</v>
      </c>
    </row>
    <row r="127" spans="1:22" s="15" customFormat="1" ht="55.5" customHeight="1" x14ac:dyDescent="0.25">
      <c r="A127" s="6"/>
      <c r="B127" s="74"/>
      <c r="C127" s="75"/>
      <c r="D127" s="75"/>
      <c r="E127" s="75"/>
      <c r="F127" s="75"/>
      <c r="G127" s="75"/>
      <c r="H127" s="75"/>
      <c r="I127" s="75"/>
      <c r="J127" s="75"/>
      <c r="K127" s="75"/>
      <c r="L127" s="71"/>
      <c r="M127" s="71"/>
      <c r="N127" s="71"/>
      <c r="O127" s="71"/>
    </row>
    <row r="128" spans="1:22" s="15" customFormat="1" ht="8.25" customHeight="1" x14ac:dyDescent="0.25">
      <c r="A128" s="6"/>
      <c r="B128" s="72"/>
      <c r="C128" s="72"/>
      <c r="D128" s="72"/>
      <c r="E128" s="72"/>
      <c r="F128" s="72"/>
      <c r="G128" s="72"/>
      <c r="H128" s="72"/>
      <c r="I128" s="72"/>
      <c r="J128" s="72"/>
      <c r="K128" s="72"/>
      <c r="L128" s="73"/>
      <c r="M128" s="73"/>
      <c r="N128" s="73"/>
      <c r="O128" s="73"/>
    </row>
    <row r="129" spans="1:16" s="10" customFormat="1" ht="16.5" customHeight="1" x14ac:dyDescent="0.25">
      <c r="A129" s="9"/>
      <c r="B129" s="37"/>
      <c r="C129" s="22">
        <f>IF(DAY(AprSun1)=1,AprSun1+22,AprSun1+29)</f>
        <v>43584</v>
      </c>
      <c r="D129" s="36"/>
      <c r="E129" s="22">
        <f>IF(DAY(AprSun1)=1,AprSun1+23,AprSun1+30)</f>
        <v>43585</v>
      </c>
      <c r="F129" s="36"/>
      <c r="G129" s="22">
        <f>IF(DAY(AprSun1)=1,AprSun1+24,AprSun1+31)</f>
        <v>43586</v>
      </c>
      <c r="H129" s="36"/>
      <c r="I129" s="22">
        <f>IF(DAY(AprSun1)=1,AprSun1+25,AprSun1+32)</f>
        <v>43587</v>
      </c>
      <c r="J129" s="36"/>
      <c r="K129" s="22">
        <f>IF(DAY(AprSun1)=1,AprSun1+26,AprSun1+33)</f>
        <v>43588</v>
      </c>
      <c r="L129" s="36"/>
      <c r="M129" s="22">
        <f>IF(DAY(AprSun1)=1,AprSun1+27,AprSun1+34)</f>
        <v>43589</v>
      </c>
      <c r="N129" s="36"/>
      <c r="O129" s="22">
        <f>IF(DAY(AprSun1)=1,AprSun1+28,AprSun1+35)</f>
        <v>43590</v>
      </c>
    </row>
    <row r="130" spans="1:16" s="15" customFormat="1" ht="55.5" customHeight="1" x14ac:dyDescent="0.25">
      <c r="A130" s="6"/>
      <c r="B130" s="74"/>
      <c r="C130" s="75"/>
      <c r="D130" s="75"/>
      <c r="E130" s="75"/>
      <c r="F130" s="75"/>
      <c r="G130" s="75"/>
      <c r="H130" s="75"/>
      <c r="I130" s="75"/>
      <c r="J130" s="75"/>
      <c r="K130" s="75"/>
      <c r="L130" s="71"/>
      <c r="M130" s="71"/>
      <c r="N130" s="71"/>
      <c r="O130" s="71"/>
    </row>
    <row r="131" spans="1:16" s="15" customFormat="1" ht="8.25" customHeight="1" x14ac:dyDescent="0.25">
      <c r="A131" s="6"/>
      <c r="B131" s="72"/>
      <c r="C131" s="72"/>
      <c r="D131" s="72"/>
      <c r="E131" s="72"/>
      <c r="F131" s="72"/>
      <c r="G131" s="72"/>
      <c r="H131" s="72"/>
      <c r="I131" s="72"/>
      <c r="J131" s="72"/>
      <c r="K131" s="72"/>
      <c r="L131" s="73"/>
      <c r="M131" s="73"/>
      <c r="N131" s="73"/>
      <c r="O131" s="73"/>
    </row>
    <row r="132" spans="1:16" s="15" customFormat="1" ht="7.5" customHeight="1" x14ac:dyDescent="0.2"/>
    <row r="133" spans="1:16" s="15" customFormat="1" ht="14.25" customHeight="1" x14ac:dyDescent="0.2"/>
    <row r="134" spans="1:16" s="15" customFormat="1" ht="54" customHeight="1" x14ac:dyDescent="0.2">
      <c r="A134" s="80" t="s">
        <v>13</v>
      </c>
      <c r="B134" s="80"/>
      <c r="C134" s="80"/>
      <c r="D134" s="80"/>
      <c r="E134" s="80"/>
      <c r="F134" s="80"/>
      <c r="G134" s="80"/>
      <c r="H134" s="13"/>
      <c r="I134" s="4"/>
      <c r="J134" s="4"/>
      <c r="L134" s="78">
        <f>Annéecivile</f>
        <v>2019</v>
      </c>
      <c r="M134" s="78"/>
      <c r="N134" s="78"/>
      <c r="O134" s="78"/>
      <c r="P134" s="78"/>
    </row>
    <row r="135" spans="1:16" s="15" customFormat="1" ht="18.95" customHeight="1" x14ac:dyDescent="0.35">
      <c r="A135" s="3"/>
      <c r="B135" s="1"/>
      <c r="C135" s="1"/>
      <c r="D135" s="1"/>
      <c r="E135" s="2"/>
      <c r="F135" s="2"/>
      <c r="G135" s="2"/>
      <c r="H135" s="4"/>
      <c r="I135" s="4"/>
      <c r="J135" s="4"/>
    </row>
    <row r="136" spans="1:16" s="15" customFormat="1" ht="18.95" customHeight="1" x14ac:dyDescent="0.35">
      <c r="A136" s="3"/>
      <c r="B136" s="1"/>
      <c r="C136" s="1"/>
      <c r="D136" s="1"/>
      <c r="E136" s="2"/>
      <c r="F136" s="2"/>
      <c r="G136" s="2"/>
      <c r="H136" s="4"/>
      <c r="I136" s="4"/>
      <c r="J136" s="4"/>
    </row>
    <row r="137" spans="1:16" s="15" customFormat="1" ht="18.95" customHeight="1" x14ac:dyDescent="0.35">
      <c r="A137" s="3"/>
      <c r="B137" s="1"/>
      <c r="C137" s="1"/>
      <c r="D137" s="1"/>
      <c r="E137" s="2"/>
      <c r="F137" s="2"/>
      <c r="G137" s="2"/>
      <c r="H137" s="4"/>
      <c r="I137" s="4"/>
      <c r="J137" s="4"/>
    </row>
    <row r="138" spans="1:16" s="15" customFormat="1" ht="18.95" customHeight="1" x14ac:dyDescent="0.35">
      <c r="A138" s="3"/>
      <c r="B138" s="1"/>
      <c r="C138" s="1"/>
      <c r="D138" s="1"/>
      <c r="E138" s="2"/>
      <c r="F138" s="2"/>
      <c r="G138" s="2"/>
      <c r="H138" s="4"/>
      <c r="I138" s="4"/>
      <c r="J138" s="4"/>
    </row>
    <row r="139" spans="1:16" s="15" customFormat="1" ht="18.95" customHeight="1" x14ac:dyDescent="0.35">
      <c r="A139" s="3"/>
      <c r="B139" s="1"/>
      <c r="C139" s="1"/>
      <c r="D139" s="1"/>
      <c r="E139" s="2"/>
      <c r="F139" s="2"/>
      <c r="G139" s="2"/>
      <c r="H139" s="4"/>
      <c r="I139" s="4"/>
      <c r="J139" s="4"/>
    </row>
    <row r="140" spans="1:16" s="15" customFormat="1" ht="18.95" customHeight="1" x14ac:dyDescent="0.35">
      <c r="A140" s="3"/>
      <c r="B140" s="1"/>
      <c r="C140" s="1"/>
      <c r="D140" s="1"/>
      <c r="E140" s="2"/>
      <c r="F140" s="2"/>
      <c r="G140" s="2"/>
      <c r="H140" s="4"/>
      <c r="I140" s="4"/>
      <c r="J140" s="4"/>
    </row>
    <row r="141" spans="1:16" s="15" customFormat="1" ht="18.95" customHeight="1" x14ac:dyDescent="0.35">
      <c r="A141" s="3"/>
      <c r="B141" s="1"/>
      <c r="C141" s="1"/>
      <c r="D141" s="1"/>
      <c r="E141" s="2"/>
      <c r="F141" s="2"/>
      <c r="G141" s="2"/>
      <c r="H141" s="4"/>
      <c r="I141" s="4"/>
      <c r="J141" s="4"/>
    </row>
    <row r="142" spans="1:16" s="15" customFormat="1" ht="18.95" customHeight="1" x14ac:dyDescent="0.35">
      <c r="A142" s="3"/>
      <c r="B142" s="1"/>
      <c r="C142" s="1"/>
      <c r="D142" s="1"/>
      <c r="E142" s="2"/>
      <c r="F142" s="2"/>
      <c r="G142" s="2"/>
      <c r="H142" s="4"/>
      <c r="I142" s="4"/>
      <c r="J142" s="4"/>
    </row>
    <row r="143" spans="1:16" s="15" customFormat="1" ht="18.95" customHeight="1" x14ac:dyDescent="0.35">
      <c r="A143" s="3"/>
      <c r="B143" s="1"/>
      <c r="C143" s="1"/>
      <c r="D143" s="1"/>
      <c r="E143" s="2"/>
      <c r="F143" s="2"/>
      <c r="G143" s="2"/>
      <c r="H143" s="4"/>
      <c r="I143" s="4"/>
      <c r="J143" s="4"/>
    </row>
    <row r="144" spans="1:16" s="15" customFormat="1" ht="18.95" customHeight="1" x14ac:dyDescent="0.35">
      <c r="A144" s="3"/>
      <c r="B144" s="1"/>
      <c r="C144" s="1"/>
      <c r="D144" s="1"/>
      <c r="E144" s="2"/>
      <c r="F144" s="2"/>
      <c r="G144" s="2"/>
      <c r="H144" s="4"/>
      <c r="I144" s="4"/>
      <c r="J144" s="4"/>
    </row>
    <row r="145" spans="1:22" s="15" customFormat="1" ht="18.95" customHeight="1" x14ac:dyDescent="0.35">
      <c r="A145" s="3"/>
      <c r="B145" s="1"/>
      <c r="C145" s="1"/>
      <c r="D145" s="1"/>
      <c r="E145" s="2"/>
      <c r="F145" s="2"/>
      <c r="G145" s="2"/>
      <c r="H145" s="4"/>
      <c r="I145" s="4"/>
      <c r="J145" s="4"/>
    </row>
    <row r="146" spans="1:22" s="15" customFormat="1" ht="18.95" customHeight="1" x14ac:dyDescent="0.35">
      <c r="A146" s="3"/>
      <c r="B146" s="1"/>
      <c r="C146" s="1"/>
      <c r="D146" s="1"/>
      <c r="E146" s="2"/>
      <c r="F146" s="2"/>
      <c r="G146" s="2"/>
      <c r="H146" s="4"/>
      <c r="I146" s="4"/>
      <c r="J146" s="4"/>
    </row>
    <row r="147" spans="1:22" s="15" customFormat="1" ht="18.95" customHeight="1" x14ac:dyDescent="0.35">
      <c r="A147" s="3"/>
      <c r="B147" s="1"/>
      <c r="C147" s="1"/>
      <c r="D147" s="1"/>
      <c r="E147" s="2"/>
      <c r="F147" s="2"/>
      <c r="G147" s="2"/>
      <c r="H147" s="4"/>
      <c r="I147" s="4"/>
      <c r="J147" s="4"/>
    </row>
    <row r="148" spans="1:22" s="15" customFormat="1" ht="18.95" customHeight="1" x14ac:dyDescent="0.35">
      <c r="A148" s="3"/>
      <c r="B148" s="1"/>
      <c r="C148" s="1"/>
      <c r="D148" s="1"/>
      <c r="E148" s="2"/>
      <c r="F148" s="2"/>
      <c r="G148" s="2"/>
      <c r="H148" s="4"/>
      <c r="I148" s="4"/>
      <c r="J148" s="4"/>
    </row>
    <row r="149" spans="1:22" s="15" customFormat="1" ht="18.95" customHeight="1" x14ac:dyDescent="0.25">
      <c r="A149" s="6"/>
      <c r="B149" s="7"/>
      <c r="C149" s="7"/>
      <c r="D149" s="7"/>
      <c r="E149" s="7"/>
      <c r="F149" s="7"/>
      <c r="G149" s="7"/>
      <c r="H149" s="7"/>
      <c r="I149" s="7"/>
      <c r="J149" s="7"/>
      <c r="K149" s="7"/>
      <c r="L149" s="7"/>
      <c r="M149" s="7"/>
      <c r="N149" s="7"/>
      <c r="O149" s="7"/>
    </row>
    <row r="150" spans="1:22" s="6" customFormat="1" ht="27" customHeight="1" x14ac:dyDescent="0.25">
      <c r="B150" s="79" t="s">
        <v>0</v>
      </c>
      <c r="C150" s="79"/>
      <c r="D150" s="79" t="s">
        <v>1</v>
      </c>
      <c r="E150" s="79"/>
      <c r="F150" s="79" t="s">
        <v>2</v>
      </c>
      <c r="G150" s="79"/>
      <c r="H150" s="79" t="s">
        <v>3</v>
      </c>
      <c r="I150" s="79"/>
      <c r="J150" s="79" t="s">
        <v>4</v>
      </c>
      <c r="K150" s="79"/>
      <c r="L150" s="79" t="s">
        <v>5</v>
      </c>
      <c r="M150" s="79"/>
      <c r="N150" s="79" t="s">
        <v>6</v>
      </c>
      <c r="O150" s="79"/>
      <c r="P150" s="15"/>
      <c r="Q150" s="8"/>
      <c r="U150" s="15"/>
      <c r="V150" s="15"/>
    </row>
    <row r="151" spans="1:22" s="9" customFormat="1" ht="16.5" customHeight="1" x14ac:dyDescent="0.25">
      <c r="B151" s="35"/>
      <c r="C151" s="22">
        <f>IF(DAY(MaySun1)=1,MaySun1-6,MaySun1+1)</f>
        <v>43584</v>
      </c>
      <c r="D151" s="36"/>
      <c r="E151" s="22">
        <f>IF(DAY(MaySun1)=1,MaySun1-5,MaySun1+2)</f>
        <v>43585</v>
      </c>
      <c r="F151" s="36"/>
      <c r="G151" s="22">
        <f>IF(DAY(MaySun1)=1,MaySun1-4,MaySun1+3)</f>
        <v>43586</v>
      </c>
      <c r="H151" s="36"/>
      <c r="I151" s="22">
        <f>IF(DAY(MaySun1)=1,MaySun1-3,MaySun1+4)</f>
        <v>43587</v>
      </c>
      <c r="J151" s="36"/>
      <c r="K151" s="22">
        <f>IF(DAY(MaySun1)=1,MaySun1-2,MaySun1+5)</f>
        <v>43588</v>
      </c>
      <c r="L151" s="36"/>
      <c r="M151" s="22">
        <f>IF(DAY(MaySun1)=1,MaySun1-1,MaySun1+6)</f>
        <v>43589</v>
      </c>
      <c r="N151" s="36"/>
      <c r="O151" s="22">
        <f>IF(DAY(MaySun1)=1,MaySun1,MaySun1+7)</f>
        <v>43590</v>
      </c>
      <c r="P151" s="10"/>
      <c r="Q151" s="10"/>
      <c r="U151" s="11"/>
      <c r="V151" s="10"/>
    </row>
    <row r="152" spans="1:22" s="12" customFormat="1" ht="55.5" customHeight="1" x14ac:dyDescent="0.25">
      <c r="A152" s="6"/>
      <c r="B152" s="74"/>
      <c r="C152" s="75"/>
      <c r="D152" s="75"/>
      <c r="E152" s="75"/>
      <c r="F152" s="75"/>
      <c r="G152" s="75"/>
      <c r="H152" s="75"/>
      <c r="I152" s="75"/>
      <c r="J152" s="75"/>
      <c r="K152" s="75"/>
      <c r="L152" s="71"/>
      <c r="M152" s="71"/>
      <c r="N152" s="71"/>
      <c r="O152" s="71"/>
    </row>
    <row r="153" spans="1:22" s="12" customFormat="1" ht="8.25" customHeight="1" x14ac:dyDescent="0.25">
      <c r="A153" s="6"/>
      <c r="B153" s="72"/>
      <c r="C153" s="72"/>
      <c r="D153" s="72"/>
      <c r="E153" s="72"/>
      <c r="F153" s="72"/>
      <c r="G153" s="72"/>
      <c r="H153" s="72"/>
      <c r="I153" s="72"/>
      <c r="J153" s="72"/>
      <c r="K153" s="72"/>
      <c r="L153" s="73"/>
      <c r="M153" s="73"/>
      <c r="N153" s="73"/>
      <c r="O153" s="73"/>
    </row>
    <row r="154" spans="1:22" s="10" customFormat="1" ht="16.5" customHeight="1" x14ac:dyDescent="0.25">
      <c r="A154" s="9"/>
      <c r="B154" s="37"/>
      <c r="C154" s="22">
        <f>IF(DAY(MaySun1)=1,MaySun1+1,MaySun1+8)</f>
        <v>43591</v>
      </c>
      <c r="D154" s="36"/>
      <c r="E154" s="22">
        <f>IF(DAY(MaySun1)=1,MaySun1+2,MaySun1+9)</f>
        <v>43592</v>
      </c>
      <c r="F154" s="36"/>
      <c r="G154" s="22">
        <f>IF(DAY(MaySun1)=1,MaySun1+3,MaySun1+10)</f>
        <v>43593</v>
      </c>
      <c r="H154" s="36"/>
      <c r="I154" s="22">
        <f>IF(DAY(MaySun1)=1,MaySun1+4,MaySun1+11)</f>
        <v>43594</v>
      </c>
      <c r="J154" s="36"/>
      <c r="K154" s="22">
        <f>IF(DAY(MaySun1)=1,MaySun1+5,MaySun1+12)</f>
        <v>43595</v>
      </c>
      <c r="L154" s="36"/>
      <c r="M154" s="22">
        <f>IF(DAY(MaySun1)=1,MaySun1+6,MaySun1+13)</f>
        <v>43596</v>
      </c>
      <c r="N154" s="36"/>
      <c r="O154" s="22">
        <f>IF(DAY(MaySun1)=1,MaySun1+7,MaySun1+14)</f>
        <v>43597</v>
      </c>
    </row>
    <row r="155" spans="1:22" s="15" customFormat="1" ht="55.5" customHeight="1" x14ac:dyDescent="0.25">
      <c r="A155" s="6"/>
      <c r="B155" s="74"/>
      <c r="C155" s="75"/>
      <c r="D155" s="75"/>
      <c r="E155" s="75"/>
      <c r="F155" s="75"/>
      <c r="G155" s="75"/>
      <c r="H155" s="75"/>
      <c r="I155" s="75"/>
      <c r="J155" s="75"/>
      <c r="K155" s="75"/>
      <c r="L155" s="71"/>
      <c r="M155" s="71"/>
      <c r="N155" s="71"/>
      <c r="O155" s="71"/>
    </row>
    <row r="156" spans="1:22" s="15" customFormat="1" ht="8.25" customHeight="1" x14ac:dyDescent="0.25">
      <c r="A156" s="6"/>
      <c r="B156" s="72"/>
      <c r="C156" s="72"/>
      <c r="D156" s="72"/>
      <c r="E156" s="72"/>
      <c r="F156" s="72"/>
      <c r="G156" s="72"/>
      <c r="H156" s="72"/>
      <c r="I156" s="72"/>
      <c r="J156" s="72"/>
      <c r="K156" s="72"/>
      <c r="L156" s="73"/>
      <c r="M156" s="73"/>
      <c r="N156" s="73"/>
      <c r="O156" s="73"/>
    </row>
    <row r="157" spans="1:22" s="10" customFormat="1" ht="16.5" customHeight="1" x14ac:dyDescent="0.25">
      <c r="A157" s="9"/>
      <c r="B157" s="37"/>
      <c r="C157" s="22">
        <f>IF(DAY(MaySun1)=1,MaySun1+8,MaySun1+15)</f>
        <v>43598</v>
      </c>
      <c r="D157" s="36"/>
      <c r="E157" s="22">
        <f>IF(DAY(MaySun1)=1,MaySun1+9,MaySun1+16)</f>
        <v>43599</v>
      </c>
      <c r="F157" s="36"/>
      <c r="G157" s="22">
        <f>IF(DAY(MaySun1)=1,MaySun1+10,MaySun1+17)</f>
        <v>43600</v>
      </c>
      <c r="H157" s="36"/>
      <c r="I157" s="22">
        <f>IF(DAY(MaySun1)=1,MaySun1+11,MaySun1+18)</f>
        <v>43601</v>
      </c>
      <c r="J157" s="36"/>
      <c r="K157" s="22">
        <v>17</v>
      </c>
      <c r="L157" s="36"/>
      <c r="M157" s="22">
        <v>18</v>
      </c>
      <c r="N157" s="36"/>
      <c r="O157" s="22">
        <f>IF(DAY(MaySun1)=1,MaySun1+14,MaySun1+21)</f>
        <v>43604</v>
      </c>
    </row>
    <row r="158" spans="1:22" s="15" customFormat="1" ht="55.5" customHeight="1" x14ac:dyDescent="0.25">
      <c r="A158" s="6"/>
      <c r="B158" s="74"/>
      <c r="C158" s="75"/>
      <c r="D158" s="75"/>
      <c r="E158" s="75"/>
      <c r="F158" s="75"/>
      <c r="G158" s="75"/>
      <c r="H158" s="75"/>
      <c r="I158" s="75"/>
      <c r="J158" s="76" t="s">
        <v>25</v>
      </c>
      <c r="K158" s="77"/>
      <c r="L158" s="76"/>
      <c r="M158" s="77"/>
      <c r="N158" s="71"/>
      <c r="O158" s="71"/>
    </row>
    <row r="159" spans="1:22" s="15" customFormat="1" ht="8.25" customHeight="1" x14ac:dyDescent="0.25">
      <c r="A159" s="6"/>
      <c r="B159" s="72"/>
      <c r="C159" s="72"/>
      <c r="D159" s="72"/>
      <c r="E159" s="72"/>
      <c r="F159" s="72"/>
      <c r="G159" s="72"/>
      <c r="H159" s="72"/>
      <c r="I159" s="72"/>
      <c r="J159" s="72"/>
      <c r="K159" s="72"/>
      <c r="L159" s="73"/>
      <c r="M159" s="73"/>
      <c r="N159" s="73"/>
      <c r="O159" s="73"/>
    </row>
    <row r="160" spans="1:22" s="10" customFormat="1" ht="16.5" customHeight="1" x14ac:dyDescent="0.25">
      <c r="A160" s="9"/>
      <c r="B160" s="37"/>
      <c r="C160" s="22">
        <f>IF(DAY(MaySun1)=1,MaySun1+15,MaySun1+22)</f>
        <v>43605</v>
      </c>
      <c r="D160" s="36"/>
      <c r="E160" s="22">
        <f>IF(DAY(MaySun1)=1,MaySun1+16,MaySun1+23)</f>
        <v>43606</v>
      </c>
      <c r="F160" s="36"/>
      <c r="G160" s="22">
        <f>IF(DAY(MaySun1)=1,MaySun1+17,MaySun1+24)</f>
        <v>43607</v>
      </c>
      <c r="H160" s="36"/>
      <c r="I160" s="22">
        <f>IF(DAY(MaySun1)=1,MaySun1+18,MaySun1+25)</f>
        <v>43608</v>
      </c>
      <c r="J160" s="36"/>
      <c r="K160" s="22">
        <f>IF(DAY(MaySun1)=1,MaySun1+19,MaySun1+26)</f>
        <v>43609</v>
      </c>
      <c r="L160" s="36"/>
      <c r="M160" s="22">
        <f>IF(DAY(MaySun1)=1,MaySun1+20,MaySun1+27)</f>
        <v>43610</v>
      </c>
      <c r="N160" s="36"/>
      <c r="O160" s="22">
        <f>IF(DAY(MaySun1)=1,MaySun1+21,MaySun1+28)</f>
        <v>43611</v>
      </c>
    </row>
    <row r="161" spans="1:16" s="15" customFormat="1" ht="55.5" customHeight="1" x14ac:dyDescent="0.25">
      <c r="A161" s="6"/>
      <c r="B161" s="74"/>
      <c r="C161" s="75"/>
      <c r="D161" s="75"/>
      <c r="E161" s="75"/>
      <c r="F161" s="75"/>
      <c r="G161" s="75"/>
      <c r="H161" s="75"/>
      <c r="I161" s="75"/>
      <c r="J161" s="75"/>
      <c r="K161" s="75"/>
      <c r="L161" s="71"/>
      <c r="M161" s="71"/>
      <c r="N161" s="71"/>
      <c r="O161" s="71"/>
    </row>
    <row r="162" spans="1:16" s="15" customFormat="1" ht="8.25" customHeight="1" x14ac:dyDescent="0.25">
      <c r="A162" s="6"/>
      <c r="B162" s="72"/>
      <c r="C162" s="72"/>
      <c r="D162" s="72"/>
      <c r="E162" s="72"/>
      <c r="F162" s="72"/>
      <c r="G162" s="72"/>
      <c r="H162" s="72"/>
      <c r="I162" s="72"/>
      <c r="J162" s="72"/>
      <c r="K162" s="72"/>
      <c r="L162" s="73"/>
      <c r="M162" s="73"/>
      <c r="N162" s="73"/>
      <c r="O162" s="73"/>
    </row>
    <row r="163" spans="1:16" s="10" customFormat="1" ht="16.5" customHeight="1" x14ac:dyDescent="0.25">
      <c r="A163" s="9"/>
      <c r="B163" s="37"/>
      <c r="C163" s="22">
        <f>IF(DAY(MaySun1)=1,MaySun1+22,MaySun1+29)</f>
        <v>43612</v>
      </c>
      <c r="D163" s="36"/>
      <c r="E163" s="22">
        <f>IF(DAY(MaySun1)=1,MaySun1+23,MaySun1+30)</f>
        <v>43613</v>
      </c>
      <c r="F163" s="36"/>
      <c r="G163" s="22">
        <f>IF(DAY(MaySun1)=1,MaySun1+24,MaySun1+31)</f>
        <v>43614</v>
      </c>
      <c r="H163" s="36"/>
      <c r="I163" s="22">
        <f>IF(DAY(MaySun1)=1,MaySun1+25,MaySun1+32)</f>
        <v>43615</v>
      </c>
      <c r="J163" s="36"/>
      <c r="K163" s="22">
        <f>IF(DAY(MaySun1)=1,MaySun1+26,MaySun1+33)</f>
        <v>43616</v>
      </c>
      <c r="L163" s="36"/>
      <c r="M163" s="22">
        <f>IF(DAY(MaySun1)=1,MaySun1+27,MaySun1+34)</f>
        <v>43617</v>
      </c>
      <c r="N163" s="36"/>
      <c r="O163" s="22">
        <f>IF(DAY(MaySun1)=1,MaySun1+28,MaySun1+35)</f>
        <v>43618</v>
      </c>
    </row>
    <row r="164" spans="1:16" s="15" customFormat="1" ht="55.5" customHeight="1" x14ac:dyDescent="0.25">
      <c r="A164" s="6"/>
      <c r="B164" s="74"/>
      <c r="C164" s="75"/>
      <c r="D164" s="75"/>
      <c r="E164" s="75"/>
      <c r="F164" s="75"/>
      <c r="G164" s="75"/>
      <c r="H164" s="75"/>
      <c r="I164" s="75"/>
      <c r="J164" s="75"/>
      <c r="K164" s="75"/>
      <c r="L164" s="71"/>
      <c r="M164" s="71"/>
      <c r="N164" s="71"/>
      <c r="O164" s="71"/>
    </row>
    <row r="165" spans="1:16" s="15" customFormat="1" ht="8.25" customHeight="1" x14ac:dyDescent="0.25">
      <c r="A165" s="6"/>
      <c r="B165" s="72"/>
      <c r="C165" s="72"/>
      <c r="D165" s="72"/>
      <c r="E165" s="72"/>
      <c r="F165" s="72"/>
      <c r="G165" s="72"/>
      <c r="H165" s="72"/>
      <c r="I165" s="72"/>
      <c r="J165" s="72"/>
      <c r="K165" s="72"/>
      <c r="L165" s="73"/>
      <c r="M165" s="73"/>
      <c r="N165" s="73"/>
      <c r="O165" s="73"/>
    </row>
    <row r="166" spans="1:16" s="15" customFormat="1" ht="7.5" customHeight="1" x14ac:dyDescent="0.2">
      <c r="B166" s="38"/>
      <c r="C166" s="38"/>
      <c r="D166" s="38"/>
      <c r="E166" s="38"/>
      <c r="F166" s="38"/>
      <c r="G166" s="38"/>
      <c r="H166" s="38"/>
      <c r="I166" s="38"/>
      <c r="J166" s="38"/>
      <c r="K166" s="38"/>
      <c r="L166" s="38"/>
      <c r="M166" s="38"/>
      <c r="N166" s="38"/>
      <c r="O166" s="38"/>
    </row>
    <row r="167" spans="1:16" s="15" customFormat="1" ht="14.25" customHeight="1" x14ac:dyDescent="0.2"/>
    <row r="168" spans="1:16" s="15" customFormat="1" ht="54" customHeight="1" x14ac:dyDescent="0.2">
      <c r="A168" s="70" t="s">
        <v>14</v>
      </c>
      <c r="B168" s="70"/>
      <c r="C168" s="70"/>
      <c r="D168" s="70"/>
      <c r="E168" s="70"/>
      <c r="F168" s="70"/>
      <c r="G168" s="70"/>
      <c r="H168" s="13"/>
      <c r="I168" s="4"/>
      <c r="J168" s="4"/>
      <c r="L168" s="68">
        <f>Annéecivile</f>
        <v>2019</v>
      </c>
      <c r="M168" s="68"/>
      <c r="N168" s="68"/>
      <c r="O168" s="68"/>
      <c r="P168" s="68"/>
    </row>
    <row r="169" spans="1:16" s="15" customFormat="1" ht="18.95" customHeight="1" x14ac:dyDescent="0.35">
      <c r="A169" s="3"/>
      <c r="B169" s="1"/>
      <c r="C169" s="1"/>
      <c r="D169" s="1"/>
      <c r="E169" s="2"/>
      <c r="F169" s="2"/>
      <c r="G169" s="2"/>
      <c r="H169" s="4"/>
      <c r="I169" s="4"/>
      <c r="J169" s="4"/>
    </row>
    <row r="170" spans="1:16" s="15" customFormat="1" ht="18.95" customHeight="1" x14ac:dyDescent="0.35">
      <c r="A170" s="3"/>
      <c r="B170" s="1"/>
      <c r="C170" s="1"/>
      <c r="D170" s="1"/>
      <c r="E170" s="2"/>
      <c r="F170" s="2"/>
      <c r="G170" s="2"/>
      <c r="H170" s="4"/>
      <c r="I170" s="4"/>
      <c r="J170" s="4"/>
    </row>
    <row r="171" spans="1:16" s="15" customFormat="1" ht="18.95" customHeight="1" x14ac:dyDescent="0.35">
      <c r="A171" s="3"/>
      <c r="B171" s="1"/>
      <c r="C171" s="1"/>
      <c r="D171" s="1"/>
      <c r="E171" s="2"/>
      <c r="F171" s="2"/>
      <c r="G171" s="2"/>
      <c r="H171" s="4"/>
      <c r="I171" s="4"/>
      <c r="J171" s="4"/>
    </row>
    <row r="172" spans="1:16" s="15" customFormat="1" ht="18.95" customHeight="1" x14ac:dyDescent="0.35">
      <c r="A172" s="3"/>
      <c r="B172" s="1"/>
      <c r="C172" s="1"/>
      <c r="D172" s="1"/>
      <c r="E172" s="2"/>
      <c r="F172" s="2"/>
      <c r="G172" s="2"/>
      <c r="H172" s="4"/>
      <c r="I172" s="4"/>
      <c r="J172" s="4"/>
    </row>
    <row r="173" spans="1:16" s="15" customFormat="1" ht="18.95" customHeight="1" x14ac:dyDescent="0.35">
      <c r="A173" s="3"/>
      <c r="B173" s="1"/>
      <c r="C173" s="1"/>
      <c r="D173" s="1"/>
      <c r="E173" s="2"/>
      <c r="F173" s="2"/>
      <c r="G173" s="2"/>
      <c r="H173" s="4"/>
      <c r="I173" s="4"/>
      <c r="J173" s="4"/>
    </row>
    <row r="174" spans="1:16" s="15" customFormat="1" ht="18.95" customHeight="1" x14ac:dyDescent="0.35">
      <c r="A174" s="3"/>
      <c r="B174" s="1"/>
      <c r="C174" s="1"/>
      <c r="D174" s="1"/>
      <c r="E174" s="2"/>
      <c r="F174" s="2"/>
      <c r="G174" s="2"/>
      <c r="H174" s="4"/>
      <c r="I174" s="4"/>
      <c r="J174" s="4"/>
    </row>
    <row r="175" spans="1:16" s="15" customFormat="1" ht="18.95" customHeight="1" x14ac:dyDescent="0.35">
      <c r="A175" s="3"/>
      <c r="B175" s="1"/>
      <c r="C175" s="1"/>
      <c r="D175" s="1"/>
      <c r="E175" s="2"/>
      <c r="F175" s="2"/>
      <c r="G175" s="2"/>
      <c r="H175" s="4"/>
      <c r="I175" s="4"/>
      <c r="J175" s="4"/>
    </row>
    <row r="176" spans="1:16" s="15" customFormat="1" ht="18.95" customHeight="1" x14ac:dyDescent="0.35">
      <c r="A176" s="3"/>
      <c r="B176" s="1"/>
      <c r="C176" s="1"/>
      <c r="D176" s="1"/>
      <c r="E176" s="2"/>
      <c r="F176" s="2"/>
      <c r="G176" s="2"/>
      <c r="H176" s="4"/>
      <c r="I176" s="4"/>
      <c r="J176" s="4"/>
    </row>
    <row r="177" spans="1:22" s="15" customFormat="1" ht="18.95" customHeight="1" x14ac:dyDescent="0.35">
      <c r="A177" s="3"/>
      <c r="B177" s="1"/>
      <c r="C177" s="1"/>
      <c r="D177" s="1"/>
      <c r="E177" s="2"/>
      <c r="F177" s="2"/>
      <c r="G177" s="2"/>
      <c r="H177" s="4"/>
      <c r="I177" s="4"/>
      <c r="J177" s="4"/>
    </row>
    <row r="178" spans="1:22" s="15" customFormat="1" ht="18.95" customHeight="1" x14ac:dyDescent="0.35">
      <c r="A178" s="3"/>
      <c r="B178" s="1"/>
      <c r="C178" s="1"/>
      <c r="D178" s="1"/>
      <c r="E178" s="2"/>
      <c r="F178" s="2"/>
      <c r="G178" s="2"/>
      <c r="H178" s="4"/>
      <c r="I178" s="4"/>
      <c r="J178" s="4"/>
    </row>
    <row r="179" spans="1:22" s="15" customFormat="1" ht="18.95" customHeight="1" x14ac:dyDescent="0.35">
      <c r="A179" s="3"/>
      <c r="B179" s="1"/>
      <c r="C179" s="1"/>
      <c r="D179" s="1"/>
      <c r="E179" s="2"/>
      <c r="F179" s="2"/>
      <c r="G179" s="2"/>
      <c r="H179" s="4"/>
      <c r="I179" s="4"/>
      <c r="J179" s="4"/>
    </row>
    <row r="180" spans="1:22" s="15" customFormat="1" ht="18.95" customHeight="1" x14ac:dyDescent="0.35">
      <c r="A180" s="3"/>
      <c r="B180" s="1"/>
      <c r="C180" s="1"/>
      <c r="D180" s="1"/>
      <c r="E180" s="2"/>
      <c r="F180" s="2"/>
      <c r="G180" s="2"/>
      <c r="H180" s="4"/>
      <c r="I180" s="4"/>
      <c r="J180" s="4"/>
    </row>
    <row r="181" spans="1:22" s="15" customFormat="1" ht="18.95" customHeight="1" x14ac:dyDescent="0.35">
      <c r="A181" s="3"/>
      <c r="B181" s="1"/>
      <c r="C181" s="1"/>
      <c r="D181" s="1"/>
      <c r="E181" s="2"/>
      <c r="F181" s="2"/>
      <c r="G181" s="2"/>
      <c r="H181" s="4"/>
      <c r="I181" s="4"/>
      <c r="J181" s="4"/>
    </row>
    <row r="182" spans="1:22" s="15" customFormat="1" ht="18.95" customHeight="1" x14ac:dyDescent="0.35">
      <c r="A182" s="3"/>
      <c r="B182" s="1"/>
      <c r="C182" s="1"/>
      <c r="D182" s="1"/>
      <c r="E182" s="2"/>
      <c r="F182" s="2"/>
      <c r="G182" s="2"/>
      <c r="H182" s="4"/>
      <c r="I182" s="4"/>
      <c r="J182" s="4"/>
    </row>
    <row r="183" spans="1:22" s="15" customFormat="1" ht="18.95" customHeight="1" x14ac:dyDescent="0.25">
      <c r="A183" s="6"/>
      <c r="B183" s="7"/>
      <c r="C183" s="7"/>
      <c r="D183" s="7"/>
      <c r="E183" s="7"/>
      <c r="F183" s="7"/>
      <c r="G183" s="7"/>
      <c r="H183" s="7"/>
      <c r="I183" s="7"/>
      <c r="J183" s="7"/>
      <c r="K183" s="7"/>
      <c r="L183" s="7"/>
      <c r="M183" s="7"/>
      <c r="N183" s="7"/>
      <c r="O183" s="7"/>
    </row>
    <row r="184" spans="1:22" s="6" customFormat="1" ht="27" customHeight="1" x14ac:dyDescent="0.25">
      <c r="B184" s="69" t="s">
        <v>0</v>
      </c>
      <c r="C184" s="69"/>
      <c r="D184" s="69" t="s">
        <v>1</v>
      </c>
      <c r="E184" s="69"/>
      <c r="F184" s="69" t="s">
        <v>2</v>
      </c>
      <c r="G184" s="69"/>
      <c r="H184" s="69" t="s">
        <v>3</v>
      </c>
      <c r="I184" s="69"/>
      <c r="J184" s="69" t="s">
        <v>4</v>
      </c>
      <c r="K184" s="69"/>
      <c r="L184" s="69" t="s">
        <v>5</v>
      </c>
      <c r="M184" s="69"/>
      <c r="N184" s="69" t="s">
        <v>6</v>
      </c>
      <c r="O184" s="69"/>
      <c r="P184" s="15"/>
      <c r="Q184" s="8"/>
      <c r="U184" s="15"/>
      <c r="V184" s="15"/>
    </row>
    <row r="185" spans="1:22" s="9" customFormat="1" ht="16.5" customHeight="1" x14ac:dyDescent="0.25">
      <c r="B185" s="32"/>
      <c r="C185" s="39">
        <f>IF(DAY(JunSun1)=1,JunSun1-6,JunSun1+1)</f>
        <v>43612</v>
      </c>
      <c r="D185" s="33"/>
      <c r="E185" s="39">
        <f>IF(DAY(JunSun1)=1,JunSun1-5,JunSun1+2)</f>
        <v>43613</v>
      </c>
      <c r="F185" s="33"/>
      <c r="G185" s="39">
        <f>IF(DAY(JunSun1)=1,JunSun1-4,JunSun1+3)</f>
        <v>43614</v>
      </c>
      <c r="H185" s="33"/>
      <c r="I185" s="39">
        <f>IF(DAY(JunSun1)=1,JunSun1-3,JunSun1+4)</f>
        <v>43615</v>
      </c>
      <c r="J185" s="33"/>
      <c r="K185" s="39">
        <f>IF(DAY(JunSun1)=1,JunSun1-2,JunSun1+5)</f>
        <v>43616</v>
      </c>
      <c r="L185" s="33"/>
      <c r="M185" s="39">
        <f>IF(DAY(JunSun1)=1,JunSun1-1,JunSun1+6)</f>
        <v>43617</v>
      </c>
      <c r="N185" s="33"/>
      <c r="O185" s="39">
        <f>IF(DAY(JunSun1)=1,JunSun1,JunSun1+7)</f>
        <v>43618</v>
      </c>
      <c r="P185" s="10"/>
      <c r="Q185" s="10"/>
      <c r="U185" s="11"/>
      <c r="V185" s="10"/>
    </row>
    <row r="186" spans="1:22" s="12" customFormat="1" ht="55.5" customHeight="1" x14ac:dyDescent="0.25">
      <c r="A186" s="6"/>
      <c r="B186" s="65"/>
      <c r="C186" s="66"/>
      <c r="D186" s="66"/>
      <c r="E186" s="66"/>
      <c r="F186" s="66"/>
      <c r="G186" s="66"/>
      <c r="H186" s="66"/>
      <c r="I186" s="66"/>
      <c r="J186" s="66"/>
      <c r="K186" s="66"/>
      <c r="L186" s="62"/>
      <c r="M186" s="62"/>
      <c r="N186" s="62"/>
      <c r="O186" s="62"/>
    </row>
    <row r="187" spans="1:22" s="12" customFormat="1" ht="8.25" customHeight="1" x14ac:dyDescent="0.25">
      <c r="A187" s="6"/>
      <c r="B187" s="63"/>
      <c r="C187" s="63"/>
      <c r="D187" s="63"/>
      <c r="E187" s="63"/>
      <c r="F187" s="63"/>
      <c r="G187" s="63"/>
      <c r="H187" s="63"/>
      <c r="I187" s="63"/>
      <c r="J187" s="63"/>
      <c r="K187" s="63"/>
      <c r="L187" s="64"/>
      <c r="M187" s="64"/>
      <c r="N187" s="64"/>
      <c r="O187" s="64"/>
    </row>
    <row r="188" spans="1:22" s="10" customFormat="1" ht="16.5" customHeight="1" x14ac:dyDescent="0.25">
      <c r="A188" s="9"/>
      <c r="B188" s="33"/>
      <c r="C188" s="39">
        <f>IF(DAY(JunSun1)=1,JunSun1+1,JunSun1+8)</f>
        <v>43619</v>
      </c>
      <c r="D188" s="33"/>
      <c r="E188" s="39">
        <f>IF(DAY(JunSun1)=1,JunSun1+2,JunSun1+9)</f>
        <v>43620</v>
      </c>
      <c r="F188" s="33"/>
      <c r="G188" s="39">
        <f>IF(DAY(JunSun1)=1,JunSun1+3,JunSun1+10)</f>
        <v>43621</v>
      </c>
      <c r="H188" s="33"/>
      <c r="I188" s="39">
        <f>IF(DAY(JunSun1)=1,JunSun1+4,JunSun1+11)</f>
        <v>43622</v>
      </c>
      <c r="J188" s="33"/>
      <c r="K188" s="39">
        <f>IF(DAY(JunSun1)=1,JunSun1+5,JunSun1+12)</f>
        <v>43623</v>
      </c>
      <c r="L188" s="33"/>
      <c r="M188" s="39">
        <f>IF(DAY(JunSun1)=1,JunSun1+6,JunSun1+13)</f>
        <v>43624</v>
      </c>
      <c r="N188" s="33"/>
      <c r="O188" s="39">
        <f>IF(DAY(JunSun1)=1,JunSun1+7,JunSun1+14)</f>
        <v>43625</v>
      </c>
    </row>
    <row r="189" spans="1:22" s="15" customFormat="1" ht="55.5" customHeight="1" x14ac:dyDescent="0.25">
      <c r="A189" s="6"/>
      <c r="B189" s="65"/>
      <c r="C189" s="66"/>
      <c r="D189" s="66"/>
      <c r="E189" s="66"/>
      <c r="F189" s="66"/>
      <c r="G189" s="66"/>
      <c r="H189" s="66"/>
      <c r="I189" s="66"/>
      <c r="J189" s="66"/>
      <c r="K189" s="66"/>
      <c r="L189" s="62"/>
      <c r="M189" s="62"/>
      <c r="N189" s="62"/>
      <c r="O189" s="62"/>
    </row>
    <row r="190" spans="1:22" s="15" customFormat="1" ht="8.25" customHeight="1" x14ac:dyDescent="0.25">
      <c r="A190" s="6"/>
      <c r="B190" s="63"/>
      <c r="C190" s="63"/>
      <c r="D190" s="63"/>
      <c r="E190" s="63"/>
      <c r="F190" s="63"/>
      <c r="G190" s="63"/>
      <c r="H190" s="63"/>
      <c r="I190" s="63"/>
      <c r="J190" s="63"/>
      <c r="K190" s="63"/>
      <c r="L190" s="64"/>
      <c r="M190" s="64"/>
      <c r="N190" s="64"/>
      <c r="O190" s="64"/>
    </row>
    <row r="191" spans="1:22" s="10" customFormat="1" ht="16.5" customHeight="1" x14ac:dyDescent="0.25">
      <c r="A191" s="9"/>
      <c r="B191" s="33"/>
      <c r="C191" s="39">
        <f>IF(DAY(JunSun1)=1,JunSun1+8,JunSun1+15)</f>
        <v>43626</v>
      </c>
      <c r="D191" s="33"/>
      <c r="E191" s="39">
        <f>IF(DAY(JunSun1)=1,JunSun1+9,JunSun1+16)</f>
        <v>43627</v>
      </c>
      <c r="F191" s="33"/>
      <c r="G191" s="39">
        <f>IF(DAY(JunSun1)=1,JunSun1+10,JunSun1+17)</f>
        <v>43628</v>
      </c>
      <c r="H191" s="33"/>
      <c r="I191" s="39">
        <f>IF(DAY(JunSun1)=1,JunSun1+11,JunSun1+18)</f>
        <v>43629</v>
      </c>
      <c r="J191" s="33"/>
      <c r="K191" s="39">
        <f>IF(DAY(JunSun1)=1,JunSun1+12,JunSun1+19)</f>
        <v>43630</v>
      </c>
      <c r="L191" s="33"/>
      <c r="M191" s="39">
        <f>IF(DAY(JunSun1)=1,JunSun1+13,JunSun1+20)</f>
        <v>43631</v>
      </c>
      <c r="N191" s="33"/>
      <c r="O191" s="39">
        <f>IF(DAY(JunSun1)=1,JunSun1+14,JunSun1+21)</f>
        <v>43632</v>
      </c>
    </row>
    <row r="192" spans="1:22" s="15" customFormat="1" ht="55.5" customHeight="1" x14ac:dyDescent="0.25">
      <c r="A192" s="6"/>
      <c r="B192" s="65"/>
      <c r="C192" s="66"/>
      <c r="D192" s="66"/>
      <c r="E192" s="66"/>
      <c r="F192" s="66"/>
      <c r="G192" s="66"/>
      <c r="H192" s="66"/>
      <c r="I192" s="66"/>
      <c r="J192" s="66"/>
      <c r="K192" s="66"/>
      <c r="L192" s="62"/>
      <c r="M192" s="62"/>
      <c r="N192" s="62"/>
      <c r="O192" s="62"/>
    </row>
    <row r="193" spans="1:16" s="15" customFormat="1" ht="8.25" customHeight="1" x14ac:dyDescent="0.25">
      <c r="A193" s="6"/>
      <c r="B193" s="63"/>
      <c r="C193" s="63"/>
      <c r="D193" s="63"/>
      <c r="E193" s="63"/>
      <c r="F193" s="63"/>
      <c r="G193" s="63"/>
      <c r="H193" s="63"/>
      <c r="I193" s="63"/>
      <c r="J193" s="63"/>
      <c r="K193" s="63"/>
      <c r="L193" s="64"/>
      <c r="M193" s="64"/>
      <c r="N193" s="64"/>
      <c r="O193" s="64"/>
    </row>
    <row r="194" spans="1:16" s="10" customFormat="1" ht="16.5" customHeight="1" x14ac:dyDescent="0.25">
      <c r="A194" s="9"/>
      <c r="B194" s="33"/>
      <c r="C194" s="39">
        <f>IF(DAY(JunSun1)=1,JunSun1+15,JunSun1+22)</f>
        <v>43633</v>
      </c>
      <c r="D194" s="33"/>
      <c r="E194" s="39">
        <f>IF(DAY(JunSun1)=1,JunSun1+16,JunSun1+23)</f>
        <v>43634</v>
      </c>
      <c r="F194" s="33"/>
      <c r="G194" s="39">
        <f>IF(DAY(JunSun1)=1,JunSun1+17,JunSun1+24)</f>
        <v>43635</v>
      </c>
      <c r="H194" s="33"/>
      <c r="I194" s="39">
        <f>IF(DAY(JunSun1)=1,JunSun1+18,JunSun1+25)</f>
        <v>43636</v>
      </c>
      <c r="J194" s="33"/>
      <c r="K194" s="39">
        <f>IF(DAY(JunSun1)=1,JunSun1+19,JunSun1+26)</f>
        <v>43637</v>
      </c>
      <c r="L194" s="33"/>
      <c r="M194" s="39">
        <f>IF(DAY(JunSun1)=1,JunSun1+20,JunSun1+27)</f>
        <v>43638</v>
      </c>
      <c r="N194" s="33"/>
      <c r="O194" s="39">
        <f>IF(DAY(JunSun1)=1,JunSun1+21,JunSun1+28)</f>
        <v>43639</v>
      </c>
    </row>
    <row r="195" spans="1:16" s="15" customFormat="1" ht="55.5" customHeight="1" x14ac:dyDescent="0.25">
      <c r="A195" s="6"/>
      <c r="B195" s="65"/>
      <c r="C195" s="66"/>
      <c r="D195" s="66"/>
      <c r="E195" s="66"/>
      <c r="F195" s="66"/>
      <c r="G195" s="66"/>
      <c r="H195" s="66"/>
      <c r="I195" s="66"/>
      <c r="J195" s="66"/>
      <c r="K195" s="66"/>
      <c r="L195" s="62"/>
      <c r="M195" s="62"/>
      <c r="N195" s="62"/>
      <c r="O195" s="62"/>
    </row>
    <row r="196" spans="1:16" s="15" customFormat="1" ht="8.25" customHeight="1" x14ac:dyDescent="0.25">
      <c r="A196" s="6"/>
      <c r="B196" s="63"/>
      <c r="C196" s="63"/>
      <c r="D196" s="63"/>
      <c r="E196" s="63"/>
      <c r="F196" s="63"/>
      <c r="G196" s="63"/>
      <c r="H196" s="63"/>
      <c r="I196" s="63"/>
      <c r="J196" s="63"/>
      <c r="K196" s="63"/>
      <c r="L196" s="64"/>
      <c r="M196" s="64"/>
      <c r="N196" s="64"/>
      <c r="O196" s="64"/>
    </row>
    <row r="197" spans="1:16" s="10" customFormat="1" ht="16.5" customHeight="1" x14ac:dyDescent="0.25">
      <c r="A197" s="9"/>
      <c r="B197" s="33"/>
      <c r="C197" s="39">
        <f>IF(DAY(JunSun1)=1,JunSun1+22,JunSun1+29)</f>
        <v>43640</v>
      </c>
      <c r="D197" s="33"/>
      <c r="E197" s="39">
        <f>IF(DAY(JunSun1)=1,JunSun1+23,JunSun1+30)</f>
        <v>43641</v>
      </c>
      <c r="F197" s="33"/>
      <c r="G197" s="39">
        <f>IF(DAY(JunSun1)=1,JunSun1+24,JunSun1+31)</f>
        <v>43642</v>
      </c>
      <c r="H197" s="33"/>
      <c r="I197" s="39">
        <f>IF(DAY(JunSun1)=1,JunSun1+25,JunSun1+32)</f>
        <v>43643</v>
      </c>
      <c r="J197" s="33"/>
      <c r="K197" s="39">
        <f>IF(DAY(JunSun1)=1,JunSun1+26,JunSun1+33)</f>
        <v>43644</v>
      </c>
      <c r="L197" s="33"/>
      <c r="M197" s="39">
        <f>IF(DAY(JunSun1)=1,JunSun1+27,JunSun1+34)</f>
        <v>43645</v>
      </c>
      <c r="N197" s="33"/>
      <c r="O197" s="39">
        <f>IF(DAY(JunSun1)=1,JunSun1+28,JunSun1+35)</f>
        <v>43646</v>
      </c>
    </row>
    <row r="198" spans="1:16" s="15" customFormat="1" ht="55.5" customHeight="1" x14ac:dyDescent="0.25">
      <c r="A198" s="6"/>
      <c r="B198" s="65"/>
      <c r="C198" s="66"/>
      <c r="D198" s="66"/>
      <c r="E198" s="66"/>
      <c r="F198" s="66"/>
      <c r="G198" s="66"/>
      <c r="H198" s="66"/>
      <c r="I198" s="66"/>
      <c r="J198" s="66"/>
      <c r="K198" s="66"/>
      <c r="L198" s="62"/>
      <c r="M198" s="62"/>
      <c r="N198" s="62"/>
      <c r="O198" s="62"/>
    </row>
    <row r="199" spans="1:16" s="15" customFormat="1" ht="8.25" customHeight="1" x14ac:dyDescent="0.25">
      <c r="A199" s="6"/>
      <c r="B199" s="63"/>
      <c r="C199" s="63"/>
      <c r="D199" s="63"/>
      <c r="E199" s="63"/>
      <c r="F199" s="63"/>
      <c r="G199" s="63"/>
      <c r="H199" s="63"/>
      <c r="I199" s="63"/>
      <c r="J199" s="63"/>
      <c r="K199" s="63"/>
      <c r="L199" s="64"/>
      <c r="M199" s="64"/>
      <c r="N199" s="64"/>
      <c r="O199" s="64"/>
    </row>
    <row r="200" spans="1:16" s="15" customFormat="1" ht="7.5" customHeight="1" x14ac:dyDescent="0.2">
      <c r="B200" s="34"/>
      <c r="C200" s="34"/>
      <c r="D200" s="34"/>
      <c r="E200" s="34"/>
      <c r="F200" s="34"/>
      <c r="G200" s="34"/>
      <c r="H200" s="34"/>
      <c r="I200" s="34"/>
      <c r="J200" s="34"/>
      <c r="K200" s="34"/>
      <c r="L200" s="34"/>
      <c r="M200" s="34"/>
      <c r="N200" s="34"/>
      <c r="O200" s="34"/>
    </row>
    <row r="201" spans="1:16" s="15" customFormat="1" ht="14.25" customHeight="1" x14ac:dyDescent="0.2"/>
    <row r="202" spans="1:16" s="15" customFormat="1" ht="54" customHeight="1" x14ac:dyDescent="0.2">
      <c r="A202" s="70" t="s">
        <v>15</v>
      </c>
      <c r="B202" s="70"/>
      <c r="C202" s="70"/>
      <c r="D202" s="70"/>
      <c r="E202" s="70"/>
      <c r="F202" s="70"/>
      <c r="G202" s="70"/>
      <c r="H202" s="13"/>
      <c r="I202" s="4"/>
      <c r="J202" s="4"/>
      <c r="L202" s="68">
        <f>Annéecivile</f>
        <v>2019</v>
      </c>
      <c r="M202" s="68"/>
      <c r="N202" s="68"/>
      <c r="O202" s="68"/>
      <c r="P202" s="68"/>
    </row>
    <row r="203" spans="1:16" s="15" customFormat="1" ht="18.95" customHeight="1" x14ac:dyDescent="0.35">
      <c r="A203" s="3"/>
      <c r="B203" s="1"/>
      <c r="C203" s="1"/>
      <c r="D203" s="1"/>
      <c r="E203" s="2"/>
      <c r="F203" s="2"/>
      <c r="G203" s="2"/>
      <c r="H203" s="4"/>
      <c r="I203" s="4"/>
      <c r="J203" s="4"/>
    </row>
    <row r="204" spans="1:16" s="15" customFormat="1" ht="18.95" customHeight="1" x14ac:dyDescent="0.35">
      <c r="A204" s="3"/>
      <c r="B204" s="1"/>
      <c r="C204" s="1"/>
      <c r="D204" s="1"/>
      <c r="E204" s="2"/>
      <c r="F204" s="2"/>
      <c r="G204" s="2"/>
      <c r="H204" s="4"/>
      <c r="I204" s="4"/>
      <c r="J204" s="4"/>
    </row>
    <row r="205" spans="1:16" s="15" customFormat="1" ht="18.95" customHeight="1" x14ac:dyDescent="0.35">
      <c r="A205" s="3"/>
      <c r="B205" s="1"/>
      <c r="C205" s="1"/>
      <c r="D205" s="1"/>
      <c r="E205" s="2"/>
      <c r="F205" s="2"/>
      <c r="G205" s="2"/>
      <c r="H205" s="4"/>
      <c r="I205" s="4"/>
      <c r="J205" s="4"/>
    </row>
    <row r="206" spans="1:16" s="15" customFormat="1" ht="18.95" customHeight="1" x14ac:dyDescent="0.35">
      <c r="A206" s="3"/>
      <c r="B206" s="1"/>
      <c r="C206" s="1"/>
      <c r="D206" s="1"/>
      <c r="E206" s="2"/>
      <c r="F206" s="2"/>
      <c r="G206" s="2"/>
      <c r="H206" s="4"/>
      <c r="I206" s="4"/>
      <c r="J206" s="4"/>
    </row>
    <row r="207" spans="1:16" s="15" customFormat="1" ht="18.95" customHeight="1" x14ac:dyDescent="0.35">
      <c r="A207" s="3"/>
      <c r="B207" s="1"/>
      <c r="C207" s="1"/>
      <c r="D207" s="1"/>
      <c r="E207" s="2"/>
      <c r="F207" s="2"/>
      <c r="G207" s="2"/>
      <c r="H207" s="4"/>
      <c r="I207" s="4"/>
      <c r="J207" s="4"/>
    </row>
    <row r="208" spans="1:16" s="15" customFormat="1" ht="18.95" customHeight="1" x14ac:dyDescent="0.35">
      <c r="A208" s="3"/>
      <c r="B208" s="1"/>
      <c r="C208" s="1"/>
      <c r="D208" s="1"/>
      <c r="E208" s="2"/>
      <c r="F208" s="2"/>
      <c r="G208" s="2"/>
      <c r="H208" s="4"/>
      <c r="I208" s="4"/>
      <c r="J208" s="4"/>
    </row>
    <row r="209" spans="1:22" s="15" customFormat="1" ht="18.95" customHeight="1" x14ac:dyDescent="0.35">
      <c r="A209" s="3"/>
      <c r="B209" s="1"/>
      <c r="C209" s="1"/>
      <c r="D209" s="1"/>
      <c r="E209" s="2"/>
      <c r="F209" s="2"/>
      <c r="G209" s="2"/>
      <c r="H209" s="4"/>
      <c r="I209" s="4"/>
      <c r="J209" s="4"/>
    </row>
    <row r="210" spans="1:22" s="15" customFormat="1" ht="18.95" customHeight="1" x14ac:dyDescent="0.35">
      <c r="A210" s="3"/>
      <c r="B210" s="1"/>
      <c r="C210" s="1"/>
      <c r="D210" s="1"/>
      <c r="E210" s="2"/>
      <c r="F210" s="2"/>
      <c r="G210" s="2"/>
      <c r="H210" s="4"/>
      <c r="I210" s="4"/>
      <c r="J210" s="4"/>
    </row>
    <row r="211" spans="1:22" s="15" customFormat="1" ht="18.95" customHeight="1" x14ac:dyDescent="0.35">
      <c r="A211" s="3"/>
      <c r="B211" s="1"/>
      <c r="C211" s="1"/>
      <c r="D211" s="1"/>
      <c r="E211" s="2"/>
      <c r="F211" s="2"/>
      <c r="G211" s="2"/>
      <c r="H211" s="4"/>
      <c r="I211" s="4"/>
      <c r="J211" s="4"/>
    </row>
    <row r="212" spans="1:22" s="15" customFormat="1" ht="18.95" customHeight="1" x14ac:dyDescent="0.35">
      <c r="A212" s="3"/>
      <c r="B212" s="1"/>
      <c r="C212" s="1"/>
      <c r="D212" s="1"/>
      <c r="E212" s="2"/>
      <c r="F212" s="2"/>
      <c r="G212" s="2"/>
      <c r="H212" s="4"/>
      <c r="I212" s="4"/>
      <c r="J212" s="4"/>
    </row>
    <row r="213" spans="1:22" s="15" customFormat="1" ht="18.95" customHeight="1" x14ac:dyDescent="0.35">
      <c r="A213" s="3"/>
      <c r="B213" s="1"/>
      <c r="C213" s="1"/>
      <c r="D213" s="1"/>
      <c r="E213" s="2"/>
      <c r="F213" s="2"/>
      <c r="G213" s="2"/>
      <c r="H213" s="4"/>
      <c r="I213" s="4"/>
      <c r="J213" s="4"/>
    </row>
    <row r="214" spans="1:22" s="15" customFormat="1" ht="18.95" customHeight="1" x14ac:dyDescent="0.35">
      <c r="A214" s="3"/>
      <c r="B214" s="1"/>
      <c r="C214" s="1"/>
      <c r="D214" s="1"/>
      <c r="E214" s="2"/>
      <c r="F214" s="2"/>
      <c r="G214" s="2"/>
      <c r="H214" s="4"/>
      <c r="I214" s="4"/>
      <c r="J214" s="4"/>
    </row>
    <row r="215" spans="1:22" s="15" customFormat="1" ht="18.95" customHeight="1" x14ac:dyDescent="0.35">
      <c r="A215" s="3"/>
      <c r="B215" s="1"/>
      <c r="C215" s="1"/>
      <c r="D215" s="1"/>
      <c r="E215" s="2"/>
      <c r="F215" s="2"/>
      <c r="G215" s="2"/>
      <c r="H215" s="4"/>
      <c r="I215" s="4"/>
      <c r="J215" s="4"/>
    </row>
    <row r="216" spans="1:22" s="15" customFormat="1" ht="18.95" customHeight="1" x14ac:dyDescent="0.35">
      <c r="A216" s="3"/>
      <c r="B216" s="1"/>
      <c r="C216" s="1"/>
      <c r="D216" s="1"/>
      <c r="E216" s="2"/>
      <c r="F216" s="2"/>
      <c r="G216" s="2"/>
      <c r="H216" s="4"/>
      <c r="I216" s="4"/>
      <c r="J216" s="4"/>
    </row>
    <row r="217" spans="1:22" s="15" customFormat="1" ht="18.95" customHeight="1" x14ac:dyDescent="0.25">
      <c r="A217" s="6"/>
      <c r="B217" s="7"/>
      <c r="C217" s="7"/>
      <c r="D217" s="7"/>
      <c r="E217" s="7"/>
      <c r="F217" s="7"/>
      <c r="G217" s="7"/>
      <c r="H217" s="7"/>
      <c r="I217" s="7"/>
      <c r="J217" s="7"/>
      <c r="K217" s="7"/>
      <c r="L217" s="7"/>
      <c r="M217" s="7"/>
      <c r="N217" s="7"/>
      <c r="O217" s="7"/>
    </row>
    <row r="218" spans="1:22" s="6" customFormat="1" ht="27" customHeight="1" x14ac:dyDescent="0.25">
      <c r="B218" s="69" t="s">
        <v>0</v>
      </c>
      <c r="C218" s="69"/>
      <c r="D218" s="69" t="s">
        <v>1</v>
      </c>
      <c r="E218" s="69"/>
      <c r="F218" s="69" t="s">
        <v>2</v>
      </c>
      <c r="G218" s="69"/>
      <c r="H218" s="69" t="s">
        <v>3</v>
      </c>
      <c r="I218" s="69"/>
      <c r="J218" s="69" t="s">
        <v>4</v>
      </c>
      <c r="K218" s="69"/>
      <c r="L218" s="69" t="s">
        <v>5</v>
      </c>
      <c r="M218" s="69"/>
      <c r="N218" s="69" t="s">
        <v>6</v>
      </c>
      <c r="O218" s="69"/>
      <c r="P218" s="15"/>
      <c r="Q218" s="8"/>
      <c r="U218" s="15"/>
      <c r="V218" s="15"/>
    </row>
    <row r="219" spans="1:22" s="9" customFormat="1" ht="16.5" customHeight="1" x14ac:dyDescent="0.25">
      <c r="B219" s="32"/>
      <c r="C219" s="39">
        <f>IF(DAY(JulSun1)=1,JulSun1-6,JulSun1+1)</f>
        <v>43647</v>
      </c>
      <c r="D219" s="33"/>
      <c r="E219" s="39">
        <f>IF(DAY(JulSun1)=1,JulSun1-5,JulSun1+2)</f>
        <v>43648</v>
      </c>
      <c r="F219" s="33"/>
      <c r="G219" s="39">
        <f>IF(DAY(JulSun1)=1,JulSun1-4,JulSun1+3)</f>
        <v>43649</v>
      </c>
      <c r="H219" s="33"/>
      <c r="I219" s="39">
        <f>IF(DAY(JulSun1)=1,JulSun1-3,JulSun1+4)</f>
        <v>43650</v>
      </c>
      <c r="J219" s="33"/>
      <c r="K219" s="39">
        <f>IF(DAY(JulSun1)=1,JulSun1-2,JulSun1+5)</f>
        <v>43651</v>
      </c>
      <c r="L219" s="33"/>
      <c r="M219" s="39">
        <f>IF(DAY(JulSun1)=1,JulSun1-1,JulSun1+6)</f>
        <v>43652</v>
      </c>
      <c r="N219" s="33"/>
      <c r="O219" s="39">
        <f>IF(DAY(JulSun1)=1,JulSun1,JulSun1+7)</f>
        <v>43653</v>
      </c>
      <c r="P219" s="10"/>
      <c r="Q219" s="10"/>
      <c r="U219" s="11"/>
      <c r="V219" s="10"/>
    </row>
    <row r="220" spans="1:22" s="12" customFormat="1" ht="55.5" customHeight="1" x14ac:dyDescent="0.25">
      <c r="A220" s="6"/>
      <c r="B220" s="65"/>
      <c r="C220" s="66"/>
      <c r="D220" s="66"/>
      <c r="E220" s="66"/>
      <c r="F220" s="66"/>
      <c r="G220" s="66"/>
      <c r="H220" s="66"/>
      <c r="I220" s="66"/>
      <c r="J220" s="66"/>
      <c r="K220" s="66"/>
      <c r="L220" s="62"/>
      <c r="M220" s="62"/>
      <c r="N220" s="62"/>
      <c r="O220" s="62"/>
    </row>
    <row r="221" spans="1:22" s="12" customFormat="1" ht="8.25" customHeight="1" x14ac:dyDescent="0.25">
      <c r="A221" s="6"/>
      <c r="B221" s="63"/>
      <c r="C221" s="63"/>
      <c r="D221" s="63"/>
      <c r="E221" s="63"/>
      <c r="F221" s="63"/>
      <c r="G221" s="63"/>
      <c r="H221" s="63"/>
      <c r="I221" s="63"/>
      <c r="J221" s="63"/>
      <c r="K221" s="63"/>
      <c r="L221" s="64"/>
      <c r="M221" s="64"/>
      <c r="N221" s="64"/>
      <c r="O221" s="64"/>
    </row>
    <row r="222" spans="1:22" s="10" customFormat="1" ht="16.5" customHeight="1" x14ac:dyDescent="0.25">
      <c r="A222" s="9"/>
      <c r="B222" s="33"/>
      <c r="C222" s="39">
        <f>IF(DAY(JulSun1)=1,JulSun1+1,JulSun1+8)</f>
        <v>43654</v>
      </c>
      <c r="D222" s="33"/>
      <c r="E222" s="39">
        <f>IF(DAY(JulSun1)=1,JulSun1+2,JulSun1+9)</f>
        <v>43655</v>
      </c>
      <c r="F222" s="33"/>
      <c r="G222" s="39">
        <f>IF(DAY(JulSun1)=1,JulSun1+3,JulSun1+10)</f>
        <v>43656</v>
      </c>
      <c r="H222" s="33"/>
      <c r="I222" s="23">
        <f>IF(DAY(JulSun1)=1,JulSun1+4,JulSun1+11)</f>
        <v>43657</v>
      </c>
      <c r="J222" s="33"/>
      <c r="K222" s="23">
        <f>IF(DAY(JulSun1)=1,JulSun1+5,JulSun1+12)</f>
        <v>43658</v>
      </c>
      <c r="L222" s="33"/>
      <c r="M222" s="23">
        <f>IF(DAY(JulSun1)=1,JulSun1+6,JulSun1+13)</f>
        <v>43659</v>
      </c>
      <c r="N222" s="33"/>
      <c r="O222" s="23">
        <f>IF(DAY(JulSun1)=1,JulSun1+7,JulSun1+14)</f>
        <v>43660</v>
      </c>
    </row>
    <row r="223" spans="1:22" s="15" customFormat="1" ht="55.5" customHeight="1" x14ac:dyDescent="0.25">
      <c r="A223" s="6"/>
      <c r="B223" s="65"/>
      <c r="C223" s="66"/>
      <c r="D223" s="66"/>
      <c r="E223" s="66"/>
      <c r="F223" s="67" t="s">
        <v>24</v>
      </c>
      <c r="G223" s="67"/>
      <c r="H223" s="66"/>
      <c r="I223" s="66"/>
      <c r="J223" s="66"/>
      <c r="K223" s="66"/>
      <c r="L223" s="62"/>
      <c r="M223" s="62"/>
      <c r="N223" s="62"/>
      <c r="O223" s="62"/>
    </row>
    <row r="224" spans="1:22" s="15" customFormat="1" ht="8.25" customHeight="1" x14ac:dyDescent="0.25">
      <c r="A224" s="6"/>
      <c r="B224" s="63"/>
      <c r="C224" s="63"/>
      <c r="D224" s="63"/>
      <c r="E224" s="63"/>
      <c r="F224" s="63"/>
      <c r="G224" s="63"/>
      <c r="H224" s="63"/>
      <c r="I224" s="63"/>
      <c r="J224" s="63"/>
      <c r="K224" s="63"/>
      <c r="L224" s="64"/>
      <c r="M224" s="64"/>
      <c r="N224" s="64"/>
      <c r="O224" s="64"/>
    </row>
    <row r="225" spans="1:16" s="10" customFormat="1" ht="16.5" customHeight="1" x14ac:dyDescent="0.25">
      <c r="A225" s="9"/>
      <c r="B225" s="33"/>
      <c r="C225" s="39">
        <f>IF(DAY(JulSun1)=1,JulSun1+8,JulSun1+15)</f>
        <v>43661</v>
      </c>
      <c r="D225" s="33"/>
      <c r="E225" s="39">
        <f>IF(DAY(JulSun1)=1,JulSun1+9,JulSun1+16)</f>
        <v>43662</v>
      </c>
      <c r="F225" s="33"/>
      <c r="G225" s="39">
        <f>IF(DAY(JulSun1)=1,JulSun1+10,JulSun1+17)</f>
        <v>43663</v>
      </c>
      <c r="H225" s="33"/>
      <c r="I225" s="39">
        <f>IF(DAY(JulSun1)=1,JulSun1+11,JulSun1+18)</f>
        <v>43664</v>
      </c>
      <c r="J225" s="33"/>
      <c r="K225" s="39">
        <f>IF(DAY(JulSun1)=1,JulSun1+12,JulSun1+19)</f>
        <v>43665</v>
      </c>
      <c r="L225" s="33"/>
      <c r="M225" s="39">
        <f>IF(DAY(JulSun1)=1,JulSun1+13,JulSun1+20)</f>
        <v>43666</v>
      </c>
      <c r="N225" s="33"/>
      <c r="O225" s="39">
        <f>IF(DAY(JulSun1)=1,JulSun1+14,JulSun1+21)</f>
        <v>43667</v>
      </c>
    </row>
    <row r="226" spans="1:16" s="15" customFormat="1" ht="55.5" customHeight="1" x14ac:dyDescent="0.25">
      <c r="A226" s="6"/>
      <c r="B226" s="65"/>
      <c r="C226" s="66"/>
      <c r="D226" s="66"/>
      <c r="E226" s="66"/>
      <c r="F226" s="66"/>
      <c r="G226" s="66"/>
      <c r="H226" s="66"/>
      <c r="I226" s="66"/>
      <c r="J226" s="66"/>
      <c r="K226" s="66"/>
      <c r="L226" s="62"/>
      <c r="M226" s="62"/>
      <c r="N226" s="62"/>
      <c r="O226" s="62"/>
    </row>
    <row r="227" spans="1:16" s="15" customFormat="1" ht="8.25" customHeight="1" x14ac:dyDescent="0.25">
      <c r="A227" s="6"/>
      <c r="B227" s="63"/>
      <c r="C227" s="63"/>
      <c r="D227" s="63"/>
      <c r="E227" s="63"/>
      <c r="F227" s="63"/>
      <c r="G227" s="63"/>
      <c r="H227" s="63"/>
      <c r="I227" s="63"/>
      <c r="J227" s="63"/>
      <c r="K227" s="63"/>
      <c r="L227" s="64"/>
      <c r="M227" s="64"/>
      <c r="N227" s="64"/>
      <c r="O227" s="64"/>
    </row>
    <row r="228" spans="1:16" s="10" customFormat="1" ht="16.5" customHeight="1" x14ac:dyDescent="0.25">
      <c r="A228" s="9"/>
      <c r="B228" s="33"/>
      <c r="C228" s="39">
        <f>IF(DAY(JulSun1)=1,JulSun1+15,JulSun1+22)</f>
        <v>43668</v>
      </c>
      <c r="D228" s="33"/>
      <c r="E228" s="39">
        <f>IF(DAY(JulSun1)=1,JulSun1+16,JulSun1+23)</f>
        <v>43669</v>
      </c>
      <c r="F228" s="33"/>
      <c r="G228" s="39">
        <f>IF(DAY(JulSun1)=1,JulSun1+17,JulSun1+24)</f>
        <v>43670</v>
      </c>
      <c r="H228" s="33"/>
      <c r="I228" s="39">
        <f>IF(DAY(JulSun1)=1,JulSun1+18,JulSun1+25)</f>
        <v>43671</v>
      </c>
      <c r="J228" s="33"/>
      <c r="K228" s="39">
        <f>IF(DAY(JulSun1)=1,JulSun1+19,JulSun1+26)</f>
        <v>43672</v>
      </c>
      <c r="L228" s="33"/>
      <c r="M228" s="39">
        <f>IF(DAY(JulSun1)=1,JulSun1+20,JulSun1+27)</f>
        <v>43673</v>
      </c>
      <c r="N228" s="33"/>
      <c r="O228" s="39">
        <f>IF(DAY(JulSun1)=1,JulSun1+21,JulSun1+28)</f>
        <v>43674</v>
      </c>
    </row>
    <row r="229" spans="1:16" s="15" customFormat="1" ht="55.5" customHeight="1" x14ac:dyDescent="0.25">
      <c r="A229" s="6"/>
      <c r="B229" s="65"/>
      <c r="C229" s="66"/>
      <c r="D229" s="66"/>
      <c r="E229" s="66"/>
      <c r="F229" s="66"/>
      <c r="G229" s="66"/>
      <c r="H229" s="66"/>
      <c r="I229" s="66"/>
      <c r="J229" s="66"/>
      <c r="K229" s="66"/>
      <c r="L229" s="62"/>
      <c r="M229" s="62"/>
      <c r="N229" s="62"/>
      <c r="O229" s="62"/>
    </row>
    <row r="230" spans="1:16" s="15" customFormat="1" ht="8.25" customHeight="1" x14ac:dyDescent="0.25">
      <c r="A230" s="6"/>
      <c r="B230" s="63"/>
      <c r="C230" s="63"/>
      <c r="D230" s="63"/>
      <c r="E230" s="63"/>
      <c r="F230" s="63"/>
      <c r="G230" s="63"/>
      <c r="H230" s="63"/>
      <c r="I230" s="63"/>
      <c r="J230" s="63"/>
      <c r="K230" s="63"/>
      <c r="L230" s="64"/>
      <c r="M230" s="64"/>
      <c r="N230" s="64"/>
      <c r="O230" s="64"/>
    </row>
    <row r="231" spans="1:16" s="10" customFormat="1" ht="16.5" customHeight="1" x14ac:dyDescent="0.25">
      <c r="A231" s="9"/>
      <c r="B231" s="33"/>
      <c r="C231" s="39">
        <f>IF(DAY(JulSun1)=1,JulSun1+22,JulSun1+29)</f>
        <v>43675</v>
      </c>
      <c r="D231" s="33"/>
      <c r="E231" s="39">
        <f>IF(DAY(JulSun1)=1,JulSun1+23,JulSun1+30)</f>
        <v>43676</v>
      </c>
      <c r="F231" s="33"/>
      <c r="G231" s="39">
        <f>IF(DAY(JulSun1)=1,JulSun1+24,JulSun1+31)</f>
        <v>43677</v>
      </c>
      <c r="H231" s="33"/>
      <c r="I231" s="39">
        <f>IF(DAY(JulSun1)=1,JulSun1+25,JulSun1+32)</f>
        <v>43678</v>
      </c>
      <c r="J231" s="33"/>
      <c r="K231" s="39">
        <f>IF(DAY(JulSun1)=1,JulSun1+26,JulSun1+33)</f>
        <v>43679</v>
      </c>
      <c r="L231" s="33"/>
      <c r="M231" s="39">
        <f>IF(DAY(JulSun1)=1,JulSun1+27,JulSun1+34)</f>
        <v>43680</v>
      </c>
      <c r="N231" s="33"/>
      <c r="O231" s="39">
        <f>IF(DAY(JulSun1)=1,JulSun1+28,JulSun1+35)</f>
        <v>43681</v>
      </c>
    </row>
    <row r="232" spans="1:16" s="15" customFormat="1" ht="55.5" customHeight="1" x14ac:dyDescent="0.25">
      <c r="A232" s="6"/>
      <c r="B232" s="65"/>
      <c r="C232" s="66"/>
      <c r="D232" s="66"/>
      <c r="E232" s="66"/>
      <c r="F232" s="66"/>
      <c r="G232" s="66"/>
      <c r="H232" s="66"/>
      <c r="I232" s="66"/>
      <c r="J232" s="66"/>
      <c r="K232" s="66"/>
      <c r="L232" s="62"/>
      <c r="M232" s="62"/>
      <c r="N232" s="62"/>
      <c r="O232" s="62"/>
    </row>
    <row r="233" spans="1:16" s="15" customFormat="1" ht="8.25" customHeight="1" x14ac:dyDescent="0.25">
      <c r="A233" s="6"/>
      <c r="B233" s="63"/>
      <c r="C233" s="63"/>
      <c r="D233" s="63"/>
      <c r="E233" s="63"/>
      <c r="F233" s="63"/>
      <c r="G233" s="63"/>
      <c r="H233" s="63"/>
      <c r="I233" s="63"/>
      <c r="J233" s="63"/>
      <c r="K233" s="63"/>
      <c r="L233" s="64"/>
      <c r="M233" s="64"/>
      <c r="N233" s="64"/>
      <c r="O233" s="64"/>
    </row>
    <row r="234" spans="1:16" s="15" customFormat="1" ht="54" customHeight="1" x14ac:dyDescent="0.2">
      <c r="A234" s="70" t="s">
        <v>16</v>
      </c>
      <c r="B234" s="70"/>
      <c r="C234" s="70"/>
      <c r="D234" s="70"/>
      <c r="E234" s="70"/>
      <c r="F234" s="70"/>
      <c r="G234" s="70"/>
      <c r="H234" s="17"/>
      <c r="I234" s="18"/>
      <c r="J234" s="18"/>
      <c r="K234" s="16"/>
      <c r="L234" s="68">
        <f>Annéecivile</f>
        <v>2019</v>
      </c>
      <c r="M234" s="68"/>
      <c r="N234" s="68"/>
      <c r="O234" s="68"/>
      <c r="P234" s="68"/>
    </row>
    <row r="235" spans="1:16" s="15" customFormat="1" ht="18.95" customHeight="1" x14ac:dyDescent="0.35">
      <c r="A235" s="3"/>
      <c r="B235" s="1"/>
      <c r="C235" s="1"/>
      <c r="D235" s="1"/>
      <c r="E235" s="2"/>
      <c r="F235" s="2"/>
      <c r="G235" s="2"/>
      <c r="H235" s="4"/>
      <c r="I235" s="4"/>
      <c r="J235" s="4"/>
    </row>
    <row r="236" spans="1:16" s="15" customFormat="1" ht="18.95" customHeight="1" x14ac:dyDescent="0.35">
      <c r="A236" s="3"/>
      <c r="B236" s="1"/>
      <c r="C236" s="1"/>
      <c r="D236" s="1"/>
      <c r="E236" s="2"/>
      <c r="F236" s="2"/>
      <c r="G236" s="2"/>
      <c r="H236" s="4"/>
      <c r="I236" s="4"/>
      <c r="J236" s="4"/>
    </row>
    <row r="237" spans="1:16" s="15" customFormat="1" ht="18.95" customHeight="1" x14ac:dyDescent="0.35">
      <c r="A237" s="3"/>
      <c r="B237" s="1"/>
      <c r="C237" s="1"/>
      <c r="D237" s="1"/>
      <c r="E237" s="2"/>
      <c r="F237" s="2"/>
      <c r="G237" s="2"/>
      <c r="H237" s="4"/>
      <c r="I237" s="4"/>
      <c r="J237" s="4"/>
    </row>
    <row r="238" spans="1:16" s="15" customFormat="1" ht="18.95" customHeight="1" x14ac:dyDescent="0.35">
      <c r="A238" s="3"/>
      <c r="B238" s="1"/>
      <c r="C238" s="1"/>
      <c r="D238" s="1"/>
      <c r="E238" s="2"/>
      <c r="F238" s="2"/>
      <c r="G238" s="2"/>
      <c r="H238" s="4"/>
      <c r="I238" s="4"/>
      <c r="J238" s="4"/>
    </row>
    <row r="239" spans="1:16" s="15" customFormat="1" ht="18.95" customHeight="1" x14ac:dyDescent="0.35">
      <c r="A239" s="3"/>
      <c r="B239" s="1"/>
      <c r="C239" s="1"/>
      <c r="D239" s="1"/>
      <c r="E239" s="2"/>
      <c r="F239" s="2"/>
      <c r="G239" s="2"/>
      <c r="H239" s="4"/>
      <c r="I239" s="4"/>
      <c r="J239" s="4"/>
    </row>
    <row r="240" spans="1:16" s="15" customFormat="1" ht="18.95" customHeight="1" x14ac:dyDescent="0.35">
      <c r="A240" s="3"/>
      <c r="B240" s="1"/>
      <c r="C240" s="1"/>
      <c r="D240" s="1"/>
      <c r="E240" s="2"/>
      <c r="F240" s="2"/>
      <c r="G240" s="2"/>
      <c r="H240" s="4"/>
      <c r="I240" s="4"/>
      <c r="J240" s="4"/>
    </row>
    <row r="241" spans="1:22" s="15" customFormat="1" ht="18.95" customHeight="1" x14ac:dyDescent="0.35">
      <c r="A241" s="3"/>
      <c r="B241" s="1"/>
      <c r="C241" s="1"/>
      <c r="D241" s="1"/>
      <c r="E241" s="2"/>
      <c r="F241" s="2"/>
      <c r="G241" s="2"/>
      <c r="H241" s="4"/>
      <c r="I241" s="4"/>
      <c r="J241" s="4"/>
    </row>
    <row r="242" spans="1:22" s="15" customFormat="1" ht="18.95" customHeight="1" x14ac:dyDescent="0.35">
      <c r="A242" s="3"/>
      <c r="B242" s="1"/>
      <c r="C242" s="1"/>
      <c r="D242" s="1"/>
      <c r="E242" s="2"/>
      <c r="F242" s="2"/>
      <c r="G242" s="2"/>
      <c r="H242" s="4"/>
      <c r="I242" s="4"/>
      <c r="J242" s="4"/>
    </row>
    <row r="243" spans="1:22" s="15" customFormat="1" ht="18.95" customHeight="1" x14ac:dyDescent="0.35">
      <c r="A243" s="3"/>
      <c r="B243" s="1"/>
      <c r="C243" s="1"/>
      <c r="D243" s="1"/>
      <c r="E243" s="2"/>
      <c r="F243" s="2"/>
      <c r="G243" s="2"/>
      <c r="H243" s="4"/>
      <c r="I243" s="4"/>
      <c r="J243" s="4"/>
    </row>
    <row r="244" spans="1:22" s="15" customFormat="1" ht="18.95" customHeight="1" x14ac:dyDescent="0.35">
      <c r="A244" s="3"/>
      <c r="B244" s="1"/>
      <c r="C244" s="1"/>
      <c r="D244" s="1"/>
      <c r="E244" s="2"/>
      <c r="F244" s="2"/>
      <c r="G244" s="2"/>
      <c r="H244" s="4"/>
      <c r="I244" s="4"/>
      <c r="J244" s="4"/>
    </row>
    <row r="245" spans="1:22" s="15" customFormat="1" ht="18.95" customHeight="1" x14ac:dyDescent="0.35">
      <c r="A245" s="3"/>
      <c r="B245" s="1"/>
      <c r="C245" s="1"/>
      <c r="D245" s="1"/>
      <c r="E245" s="2"/>
      <c r="F245" s="2"/>
      <c r="G245" s="2"/>
      <c r="H245" s="4"/>
      <c r="I245" s="4"/>
      <c r="J245" s="4"/>
    </row>
    <row r="246" spans="1:22" s="15" customFormat="1" ht="18.95" customHeight="1" x14ac:dyDescent="0.35">
      <c r="A246" s="3"/>
      <c r="B246" s="1"/>
      <c r="C246" s="1"/>
      <c r="D246" s="1"/>
      <c r="E246" s="2"/>
      <c r="F246" s="2"/>
      <c r="G246" s="2"/>
      <c r="H246" s="4"/>
      <c r="I246" s="4"/>
      <c r="J246" s="4"/>
    </row>
    <row r="247" spans="1:22" s="15" customFormat="1" ht="18.95" customHeight="1" x14ac:dyDescent="0.35">
      <c r="A247" s="3"/>
      <c r="B247" s="1"/>
      <c r="C247" s="1"/>
      <c r="D247" s="1"/>
      <c r="E247" s="2"/>
      <c r="F247" s="2"/>
      <c r="G247" s="2"/>
      <c r="H247" s="4"/>
      <c r="I247" s="4"/>
      <c r="J247" s="4"/>
    </row>
    <row r="248" spans="1:22" s="15" customFormat="1" ht="18.95" customHeight="1" x14ac:dyDescent="0.35">
      <c r="A248" s="3"/>
      <c r="B248" s="1"/>
      <c r="C248" s="1"/>
      <c r="D248" s="1"/>
      <c r="E248" s="2"/>
      <c r="F248" s="2"/>
      <c r="G248" s="2"/>
      <c r="H248" s="4"/>
      <c r="I248" s="4"/>
      <c r="J248" s="4"/>
    </row>
    <row r="249" spans="1:22" s="15" customFormat="1" ht="18.95" customHeight="1" x14ac:dyDescent="0.25">
      <c r="A249" s="6"/>
      <c r="B249" s="7"/>
      <c r="C249" s="7"/>
      <c r="D249" s="7"/>
      <c r="E249" s="7"/>
      <c r="F249" s="7"/>
      <c r="G249" s="7"/>
      <c r="H249" s="7"/>
      <c r="I249" s="7"/>
      <c r="J249" s="7"/>
      <c r="K249" s="7"/>
      <c r="L249" s="7"/>
      <c r="M249" s="7"/>
      <c r="N249" s="7"/>
      <c r="O249" s="7"/>
    </row>
    <row r="250" spans="1:22" s="6" customFormat="1" ht="27" customHeight="1" x14ac:dyDescent="0.25">
      <c r="B250" s="69" t="s">
        <v>0</v>
      </c>
      <c r="C250" s="69"/>
      <c r="D250" s="69" t="s">
        <v>1</v>
      </c>
      <c r="E250" s="69"/>
      <c r="F250" s="69" t="s">
        <v>2</v>
      </c>
      <c r="G250" s="69"/>
      <c r="H250" s="69" t="s">
        <v>3</v>
      </c>
      <c r="I250" s="69"/>
      <c r="J250" s="69" t="s">
        <v>4</v>
      </c>
      <c r="K250" s="69"/>
      <c r="L250" s="69" t="s">
        <v>5</v>
      </c>
      <c r="M250" s="69"/>
      <c r="N250" s="69" t="s">
        <v>6</v>
      </c>
      <c r="O250" s="69"/>
      <c r="P250" s="15"/>
      <c r="Q250" s="8"/>
      <c r="U250" s="15"/>
      <c r="V250" s="15"/>
    </row>
    <row r="251" spans="1:22" s="9" customFormat="1" ht="16.5" customHeight="1" x14ac:dyDescent="0.25">
      <c r="B251" s="32"/>
      <c r="C251" s="39">
        <f>IF(DAY(AugSun1)=1,AugSun1-6,AugSun1+1)</f>
        <v>43675</v>
      </c>
      <c r="D251" s="33"/>
      <c r="E251" s="39">
        <f>IF(DAY(AugSun1)=1,AugSun1-5,AugSun1+2)</f>
        <v>43676</v>
      </c>
      <c r="F251" s="33"/>
      <c r="G251" s="39">
        <f>IF(DAY(AugSun1)=1,AugSun1-4,AugSun1+3)</f>
        <v>43677</v>
      </c>
      <c r="H251" s="33"/>
      <c r="I251" s="39">
        <f>IF(DAY(AugSun1)=1,AugSun1-3,AugSun1+4)</f>
        <v>43678</v>
      </c>
      <c r="J251" s="33"/>
      <c r="K251" s="39">
        <f>IF(DAY(AugSun1)=1,AugSun1-2,AugSun1+5)</f>
        <v>43679</v>
      </c>
      <c r="L251" s="33"/>
      <c r="M251" s="39">
        <f>IF(DAY(AugSun1)=1,AugSun1-1,AugSun1+6)</f>
        <v>43680</v>
      </c>
      <c r="N251" s="33"/>
      <c r="O251" s="39">
        <f>IF(DAY(AugSun1)=1,AugSun1,AugSun1+7)</f>
        <v>43681</v>
      </c>
      <c r="P251" s="10"/>
      <c r="Q251" s="10"/>
      <c r="U251" s="11"/>
      <c r="V251" s="10"/>
    </row>
    <row r="252" spans="1:22" s="12" customFormat="1" ht="55.5" customHeight="1" x14ac:dyDescent="0.25">
      <c r="A252" s="6"/>
      <c r="B252" s="65"/>
      <c r="C252" s="66"/>
      <c r="D252" s="66"/>
      <c r="E252" s="66"/>
      <c r="F252" s="66"/>
      <c r="G252" s="66"/>
      <c r="H252" s="66"/>
      <c r="I252" s="66"/>
      <c r="J252" s="66"/>
      <c r="K252" s="66"/>
      <c r="L252" s="62"/>
      <c r="M252" s="62"/>
      <c r="N252" s="62"/>
      <c r="O252" s="62"/>
    </row>
    <row r="253" spans="1:22" s="12" customFormat="1" ht="8.25" customHeight="1" x14ac:dyDescent="0.25">
      <c r="A253" s="6"/>
      <c r="B253" s="63"/>
      <c r="C253" s="63"/>
      <c r="D253" s="63"/>
      <c r="E253" s="63"/>
      <c r="F253" s="63"/>
      <c r="G253" s="63"/>
      <c r="H253" s="63"/>
      <c r="I253" s="63"/>
      <c r="J253" s="63"/>
      <c r="K253" s="63"/>
      <c r="L253" s="64"/>
      <c r="M253" s="64"/>
      <c r="N253" s="64"/>
      <c r="O253" s="64"/>
    </row>
    <row r="254" spans="1:22" s="10" customFormat="1" ht="16.5" customHeight="1" x14ac:dyDescent="0.25">
      <c r="A254" s="9"/>
      <c r="B254" s="33"/>
      <c r="C254" s="39">
        <f>IF(DAY(AugSun1)=1,AugSun1+1,AugSun1+8)</f>
        <v>43682</v>
      </c>
      <c r="D254" s="33"/>
      <c r="E254" s="39">
        <f>IF(DAY(AugSun1)=1,AugSun1+2,AugSun1+9)</f>
        <v>43683</v>
      </c>
      <c r="F254" s="33"/>
      <c r="G254" s="39">
        <f>IF(DAY(AugSun1)=1,AugSun1+3,AugSun1+10)</f>
        <v>43684</v>
      </c>
      <c r="H254" s="33"/>
      <c r="I254" s="39">
        <f>IF(DAY(AugSun1)=1,AugSun1+4,AugSun1+11)</f>
        <v>43685</v>
      </c>
      <c r="J254" s="33"/>
      <c r="K254" s="39">
        <f>IF(DAY(AugSun1)=1,AugSun1+5,AugSun1+12)</f>
        <v>43686</v>
      </c>
      <c r="L254" s="33"/>
      <c r="M254" s="39">
        <f>IF(DAY(AugSun1)=1,AugSun1+6,AugSun1+13)</f>
        <v>43687</v>
      </c>
      <c r="N254" s="33"/>
      <c r="O254" s="39">
        <v>11</v>
      </c>
    </row>
    <row r="255" spans="1:22" s="15" customFormat="1" ht="55.5" customHeight="1" x14ac:dyDescent="0.25">
      <c r="A255" s="6"/>
      <c r="B255" s="65"/>
      <c r="C255" s="66"/>
      <c r="D255" s="66"/>
      <c r="E255" s="66"/>
      <c r="F255" s="66"/>
      <c r="G255" s="66"/>
      <c r="H255" s="66"/>
      <c r="I255" s="66"/>
      <c r="J255" s="66"/>
      <c r="K255" s="66"/>
      <c r="L255" s="62"/>
      <c r="M255" s="62"/>
      <c r="N255" s="62"/>
      <c r="O255" s="62"/>
    </row>
    <row r="256" spans="1:22" s="15" customFormat="1" ht="8.25" customHeight="1" x14ac:dyDescent="0.25">
      <c r="A256" s="6"/>
      <c r="B256" s="63"/>
      <c r="C256" s="63"/>
      <c r="D256" s="63"/>
      <c r="E256" s="63"/>
      <c r="F256" s="63"/>
      <c r="G256" s="63"/>
      <c r="H256" s="63"/>
      <c r="I256" s="63"/>
      <c r="J256" s="63"/>
      <c r="K256" s="63"/>
      <c r="L256" s="64"/>
      <c r="M256" s="64"/>
      <c r="N256" s="64"/>
      <c r="O256" s="64"/>
    </row>
    <row r="257" spans="1:16" s="10" customFormat="1" ht="16.5" customHeight="1" x14ac:dyDescent="0.25">
      <c r="A257" s="9"/>
      <c r="B257" s="33"/>
      <c r="C257" s="39">
        <f>IF(DAY(AugSun1)=1,AugSun1+8,AugSun1+15)</f>
        <v>43689</v>
      </c>
      <c r="D257" s="33"/>
      <c r="E257" s="39">
        <f>IF(DAY(AugSun1)=1,AugSun1+9,AugSun1+16)</f>
        <v>43690</v>
      </c>
      <c r="F257" s="33"/>
      <c r="G257" s="39">
        <f>IF(DAY(AugSun1)=1,AugSun1+10,AugSun1+17)</f>
        <v>43691</v>
      </c>
      <c r="H257" s="33"/>
      <c r="I257" s="39">
        <f>IF(DAY(AugSun1)=1,AugSun1+11,AugSun1+18)</f>
        <v>43692</v>
      </c>
      <c r="J257" s="33"/>
      <c r="K257" s="39">
        <f>IF(DAY(AugSun1)=1,AugSun1+12,AugSun1+19)</f>
        <v>43693</v>
      </c>
      <c r="L257" s="33"/>
      <c r="M257" s="39">
        <f>IF(DAY(AugSun1)=1,AugSun1+13,AugSun1+20)</f>
        <v>43694</v>
      </c>
      <c r="N257" s="33"/>
      <c r="O257" s="39">
        <f>IF(DAY(AugSun1)=1,AugSun1+14,AugSun1+21)</f>
        <v>43695</v>
      </c>
    </row>
    <row r="258" spans="1:16" s="15" customFormat="1" ht="55.5" customHeight="1" x14ac:dyDescent="0.25">
      <c r="A258" s="6"/>
      <c r="B258" s="65"/>
      <c r="C258" s="66"/>
      <c r="D258" s="66"/>
      <c r="E258" s="66"/>
      <c r="F258" s="66"/>
      <c r="G258" s="66"/>
      <c r="H258" s="66"/>
      <c r="I258" s="66"/>
      <c r="J258" s="66"/>
      <c r="K258" s="66"/>
      <c r="L258" s="62"/>
      <c r="M258" s="62"/>
      <c r="N258" s="62"/>
      <c r="O258" s="62"/>
    </row>
    <row r="259" spans="1:16" s="15" customFormat="1" ht="8.25" customHeight="1" x14ac:dyDescent="0.25">
      <c r="A259" s="6"/>
      <c r="B259" s="63"/>
      <c r="C259" s="63"/>
      <c r="D259" s="63"/>
      <c r="E259" s="63"/>
      <c r="F259" s="63"/>
      <c r="G259" s="63"/>
      <c r="H259" s="63"/>
      <c r="I259" s="63"/>
      <c r="J259" s="63"/>
      <c r="K259" s="63"/>
      <c r="L259" s="64"/>
      <c r="M259" s="64"/>
      <c r="N259" s="64"/>
      <c r="O259" s="64"/>
    </row>
    <row r="260" spans="1:16" s="10" customFormat="1" ht="16.5" customHeight="1" x14ac:dyDescent="0.25">
      <c r="A260" s="9"/>
      <c r="B260" s="33"/>
      <c r="C260" s="39">
        <f>IF(DAY(AugSun1)=1,AugSun1+15,AugSun1+22)</f>
        <v>43696</v>
      </c>
      <c r="D260" s="33"/>
      <c r="E260" s="39">
        <f>IF(DAY(AugSun1)=1,AugSun1+16,AugSun1+23)</f>
        <v>43697</v>
      </c>
      <c r="F260" s="33"/>
      <c r="G260" s="39">
        <f>IF(DAY(AugSun1)=1,AugSun1+17,AugSun1+24)</f>
        <v>43698</v>
      </c>
      <c r="H260" s="33"/>
      <c r="I260" s="39">
        <f>IF(DAY(AugSun1)=1,AugSun1+18,AugSun1+25)</f>
        <v>43699</v>
      </c>
      <c r="J260" s="33"/>
      <c r="K260" s="40">
        <v>23</v>
      </c>
      <c r="L260" s="33"/>
      <c r="M260" s="39">
        <f>IF(DAY(AugSun1)=1,AugSun1+20,AugSun1+27)</f>
        <v>43701</v>
      </c>
      <c r="N260" s="33"/>
      <c r="O260" s="39">
        <f>IF(DAY(AugSun1)=1,AugSun1+21,AugSun1+28)</f>
        <v>43702</v>
      </c>
    </row>
    <row r="261" spans="1:16" s="15" customFormat="1" ht="55.5" customHeight="1" x14ac:dyDescent="0.25">
      <c r="A261" s="6"/>
      <c r="B261" s="65"/>
      <c r="C261" s="66"/>
      <c r="D261" s="66"/>
      <c r="E261" s="66"/>
      <c r="F261" s="66"/>
      <c r="G261" s="66"/>
      <c r="H261" s="67" t="s">
        <v>21</v>
      </c>
      <c r="I261" s="67"/>
      <c r="J261" s="67" t="s">
        <v>22</v>
      </c>
      <c r="K261" s="67"/>
      <c r="L261" s="62"/>
      <c r="M261" s="62"/>
      <c r="N261" s="62"/>
      <c r="O261" s="62"/>
    </row>
    <row r="262" spans="1:16" s="15" customFormat="1" ht="8.25" customHeight="1" x14ac:dyDescent="0.25">
      <c r="A262" s="6"/>
      <c r="B262" s="63"/>
      <c r="C262" s="63"/>
      <c r="D262" s="63"/>
      <c r="E262" s="63"/>
      <c r="F262" s="63"/>
      <c r="G262" s="63"/>
      <c r="H262" s="63"/>
      <c r="I262" s="63"/>
      <c r="J262" s="63"/>
      <c r="K262" s="63"/>
      <c r="L262" s="64"/>
      <c r="M262" s="64"/>
      <c r="N262" s="64"/>
      <c r="O262" s="64"/>
    </row>
    <row r="263" spans="1:16" s="10" customFormat="1" ht="16.5" customHeight="1" x14ac:dyDescent="0.25">
      <c r="A263" s="9"/>
      <c r="B263" s="33"/>
      <c r="C263" s="39">
        <f>IF(DAY(AugSun1)=1,AugSun1+22,AugSun1+29)</f>
        <v>43703</v>
      </c>
      <c r="D263" s="33"/>
      <c r="E263" s="39">
        <f>IF(DAY(AugSun1)=1,AugSun1+23,AugSun1+30)</f>
        <v>43704</v>
      </c>
      <c r="F263" s="33"/>
      <c r="G263" s="39">
        <f>IF(DAY(AugSun1)=1,AugSun1+24,AugSun1+31)</f>
        <v>43705</v>
      </c>
      <c r="H263" s="33"/>
      <c r="I263" s="39">
        <f>IF(DAY(AugSun1)=1,AugSun1+25,AugSun1+32)</f>
        <v>43706</v>
      </c>
      <c r="J263" s="33"/>
      <c r="K263" s="39">
        <f>IF(DAY(AugSun1)=1,AugSun1+26,AugSun1+33)</f>
        <v>43707</v>
      </c>
      <c r="L263" s="33"/>
      <c r="M263" s="39">
        <f>IF(DAY(AugSun1)=1,AugSun1+27,AugSun1+34)</f>
        <v>43708</v>
      </c>
      <c r="N263" s="33"/>
      <c r="O263" s="39">
        <f>IF(DAY(AugSun1)=1,AugSun1+28,AugSun1+35)</f>
        <v>43709</v>
      </c>
    </row>
    <row r="264" spans="1:16" s="15" customFormat="1" ht="55.5" customHeight="1" x14ac:dyDescent="0.25">
      <c r="A264" s="6"/>
      <c r="B264" s="65"/>
      <c r="C264" s="66"/>
      <c r="D264" s="66"/>
      <c r="E264" s="66"/>
      <c r="F264" s="66"/>
      <c r="G264" s="66"/>
      <c r="H264" s="66"/>
      <c r="I264" s="66"/>
      <c r="J264" s="66"/>
      <c r="K264" s="66"/>
      <c r="L264" s="62"/>
      <c r="M264" s="62"/>
      <c r="N264" s="62"/>
      <c r="O264" s="62"/>
    </row>
    <row r="265" spans="1:16" s="15" customFormat="1" ht="8.25" customHeight="1" x14ac:dyDescent="0.25">
      <c r="A265" s="6"/>
      <c r="B265" s="63"/>
      <c r="C265" s="63"/>
      <c r="D265" s="63"/>
      <c r="E265" s="63"/>
      <c r="F265" s="63"/>
      <c r="G265" s="63"/>
      <c r="H265" s="63"/>
      <c r="I265" s="63"/>
      <c r="J265" s="63"/>
      <c r="K265" s="63"/>
      <c r="L265" s="64"/>
      <c r="M265" s="64"/>
      <c r="N265" s="64"/>
      <c r="O265" s="64"/>
    </row>
    <row r="266" spans="1:16" s="15" customFormat="1" x14ac:dyDescent="0.2"/>
    <row r="267" spans="1:16" s="15" customFormat="1" ht="54" customHeight="1" x14ac:dyDescent="0.2">
      <c r="A267" s="60" t="s">
        <v>17</v>
      </c>
      <c r="B267" s="60"/>
      <c r="C267" s="60"/>
      <c r="D267" s="60"/>
      <c r="E267" s="60"/>
      <c r="F267" s="60"/>
      <c r="G267" s="60"/>
      <c r="H267" s="13"/>
      <c r="I267" s="4"/>
      <c r="J267" s="4"/>
      <c r="L267" s="58">
        <f>Annéecivile</f>
        <v>2019</v>
      </c>
      <c r="M267" s="58"/>
      <c r="N267" s="58"/>
      <c r="O267" s="58"/>
      <c r="P267" s="58"/>
    </row>
    <row r="268" spans="1:16" s="15" customFormat="1" ht="18.95" customHeight="1" x14ac:dyDescent="0.35">
      <c r="A268" s="3"/>
      <c r="B268" s="1"/>
      <c r="C268" s="1"/>
      <c r="D268" s="1"/>
      <c r="E268" s="2"/>
      <c r="F268" s="2"/>
      <c r="G268" s="2"/>
      <c r="H268" s="4"/>
      <c r="I268" s="4"/>
      <c r="J268" s="4"/>
    </row>
    <row r="269" spans="1:16" s="15" customFormat="1" ht="18.95" customHeight="1" x14ac:dyDescent="0.35">
      <c r="A269" s="3"/>
      <c r="B269" s="1"/>
      <c r="C269" s="1"/>
      <c r="D269" s="1"/>
      <c r="E269" s="2"/>
      <c r="F269" s="2"/>
      <c r="G269" s="2"/>
      <c r="H269" s="4"/>
      <c r="I269" s="4"/>
      <c r="J269" s="4"/>
    </row>
    <row r="270" spans="1:16" s="15" customFormat="1" ht="18.95" customHeight="1" x14ac:dyDescent="0.35">
      <c r="A270" s="3"/>
      <c r="B270" s="1"/>
      <c r="C270" s="1"/>
      <c r="D270" s="1"/>
      <c r="E270" s="2"/>
      <c r="F270" s="2"/>
      <c r="G270" s="2"/>
      <c r="H270" s="4"/>
      <c r="I270" s="4"/>
      <c r="J270" s="4"/>
    </row>
    <row r="271" spans="1:16" s="15" customFormat="1" ht="18.95" customHeight="1" x14ac:dyDescent="0.35">
      <c r="A271" s="3"/>
      <c r="B271" s="1"/>
      <c r="C271" s="1"/>
      <c r="D271" s="1"/>
      <c r="E271" s="2"/>
      <c r="F271" s="2"/>
      <c r="G271" s="2"/>
      <c r="H271" s="4"/>
      <c r="I271" s="4"/>
      <c r="J271" s="4"/>
    </row>
    <row r="272" spans="1:16" s="15" customFormat="1" ht="18.95" customHeight="1" x14ac:dyDescent="0.35">
      <c r="A272" s="3"/>
      <c r="B272" s="1"/>
      <c r="C272" s="1"/>
      <c r="D272" s="1"/>
      <c r="E272" s="2"/>
      <c r="F272" s="2"/>
      <c r="G272" s="2"/>
      <c r="H272" s="4"/>
      <c r="I272" s="4"/>
      <c r="J272" s="4"/>
    </row>
    <row r="273" spans="1:22" s="15" customFormat="1" ht="18.95" customHeight="1" x14ac:dyDescent="0.35">
      <c r="A273" s="3"/>
      <c r="B273" s="1"/>
      <c r="C273" s="1"/>
      <c r="D273" s="1"/>
      <c r="E273" s="2"/>
      <c r="F273" s="2"/>
      <c r="G273" s="2"/>
      <c r="H273" s="4"/>
      <c r="I273" s="4"/>
      <c r="J273" s="4"/>
    </row>
    <row r="274" spans="1:22" s="15" customFormat="1" ht="18.95" customHeight="1" x14ac:dyDescent="0.35">
      <c r="A274" s="3"/>
      <c r="B274" s="1"/>
      <c r="C274" s="1"/>
      <c r="D274" s="1"/>
      <c r="E274" s="2"/>
      <c r="F274" s="2"/>
      <c r="G274" s="2"/>
      <c r="H274" s="4"/>
      <c r="I274" s="4"/>
      <c r="J274" s="4"/>
    </row>
    <row r="275" spans="1:22" s="15" customFormat="1" ht="18.95" customHeight="1" x14ac:dyDescent="0.35">
      <c r="A275" s="3"/>
      <c r="B275" s="1"/>
      <c r="C275" s="1"/>
      <c r="D275" s="1"/>
      <c r="E275" s="2"/>
      <c r="F275" s="2"/>
      <c r="G275" s="2"/>
      <c r="H275" s="4"/>
      <c r="I275" s="4"/>
      <c r="J275" s="4"/>
    </row>
    <row r="276" spans="1:22" s="15" customFormat="1" ht="18.95" customHeight="1" x14ac:dyDescent="0.35">
      <c r="A276" s="3"/>
      <c r="B276" s="1"/>
      <c r="C276" s="1"/>
      <c r="D276" s="1"/>
      <c r="E276" s="2"/>
      <c r="F276" s="2"/>
      <c r="G276" s="2"/>
      <c r="H276" s="4"/>
      <c r="I276" s="4"/>
      <c r="J276" s="4"/>
    </row>
    <row r="277" spans="1:22" s="15" customFormat="1" ht="18.95" customHeight="1" x14ac:dyDescent="0.35">
      <c r="A277" s="3"/>
      <c r="B277" s="1"/>
      <c r="C277" s="1"/>
      <c r="D277" s="1"/>
      <c r="E277" s="2"/>
      <c r="F277" s="2"/>
      <c r="G277" s="2"/>
      <c r="H277" s="4"/>
      <c r="I277" s="4"/>
      <c r="J277" s="4"/>
    </row>
    <row r="278" spans="1:22" s="15" customFormat="1" ht="18.95" customHeight="1" x14ac:dyDescent="0.35">
      <c r="A278" s="3"/>
      <c r="B278" s="1"/>
      <c r="C278" s="1"/>
      <c r="D278" s="1"/>
      <c r="E278" s="2"/>
      <c r="F278" s="2"/>
      <c r="G278" s="2"/>
      <c r="H278" s="4"/>
      <c r="I278" s="4"/>
      <c r="J278" s="4"/>
    </row>
    <row r="279" spans="1:22" s="15" customFormat="1" ht="18.95" customHeight="1" x14ac:dyDescent="0.35">
      <c r="A279" s="3"/>
      <c r="B279" s="1"/>
      <c r="C279" s="1"/>
      <c r="D279" s="1"/>
      <c r="E279" s="2"/>
      <c r="F279" s="2"/>
      <c r="G279" s="2"/>
      <c r="H279" s="4"/>
      <c r="I279" s="4"/>
      <c r="J279" s="4"/>
    </row>
    <row r="280" spans="1:22" s="15" customFormat="1" ht="18.95" customHeight="1" x14ac:dyDescent="0.35">
      <c r="A280" s="3"/>
      <c r="B280" s="1"/>
      <c r="C280" s="1"/>
      <c r="D280" s="1"/>
      <c r="E280" s="2"/>
      <c r="F280" s="2"/>
      <c r="G280" s="2"/>
      <c r="H280" s="4"/>
      <c r="I280" s="4"/>
      <c r="J280" s="4"/>
    </row>
    <row r="281" spans="1:22" s="15" customFormat="1" ht="18.95" customHeight="1" x14ac:dyDescent="0.35">
      <c r="A281" s="3"/>
      <c r="B281" s="1"/>
      <c r="C281" s="1"/>
      <c r="D281" s="1"/>
      <c r="E281" s="2"/>
      <c r="F281" s="2"/>
      <c r="G281" s="2"/>
      <c r="H281" s="4"/>
      <c r="I281" s="4"/>
      <c r="J281" s="4"/>
    </row>
    <row r="282" spans="1:22" s="15" customFormat="1" ht="18.95" customHeight="1" x14ac:dyDescent="0.25">
      <c r="A282" s="6"/>
      <c r="B282" s="7"/>
      <c r="C282" s="7"/>
      <c r="D282" s="7"/>
      <c r="E282" s="7"/>
      <c r="F282" s="7"/>
      <c r="G282" s="7"/>
      <c r="H282" s="7"/>
      <c r="I282" s="7"/>
      <c r="J282" s="7"/>
      <c r="K282" s="7"/>
      <c r="L282" s="7"/>
      <c r="M282" s="7"/>
      <c r="N282" s="7"/>
      <c r="O282" s="7"/>
    </row>
    <row r="283" spans="1:22" s="6" customFormat="1" ht="27" customHeight="1" x14ac:dyDescent="0.25">
      <c r="B283" s="59" t="s">
        <v>0</v>
      </c>
      <c r="C283" s="59"/>
      <c r="D283" s="59" t="s">
        <v>1</v>
      </c>
      <c r="E283" s="59"/>
      <c r="F283" s="59" t="s">
        <v>2</v>
      </c>
      <c r="G283" s="59"/>
      <c r="H283" s="59" t="s">
        <v>3</v>
      </c>
      <c r="I283" s="59"/>
      <c r="J283" s="59" t="s">
        <v>4</v>
      </c>
      <c r="K283" s="59"/>
      <c r="L283" s="59" t="s">
        <v>5</v>
      </c>
      <c r="M283" s="59"/>
      <c r="N283" s="59" t="s">
        <v>6</v>
      </c>
      <c r="O283" s="59"/>
      <c r="P283" s="15"/>
      <c r="Q283" s="8"/>
      <c r="U283" s="15"/>
      <c r="V283" s="15"/>
    </row>
    <row r="284" spans="1:22" s="9" customFormat="1" ht="16.5" customHeight="1" x14ac:dyDescent="0.25">
      <c r="B284" s="30"/>
      <c r="C284" s="24">
        <f>IF(DAY(SepSun1)=1,SepSun1-6,SepSun1+1)</f>
        <v>43703</v>
      </c>
      <c r="D284" s="31"/>
      <c r="E284" s="24">
        <f>IF(DAY(SepSun1)=1,SepSun1-5,SepSun1+2)</f>
        <v>43704</v>
      </c>
      <c r="F284" s="31"/>
      <c r="G284" s="24">
        <f>IF(DAY(SepSun1)=1,SepSun1-4,SepSun1+3)</f>
        <v>43705</v>
      </c>
      <c r="H284" s="31"/>
      <c r="I284" s="24">
        <f>IF(DAY(SepSun1)=1,SepSun1-3,SepSun1+4)</f>
        <v>43706</v>
      </c>
      <c r="J284" s="31"/>
      <c r="K284" s="24">
        <f>IF(DAY(SepSun1)=1,SepSun1-2,SepSun1+5)</f>
        <v>43707</v>
      </c>
      <c r="L284" s="31"/>
      <c r="M284" s="24">
        <f>IF(DAY(SepSun1)=1,SepSun1-1,SepSun1+6)</f>
        <v>43708</v>
      </c>
      <c r="N284" s="31"/>
      <c r="O284" s="24">
        <f>IF(DAY(SepSun1)=1,SepSun1,SepSun1+7)</f>
        <v>43709</v>
      </c>
      <c r="P284" s="10"/>
      <c r="Q284" s="10"/>
      <c r="U284" s="11"/>
      <c r="V284" s="10"/>
    </row>
    <row r="285" spans="1:22" s="12" customFormat="1" ht="55.5" customHeight="1" x14ac:dyDescent="0.25">
      <c r="A285" s="6"/>
      <c r="B285" s="55"/>
      <c r="C285" s="56"/>
      <c r="D285" s="56"/>
      <c r="E285" s="56"/>
      <c r="F285" s="56"/>
      <c r="G285" s="56"/>
      <c r="H285" s="56"/>
      <c r="I285" s="56"/>
      <c r="J285" s="56"/>
      <c r="K285" s="56"/>
      <c r="L285" s="52"/>
      <c r="M285" s="52"/>
      <c r="N285" s="52"/>
      <c r="O285" s="52"/>
    </row>
    <row r="286" spans="1:22" s="12" customFormat="1" ht="8.25" customHeight="1" x14ac:dyDescent="0.25">
      <c r="A286" s="6"/>
      <c r="B286" s="53"/>
      <c r="C286" s="53"/>
      <c r="D286" s="53"/>
      <c r="E286" s="53"/>
      <c r="F286" s="53"/>
      <c r="G286" s="53"/>
      <c r="H286" s="53"/>
      <c r="I286" s="53"/>
      <c r="J286" s="53"/>
      <c r="K286" s="53"/>
      <c r="L286" s="54"/>
      <c r="M286" s="54"/>
      <c r="N286" s="54"/>
      <c r="O286" s="54"/>
    </row>
    <row r="287" spans="1:22" s="10" customFormat="1" ht="16.5" customHeight="1" x14ac:dyDescent="0.25">
      <c r="A287" s="9"/>
      <c r="B287" s="31"/>
      <c r="C287" s="24">
        <f>IF(DAY(SepSun1)=1,SepSun1+1,SepSun1+8)</f>
        <v>43710</v>
      </c>
      <c r="D287" s="31"/>
      <c r="E287" s="24">
        <f>IF(DAY(SepSun1)=1,SepSun1+2,SepSun1+9)</f>
        <v>43711</v>
      </c>
      <c r="F287" s="31"/>
      <c r="G287" s="24">
        <f>IF(DAY(SepSun1)=1,SepSun1+3,SepSun1+10)</f>
        <v>43712</v>
      </c>
      <c r="H287" s="31"/>
      <c r="I287" s="24">
        <f>IF(DAY(SepSun1)=1,SepSun1+4,SepSun1+11)</f>
        <v>43713</v>
      </c>
      <c r="J287" s="31"/>
      <c r="K287" s="24">
        <f>IF(DAY(SepSun1)=1,SepSun1+5,SepSun1+12)</f>
        <v>43714</v>
      </c>
      <c r="L287" s="31"/>
      <c r="M287" s="24">
        <f>IF(DAY(SepSun1)=1,SepSun1+6,SepSun1+13)</f>
        <v>43715</v>
      </c>
      <c r="N287" s="31"/>
      <c r="O287" s="24">
        <f>IF(DAY(SepSun1)=1,SepSun1+7,SepSun1+14)</f>
        <v>43716</v>
      </c>
    </row>
    <row r="288" spans="1:22" s="15" customFormat="1" ht="55.5" customHeight="1" x14ac:dyDescent="0.25">
      <c r="A288" s="6"/>
      <c r="B288" s="55"/>
      <c r="C288" s="56"/>
      <c r="D288" s="56"/>
      <c r="E288" s="56"/>
      <c r="F288" s="56"/>
      <c r="G288" s="56"/>
      <c r="H288" s="56"/>
      <c r="I288" s="56"/>
      <c r="J288" s="56"/>
      <c r="K288" s="56"/>
      <c r="L288" s="52"/>
      <c r="M288" s="52"/>
      <c r="N288" s="52"/>
      <c r="O288" s="52"/>
    </row>
    <row r="289" spans="1:16" s="15" customFormat="1" ht="8.25" customHeight="1" x14ac:dyDescent="0.25">
      <c r="A289" s="6"/>
      <c r="B289" s="53"/>
      <c r="C289" s="53"/>
      <c r="D289" s="53"/>
      <c r="E289" s="53"/>
      <c r="F289" s="53"/>
      <c r="G289" s="53"/>
      <c r="H289" s="53"/>
      <c r="I289" s="53"/>
      <c r="J289" s="53"/>
      <c r="K289" s="53"/>
      <c r="L289" s="54"/>
      <c r="M289" s="54"/>
      <c r="N289" s="54"/>
      <c r="O289" s="54"/>
    </row>
    <row r="290" spans="1:16" s="10" customFormat="1" ht="16.5" customHeight="1" x14ac:dyDescent="0.25">
      <c r="A290" s="9"/>
      <c r="B290" s="31"/>
      <c r="C290" s="24">
        <f>IF(DAY(SepSun1)=1,SepSun1+8,SepSun1+15)</f>
        <v>43717</v>
      </c>
      <c r="D290" s="31"/>
      <c r="E290" s="24">
        <f>IF(DAY(SepSun1)=1,SepSun1+9,SepSun1+16)</f>
        <v>43718</v>
      </c>
      <c r="F290" s="31"/>
      <c r="G290" s="24">
        <f>IF(DAY(SepSun1)=1,SepSun1+10,SepSun1+17)</f>
        <v>43719</v>
      </c>
      <c r="H290" s="31"/>
      <c r="I290" s="24">
        <f>IF(DAY(SepSun1)=1,SepSun1+11,SepSun1+18)</f>
        <v>43720</v>
      </c>
      <c r="J290" s="31"/>
      <c r="K290" s="24">
        <f>IF(DAY(SepSun1)=1,SepSun1+12,SepSun1+19)</f>
        <v>43721</v>
      </c>
      <c r="L290" s="31"/>
      <c r="M290" s="24">
        <f>IF(DAY(SepSun1)=1,SepSun1+13,SepSun1+20)</f>
        <v>43722</v>
      </c>
      <c r="N290" s="31"/>
      <c r="O290" s="24">
        <f>IF(DAY(SepSun1)=1,SepSun1+14,SepSun1+21)</f>
        <v>43723</v>
      </c>
    </row>
    <row r="291" spans="1:16" s="15" customFormat="1" ht="55.5" customHeight="1" x14ac:dyDescent="0.25">
      <c r="A291" s="6"/>
      <c r="B291" s="55"/>
      <c r="C291" s="56"/>
      <c r="D291" s="56"/>
      <c r="E291" s="56"/>
      <c r="F291" s="56"/>
      <c r="G291" s="56"/>
      <c r="H291" s="56"/>
      <c r="I291" s="56"/>
      <c r="J291" s="55"/>
      <c r="K291" s="56"/>
      <c r="L291" s="52"/>
      <c r="M291" s="52"/>
      <c r="N291" s="52"/>
      <c r="O291" s="52"/>
    </row>
    <row r="292" spans="1:16" s="15" customFormat="1" ht="8.25" customHeight="1" x14ac:dyDescent="0.25">
      <c r="A292" s="6"/>
      <c r="B292" s="53"/>
      <c r="C292" s="53"/>
      <c r="D292" s="53"/>
      <c r="E292" s="53"/>
      <c r="F292" s="53"/>
      <c r="G292" s="53"/>
      <c r="H292" s="53"/>
      <c r="I292" s="53"/>
      <c r="J292" s="53"/>
      <c r="K292" s="53"/>
      <c r="L292" s="54"/>
      <c r="M292" s="54"/>
      <c r="N292" s="54"/>
      <c r="O292" s="54"/>
    </row>
    <row r="293" spans="1:16" s="10" customFormat="1" ht="16.5" customHeight="1" x14ac:dyDescent="0.25">
      <c r="A293" s="9"/>
      <c r="B293" s="31"/>
      <c r="C293" s="24">
        <f>IF(DAY(SepSun1)=1,SepSun1+15,SepSun1+22)</f>
        <v>43724</v>
      </c>
      <c r="D293" s="31"/>
      <c r="E293" s="24">
        <f>IF(DAY(SepSun1)=1,SepSun1+16,SepSun1+23)</f>
        <v>43725</v>
      </c>
      <c r="F293" s="31"/>
      <c r="G293" s="24">
        <f>IF(DAY(SepSun1)=1,SepSun1+17,SepSun1+24)</f>
        <v>43726</v>
      </c>
      <c r="H293" s="31"/>
      <c r="I293" s="24">
        <f>IF(DAY(SepSun1)=1,SepSun1+18,SepSun1+25)</f>
        <v>43727</v>
      </c>
      <c r="J293" s="31"/>
      <c r="K293" s="24">
        <f>IF(DAY(SepSun1)=1,SepSun1+19,SepSun1+26)</f>
        <v>43728</v>
      </c>
      <c r="L293" s="31"/>
      <c r="M293" s="24">
        <f>IF(DAY(SepSun1)=1,SepSun1+20,SepSun1+27)</f>
        <v>43729</v>
      </c>
      <c r="N293" s="31"/>
      <c r="O293" s="24">
        <f>IF(DAY(SepSun1)=1,SepSun1+21,SepSun1+28)</f>
        <v>43730</v>
      </c>
    </row>
    <row r="294" spans="1:16" s="15" customFormat="1" ht="55.5" customHeight="1" x14ac:dyDescent="0.25">
      <c r="A294" s="6"/>
      <c r="B294" s="55"/>
      <c r="C294" s="56"/>
      <c r="D294" s="56"/>
      <c r="E294" s="56"/>
      <c r="F294" s="56"/>
      <c r="G294" s="56"/>
      <c r="H294" s="56"/>
      <c r="I294" s="56"/>
      <c r="J294" s="56"/>
      <c r="K294" s="56"/>
      <c r="L294" s="52"/>
      <c r="M294" s="52"/>
      <c r="N294" s="52"/>
      <c r="O294" s="52"/>
    </row>
    <row r="295" spans="1:16" s="15" customFormat="1" ht="8.25" customHeight="1" x14ac:dyDescent="0.25">
      <c r="A295" s="6"/>
      <c r="B295" s="53"/>
      <c r="C295" s="53"/>
      <c r="D295" s="53"/>
      <c r="E295" s="53"/>
      <c r="F295" s="53"/>
      <c r="G295" s="53"/>
      <c r="H295" s="53"/>
      <c r="I295" s="53"/>
      <c r="J295" s="53"/>
      <c r="K295" s="53"/>
      <c r="L295" s="54"/>
      <c r="M295" s="54"/>
      <c r="N295" s="54"/>
      <c r="O295" s="54"/>
    </row>
    <row r="296" spans="1:16" s="10" customFormat="1" ht="16.5" customHeight="1" x14ac:dyDescent="0.25">
      <c r="A296" s="9"/>
      <c r="B296" s="31"/>
      <c r="C296" s="24">
        <f>IF(DAY(SepSun1)=1,SepSun1+22,SepSun1+29)</f>
        <v>43731</v>
      </c>
      <c r="D296" s="31"/>
      <c r="E296" s="24">
        <f>IF(DAY(SepSun1)=1,SepSun1+23,SepSun1+30)</f>
        <v>43732</v>
      </c>
      <c r="F296" s="31"/>
      <c r="G296" s="24">
        <f>IF(DAY(SepSun1)=1,SepSun1+24,SepSun1+31)</f>
        <v>43733</v>
      </c>
      <c r="H296" s="31"/>
      <c r="I296" s="24">
        <f>IF(DAY(SepSun1)=1,SepSun1+25,SepSun1+32)</f>
        <v>43734</v>
      </c>
      <c r="J296" s="31"/>
      <c r="K296" s="24">
        <f>IF(DAY(SepSun1)=1,SepSun1+26,SepSun1+33)</f>
        <v>43735</v>
      </c>
      <c r="L296" s="31"/>
      <c r="M296" s="24">
        <f>IF(DAY(SepSun1)=1,SepSun1+27,SepSun1+34)</f>
        <v>43736</v>
      </c>
      <c r="N296" s="31"/>
      <c r="O296" s="24">
        <f>IF(DAY(SepSun1)=1,SepSun1+28,SepSun1+35)</f>
        <v>43737</v>
      </c>
    </row>
    <row r="297" spans="1:16" s="15" customFormat="1" ht="55.5" customHeight="1" x14ac:dyDescent="0.25">
      <c r="A297" s="6"/>
      <c r="B297" s="55"/>
      <c r="C297" s="56"/>
      <c r="D297" s="56"/>
      <c r="E297" s="56"/>
      <c r="F297" s="56"/>
      <c r="G297" s="56"/>
      <c r="H297" s="56"/>
      <c r="I297" s="56"/>
      <c r="J297" s="56"/>
      <c r="K297" s="56"/>
      <c r="L297" s="52"/>
      <c r="M297" s="52"/>
      <c r="N297" s="52"/>
      <c r="O297" s="52"/>
    </row>
    <row r="298" spans="1:16" s="15" customFormat="1" ht="8.25" customHeight="1" x14ac:dyDescent="0.25">
      <c r="A298" s="6"/>
      <c r="B298" s="53"/>
      <c r="C298" s="53"/>
      <c r="D298" s="53"/>
      <c r="E298" s="53"/>
      <c r="F298" s="53"/>
      <c r="G298" s="53"/>
      <c r="H298" s="53"/>
      <c r="I298" s="53"/>
      <c r="J298" s="53"/>
      <c r="K298" s="53"/>
      <c r="L298" s="54"/>
      <c r="M298" s="54"/>
      <c r="N298" s="54"/>
      <c r="O298" s="54"/>
    </row>
    <row r="299" spans="1:16" s="10" customFormat="1" ht="16.5" customHeight="1" x14ac:dyDescent="0.25">
      <c r="A299" s="9"/>
      <c r="B299" s="31"/>
      <c r="C299" s="24">
        <f>IF(DAY(SepSun1)=1,SepSun1+29,SepSun1+36)</f>
        <v>43738</v>
      </c>
      <c r="D299" s="31"/>
      <c r="E299" s="24">
        <f>IF(DAY(SepSun1)=1,SepSun1+30,SepSun1+37)</f>
        <v>43739</v>
      </c>
      <c r="F299" s="31"/>
      <c r="G299" s="24">
        <f>IF(DAY(SepSun1)=1,SepSun1+31,SepSun1+38)</f>
        <v>43740</v>
      </c>
      <c r="H299" s="31"/>
      <c r="I299" s="24">
        <f>IF(DAY(SepSun1)=1,SepSun1+32,SepSun1+39)</f>
        <v>43741</v>
      </c>
      <c r="J299" s="31"/>
      <c r="K299" s="24">
        <f>IF(DAY(SepSun1)=1,SepSun1+33,SepSun1+40)</f>
        <v>43742</v>
      </c>
      <c r="L299" s="31"/>
      <c r="M299" s="24">
        <f>IF(DAY(SepSun1)=1,SepSun1+34,SepSun1+41)</f>
        <v>43743</v>
      </c>
      <c r="N299" s="31"/>
      <c r="O299" s="24">
        <f>IF(DAY(SepSun1)=1,SepSun1+35,SepSun1+42)</f>
        <v>43744</v>
      </c>
    </row>
    <row r="300" spans="1:16" s="15" customFormat="1" ht="55.5" customHeight="1" x14ac:dyDescent="0.25">
      <c r="A300" s="6"/>
      <c r="B300" s="55"/>
      <c r="C300" s="56"/>
      <c r="D300" s="56"/>
      <c r="E300" s="56"/>
      <c r="F300" s="61"/>
      <c r="G300" s="61"/>
      <c r="H300" s="61"/>
      <c r="I300" s="61"/>
      <c r="J300" s="61"/>
      <c r="K300" s="61"/>
      <c r="L300" s="61"/>
      <c r="M300" s="61"/>
      <c r="N300" s="61"/>
      <c r="O300" s="61"/>
    </row>
    <row r="301" spans="1:16" s="15" customFormat="1" ht="7.5" customHeight="1" x14ac:dyDescent="0.2">
      <c r="B301" s="21"/>
      <c r="C301" s="21"/>
      <c r="D301" s="21"/>
      <c r="E301" s="21"/>
      <c r="F301" s="21"/>
      <c r="G301" s="21"/>
      <c r="H301" s="21"/>
      <c r="I301" s="21"/>
      <c r="J301" s="21"/>
      <c r="K301" s="21"/>
      <c r="L301" s="21"/>
      <c r="M301" s="21"/>
      <c r="N301" s="21"/>
      <c r="O301" s="21"/>
    </row>
    <row r="302" spans="1:16" s="15" customFormat="1" x14ac:dyDescent="0.2"/>
    <row r="303" spans="1:16" s="15" customFormat="1" ht="54" customHeight="1" x14ac:dyDescent="0.2">
      <c r="A303" s="60" t="s">
        <v>18</v>
      </c>
      <c r="B303" s="60"/>
      <c r="C303" s="60"/>
      <c r="D303" s="60"/>
      <c r="E303" s="60"/>
      <c r="F303" s="60"/>
      <c r="G303" s="60"/>
      <c r="H303" s="13"/>
      <c r="I303" s="4"/>
      <c r="J303" s="4"/>
      <c r="L303" s="58">
        <f>Annéecivile</f>
        <v>2019</v>
      </c>
      <c r="M303" s="58"/>
      <c r="N303" s="58"/>
      <c r="O303" s="58"/>
      <c r="P303" s="58"/>
    </row>
    <row r="304" spans="1:16" s="15" customFormat="1" ht="18.95" customHeight="1" x14ac:dyDescent="0.35">
      <c r="A304" s="3"/>
      <c r="B304" s="1"/>
      <c r="C304" s="1"/>
      <c r="D304" s="1"/>
      <c r="E304" s="2"/>
      <c r="F304" s="2"/>
      <c r="G304" s="2"/>
      <c r="H304" s="4"/>
      <c r="I304" s="4"/>
      <c r="J304" s="4"/>
    </row>
    <row r="305" spans="1:22" s="15" customFormat="1" ht="18.95" customHeight="1" x14ac:dyDescent="0.35">
      <c r="A305" s="3"/>
      <c r="B305" s="1"/>
      <c r="C305" s="1"/>
      <c r="D305" s="1"/>
      <c r="E305" s="2"/>
      <c r="F305" s="2"/>
      <c r="G305" s="2"/>
      <c r="H305" s="4"/>
      <c r="I305" s="4"/>
      <c r="J305" s="4"/>
    </row>
    <row r="306" spans="1:22" s="15" customFormat="1" ht="18.95" customHeight="1" x14ac:dyDescent="0.35">
      <c r="A306" s="3"/>
      <c r="B306" s="1"/>
      <c r="C306" s="1"/>
      <c r="D306" s="1"/>
      <c r="E306" s="2"/>
      <c r="F306" s="2"/>
      <c r="G306" s="2"/>
      <c r="H306" s="4"/>
      <c r="I306" s="4"/>
      <c r="J306" s="4"/>
    </row>
    <row r="307" spans="1:22" s="15" customFormat="1" ht="18.95" customHeight="1" x14ac:dyDescent="0.35">
      <c r="A307" s="3"/>
      <c r="B307" s="1"/>
      <c r="C307" s="1"/>
      <c r="D307" s="1"/>
      <c r="E307" s="2"/>
      <c r="F307" s="2"/>
      <c r="G307" s="2"/>
      <c r="H307" s="4"/>
      <c r="I307" s="4"/>
      <c r="J307" s="4"/>
    </row>
    <row r="308" spans="1:22" s="15" customFormat="1" ht="18.95" customHeight="1" x14ac:dyDescent="0.35">
      <c r="A308" s="3"/>
      <c r="B308" s="1"/>
      <c r="C308" s="1"/>
      <c r="D308" s="1"/>
      <c r="E308" s="2"/>
      <c r="F308" s="2"/>
      <c r="G308" s="2"/>
      <c r="H308" s="4"/>
      <c r="I308" s="4"/>
      <c r="J308" s="4"/>
    </row>
    <row r="309" spans="1:22" s="15" customFormat="1" ht="18.95" customHeight="1" x14ac:dyDescent="0.35">
      <c r="A309" s="3"/>
      <c r="B309" s="1"/>
      <c r="C309" s="1"/>
      <c r="D309" s="1"/>
      <c r="E309" s="2"/>
      <c r="F309" s="2"/>
      <c r="G309" s="2"/>
      <c r="H309" s="4"/>
      <c r="I309" s="4"/>
      <c r="J309" s="4"/>
    </row>
    <row r="310" spans="1:22" s="15" customFormat="1" ht="18.95" customHeight="1" x14ac:dyDescent="0.35">
      <c r="A310" s="3"/>
      <c r="B310" s="1"/>
      <c r="C310" s="1"/>
      <c r="D310" s="1"/>
      <c r="E310" s="2"/>
      <c r="F310" s="2"/>
      <c r="G310" s="2"/>
      <c r="H310" s="4"/>
      <c r="I310" s="4"/>
      <c r="J310" s="4"/>
    </row>
    <row r="311" spans="1:22" s="15" customFormat="1" ht="18.95" customHeight="1" x14ac:dyDescent="0.35">
      <c r="A311" s="3"/>
      <c r="B311" s="1"/>
      <c r="C311" s="1"/>
      <c r="D311" s="1"/>
      <c r="E311" s="2"/>
      <c r="F311" s="2"/>
      <c r="G311" s="2"/>
      <c r="H311" s="4"/>
      <c r="I311" s="4"/>
      <c r="J311" s="4"/>
    </row>
    <row r="312" spans="1:22" s="15" customFormat="1" ht="18.95" customHeight="1" x14ac:dyDescent="0.35">
      <c r="A312" s="3"/>
      <c r="B312" s="1"/>
      <c r="C312" s="1"/>
      <c r="D312" s="1"/>
      <c r="E312" s="2"/>
      <c r="F312" s="2"/>
      <c r="G312" s="2"/>
      <c r="H312" s="4"/>
      <c r="I312" s="4"/>
      <c r="J312" s="4"/>
    </row>
    <row r="313" spans="1:22" s="15" customFormat="1" ht="18.95" customHeight="1" x14ac:dyDescent="0.35">
      <c r="A313" s="3"/>
      <c r="B313" s="1"/>
      <c r="C313" s="1"/>
      <c r="D313" s="1"/>
      <c r="E313" s="2"/>
      <c r="F313" s="2"/>
      <c r="G313" s="2"/>
      <c r="H313" s="4"/>
      <c r="I313" s="4"/>
      <c r="J313" s="4"/>
    </row>
    <row r="314" spans="1:22" s="15" customFormat="1" ht="18.95" customHeight="1" x14ac:dyDescent="0.35">
      <c r="A314" s="3"/>
      <c r="B314" s="1"/>
      <c r="C314" s="1"/>
      <c r="D314" s="1"/>
      <c r="E314" s="2"/>
      <c r="F314" s="2"/>
      <c r="G314" s="2"/>
      <c r="H314" s="4"/>
      <c r="I314" s="4"/>
      <c r="J314" s="4"/>
    </row>
    <row r="315" spans="1:22" s="15" customFormat="1" ht="18.95" customHeight="1" x14ac:dyDescent="0.35">
      <c r="A315" s="3"/>
      <c r="B315" s="1"/>
      <c r="C315" s="1"/>
      <c r="D315" s="1"/>
      <c r="E315" s="2"/>
      <c r="F315" s="2"/>
      <c r="G315" s="2"/>
      <c r="H315" s="4"/>
      <c r="I315" s="4"/>
      <c r="J315" s="4"/>
    </row>
    <row r="316" spans="1:22" s="15" customFormat="1" ht="18.95" customHeight="1" x14ac:dyDescent="0.35">
      <c r="A316" s="3"/>
      <c r="B316" s="1"/>
      <c r="C316" s="1"/>
      <c r="D316" s="1"/>
      <c r="E316" s="2"/>
      <c r="F316" s="2"/>
      <c r="G316" s="2"/>
      <c r="H316" s="4"/>
      <c r="I316" s="4"/>
      <c r="J316" s="4"/>
    </row>
    <row r="317" spans="1:22" s="15" customFormat="1" ht="18.95" customHeight="1" x14ac:dyDescent="0.35">
      <c r="A317" s="3"/>
      <c r="B317" s="1"/>
      <c r="C317" s="1"/>
      <c r="D317" s="1"/>
      <c r="E317" s="2"/>
      <c r="F317" s="2"/>
      <c r="G317" s="2"/>
      <c r="H317" s="4"/>
      <c r="I317" s="4"/>
      <c r="J317" s="4"/>
    </row>
    <row r="318" spans="1:22" s="15" customFormat="1" ht="18.95" customHeight="1" x14ac:dyDescent="0.25">
      <c r="A318" s="6"/>
      <c r="B318" s="7"/>
      <c r="C318" s="7"/>
      <c r="D318" s="7"/>
      <c r="E318" s="7"/>
      <c r="F318" s="7"/>
      <c r="G318" s="7"/>
      <c r="H318" s="7"/>
      <c r="I318" s="7"/>
      <c r="J318" s="7"/>
      <c r="K318" s="7"/>
      <c r="L318" s="7"/>
      <c r="M318" s="7"/>
      <c r="N318" s="7"/>
      <c r="O318" s="7"/>
    </row>
    <row r="319" spans="1:22" s="6" customFormat="1" ht="27" customHeight="1" x14ac:dyDescent="0.25">
      <c r="B319" s="59" t="s">
        <v>0</v>
      </c>
      <c r="C319" s="59"/>
      <c r="D319" s="59" t="s">
        <v>1</v>
      </c>
      <c r="E319" s="59"/>
      <c r="F319" s="59" t="s">
        <v>2</v>
      </c>
      <c r="G319" s="59"/>
      <c r="H319" s="59" t="s">
        <v>3</v>
      </c>
      <c r="I319" s="59"/>
      <c r="J319" s="59" t="s">
        <v>4</v>
      </c>
      <c r="K319" s="59"/>
      <c r="L319" s="59" t="s">
        <v>5</v>
      </c>
      <c r="M319" s="59"/>
      <c r="N319" s="59" t="s">
        <v>6</v>
      </c>
      <c r="O319" s="59"/>
      <c r="P319" s="15"/>
      <c r="Q319" s="8"/>
      <c r="U319" s="15"/>
      <c r="V319" s="15"/>
    </row>
    <row r="320" spans="1:22" s="9" customFormat="1" ht="16.5" customHeight="1" x14ac:dyDescent="0.25">
      <c r="B320" s="30"/>
      <c r="C320" s="24">
        <f>IF(DAY(OctSun1)=1,OctSun1-6,OctSun1+1)</f>
        <v>43738</v>
      </c>
      <c r="D320" s="31"/>
      <c r="E320" s="24">
        <f>IF(DAY(OctSun1)=1,OctSun1-5,OctSun1+2)</f>
        <v>43739</v>
      </c>
      <c r="F320" s="31"/>
      <c r="G320" s="24">
        <f>IF(DAY(OctSun1)=1,OctSun1-4,OctSun1+3)</f>
        <v>43740</v>
      </c>
      <c r="H320" s="31"/>
      <c r="I320" s="24">
        <f>IF(DAY(OctSun1)=1,OctSun1-3,OctSun1+4)</f>
        <v>43741</v>
      </c>
      <c r="J320" s="31"/>
      <c r="K320" s="24">
        <f>IF(DAY(OctSun1)=1,OctSun1-2,OctSun1+5)</f>
        <v>43742</v>
      </c>
      <c r="L320" s="31"/>
      <c r="M320" s="24">
        <f>IF(DAY(OctSun1)=1,OctSun1-1,OctSun1+6)</f>
        <v>43743</v>
      </c>
      <c r="N320" s="31"/>
      <c r="O320" s="24">
        <f>IF(DAY(OctSun1)=1,OctSun1,OctSun1+7)</f>
        <v>43744</v>
      </c>
      <c r="P320" s="10"/>
      <c r="Q320" s="10"/>
      <c r="U320" s="11"/>
      <c r="V320" s="10"/>
    </row>
    <row r="321" spans="1:16" s="12" customFormat="1" ht="55.5" customHeight="1" x14ac:dyDescent="0.25">
      <c r="A321" s="6"/>
      <c r="B321" s="55"/>
      <c r="C321" s="56"/>
      <c r="D321" s="56"/>
      <c r="E321" s="56"/>
      <c r="F321" s="56"/>
      <c r="G321" s="56"/>
      <c r="H321" s="56"/>
      <c r="I321" s="56"/>
      <c r="J321" s="56"/>
      <c r="K321" s="56"/>
      <c r="L321" s="52"/>
      <c r="M321" s="52"/>
      <c r="N321" s="52"/>
      <c r="O321" s="52"/>
    </row>
    <row r="322" spans="1:16" s="12" customFormat="1" ht="8.25" customHeight="1" x14ac:dyDescent="0.25">
      <c r="A322" s="6"/>
      <c r="B322" s="53"/>
      <c r="C322" s="53"/>
      <c r="D322" s="53"/>
      <c r="E322" s="53"/>
      <c r="F322" s="53"/>
      <c r="G322" s="53"/>
      <c r="H322" s="53"/>
      <c r="I322" s="53"/>
      <c r="J322" s="53"/>
      <c r="K322" s="53"/>
      <c r="L322" s="54"/>
      <c r="M322" s="54"/>
      <c r="N322" s="54"/>
      <c r="O322" s="54"/>
    </row>
    <row r="323" spans="1:16" s="10" customFormat="1" ht="16.5" customHeight="1" x14ac:dyDescent="0.25">
      <c r="A323" s="9"/>
      <c r="B323" s="31"/>
      <c r="C323" s="24">
        <f>IF(DAY(OctSun1)=1,OctSun1+1,OctSun1+8)</f>
        <v>43745</v>
      </c>
      <c r="D323" s="31"/>
      <c r="E323" s="24">
        <f>IF(DAY(OctSun1)=1,OctSun1+2,OctSun1+9)</f>
        <v>43746</v>
      </c>
      <c r="F323" s="31"/>
      <c r="G323" s="24">
        <f>IF(DAY(OctSun1)=1,OctSun1+3,OctSun1+10)</f>
        <v>43747</v>
      </c>
      <c r="H323" s="31"/>
      <c r="I323" s="24">
        <f>IF(DAY(OctSun1)=1,OctSun1+4,OctSun1+11)</f>
        <v>43748</v>
      </c>
      <c r="J323" s="31"/>
      <c r="K323" s="24">
        <f>IF(DAY(OctSun1)=1,OctSun1+5,OctSun1+12)</f>
        <v>43749</v>
      </c>
      <c r="L323" s="31"/>
      <c r="M323" s="24">
        <f>IF(DAY(OctSun1)=1,OctSun1+6,OctSun1+13)</f>
        <v>43750</v>
      </c>
      <c r="N323" s="31"/>
      <c r="O323" s="24">
        <f>IF(DAY(OctSun1)=1,OctSun1+7,OctSun1+14)</f>
        <v>43751</v>
      </c>
    </row>
    <row r="324" spans="1:16" s="15" customFormat="1" ht="55.5" customHeight="1" x14ac:dyDescent="0.25">
      <c r="A324" s="6"/>
      <c r="B324" s="55"/>
      <c r="C324" s="56"/>
      <c r="D324" s="56"/>
      <c r="E324" s="56"/>
      <c r="F324" s="56"/>
      <c r="G324" s="56"/>
      <c r="H324" s="56"/>
      <c r="I324" s="56"/>
      <c r="J324" s="56"/>
      <c r="K324" s="56"/>
      <c r="L324" s="52"/>
      <c r="M324" s="52"/>
      <c r="N324" s="52"/>
      <c r="O324" s="52"/>
    </row>
    <row r="325" spans="1:16" s="15" customFormat="1" ht="8.25" customHeight="1" x14ac:dyDescent="0.25">
      <c r="A325" s="6"/>
      <c r="B325" s="53"/>
      <c r="C325" s="53"/>
      <c r="D325" s="53"/>
      <c r="E325" s="53"/>
      <c r="F325" s="53"/>
      <c r="G325" s="53"/>
      <c r="H325" s="53"/>
      <c r="I325" s="53"/>
      <c r="J325" s="53"/>
      <c r="K325" s="53"/>
      <c r="L325" s="54"/>
      <c r="M325" s="54"/>
      <c r="N325" s="54"/>
      <c r="O325" s="54"/>
    </row>
    <row r="326" spans="1:16" s="10" customFormat="1" ht="16.5" customHeight="1" x14ac:dyDescent="0.25">
      <c r="A326" s="9"/>
      <c r="B326" s="31"/>
      <c r="C326" s="24">
        <f>IF(DAY(OctSun1)=1,OctSun1+8,OctSun1+15)</f>
        <v>43752</v>
      </c>
      <c r="D326" s="31"/>
      <c r="E326" s="24">
        <f>IF(DAY(OctSun1)=1,OctSun1+9,OctSun1+16)</f>
        <v>43753</v>
      </c>
      <c r="F326" s="31"/>
      <c r="G326" s="24">
        <f>IF(DAY(OctSun1)=1,OctSun1+10,OctSun1+17)</f>
        <v>43754</v>
      </c>
      <c r="H326" s="31"/>
      <c r="I326" s="24">
        <f>IF(DAY(OctSun1)=1,OctSun1+11,OctSun1+18)</f>
        <v>43755</v>
      </c>
      <c r="J326" s="31"/>
      <c r="K326" s="24">
        <f>IF(DAY(OctSun1)=1,OctSun1+12,OctSun1+19)</f>
        <v>43756</v>
      </c>
      <c r="L326" s="31"/>
      <c r="M326" s="24">
        <f>IF(DAY(OctSun1)=1,OctSun1+13,OctSun1+20)</f>
        <v>43757</v>
      </c>
      <c r="N326" s="31"/>
      <c r="O326" s="24">
        <f>IF(DAY(OctSun1)=1,OctSun1+14,OctSun1+21)</f>
        <v>43758</v>
      </c>
    </row>
    <row r="327" spans="1:16" s="15" customFormat="1" ht="55.5" customHeight="1" x14ac:dyDescent="0.25">
      <c r="A327" s="6"/>
      <c r="B327" s="55"/>
      <c r="C327" s="56"/>
      <c r="D327" s="56"/>
      <c r="E327" s="56"/>
      <c r="F327" s="56"/>
      <c r="G327" s="56"/>
      <c r="H327" s="56"/>
      <c r="I327" s="56"/>
      <c r="J327" s="55"/>
      <c r="K327" s="56"/>
      <c r="L327" s="52"/>
      <c r="M327" s="52"/>
      <c r="N327" s="52"/>
      <c r="O327" s="52"/>
    </row>
    <row r="328" spans="1:16" s="15" customFormat="1" ht="8.25" customHeight="1" x14ac:dyDescent="0.25">
      <c r="A328" s="6"/>
      <c r="B328" s="53"/>
      <c r="C328" s="53"/>
      <c r="D328" s="53"/>
      <c r="E328" s="53"/>
      <c r="F328" s="53"/>
      <c r="G328" s="53"/>
      <c r="H328" s="53"/>
      <c r="I328" s="53"/>
      <c r="J328" s="53"/>
      <c r="K328" s="53"/>
      <c r="L328" s="54"/>
      <c r="M328" s="54"/>
      <c r="N328" s="54"/>
      <c r="O328" s="54"/>
    </row>
    <row r="329" spans="1:16" s="10" customFormat="1" ht="16.5" customHeight="1" x14ac:dyDescent="0.25">
      <c r="A329" s="9"/>
      <c r="B329" s="31"/>
      <c r="C329" s="24">
        <f>IF(DAY(OctSun1)=1,OctSun1+15,OctSun1+22)</f>
        <v>43759</v>
      </c>
      <c r="D329" s="31"/>
      <c r="E329" s="24">
        <f>IF(DAY(OctSun1)=1,OctSun1+16,OctSun1+23)</f>
        <v>43760</v>
      </c>
      <c r="F329" s="31"/>
      <c r="G329" s="24">
        <f>IF(DAY(OctSun1)=1,OctSun1+17,OctSun1+24)</f>
        <v>43761</v>
      </c>
      <c r="H329" s="31"/>
      <c r="I329" s="24">
        <f>IF(DAY(OctSun1)=1,OctSun1+18,OctSun1+25)</f>
        <v>43762</v>
      </c>
      <c r="J329" s="31"/>
      <c r="K329" s="24">
        <f>IF(DAY(OctSun1)=1,OctSun1+19,OctSun1+26)</f>
        <v>43763</v>
      </c>
      <c r="L329" s="31"/>
      <c r="M329" s="24">
        <f>IF(DAY(OctSun1)=1,OctSun1+20,OctSun1+27)</f>
        <v>43764</v>
      </c>
      <c r="N329" s="31"/>
      <c r="O329" s="24">
        <f>IF(DAY(OctSun1)=1,OctSun1+21,OctSun1+28)</f>
        <v>43765</v>
      </c>
    </row>
    <row r="330" spans="1:16" s="15" customFormat="1" ht="55.5" customHeight="1" x14ac:dyDescent="0.25">
      <c r="A330" s="6"/>
      <c r="B330" s="55"/>
      <c r="C330" s="56"/>
      <c r="D330" s="56"/>
      <c r="E330" s="56"/>
      <c r="F330" s="56"/>
      <c r="G330" s="56"/>
      <c r="H330" s="56"/>
      <c r="I330" s="56"/>
      <c r="J330" s="56"/>
      <c r="K330" s="56"/>
      <c r="L330" s="52"/>
      <c r="M330" s="52"/>
      <c r="N330" s="52"/>
      <c r="O330" s="52"/>
    </row>
    <row r="331" spans="1:16" s="15" customFormat="1" ht="8.25" customHeight="1" x14ac:dyDescent="0.25">
      <c r="A331" s="6"/>
      <c r="B331" s="53"/>
      <c r="C331" s="53"/>
      <c r="D331" s="53"/>
      <c r="E331" s="53"/>
      <c r="F331" s="53"/>
      <c r="G331" s="53"/>
      <c r="H331" s="53"/>
      <c r="I331" s="53"/>
      <c r="J331" s="53"/>
      <c r="K331" s="53"/>
      <c r="L331" s="54"/>
      <c r="M331" s="54"/>
      <c r="N331" s="54"/>
      <c r="O331" s="54"/>
    </row>
    <row r="332" spans="1:16" s="10" customFormat="1" ht="16.5" customHeight="1" x14ac:dyDescent="0.25">
      <c r="A332" s="9"/>
      <c r="B332" s="31"/>
      <c r="C332" s="24">
        <f>IF(DAY(OctSun1)=1,OctSun1+22,OctSun1+29)</f>
        <v>43766</v>
      </c>
      <c r="D332" s="31"/>
      <c r="E332" s="24">
        <f>IF(DAY(OctSun1)=1,OctSun1+23,OctSun1+30)</f>
        <v>43767</v>
      </c>
      <c r="F332" s="31"/>
      <c r="G332" s="24">
        <f>IF(DAY(OctSun1)=1,OctSun1+24,OctSun1+31)</f>
        <v>43768</v>
      </c>
      <c r="H332" s="31"/>
      <c r="I332" s="24">
        <f>IF(DAY(OctSun1)=1,OctSun1+25,OctSun1+32)</f>
        <v>43769</v>
      </c>
      <c r="J332" s="31"/>
      <c r="K332" s="24">
        <f>IF(DAY(OctSun1)=1,OctSun1+26,OctSun1+33)</f>
        <v>43770</v>
      </c>
      <c r="L332" s="31"/>
      <c r="M332" s="24">
        <f>IF(DAY(OctSun1)=1,OctSun1+27,OctSun1+34)</f>
        <v>43771</v>
      </c>
      <c r="N332" s="31"/>
      <c r="O332" s="24">
        <f>IF(DAY(OctSun1)=1,OctSun1+28,OctSun1+35)</f>
        <v>43772</v>
      </c>
    </row>
    <row r="333" spans="1:16" s="15" customFormat="1" ht="55.5" customHeight="1" x14ac:dyDescent="0.25">
      <c r="A333" s="6"/>
      <c r="B333" s="55"/>
      <c r="C333" s="56"/>
      <c r="D333" s="56"/>
      <c r="E333" s="56"/>
      <c r="F333" s="56"/>
      <c r="G333" s="56"/>
      <c r="H333" s="56"/>
      <c r="I333" s="56"/>
      <c r="J333" s="56"/>
      <c r="K333" s="56"/>
      <c r="L333" s="52"/>
      <c r="M333" s="52"/>
      <c r="N333" s="52"/>
      <c r="O333" s="52"/>
    </row>
    <row r="334" spans="1:16" s="15" customFormat="1" ht="8.25" customHeight="1" x14ac:dyDescent="0.25">
      <c r="A334" s="6"/>
      <c r="B334" s="53"/>
      <c r="C334" s="53"/>
      <c r="D334" s="53"/>
      <c r="E334" s="53"/>
      <c r="F334" s="53"/>
      <c r="G334" s="53"/>
      <c r="H334" s="53"/>
      <c r="I334" s="53"/>
      <c r="J334" s="53"/>
      <c r="K334" s="53"/>
      <c r="L334" s="54"/>
      <c r="M334" s="54"/>
      <c r="N334" s="54"/>
      <c r="O334" s="54"/>
    </row>
    <row r="335" spans="1:16" s="15" customFormat="1" ht="54" customHeight="1" x14ac:dyDescent="0.2">
      <c r="A335" s="60" t="s">
        <v>19</v>
      </c>
      <c r="B335" s="60"/>
      <c r="C335" s="60"/>
      <c r="D335" s="60"/>
      <c r="E335" s="60"/>
      <c r="F335" s="60"/>
      <c r="G335" s="60"/>
      <c r="H335" s="13"/>
      <c r="I335" s="4"/>
      <c r="J335" s="4"/>
      <c r="L335" s="58">
        <f>Annéecivile</f>
        <v>2019</v>
      </c>
      <c r="M335" s="58"/>
      <c r="N335" s="58"/>
      <c r="O335" s="58"/>
      <c r="P335" s="58"/>
    </row>
    <row r="336" spans="1:16" s="15" customFormat="1" ht="18.95" customHeight="1" x14ac:dyDescent="0.35">
      <c r="A336" s="3"/>
      <c r="B336" s="1"/>
      <c r="C336" s="1"/>
      <c r="D336" s="1"/>
      <c r="E336" s="2"/>
      <c r="F336" s="2"/>
      <c r="G336" s="2"/>
      <c r="H336" s="4"/>
      <c r="I336" s="4"/>
      <c r="J336" s="4"/>
    </row>
    <row r="337" spans="1:22" s="15" customFormat="1" ht="18.95" customHeight="1" x14ac:dyDescent="0.35">
      <c r="A337" s="3"/>
      <c r="B337" s="1"/>
      <c r="C337" s="1"/>
      <c r="D337" s="1"/>
      <c r="E337" s="2"/>
      <c r="F337" s="2"/>
      <c r="G337" s="2"/>
      <c r="H337" s="4"/>
      <c r="I337" s="4"/>
      <c r="J337" s="4"/>
    </row>
    <row r="338" spans="1:22" s="15" customFormat="1" ht="18.95" customHeight="1" x14ac:dyDescent="0.35">
      <c r="A338" s="3"/>
      <c r="B338" s="1"/>
      <c r="C338" s="1"/>
      <c r="D338" s="1"/>
      <c r="E338" s="2"/>
      <c r="F338" s="2"/>
      <c r="G338" s="2"/>
      <c r="H338" s="4"/>
      <c r="I338" s="4"/>
      <c r="J338" s="4"/>
    </row>
    <row r="339" spans="1:22" s="15" customFormat="1" ht="18.95" customHeight="1" x14ac:dyDescent="0.35">
      <c r="A339" s="3"/>
      <c r="B339" s="1"/>
      <c r="C339" s="1"/>
      <c r="D339" s="1"/>
      <c r="E339" s="2"/>
      <c r="F339" s="2"/>
      <c r="G339" s="2"/>
      <c r="H339" s="4"/>
      <c r="I339" s="4"/>
      <c r="J339" s="4"/>
    </row>
    <row r="340" spans="1:22" s="15" customFormat="1" ht="18.95" customHeight="1" x14ac:dyDescent="0.35">
      <c r="A340" s="3"/>
      <c r="B340" s="1"/>
      <c r="C340" s="1"/>
      <c r="D340" s="1"/>
      <c r="E340" s="2"/>
      <c r="F340" s="2"/>
      <c r="G340" s="2"/>
      <c r="H340" s="4"/>
      <c r="I340" s="4"/>
      <c r="J340" s="4"/>
    </row>
    <row r="341" spans="1:22" s="15" customFormat="1" ht="18.95" customHeight="1" x14ac:dyDescent="0.35">
      <c r="A341" s="3"/>
      <c r="B341" s="1"/>
      <c r="C341" s="1"/>
      <c r="D341" s="1"/>
      <c r="E341" s="2"/>
      <c r="F341" s="2"/>
      <c r="G341" s="2"/>
      <c r="H341" s="4"/>
      <c r="I341" s="4"/>
      <c r="J341" s="4"/>
    </row>
    <row r="342" spans="1:22" s="15" customFormat="1" ht="18.95" customHeight="1" x14ac:dyDescent="0.35">
      <c r="A342" s="3"/>
      <c r="B342" s="1"/>
      <c r="C342" s="1"/>
      <c r="D342" s="1"/>
      <c r="E342" s="2"/>
      <c r="F342" s="2"/>
      <c r="G342" s="2"/>
      <c r="H342" s="4"/>
      <c r="I342" s="4"/>
      <c r="J342" s="4"/>
    </row>
    <row r="343" spans="1:22" s="15" customFormat="1" ht="18.95" customHeight="1" x14ac:dyDescent="0.35">
      <c r="A343" s="3"/>
      <c r="B343" s="1"/>
      <c r="C343" s="1"/>
      <c r="D343" s="1"/>
      <c r="E343" s="2"/>
      <c r="F343" s="2"/>
      <c r="G343" s="2"/>
      <c r="H343" s="4"/>
      <c r="I343" s="4"/>
      <c r="J343" s="4"/>
    </row>
    <row r="344" spans="1:22" s="15" customFormat="1" ht="18.95" customHeight="1" x14ac:dyDescent="0.35">
      <c r="A344" s="3"/>
      <c r="B344" s="1"/>
      <c r="C344" s="1"/>
      <c r="D344" s="1"/>
      <c r="E344" s="2"/>
      <c r="F344" s="2"/>
      <c r="G344" s="2"/>
      <c r="H344" s="4"/>
      <c r="I344" s="4"/>
      <c r="J344" s="4"/>
    </row>
    <row r="345" spans="1:22" s="15" customFormat="1" ht="18.95" customHeight="1" x14ac:dyDescent="0.35">
      <c r="A345" s="3"/>
      <c r="B345" s="1"/>
      <c r="C345" s="1"/>
      <c r="D345" s="1"/>
      <c r="E345" s="2"/>
      <c r="F345" s="2"/>
      <c r="G345" s="2"/>
      <c r="H345" s="4"/>
      <c r="I345" s="4"/>
      <c r="J345" s="4"/>
    </row>
    <row r="346" spans="1:22" s="15" customFormat="1" ht="18.95" customHeight="1" x14ac:dyDescent="0.35">
      <c r="A346" s="3"/>
      <c r="B346" s="1"/>
      <c r="C346" s="1"/>
      <c r="D346" s="1"/>
      <c r="E346" s="2"/>
      <c r="F346" s="2"/>
      <c r="G346" s="2"/>
      <c r="H346" s="4"/>
      <c r="I346" s="4"/>
      <c r="J346" s="4"/>
    </row>
    <row r="347" spans="1:22" s="15" customFormat="1" ht="18.95" customHeight="1" x14ac:dyDescent="0.35">
      <c r="A347" s="3"/>
      <c r="B347" s="1"/>
      <c r="C347" s="1"/>
      <c r="D347" s="1"/>
      <c r="E347" s="2"/>
      <c r="F347" s="2"/>
      <c r="G347" s="2"/>
      <c r="H347" s="4"/>
      <c r="I347" s="4"/>
      <c r="J347" s="4"/>
    </row>
    <row r="348" spans="1:22" s="15" customFormat="1" ht="18.95" customHeight="1" x14ac:dyDescent="0.35">
      <c r="A348" s="3"/>
      <c r="B348" s="1"/>
      <c r="C348" s="1"/>
      <c r="D348" s="1"/>
      <c r="E348" s="2"/>
      <c r="F348" s="2"/>
      <c r="G348" s="2"/>
      <c r="H348" s="4"/>
      <c r="I348" s="4"/>
      <c r="J348" s="4"/>
    </row>
    <row r="349" spans="1:22" s="15" customFormat="1" ht="18.95" customHeight="1" x14ac:dyDescent="0.35">
      <c r="A349" s="3"/>
      <c r="B349" s="1"/>
      <c r="C349" s="1"/>
      <c r="D349" s="1"/>
      <c r="E349" s="2"/>
      <c r="F349" s="2"/>
      <c r="G349" s="2"/>
      <c r="H349" s="4"/>
      <c r="I349" s="4"/>
      <c r="J349" s="4"/>
    </row>
    <row r="350" spans="1:22" s="15" customFormat="1" ht="18.95" customHeight="1" x14ac:dyDescent="0.25">
      <c r="A350" s="6"/>
      <c r="B350" s="7"/>
      <c r="C350" s="7"/>
      <c r="D350" s="7"/>
      <c r="E350" s="7"/>
      <c r="F350" s="7"/>
      <c r="G350" s="7"/>
      <c r="H350" s="7"/>
      <c r="I350" s="7"/>
      <c r="J350" s="7"/>
      <c r="K350" s="7"/>
      <c r="L350" s="7"/>
      <c r="M350" s="7"/>
      <c r="N350" s="7"/>
      <c r="O350" s="7"/>
    </row>
    <row r="351" spans="1:22" s="6" customFormat="1" ht="27" customHeight="1" x14ac:dyDescent="0.25">
      <c r="B351" s="59" t="s">
        <v>0</v>
      </c>
      <c r="C351" s="59"/>
      <c r="D351" s="59" t="s">
        <v>1</v>
      </c>
      <c r="E351" s="59"/>
      <c r="F351" s="59" t="s">
        <v>2</v>
      </c>
      <c r="G351" s="59"/>
      <c r="H351" s="59" t="s">
        <v>3</v>
      </c>
      <c r="I351" s="59"/>
      <c r="J351" s="59" t="s">
        <v>4</v>
      </c>
      <c r="K351" s="59"/>
      <c r="L351" s="59" t="s">
        <v>5</v>
      </c>
      <c r="M351" s="59"/>
      <c r="N351" s="59" t="s">
        <v>6</v>
      </c>
      <c r="O351" s="59"/>
      <c r="P351" s="15"/>
      <c r="Q351" s="8"/>
      <c r="U351" s="15"/>
      <c r="V351" s="15"/>
    </row>
    <row r="352" spans="1:22" s="9" customFormat="1" ht="16.5" customHeight="1" x14ac:dyDescent="0.25">
      <c r="B352" s="30"/>
      <c r="C352" s="24">
        <f>IF(DAY(NovSun1)=1,NovSun1-6,NovSun1+1)</f>
        <v>43766</v>
      </c>
      <c r="D352" s="31"/>
      <c r="E352" s="24">
        <f>IF(DAY(NovSun1)=1,NovSun1-5,NovSun1+2)</f>
        <v>43767</v>
      </c>
      <c r="F352" s="31"/>
      <c r="G352" s="24">
        <f>IF(DAY(NovSun1)=1,NovSun1-4,NovSun1+3)</f>
        <v>43768</v>
      </c>
      <c r="H352" s="31"/>
      <c r="I352" s="24">
        <f>IF(DAY(NovSun1)=1,NovSun1-3,NovSun1+4)</f>
        <v>43769</v>
      </c>
      <c r="J352" s="31"/>
      <c r="K352" s="24">
        <f>IF(DAY(NovSun1)=1,NovSun1-2,NovSun1+5)</f>
        <v>43770</v>
      </c>
      <c r="L352" s="31"/>
      <c r="M352" s="24">
        <f>IF(DAY(NovSun1)=1,NovSun1-1,NovSun1+6)</f>
        <v>43771</v>
      </c>
      <c r="N352" s="31"/>
      <c r="O352" s="24">
        <f>IF(DAY(NovSun1)=1,NovSun1,NovSun1+7)</f>
        <v>43772</v>
      </c>
      <c r="P352" s="10"/>
      <c r="Q352" s="10"/>
      <c r="U352" s="11"/>
      <c r="V352" s="10"/>
    </row>
    <row r="353" spans="1:16" s="12" customFormat="1" ht="55.5" customHeight="1" x14ac:dyDescent="0.25">
      <c r="A353" s="6"/>
      <c r="B353" s="55"/>
      <c r="C353" s="56"/>
      <c r="D353" s="56"/>
      <c r="E353" s="56"/>
      <c r="F353" s="56"/>
      <c r="G353" s="56"/>
      <c r="H353" s="56"/>
      <c r="I353" s="56"/>
      <c r="J353" s="56"/>
      <c r="K353" s="56"/>
      <c r="L353" s="52"/>
      <c r="M353" s="52"/>
      <c r="N353" s="52"/>
      <c r="O353" s="52"/>
    </row>
    <row r="354" spans="1:16" s="12" customFormat="1" ht="8.25" customHeight="1" x14ac:dyDescent="0.25">
      <c r="A354" s="6"/>
      <c r="B354" s="53"/>
      <c r="C354" s="53"/>
      <c r="D354" s="53"/>
      <c r="E354" s="53"/>
      <c r="F354" s="53"/>
      <c r="G354" s="53"/>
      <c r="H354" s="53"/>
      <c r="I354" s="53"/>
      <c r="J354" s="53"/>
      <c r="K354" s="53"/>
      <c r="L354" s="54"/>
      <c r="M354" s="54"/>
      <c r="N354" s="54"/>
      <c r="O354" s="54"/>
    </row>
    <row r="355" spans="1:16" s="10" customFormat="1" ht="16.5" customHeight="1" x14ac:dyDescent="0.25">
      <c r="A355" s="9"/>
      <c r="B355" s="31"/>
      <c r="C355" s="24">
        <f>IF(DAY(NovSun1)=1,NovSun1+1,NovSun1+8)</f>
        <v>43773</v>
      </c>
      <c r="D355" s="31"/>
      <c r="E355" s="24">
        <f>IF(DAY(NovSun1)=1,NovSun1+2,NovSun1+9)</f>
        <v>43774</v>
      </c>
      <c r="F355" s="31"/>
      <c r="G355" s="24">
        <f>IF(DAY(NovSun1)=1,NovSun1+3,NovSun1+10)</f>
        <v>43775</v>
      </c>
      <c r="H355" s="31"/>
      <c r="I355" s="24">
        <f>IF(DAY(NovSun1)=1,NovSun1+4,NovSun1+11)</f>
        <v>43776</v>
      </c>
      <c r="J355" s="31"/>
      <c r="K355" s="24">
        <f>IF(DAY(NovSun1)=1,NovSun1+5,NovSun1+12)</f>
        <v>43777</v>
      </c>
      <c r="L355" s="31"/>
      <c r="M355" s="24">
        <f>IF(DAY(NovSun1)=1,NovSun1+6,NovSun1+13)</f>
        <v>43778</v>
      </c>
      <c r="N355" s="31"/>
      <c r="O355" s="24">
        <f>IF(DAY(NovSun1)=1,NovSun1+7,NovSun1+14)</f>
        <v>43779</v>
      </c>
    </row>
    <row r="356" spans="1:16" s="15" customFormat="1" ht="55.5" customHeight="1" x14ac:dyDescent="0.25">
      <c r="A356" s="6"/>
      <c r="B356" s="55"/>
      <c r="C356" s="56"/>
      <c r="D356" s="56"/>
      <c r="E356" s="56"/>
      <c r="F356" s="56"/>
      <c r="G356" s="56"/>
      <c r="H356" s="56"/>
      <c r="I356" s="56"/>
      <c r="J356" s="57" t="s">
        <v>23</v>
      </c>
      <c r="K356" s="57"/>
      <c r="L356" s="52"/>
      <c r="M356" s="52"/>
      <c r="N356" s="52"/>
      <c r="O356" s="52"/>
    </row>
    <row r="357" spans="1:16" s="15" customFormat="1" ht="8.25" customHeight="1" x14ac:dyDescent="0.25">
      <c r="A357" s="6"/>
      <c r="B357" s="53"/>
      <c r="C357" s="53"/>
      <c r="D357" s="53"/>
      <c r="E357" s="53"/>
      <c r="F357" s="53"/>
      <c r="G357" s="53"/>
      <c r="H357" s="53"/>
      <c r="I357" s="53"/>
      <c r="J357" s="53"/>
      <c r="K357" s="53"/>
      <c r="L357" s="54"/>
      <c r="M357" s="54"/>
      <c r="N357" s="54"/>
      <c r="O357" s="54"/>
    </row>
    <row r="358" spans="1:16" s="10" customFormat="1" ht="16.5" customHeight="1" x14ac:dyDescent="0.25">
      <c r="A358" s="9"/>
      <c r="B358" s="31"/>
      <c r="C358" s="24">
        <f>IF(DAY(NovSun1)=1,NovSun1+8,NovSun1+15)</f>
        <v>43780</v>
      </c>
      <c r="D358" s="31"/>
      <c r="E358" s="24">
        <f>IF(DAY(NovSun1)=1,NovSun1+9,NovSun1+16)</f>
        <v>43781</v>
      </c>
      <c r="F358" s="31"/>
      <c r="G358" s="24">
        <f>IF(DAY(NovSun1)=1,NovSun1+10,NovSun1+17)</f>
        <v>43782</v>
      </c>
      <c r="H358" s="31"/>
      <c r="I358" s="24">
        <f>IF(DAY(NovSun1)=1,NovSun1+11,NovSun1+18)</f>
        <v>43783</v>
      </c>
      <c r="J358" s="31"/>
      <c r="K358" s="24">
        <f>IF(DAY(NovSun1)=1,NovSun1+12,NovSun1+19)</f>
        <v>43784</v>
      </c>
      <c r="L358" s="31"/>
      <c r="M358" s="24">
        <f>IF(DAY(NovSun1)=1,NovSun1+13,NovSun1+20)</f>
        <v>43785</v>
      </c>
      <c r="N358" s="31"/>
      <c r="O358" s="24">
        <f>IF(DAY(NovSun1)=1,NovSun1+14,NovSun1+21)</f>
        <v>43786</v>
      </c>
    </row>
    <row r="359" spans="1:16" s="15" customFormat="1" ht="55.5" customHeight="1" x14ac:dyDescent="0.25">
      <c r="A359" s="6"/>
      <c r="B359" s="55"/>
      <c r="C359" s="56"/>
      <c r="D359" s="56"/>
      <c r="E359" s="56"/>
      <c r="F359" s="56"/>
      <c r="G359" s="56"/>
      <c r="H359" s="56"/>
      <c r="I359" s="56"/>
      <c r="J359" s="55"/>
      <c r="K359" s="56"/>
      <c r="L359" s="52"/>
      <c r="M359" s="52"/>
      <c r="N359" s="52"/>
      <c r="O359" s="52"/>
    </row>
    <row r="360" spans="1:16" s="15" customFormat="1" ht="8.25" customHeight="1" x14ac:dyDescent="0.25">
      <c r="A360" s="6"/>
      <c r="B360" s="53"/>
      <c r="C360" s="53"/>
      <c r="D360" s="53"/>
      <c r="E360" s="53"/>
      <c r="F360" s="53"/>
      <c r="G360" s="53"/>
      <c r="H360" s="53"/>
      <c r="I360" s="53"/>
      <c r="J360" s="53"/>
      <c r="K360" s="53"/>
      <c r="L360" s="54"/>
      <c r="M360" s="54"/>
      <c r="N360" s="54"/>
      <c r="O360" s="54"/>
    </row>
    <row r="361" spans="1:16" s="10" customFormat="1" ht="16.5" customHeight="1" x14ac:dyDescent="0.25">
      <c r="A361" s="9"/>
      <c r="B361" s="31"/>
      <c r="C361" s="24">
        <f>IF(DAY(NovSun1)=1,NovSun1+15,NovSun1+22)</f>
        <v>43787</v>
      </c>
      <c r="D361" s="31"/>
      <c r="E361" s="24">
        <f>IF(DAY(NovSun1)=1,NovSun1+16,NovSun1+23)</f>
        <v>43788</v>
      </c>
      <c r="F361" s="31"/>
      <c r="G361" s="24">
        <f>IF(DAY(NovSun1)=1,NovSun1+17,NovSun1+24)</f>
        <v>43789</v>
      </c>
      <c r="H361" s="31"/>
      <c r="I361" s="24">
        <f>IF(DAY(NovSun1)=1,NovSun1+18,NovSun1+25)</f>
        <v>43790</v>
      </c>
      <c r="J361" s="31"/>
      <c r="K361" s="24">
        <f>IF(DAY(NovSun1)=1,NovSun1+19,NovSun1+26)</f>
        <v>43791</v>
      </c>
      <c r="L361" s="31"/>
      <c r="M361" s="24">
        <f>IF(DAY(NovSun1)=1,NovSun1+20,NovSun1+27)</f>
        <v>43792</v>
      </c>
      <c r="N361" s="31"/>
      <c r="O361" s="24">
        <f>IF(DAY(NovSun1)=1,NovSun1+21,NovSun1+28)</f>
        <v>43793</v>
      </c>
    </row>
    <row r="362" spans="1:16" s="15" customFormat="1" ht="55.5" customHeight="1" x14ac:dyDescent="0.25">
      <c r="A362" s="6"/>
      <c r="B362" s="55"/>
      <c r="C362" s="56"/>
      <c r="D362" s="56"/>
      <c r="E362" s="56"/>
      <c r="F362" s="56"/>
      <c r="G362" s="56"/>
      <c r="H362" s="56"/>
      <c r="I362" s="56"/>
      <c r="J362" s="56"/>
      <c r="K362" s="56"/>
      <c r="L362" s="52"/>
      <c r="M362" s="52"/>
      <c r="N362" s="52"/>
      <c r="O362" s="52"/>
    </row>
    <row r="363" spans="1:16" s="15" customFormat="1" ht="8.25" customHeight="1" x14ac:dyDescent="0.25">
      <c r="A363" s="6"/>
      <c r="B363" s="53"/>
      <c r="C363" s="53"/>
      <c r="D363" s="53"/>
      <c r="E363" s="53"/>
      <c r="F363" s="53"/>
      <c r="G363" s="53"/>
      <c r="H363" s="53"/>
      <c r="I363" s="53"/>
      <c r="J363" s="53"/>
      <c r="K363" s="53"/>
      <c r="L363" s="54"/>
      <c r="M363" s="54"/>
      <c r="N363" s="54"/>
      <c r="O363" s="54"/>
    </row>
    <row r="364" spans="1:16" s="10" customFormat="1" ht="16.5" customHeight="1" x14ac:dyDescent="0.25">
      <c r="A364" s="9"/>
      <c r="B364" s="31"/>
      <c r="C364" s="24">
        <f>IF(DAY(NovSun1)=1,NovSun1+22,NovSun1+29)</f>
        <v>43794</v>
      </c>
      <c r="D364" s="31"/>
      <c r="E364" s="24">
        <f>IF(DAY(NovSun1)=1,NovSun1+23,NovSun1+30)</f>
        <v>43795</v>
      </c>
      <c r="F364" s="31"/>
      <c r="G364" s="24">
        <f>IF(DAY(NovSun1)=1,NovSun1+24,NovSun1+31)</f>
        <v>43796</v>
      </c>
      <c r="H364" s="31"/>
      <c r="I364" s="24">
        <f>IF(DAY(NovSun1)=1,NovSun1+25,NovSun1+32)</f>
        <v>43797</v>
      </c>
      <c r="J364" s="31"/>
      <c r="K364" s="24">
        <f>IF(DAY(NovSun1)=1,NovSun1+26,NovSun1+33)</f>
        <v>43798</v>
      </c>
      <c r="L364" s="31"/>
      <c r="M364" s="24">
        <f>IF(DAY(NovSun1)=1,NovSun1+27,NovSun1+34)</f>
        <v>43799</v>
      </c>
      <c r="N364" s="31"/>
      <c r="O364" s="24">
        <f>IF(DAY(NovSun1)=1,NovSun1+28,NovSun1+35)</f>
        <v>43800</v>
      </c>
    </row>
    <row r="365" spans="1:16" s="15" customFormat="1" ht="55.5" customHeight="1" x14ac:dyDescent="0.25">
      <c r="A365" s="6"/>
      <c r="B365" s="55"/>
      <c r="C365" s="56"/>
      <c r="D365" s="56"/>
      <c r="E365" s="56"/>
      <c r="F365" s="56"/>
      <c r="G365" s="56"/>
      <c r="H365" s="56"/>
      <c r="I365" s="56"/>
      <c r="J365" s="56"/>
      <c r="K365" s="56"/>
      <c r="L365" s="52"/>
      <c r="M365" s="52"/>
      <c r="N365" s="52"/>
      <c r="O365" s="52"/>
    </row>
    <row r="366" spans="1:16" s="15" customFormat="1" ht="8.25" customHeight="1" x14ac:dyDescent="0.25">
      <c r="A366" s="6"/>
      <c r="B366" s="53"/>
      <c r="C366" s="53"/>
      <c r="D366" s="53"/>
      <c r="E366" s="53"/>
      <c r="F366" s="53"/>
      <c r="G366" s="53"/>
      <c r="H366" s="53"/>
      <c r="I366" s="53"/>
      <c r="J366" s="53"/>
      <c r="K366" s="53"/>
      <c r="L366" s="54"/>
      <c r="M366" s="54"/>
      <c r="N366" s="54"/>
      <c r="O366" s="54"/>
    </row>
    <row r="367" spans="1:16" s="15" customFormat="1" x14ac:dyDescent="0.2">
      <c r="B367" s="25"/>
      <c r="C367" s="25"/>
      <c r="D367" s="25"/>
      <c r="E367" s="25"/>
      <c r="F367" s="25"/>
      <c r="G367" s="25"/>
      <c r="H367" s="25"/>
      <c r="I367" s="25"/>
      <c r="J367" s="25"/>
      <c r="K367" s="25"/>
      <c r="L367" s="25"/>
      <c r="M367" s="25"/>
      <c r="N367" s="25"/>
      <c r="O367" s="25"/>
    </row>
    <row r="368" spans="1:16" s="15" customFormat="1" ht="54" customHeight="1" x14ac:dyDescent="0.2">
      <c r="A368" s="51" t="s">
        <v>20</v>
      </c>
      <c r="B368" s="51"/>
      <c r="C368" s="51"/>
      <c r="D368" s="51"/>
      <c r="E368" s="51"/>
      <c r="F368" s="51"/>
      <c r="G368" s="51"/>
      <c r="H368" s="13"/>
      <c r="I368" s="4"/>
      <c r="J368" s="4"/>
      <c r="L368" s="49">
        <f>Annéecivile</f>
        <v>2019</v>
      </c>
      <c r="M368" s="49"/>
      <c r="N368" s="49"/>
      <c r="O368" s="49"/>
      <c r="P368" s="49"/>
    </row>
    <row r="369" spans="1:22" s="15" customFormat="1" ht="18.75" customHeight="1" x14ac:dyDescent="0.35">
      <c r="A369" s="3"/>
      <c r="B369" s="1"/>
      <c r="C369" s="1"/>
      <c r="D369" s="1"/>
      <c r="E369" s="2"/>
      <c r="F369" s="2"/>
      <c r="G369" s="2"/>
      <c r="H369" s="4"/>
      <c r="I369" s="4"/>
      <c r="J369" s="4"/>
      <c r="L369" s="50"/>
      <c r="M369" s="50"/>
      <c r="N369" s="50"/>
      <c r="O369" s="50"/>
    </row>
    <row r="370" spans="1:22" s="15" customFormat="1" ht="18.75" customHeight="1" x14ac:dyDescent="0.35">
      <c r="A370" s="3"/>
      <c r="B370" s="1"/>
      <c r="C370" s="1"/>
      <c r="D370" s="1"/>
      <c r="E370" s="2"/>
      <c r="F370" s="2"/>
      <c r="G370" s="2"/>
      <c r="H370" s="4"/>
      <c r="I370" s="4"/>
      <c r="J370" s="4"/>
    </row>
    <row r="371" spans="1:22" s="15" customFormat="1" ht="18.75" customHeight="1" x14ac:dyDescent="0.35">
      <c r="A371" s="3"/>
      <c r="B371" s="1"/>
      <c r="C371" s="1"/>
      <c r="D371" s="1"/>
      <c r="E371" s="2"/>
      <c r="F371" s="2"/>
      <c r="G371" s="2"/>
      <c r="H371" s="4"/>
      <c r="I371" s="4"/>
      <c r="J371" s="4"/>
    </row>
    <row r="372" spans="1:22" s="15" customFormat="1" ht="18.75" customHeight="1" x14ac:dyDescent="0.35">
      <c r="A372" s="3"/>
      <c r="B372" s="1"/>
      <c r="C372" s="1"/>
      <c r="D372" s="1"/>
      <c r="E372" s="2"/>
      <c r="F372" s="2"/>
      <c r="G372" s="2"/>
      <c r="H372" s="4"/>
      <c r="I372" s="4"/>
      <c r="J372" s="4"/>
    </row>
    <row r="373" spans="1:22" s="15" customFormat="1" ht="18.75" customHeight="1" x14ac:dyDescent="0.35">
      <c r="A373" s="3"/>
      <c r="B373" s="1"/>
      <c r="C373" s="1"/>
      <c r="D373" s="1"/>
      <c r="E373" s="2"/>
      <c r="F373" s="2"/>
      <c r="G373" s="2"/>
      <c r="H373" s="4"/>
      <c r="I373" s="4"/>
      <c r="J373" s="4"/>
    </row>
    <row r="374" spans="1:22" s="15" customFormat="1" ht="18.75" customHeight="1" x14ac:dyDescent="0.35">
      <c r="A374" s="3"/>
      <c r="B374" s="1"/>
      <c r="C374" s="1"/>
      <c r="D374" s="1"/>
      <c r="E374" s="2"/>
      <c r="F374" s="2"/>
      <c r="G374" s="2"/>
      <c r="H374" s="4"/>
      <c r="I374" s="4"/>
      <c r="J374" s="4"/>
    </row>
    <row r="375" spans="1:22" s="15" customFormat="1" ht="18.75" customHeight="1" x14ac:dyDescent="0.35">
      <c r="A375" s="3"/>
      <c r="B375" s="1"/>
      <c r="C375" s="1"/>
      <c r="D375" s="1"/>
      <c r="E375" s="2"/>
      <c r="F375" s="2"/>
      <c r="G375" s="2"/>
      <c r="H375" s="4"/>
      <c r="I375" s="4"/>
      <c r="J375" s="4"/>
    </row>
    <row r="376" spans="1:22" s="15" customFormat="1" ht="18.75" customHeight="1" x14ac:dyDescent="0.35">
      <c r="A376" s="3"/>
      <c r="B376" s="1"/>
      <c r="C376" s="1"/>
      <c r="D376" s="1"/>
      <c r="E376" s="2"/>
      <c r="F376" s="2"/>
      <c r="G376" s="2"/>
      <c r="H376" s="4"/>
      <c r="I376" s="4"/>
      <c r="J376" s="4"/>
    </row>
    <row r="377" spans="1:22" s="15" customFormat="1" ht="18.75" customHeight="1" x14ac:dyDescent="0.35">
      <c r="A377" s="3"/>
      <c r="B377" s="1"/>
      <c r="C377" s="1"/>
      <c r="D377" s="1"/>
      <c r="E377" s="2"/>
      <c r="F377" s="2"/>
      <c r="G377" s="2"/>
      <c r="H377" s="4"/>
      <c r="I377" s="4"/>
      <c r="J377" s="4"/>
    </row>
    <row r="378" spans="1:22" s="15" customFormat="1" ht="18.75" customHeight="1" x14ac:dyDescent="0.35">
      <c r="A378" s="3"/>
      <c r="B378" s="1"/>
      <c r="C378" s="1"/>
      <c r="D378" s="1"/>
      <c r="E378" s="2"/>
      <c r="F378" s="2"/>
      <c r="G378" s="2"/>
      <c r="H378" s="4"/>
      <c r="I378" s="4"/>
      <c r="J378" s="4"/>
    </row>
    <row r="379" spans="1:22" s="15" customFormat="1" ht="18.75" customHeight="1" x14ac:dyDescent="0.35">
      <c r="A379" s="3"/>
      <c r="B379" s="1"/>
      <c r="C379" s="1"/>
      <c r="D379" s="1"/>
      <c r="E379" s="2"/>
      <c r="F379" s="2"/>
      <c r="G379" s="2"/>
      <c r="H379" s="4"/>
      <c r="I379" s="4"/>
      <c r="J379" s="4"/>
    </row>
    <row r="380" spans="1:22" s="15" customFormat="1" ht="18.75" customHeight="1" x14ac:dyDescent="0.35">
      <c r="A380" s="3"/>
      <c r="B380" s="1"/>
      <c r="C380" s="1"/>
      <c r="D380" s="1"/>
      <c r="E380" s="2"/>
      <c r="F380" s="2"/>
      <c r="G380" s="2"/>
      <c r="H380" s="4"/>
      <c r="I380" s="4"/>
      <c r="J380" s="4"/>
    </row>
    <row r="381" spans="1:22" s="15" customFormat="1" ht="18.75" customHeight="1" x14ac:dyDescent="0.35">
      <c r="A381" s="3"/>
      <c r="B381" s="1"/>
      <c r="C381" s="1"/>
      <c r="D381" s="1"/>
      <c r="E381" s="2"/>
      <c r="F381" s="2"/>
      <c r="G381" s="2"/>
      <c r="H381" s="4"/>
      <c r="I381" s="4"/>
      <c r="J381" s="4"/>
    </row>
    <row r="382" spans="1:22" s="15" customFormat="1" ht="18.75" customHeight="1" x14ac:dyDescent="0.35">
      <c r="A382" s="3"/>
      <c r="B382" s="1"/>
      <c r="C382" s="1"/>
      <c r="D382" s="1"/>
      <c r="E382" s="2"/>
      <c r="F382" s="2"/>
      <c r="G382" s="2"/>
      <c r="H382" s="4"/>
      <c r="I382" s="4"/>
      <c r="J382" s="4"/>
    </row>
    <row r="383" spans="1:22" s="15" customFormat="1" ht="18.75" customHeight="1" x14ac:dyDescent="0.25">
      <c r="A383" s="6"/>
      <c r="B383" s="7"/>
      <c r="C383" s="7"/>
      <c r="D383" s="7"/>
      <c r="E383" s="7"/>
      <c r="F383" s="7"/>
      <c r="G383" s="7"/>
      <c r="H383" s="7"/>
      <c r="I383" s="7"/>
      <c r="J383" s="7"/>
      <c r="K383" s="7"/>
      <c r="L383" s="7"/>
      <c r="M383" s="7"/>
      <c r="N383" s="7"/>
      <c r="O383" s="7"/>
    </row>
    <row r="384" spans="1:22" s="6" customFormat="1" ht="27" customHeight="1" x14ac:dyDescent="0.25">
      <c r="B384" s="48" t="s">
        <v>0</v>
      </c>
      <c r="C384" s="48"/>
      <c r="D384" s="47" t="s">
        <v>1</v>
      </c>
      <c r="E384" s="47"/>
      <c r="F384" s="47" t="s">
        <v>2</v>
      </c>
      <c r="G384" s="47"/>
      <c r="H384" s="47" t="s">
        <v>3</v>
      </c>
      <c r="I384" s="47"/>
      <c r="J384" s="47" t="s">
        <v>4</v>
      </c>
      <c r="K384" s="47"/>
      <c r="L384" s="47" t="s">
        <v>5</v>
      </c>
      <c r="M384" s="47"/>
      <c r="N384" s="47" t="s">
        <v>6</v>
      </c>
      <c r="O384" s="47"/>
      <c r="P384" s="15"/>
      <c r="Q384" s="8"/>
      <c r="U384" s="15"/>
      <c r="V384" s="15"/>
    </row>
    <row r="385" spans="1:22" s="9" customFormat="1" ht="16.5" customHeight="1" x14ac:dyDescent="0.25">
      <c r="B385" s="26"/>
      <c r="C385" s="19">
        <f>IF(DAY(DecSun1)=1,DecSun1-6,DecSun1+1)</f>
        <v>43794</v>
      </c>
      <c r="D385" s="27"/>
      <c r="E385" s="19">
        <f>IF(DAY(DecSun1)=1,DecSun1-5,DecSun1+2)</f>
        <v>43795</v>
      </c>
      <c r="F385" s="27"/>
      <c r="G385" s="19">
        <f>IF(DAY(DecSun1)=1,DecSun1-4,DecSun1+3)</f>
        <v>43796</v>
      </c>
      <c r="H385" s="27"/>
      <c r="I385" s="19">
        <f>IF(DAY(DecSun1)=1,DecSun1-3,DecSun1+4)</f>
        <v>43797</v>
      </c>
      <c r="J385" s="27"/>
      <c r="K385" s="19">
        <f>IF(DAY(DecSun1)=1,DecSun1-2,DecSun1+5)</f>
        <v>43798</v>
      </c>
      <c r="L385" s="27"/>
      <c r="M385" s="19">
        <f>IF(DAY(DecSun1)=1,DecSun1-1,DecSun1+6)</f>
        <v>43799</v>
      </c>
      <c r="N385" s="27"/>
      <c r="O385" s="19">
        <f>IF(DAY(DecSun1)=1,DecSun1,DecSun1+7)</f>
        <v>43800</v>
      </c>
      <c r="P385" s="10"/>
      <c r="Q385" s="10"/>
      <c r="U385" s="11"/>
      <c r="V385" s="10"/>
    </row>
    <row r="386" spans="1:22" s="12" customFormat="1" ht="55.5" customHeight="1" x14ac:dyDescent="0.25">
      <c r="A386" s="6"/>
      <c r="B386" s="42"/>
      <c r="C386" s="43"/>
      <c r="D386" s="43"/>
      <c r="E386" s="43"/>
      <c r="F386" s="43"/>
      <c r="G386" s="43"/>
      <c r="H386" s="43"/>
      <c r="I386" s="43"/>
      <c r="J386" s="43"/>
      <c r="K386" s="43"/>
      <c r="L386" s="46"/>
      <c r="M386" s="46"/>
      <c r="N386" s="46"/>
      <c r="O386" s="46"/>
    </row>
    <row r="387" spans="1:22" s="12" customFormat="1" ht="8.25" customHeight="1" x14ac:dyDescent="0.25">
      <c r="A387" s="6"/>
      <c r="B387" s="45"/>
      <c r="C387" s="45"/>
      <c r="D387" s="45"/>
      <c r="E387" s="45"/>
      <c r="F387" s="45"/>
      <c r="G387" s="45"/>
      <c r="H387" s="45"/>
      <c r="I387" s="45"/>
      <c r="J387" s="45"/>
      <c r="K387" s="45"/>
      <c r="L387" s="41"/>
      <c r="M387" s="41"/>
      <c r="N387" s="41"/>
      <c r="O387" s="41"/>
    </row>
    <row r="388" spans="1:22" s="10" customFormat="1" ht="16.5" customHeight="1" x14ac:dyDescent="0.25">
      <c r="A388" s="9"/>
      <c r="B388" s="28"/>
      <c r="C388" s="19">
        <f>IF(DAY(DecSun1)=1,DecSun1+1,DecSun1+8)</f>
        <v>43801</v>
      </c>
      <c r="D388" s="27"/>
      <c r="E388" s="19">
        <f>IF(DAY(DecSun1)=1,DecSun1+2,DecSun1+9)</f>
        <v>43802</v>
      </c>
      <c r="F388" s="27"/>
      <c r="G388" s="19">
        <f>IF(DAY(DecSun1)=1,DecSun1+3,DecSun1+10)</f>
        <v>43803</v>
      </c>
      <c r="H388" s="27"/>
      <c r="I388" s="19">
        <f>IF(DAY(DecSun1)=1,DecSun1+4,DecSun1+11)</f>
        <v>43804</v>
      </c>
      <c r="J388" s="27"/>
      <c r="K388" s="19">
        <f>IF(DAY(DecSun1)=1,DecSun1+5,DecSun1+12)</f>
        <v>43805</v>
      </c>
      <c r="L388" s="27"/>
      <c r="M388" s="19">
        <f>IF(DAY(DecSun1)=1,DecSun1+6,DecSun1+13)</f>
        <v>43806</v>
      </c>
      <c r="N388" s="27"/>
      <c r="O388" s="20">
        <f>IF(DAY(DecSun1)=1,DecSun1+7,DecSun1+14)</f>
        <v>43807</v>
      </c>
    </row>
    <row r="389" spans="1:22" s="15" customFormat="1" ht="55.5" customHeight="1" x14ac:dyDescent="0.25">
      <c r="A389" s="6"/>
      <c r="B389" s="42"/>
      <c r="C389" s="43"/>
      <c r="D389" s="43"/>
      <c r="E389" s="43"/>
      <c r="F389" s="43"/>
      <c r="G389" s="43"/>
      <c r="H389" s="43"/>
      <c r="I389" s="43"/>
      <c r="J389" s="43"/>
      <c r="K389" s="43"/>
      <c r="L389" s="46"/>
      <c r="M389" s="46"/>
      <c r="N389" s="46"/>
      <c r="O389" s="46"/>
    </row>
    <row r="390" spans="1:22" s="15" customFormat="1" ht="8.25" customHeight="1" x14ac:dyDescent="0.25">
      <c r="A390" s="6"/>
      <c r="B390" s="45"/>
      <c r="C390" s="45"/>
      <c r="D390" s="45"/>
      <c r="E390" s="45"/>
      <c r="F390" s="45"/>
      <c r="G390" s="45"/>
      <c r="H390" s="45"/>
      <c r="I390" s="45"/>
      <c r="J390" s="45"/>
      <c r="K390" s="45"/>
      <c r="L390" s="41"/>
      <c r="M390" s="41"/>
      <c r="N390" s="41"/>
      <c r="O390" s="41"/>
    </row>
    <row r="391" spans="1:22" s="10" customFormat="1" ht="16.5" customHeight="1" x14ac:dyDescent="0.25">
      <c r="A391" s="9"/>
      <c r="B391" s="28"/>
      <c r="C391" s="19">
        <f>IF(DAY(DecSun1)=1,DecSun1+8,DecSun1+15)</f>
        <v>43808</v>
      </c>
      <c r="D391" s="27"/>
      <c r="E391" s="19">
        <f>IF(DAY(DecSun1)=1,DecSun1+9,DecSun1+16)</f>
        <v>43809</v>
      </c>
      <c r="F391" s="27"/>
      <c r="G391" s="19">
        <f>IF(DAY(DecSun1)=1,DecSun1+10,DecSun1+17)</f>
        <v>43810</v>
      </c>
      <c r="H391" s="27"/>
      <c r="I391" s="19">
        <f>IF(DAY(DecSun1)=1,DecSun1+11,DecSun1+18)</f>
        <v>43811</v>
      </c>
      <c r="J391" s="27"/>
      <c r="K391" s="19">
        <f>IF(DAY(DecSun1)=1,DecSun1+12,DecSun1+19)</f>
        <v>43812</v>
      </c>
      <c r="L391" s="27"/>
      <c r="M391" s="19">
        <f>IF(DAY(DecSun1)=1,DecSun1+13,DecSun1+20)</f>
        <v>43813</v>
      </c>
      <c r="N391" s="27"/>
      <c r="O391" s="19">
        <f>IF(DAY(DecSun1)=1,DecSun1+14,DecSun1+21)</f>
        <v>43814</v>
      </c>
    </row>
    <row r="392" spans="1:22" s="15" customFormat="1" ht="55.5" customHeight="1" x14ac:dyDescent="0.25">
      <c r="A392" s="6"/>
      <c r="B392" s="42"/>
      <c r="C392" s="43"/>
      <c r="D392" s="43"/>
      <c r="E392" s="43"/>
      <c r="F392" s="43"/>
      <c r="G392" s="43"/>
      <c r="H392" s="43"/>
      <c r="I392" s="43"/>
      <c r="J392" s="43"/>
      <c r="K392" s="43"/>
      <c r="L392" s="46"/>
      <c r="M392" s="46"/>
      <c r="N392" s="46"/>
      <c r="O392" s="46"/>
    </row>
    <row r="393" spans="1:22" s="15" customFormat="1" ht="8.25" customHeight="1" x14ac:dyDescent="0.25">
      <c r="A393" s="6"/>
      <c r="B393" s="45"/>
      <c r="C393" s="45"/>
      <c r="D393" s="45"/>
      <c r="E393" s="45"/>
      <c r="F393" s="45"/>
      <c r="G393" s="45"/>
      <c r="H393" s="45"/>
      <c r="I393" s="45"/>
      <c r="J393" s="45"/>
      <c r="K393" s="45"/>
      <c r="L393" s="41"/>
      <c r="M393" s="41"/>
      <c r="N393" s="41"/>
      <c r="O393" s="41"/>
    </row>
    <row r="394" spans="1:22" s="10" customFormat="1" ht="16.5" customHeight="1" x14ac:dyDescent="0.25">
      <c r="A394" s="9"/>
      <c r="B394" s="28"/>
      <c r="C394" s="19">
        <f>IF(DAY(DecSun1)=1,DecSun1+15,DecSun1+22)</f>
        <v>43815</v>
      </c>
      <c r="D394" s="27"/>
      <c r="E394" s="19">
        <f>IF(DAY(DecSun1)=1,DecSun1+16,DecSun1+23)</f>
        <v>43816</v>
      </c>
      <c r="F394" s="27"/>
      <c r="G394" s="19">
        <f>IF(DAY(DecSun1)=1,DecSun1+17,DecSun1+24)</f>
        <v>43817</v>
      </c>
      <c r="H394" s="27"/>
      <c r="I394" s="19">
        <f>IF(DAY(DecSun1)=1,DecSun1+18,DecSun1+25)</f>
        <v>43818</v>
      </c>
      <c r="J394" s="27"/>
      <c r="K394" s="19">
        <f>IF(DAY(DecSun1)=1,DecSun1+19,DecSun1+26)</f>
        <v>43819</v>
      </c>
      <c r="L394" s="27"/>
      <c r="M394" s="19">
        <f>IF(DAY(DecSun1)=1,DecSun1+20,DecSun1+27)</f>
        <v>43820</v>
      </c>
      <c r="N394" s="27"/>
      <c r="O394" s="19">
        <f>IF(DAY(DecSun1)=1,DecSun1+21,DecSun1+28)</f>
        <v>43821</v>
      </c>
    </row>
    <row r="395" spans="1:22" s="15" customFormat="1" ht="55.5" customHeight="1" x14ac:dyDescent="0.25">
      <c r="A395" s="6"/>
      <c r="B395" s="42"/>
      <c r="C395" s="43"/>
      <c r="D395" s="43"/>
      <c r="E395" s="43"/>
      <c r="F395" s="43"/>
      <c r="G395" s="43"/>
      <c r="H395" s="43"/>
      <c r="I395" s="43"/>
      <c r="J395" s="43"/>
      <c r="K395" s="43"/>
      <c r="L395" s="46"/>
      <c r="M395" s="46"/>
      <c r="N395" s="46"/>
      <c r="O395" s="46"/>
    </row>
    <row r="396" spans="1:22" s="15" customFormat="1" ht="8.25" customHeight="1" x14ac:dyDescent="0.25">
      <c r="A396" s="6"/>
      <c r="B396" s="45"/>
      <c r="C396" s="45"/>
      <c r="D396" s="45"/>
      <c r="E396" s="45"/>
      <c r="F396" s="45"/>
      <c r="G396" s="45"/>
      <c r="H396" s="45"/>
      <c r="I396" s="45"/>
      <c r="J396" s="45"/>
      <c r="K396" s="45"/>
      <c r="L396" s="41"/>
      <c r="M396" s="41"/>
      <c r="N396" s="41"/>
      <c r="O396" s="41"/>
    </row>
    <row r="397" spans="1:22" s="10" customFormat="1" ht="16.5" customHeight="1" x14ac:dyDescent="0.25">
      <c r="A397" s="9"/>
      <c r="B397" s="28"/>
      <c r="C397" s="19">
        <f>IF(DAY(DecSun1)=1,DecSun1+22,DecSun1+29)</f>
        <v>43822</v>
      </c>
      <c r="D397" s="27"/>
      <c r="E397" s="19">
        <f>IF(DAY(DecSun1)=1,DecSun1+23,DecSun1+30)</f>
        <v>43823</v>
      </c>
      <c r="F397" s="27"/>
      <c r="G397" s="19">
        <f>IF(DAY(DecSun1)=1,DecSun1+24,DecSun1+31)</f>
        <v>43824</v>
      </c>
      <c r="H397" s="27"/>
      <c r="I397" s="19">
        <f>IF(DAY(DecSun1)=1,DecSun1+25,DecSun1+32)</f>
        <v>43825</v>
      </c>
      <c r="J397" s="27"/>
      <c r="K397" s="19">
        <f>IF(DAY(DecSun1)=1,DecSun1+26,DecSun1+33)</f>
        <v>43826</v>
      </c>
      <c r="L397" s="27"/>
      <c r="M397" s="19">
        <f>IF(DAY(DecSun1)=1,DecSun1+27,DecSun1+34)</f>
        <v>43827</v>
      </c>
      <c r="N397" s="27"/>
      <c r="O397" s="19">
        <f>IF(DAY(DecSun1)=1,DecSun1+28,DecSun1+35)</f>
        <v>43828</v>
      </c>
    </row>
    <row r="398" spans="1:22" s="15" customFormat="1" ht="55.5" customHeight="1" x14ac:dyDescent="0.25">
      <c r="A398" s="6"/>
      <c r="B398" s="42"/>
      <c r="C398" s="43"/>
      <c r="D398" s="43"/>
      <c r="E398" s="43"/>
      <c r="F398" s="43"/>
      <c r="G398" s="43"/>
      <c r="H398" s="43"/>
      <c r="I398" s="43"/>
      <c r="J398" s="43"/>
      <c r="K398" s="43"/>
      <c r="L398" s="46"/>
      <c r="M398" s="46"/>
      <c r="N398" s="46"/>
      <c r="O398" s="46"/>
    </row>
    <row r="399" spans="1:22" s="15" customFormat="1" ht="8.25" customHeight="1" x14ac:dyDescent="0.25">
      <c r="A399" s="6"/>
      <c r="B399" s="45"/>
      <c r="C399" s="45"/>
      <c r="D399" s="45"/>
      <c r="E399" s="45"/>
      <c r="F399" s="45"/>
      <c r="G399" s="45"/>
      <c r="H399" s="45"/>
      <c r="I399" s="45"/>
      <c r="J399" s="45"/>
      <c r="K399" s="45"/>
      <c r="L399" s="41"/>
      <c r="M399" s="41"/>
      <c r="N399" s="41"/>
      <c r="O399" s="41"/>
    </row>
    <row r="400" spans="1:22" s="10" customFormat="1" ht="16.5" customHeight="1" x14ac:dyDescent="0.25">
      <c r="A400" s="9"/>
      <c r="B400" s="28"/>
      <c r="C400" s="19">
        <f>IF(DAY(DecSun1)=1,DecSun1+29,DecSun1+36)</f>
        <v>43829</v>
      </c>
      <c r="D400" s="27"/>
      <c r="E400" s="19">
        <f>IF(DAY(DecSun1)=1,DecSun1+30,DecSun1+37)</f>
        <v>43830</v>
      </c>
      <c r="F400" s="27"/>
      <c r="G400" s="19">
        <f>IF(DAY(DecSun1)=1,DecSun1+31,DecSun1+38)</f>
        <v>43831</v>
      </c>
      <c r="H400" s="27"/>
      <c r="I400" s="19">
        <f>IF(DAY(DecSun1)=1,DecSun1+32,DecSun1+39)</f>
        <v>43832</v>
      </c>
      <c r="J400" s="28"/>
      <c r="K400" s="19">
        <f>IF(DAY(DecSun1)=1,DecSun1+33,DecSun1+40)</f>
        <v>43833</v>
      </c>
      <c r="L400" s="27"/>
      <c r="M400" s="19">
        <f>IF(DAY(DecSun1)=1,DecSun1+34,DecSun1+41)</f>
        <v>43834</v>
      </c>
      <c r="N400" s="27"/>
      <c r="O400" s="19">
        <f>IF(DAY(DecSun1)=1,DecSun1+35,DecSun1+42)</f>
        <v>43835</v>
      </c>
    </row>
    <row r="401" spans="1:15" s="15" customFormat="1" ht="55.5" customHeight="1" x14ac:dyDescent="0.25">
      <c r="A401" s="6"/>
      <c r="B401" s="42"/>
      <c r="C401" s="43"/>
      <c r="D401" s="43"/>
      <c r="E401" s="43"/>
      <c r="F401" s="44"/>
      <c r="G401" s="44"/>
      <c r="H401" s="44"/>
      <c r="I401" s="44"/>
      <c r="J401" s="44"/>
      <c r="K401" s="44"/>
      <c r="L401" s="44"/>
      <c r="M401" s="44"/>
      <c r="N401" s="44"/>
      <c r="O401" s="44"/>
    </row>
    <row r="402" spans="1:15" s="15" customFormat="1" ht="7.5" customHeight="1" x14ac:dyDescent="0.2">
      <c r="B402" s="29"/>
      <c r="C402" s="29"/>
      <c r="D402" s="29"/>
      <c r="E402" s="29"/>
      <c r="F402" s="29"/>
      <c r="G402" s="29"/>
      <c r="H402" s="29"/>
      <c r="I402" s="29"/>
      <c r="J402" s="29"/>
      <c r="K402" s="29"/>
      <c r="L402" s="29"/>
      <c r="M402" s="29"/>
      <c r="N402" s="29"/>
      <c r="O402" s="29"/>
    </row>
  </sheetData>
  <mergeCells count="965">
    <mergeCell ref="B32:C32"/>
    <mergeCell ref="D32:E32"/>
    <mergeCell ref="H27:I27"/>
    <mergeCell ref="F32:G32"/>
    <mergeCell ref="L2:P2"/>
    <mergeCell ref="L18:M18"/>
    <mergeCell ref="N18:O18"/>
    <mergeCell ref="B20:C20"/>
    <mergeCell ref="D20:E20"/>
    <mergeCell ref="F20:G20"/>
    <mergeCell ref="H20:I20"/>
    <mergeCell ref="J20:K20"/>
    <mergeCell ref="L20:M20"/>
    <mergeCell ref="N20:O20"/>
    <mergeCell ref="B18:C18"/>
    <mergeCell ref="D18:E18"/>
    <mergeCell ref="F18:G18"/>
    <mergeCell ref="H18:I18"/>
    <mergeCell ref="J18:K18"/>
    <mergeCell ref="H32:I32"/>
    <mergeCell ref="J32:K32"/>
    <mergeCell ref="L32:M32"/>
    <mergeCell ref="N32:O32"/>
    <mergeCell ref="L23:M23"/>
    <mergeCell ref="B21:C21"/>
    <mergeCell ref="N21:O21"/>
    <mergeCell ref="L21:M21"/>
    <mergeCell ref="J21:K21"/>
    <mergeCell ref="H21:I21"/>
    <mergeCell ref="F21:G21"/>
    <mergeCell ref="D21:E21"/>
    <mergeCell ref="N24:O24"/>
    <mergeCell ref="L24:M24"/>
    <mergeCell ref="J24:K24"/>
    <mergeCell ref="H24:I24"/>
    <mergeCell ref="F24:G24"/>
    <mergeCell ref="D24:E24"/>
    <mergeCell ref="B24:C24"/>
    <mergeCell ref="N23:O23"/>
    <mergeCell ref="B23:C23"/>
    <mergeCell ref="D23:E23"/>
    <mergeCell ref="F23:G23"/>
    <mergeCell ref="H23:I23"/>
    <mergeCell ref="D30:E30"/>
    <mergeCell ref="B30:C30"/>
    <mergeCell ref="N27:O27"/>
    <mergeCell ref="L27:M27"/>
    <mergeCell ref="J27:K27"/>
    <mergeCell ref="J23:K23"/>
    <mergeCell ref="F27:G27"/>
    <mergeCell ref="H29:I29"/>
    <mergeCell ref="J29:K29"/>
    <mergeCell ref="L29:M29"/>
    <mergeCell ref="N29:O29"/>
    <mergeCell ref="B29:C29"/>
    <mergeCell ref="D29:E29"/>
    <mergeCell ref="F29:G29"/>
    <mergeCell ref="B26:C26"/>
    <mergeCell ref="D26:E26"/>
    <mergeCell ref="F26:G26"/>
    <mergeCell ref="H26:I26"/>
    <mergeCell ref="J26:K26"/>
    <mergeCell ref="L26:M26"/>
    <mergeCell ref="N26:O26"/>
    <mergeCell ref="B50:C50"/>
    <mergeCell ref="D50:E50"/>
    <mergeCell ref="F50:G50"/>
    <mergeCell ref="H50:I50"/>
    <mergeCell ref="J50:K50"/>
    <mergeCell ref="L50:M50"/>
    <mergeCell ref="N50:O50"/>
    <mergeCell ref="A34:G34"/>
    <mergeCell ref="A2:G2"/>
    <mergeCell ref="L3:O3"/>
    <mergeCell ref="D33:E33"/>
    <mergeCell ref="B33:C33"/>
    <mergeCell ref="N33:O33"/>
    <mergeCell ref="L33:M33"/>
    <mergeCell ref="J33:K33"/>
    <mergeCell ref="H33:I33"/>
    <mergeCell ref="F33:G33"/>
    <mergeCell ref="D27:E27"/>
    <mergeCell ref="B27:C27"/>
    <mergeCell ref="N30:O30"/>
    <mergeCell ref="L30:M30"/>
    <mergeCell ref="J30:K30"/>
    <mergeCell ref="H30:I30"/>
    <mergeCell ref="F30:G30"/>
    <mergeCell ref="L52:M52"/>
    <mergeCell ref="N52:O52"/>
    <mergeCell ref="B53:C53"/>
    <mergeCell ref="D53:E53"/>
    <mergeCell ref="F53:G53"/>
    <mergeCell ref="H53:I53"/>
    <mergeCell ref="J53:K53"/>
    <mergeCell ref="L53:M53"/>
    <mergeCell ref="N53:O53"/>
    <mergeCell ref="B52:C52"/>
    <mergeCell ref="D52:E52"/>
    <mergeCell ref="F52:G52"/>
    <mergeCell ref="H52:I52"/>
    <mergeCell ref="J52:K52"/>
    <mergeCell ref="N59:O59"/>
    <mergeCell ref="B58:C58"/>
    <mergeCell ref="D58:E58"/>
    <mergeCell ref="F58:G58"/>
    <mergeCell ref="H58:I58"/>
    <mergeCell ref="J58:K58"/>
    <mergeCell ref="L55:M55"/>
    <mergeCell ref="N55:O55"/>
    <mergeCell ref="B56:C56"/>
    <mergeCell ref="D56:E56"/>
    <mergeCell ref="F56:G56"/>
    <mergeCell ref="H56:I56"/>
    <mergeCell ref="J56:K56"/>
    <mergeCell ref="L56:M56"/>
    <mergeCell ref="N56:O56"/>
    <mergeCell ref="B55:C55"/>
    <mergeCell ref="D55:E55"/>
    <mergeCell ref="F55:G55"/>
    <mergeCell ref="H55:I55"/>
    <mergeCell ref="J55:K55"/>
    <mergeCell ref="L34:P34"/>
    <mergeCell ref="L35:O35"/>
    <mergeCell ref="L61:M61"/>
    <mergeCell ref="N61:O61"/>
    <mergeCell ref="B62:C62"/>
    <mergeCell ref="D62:E62"/>
    <mergeCell ref="F62:G62"/>
    <mergeCell ref="H62:I62"/>
    <mergeCell ref="J62:K62"/>
    <mergeCell ref="L62:M62"/>
    <mergeCell ref="N62:O62"/>
    <mergeCell ref="B61:C61"/>
    <mergeCell ref="D61:E61"/>
    <mergeCell ref="F61:G61"/>
    <mergeCell ref="H61:I61"/>
    <mergeCell ref="J61:K61"/>
    <mergeCell ref="L58:M58"/>
    <mergeCell ref="N58:O58"/>
    <mergeCell ref="B59:C59"/>
    <mergeCell ref="D59:E59"/>
    <mergeCell ref="F59:G59"/>
    <mergeCell ref="H59:I59"/>
    <mergeCell ref="J59:K59"/>
    <mergeCell ref="L59:M59"/>
    <mergeCell ref="L64:M64"/>
    <mergeCell ref="N64:O64"/>
    <mergeCell ref="B65:C65"/>
    <mergeCell ref="D65:E65"/>
    <mergeCell ref="F65:G65"/>
    <mergeCell ref="H65:I65"/>
    <mergeCell ref="J65:K65"/>
    <mergeCell ref="L65:M65"/>
    <mergeCell ref="N65:O65"/>
    <mergeCell ref="B64:C64"/>
    <mergeCell ref="D64:E64"/>
    <mergeCell ref="F64:G64"/>
    <mergeCell ref="H64:I64"/>
    <mergeCell ref="J64:K64"/>
    <mergeCell ref="L67:P67"/>
    <mergeCell ref="B83:C83"/>
    <mergeCell ref="D83:E83"/>
    <mergeCell ref="F83:G83"/>
    <mergeCell ref="H83:I83"/>
    <mergeCell ref="J83:K83"/>
    <mergeCell ref="L83:M83"/>
    <mergeCell ref="N83:O83"/>
    <mergeCell ref="A67:G67"/>
    <mergeCell ref="L85:M85"/>
    <mergeCell ref="N85:O85"/>
    <mergeCell ref="B86:C86"/>
    <mergeCell ref="D86:E86"/>
    <mergeCell ref="F86:G86"/>
    <mergeCell ref="H86:I86"/>
    <mergeCell ref="J86:K86"/>
    <mergeCell ref="L86:M86"/>
    <mergeCell ref="N86:O86"/>
    <mergeCell ref="B85:C85"/>
    <mergeCell ref="D85:E85"/>
    <mergeCell ref="F85:G85"/>
    <mergeCell ref="H85:I85"/>
    <mergeCell ref="J85:K85"/>
    <mergeCell ref="L88:M88"/>
    <mergeCell ref="N88:O88"/>
    <mergeCell ref="B89:C89"/>
    <mergeCell ref="D89:E89"/>
    <mergeCell ref="F89:G89"/>
    <mergeCell ref="H89:I89"/>
    <mergeCell ref="J89:K89"/>
    <mergeCell ref="L89:M89"/>
    <mergeCell ref="N89:O89"/>
    <mergeCell ref="B88:C88"/>
    <mergeCell ref="D88:E88"/>
    <mergeCell ref="F88:G88"/>
    <mergeCell ref="H88:I88"/>
    <mergeCell ref="J88:K88"/>
    <mergeCell ref="L91:M91"/>
    <mergeCell ref="N91:O91"/>
    <mergeCell ref="B92:C92"/>
    <mergeCell ref="D92:E92"/>
    <mergeCell ref="F92:G92"/>
    <mergeCell ref="H92:I92"/>
    <mergeCell ref="J92:K92"/>
    <mergeCell ref="L92:M92"/>
    <mergeCell ref="N92:O92"/>
    <mergeCell ref="B91:C91"/>
    <mergeCell ref="D91:E91"/>
    <mergeCell ref="F91:G91"/>
    <mergeCell ref="H91:I91"/>
    <mergeCell ref="J91:K91"/>
    <mergeCell ref="L94:M94"/>
    <mergeCell ref="N94:O94"/>
    <mergeCell ref="B95:C95"/>
    <mergeCell ref="D95:E95"/>
    <mergeCell ref="F95:G95"/>
    <mergeCell ref="H95:I95"/>
    <mergeCell ref="J95:K95"/>
    <mergeCell ref="L95:M95"/>
    <mergeCell ref="N95:O95"/>
    <mergeCell ref="B94:C94"/>
    <mergeCell ref="D94:E94"/>
    <mergeCell ref="F94:G94"/>
    <mergeCell ref="H94:I94"/>
    <mergeCell ref="J94:K94"/>
    <mergeCell ref="L97:M97"/>
    <mergeCell ref="N97:O97"/>
    <mergeCell ref="B98:C98"/>
    <mergeCell ref="D98:E98"/>
    <mergeCell ref="F98:G98"/>
    <mergeCell ref="H98:I98"/>
    <mergeCell ref="J98:K98"/>
    <mergeCell ref="L98:M98"/>
    <mergeCell ref="N98:O98"/>
    <mergeCell ref="B97:C97"/>
    <mergeCell ref="D97:E97"/>
    <mergeCell ref="F97:G97"/>
    <mergeCell ref="H97:I97"/>
    <mergeCell ref="J97:K97"/>
    <mergeCell ref="L100:P100"/>
    <mergeCell ref="B116:C116"/>
    <mergeCell ref="D116:E116"/>
    <mergeCell ref="F116:G116"/>
    <mergeCell ref="H116:I116"/>
    <mergeCell ref="J116:K116"/>
    <mergeCell ref="L116:M116"/>
    <mergeCell ref="N116:O116"/>
    <mergeCell ref="A100:G100"/>
    <mergeCell ref="L118:M118"/>
    <mergeCell ref="N118:O118"/>
    <mergeCell ref="B119:C119"/>
    <mergeCell ref="D119:E119"/>
    <mergeCell ref="F119:G119"/>
    <mergeCell ref="H119:I119"/>
    <mergeCell ref="J119:K119"/>
    <mergeCell ref="L119:M119"/>
    <mergeCell ref="N119:O119"/>
    <mergeCell ref="B118:C118"/>
    <mergeCell ref="D118:E118"/>
    <mergeCell ref="F118:G118"/>
    <mergeCell ref="H118:I118"/>
    <mergeCell ref="J118:K118"/>
    <mergeCell ref="L121:M121"/>
    <mergeCell ref="N121:O121"/>
    <mergeCell ref="B122:C122"/>
    <mergeCell ref="D122:E122"/>
    <mergeCell ref="F122:G122"/>
    <mergeCell ref="H122:I122"/>
    <mergeCell ref="J122:K122"/>
    <mergeCell ref="L122:M122"/>
    <mergeCell ref="N122:O122"/>
    <mergeCell ref="B121:C121"/>
    <mergeCell ref="D121:E121"/>
    <mergeCell ref="F121:G121"/>
    <mergeCell ref="H121:I121"/>
    <mergeCell ref="J121:K121"/>
    <mergeCell ref="L124:M124"/>
    <mergeCell ref="N124:O124"/>
    <mergeCell ref="B125:C125"/>
    <mergeCell ref="D125:E125"/>
    <mergeCell ref="F125:G125"/>
    <mergeCell ref="H125:I125"/>
    <mergeCell ref="J125:K125"/>
    <mergeCell ref="L125:M125"/>
    <mergeCell ref="N125:O125"/>
    <mergeCell ref="B124:C124"/>
    <mergeCell ref="D124:E124"/>
    <mergeCell ref="F124:G124"/>
    <mergeCell ref="H124:I124"/>
    <mergeCell ref="J124:K124"/>
    <mergeCell ref="L127:M127"/>
    <mergeCell ref="N127:O127"/>
    <mergeCell ref="B128:C128"/>
    <mergeCell ref="D128:E128"/>
    <mergeCell ref="F128:G128"/>
    <mergeCell ref="H128:I128"/>
    <mergeCell ref="J128:K128"/>
    <mergeCell ref="L128:M128"/>
    <mergeCell ref="N128:O128"/>
    <mergeCell ref="B127:C127"/>
    <mergeCell ref="D127:E127"/>
    <mergeCell ref="F127:G127"/>
    <mergeCell ref="H127:I127"/>
    <mergeCell ref="J127:K127"/>
    <mergeCell ref="L130:M130"/>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34:P134"/>
    <mergeCell ref="B150:C150"/>
    <mergeCell ref="D150:E150"/>
    <mergeCell ref="F150:G150"/>
    <mergeCell ref="H150:I150"/>
    <mergeCell ref="J150:K150"/>
    <mergeCell ref="L150:M150"/>
    <mergeCell ref="N150:O150"/>
    <mergeCell ref="A134:G134"/>
    <mergeCell ref="L152:M152"/>
    <mergeCell ref="N152:O152"/>
    <mergeCell ref="B153:C153"/>
    <mergeCell ref="D153:E153"/>
    <mergeCell ref="F153:G153"/>
    <mergeCell ref="H153:I153"/>
    <mergeCell ref="J153:K153"/>
    <mergeCell ref="L153:M153"/>
    <mergeCell ref="N153:O153"/>
    <mergeCell ref="B152:C152"/>
    <mergeCell ref="D152:E152"/>
    <mergeCell ref="F152:G152"/>
    <mergeCell ref="H152:I152"/>
    <mergeCell ref="J152:K152"/>
    <mergeCell ref="L155:M155"/>
    <mergeCell ref="N155:O155"/>
    <mergeCell ref="B156:C156"/>
    <mergeCell ref="D156:E156"/>
    <mergeCell ref="F156:G156"/>
    <mergeCell ref="H156:I156"/>
    <mergeCell ref="J156:K156"/>
    <mergeCell ref="L156:M156"/>
    <mergeCell ref="N156:O156"/>
    <mergeCell ref="B155:C155"/>
    <mergeCell ref="D155:E155"/>
    <mergeCell ref="F155:G155"/>
    <mergeCell ref="H155:I155"/>
    <mergeCell ref="J155:K155"/>
    <mergeCell ref="L158:M158"/>
    <mergeCell ref="N158:O158"/>
    <mergeCell ref="B159:C159"/>
    <mergeCell ref="D159:E159"/>
    <mergeCell ref="F159:G159"/>
    <mergeCell ref="H159:I159"/>
    <mergeCell ref="J159:K159"/>
    <mergeCell ref="L159:M159"/>
    <mergeCell ref="N159:O159"/>
    <mergeCell ref="B158:C158"/>
    <mergeCell ref="D158:E158"/>
    <mergeCell ref="F158:G158"/>
    <mergeCell ref="H158:I158"/>
    <mergeCell ref="J158:K158"/>
    <mergeCell ref="L161:M161"/>
    <mergeCell ref="N161:O161"/>
    <mergeCell ref="B162:C162"/>
    <mergeCell ref="D162:E162"/>
    <mergeCell ref="F162:G162"/>
    <mergeCell ref="H162:I162"/>
    <mergeCell ref="J162:K162"/>
    <mergeCell ref="L162:M162"/>
    <mergeCell ref="N162:O162"/>
    <mergeCell ref="B161:C161"/>
    <mergeCell ref="D161:E161"/>
    <mergeCell ref="F161:G161"/>
    <mergeCell ref="H161:I161"/>
    <mergeCell ref="J161:K161"/>
    <mergeCell ref="L164:M164"/>
    <mergeCell ref="N164:O164"/>
    <mergeCell ref="B165:C165"/>
    <mergeCell ref="D165:E165"/>
    <mergeCell ref="F165:G165"/>
    <mergeCell ref="H165:I165"/>
    <mergeCell ref="J165:K165"/>
    <mergeCell ref="L165:M165"/>
    <mergeCell ref="N165:O165"/>
    <mergeCell ref="B164:C164"/>
    <mergeCell ref="D164:E164"/>
    <mergeCell ref="F164:G164"/>
    <mergeCell ref="H164:I164"/>
    <mergeCell ref="J164:K164"/>
    <mergeCell ref="L168:P168"/>
    <mergeCell ref="B184:C184"/>
    <mergeCell ref="D184:E184"/>
    <mergeCell ref="F184:G184"/>
    <mergeCell ref="H184:I184"/>
    <mergeCell ref="J184:K184"/>
    <mergeCell ref="L184:M184"/>
    <mergeCell ref="N184:O184"/>
    <mergeCell ref="A168:G168"/>
    <mergeCell ref="L186:M186"/>
    <mergeCell ref="N186:O186"/>
    <mergeCell ref="B187:C187"/>
    <mergeCell ref="D187:E187"/>
    <mergeCell ref="F187:G187"/>
    <mergeCell ref="H187:I187"/>
    <mergeCell ref="J187:K187"/>
    <mergeCell ref="L187:M187"/>
    <mergeCell ref="N187:O187"/>
    <mergeCell ref="B186:C186"/>
    <mergeCell ref="D186:E186"/>
    <mergeCell ref="F186:G186"/>
    <mergeCell ref="H186:I186"/>
    <mergeCell ref="J186:K186"/>
    <mergeCell ref="L189:M189"/>
    <mergeCell ref="N189:O189"/>
    <mergeCell ref="B190:C190"/>
    <mergeCell ref="D190:E190"/>
    <mergeCell ref="F190:G190"/>
    <mergeCell ref="H190:I190"/>
    <mergeCell ref="J190:K190"/>
    <mergeCell ref="L190:M190"/>
    <mergeCell ref="N190:O190"/>
    <mergeCell ref="B189:C189"/>
    <mergeCell ref="D189:E189"/>
    <mergeCell ref="F189:G189"/>
    <mergeCell ref="H189:I189"/>
    <mergeCell ref="J189:K189"/>
    <mergeCell ref="L192:M192"/>
    <mergeCell ref="N192:O192"/>
    <mergeCell ref="B193:C193"/>
    <mergeCell ref="D193:E193"/>
    <mergeCell ref="F193:G193"/>
    <mergeCell ref="H193:I193"/>
    <mergeCell ref="J193:K193"/>
    <mergeCell ref="L193:M193"/>
    <mergeCell ref="N193:O193"/>
    <mergeCell ref="B192:C192"/>
    <mergeCell ref="D192:E192"/>
    <mergeCell ref="F192:G192"/>
    <mergeCell ref="H192:I192"/>
    <mergeCell ref="J192:K192"/>
    <mergeCell ref="L195:M195"/>
    <mergeCell ref="N195:O195"/>
    <mergeCell ref="B196:C196"/>
    <mergeCell ref="D196:E196"/>
    <mergeCell ref="F196:G196"/>
    <mergeCell ref="H196:I196"/>
    <mergeCell ref="J196:K196"/>
    <mergeCell ref="L196:M196"/>
    <mergeCell ref="N196:O196"/>
    <mergeCell ref="B195:C195"/>
    <mergeCell ref="D195:E195"/>
    <mergeCell ref="F195:G195"/>
    <mergeCell ref="H195:I195"/>
    <mergeCell ref="J195:K195"/>
    <mergeCell ref="L198:M198"/>
    <mergeCell ref="N198:O198"/>
    <mergeCell ref="B199:C199"/>
    <mergeCell ref="D199:E199"/>
    <mergeCell ref="F199:G199"/>
    <mergeCell ref="H199:I199"/>
    <mergeCell ref="J199:K199"/>
    <mergeCell ref="L199:M199"/>
    <mergeCell ref="N199:O199"/>
    <mergeCell ref="B198:C198"/>
    <mergeCell ref="D198:E198"/>
    <mergeCell ref="F198:G198"/>
    <mergeCell ref="H198:I198"/>
    <mergeCell ref="J198:K198"/>
    <mergeCell ref="L202:P202"/>
    <mergeCell ref="B218:C218"/>
    <mergeCell ref="D218:E218"/>
    <mergeCell ref="F218:G218"/>
    <mergeCell ref="H218:I218"/>
    <mergeCell ref="J218:K218"/>
    <mergeCell ref="L218:M218"/>
    <mergeCell ref="N218:O218"/>
    <mergeCell ref="A202:G202"/>
    <mergeCell ref="L220:M220"/>
    <mergeCell ref="N220:O220"/>
    <mergeCell ref="B221:C221"/>
    <mergeCell ref="D221:E221"/>
    <mergeCell ref="F221:G221"/>
    <mergeCell ref="H221:I221"/>
    <mergeCell ref="J221:K221"/>
    <mergeCell ref="L221:M221"/>
    <mergeCell ref="N221:O221"/>
    <mergeCell ref="B220:C220"/>
    <mergeCell ref="D220:E220"/>
    <mergeCell ref="F220:G220"/>
    <mergeCell ref="H220:I220"/>
    <mergeCell ref="J220:K220"/>
    <mergeCell ref="L223:M223"/>
    <mergeCell ref="N223:O223"/>
    <mergeCell ref="B224:C224"/>
    <mergeCell ref="D224:E224"/>
    <mergeCell ref="F224:G224"/>
    <mergeCell ref="H224:I224"/>
    <mergeCell ref="J224:K224"/>
    <mergeCell ref="L224:M224"/>
    <mergeCell ref="N224:O224"/>
    <mergeCell ref="B223:C223"/>
    <mergeCell ref="D223:E223"/>
    <mergeCell ref="F223:G223"/>
    <mergeCell ref="H223:I223"/>
    <mergeCell ref="J223:K223"/>
    <mergeCell ref="L226:M226"/>
    <mergeCell ref="N226:O226"/>
    <mergeCell ref="B227:C227"/>
    <mergeCell ref="D227:E227"/>
    <mergeCell ref="F227:G227"/>
    <mergeCell ref="H227:I227"/>
    <mergeCell ref="J227:K227"/>
    <mergeCell ref="L227:M227"/>
    <mergeCell ref="N227:O227"/>
    <mergeCell ref="B226:C226"/>
    <mergeCell ref="D226:E226"/>
    <mergeCell ref="F226:G226"/>
    <mergeCell ref="H226:I226"/>
    <mergeCell ref="J226:K226"/>
    <mergeCell ref="L229:M229"/>
    <mergeCell ref="N229:O229"/>
    <mergeCell ref="B230:C230"/>
    <mergeCell ref="D230:E230"/>
    <mergeCell ref="F230:G230"/>
    <mergeCell ref="H230:I230"/>
    <mergeCell ref="J230:K230"/>
    <mergeCell ref="L230:M230"/>
    <mergeCell ref="N230:O230"/>
    <mergeCell ref="B229:C229"/>
    <mergeCell ref="D229:E229"/>
    <mergeCell ref="F229:G229"/>
    <mergeCell ref="H229:I229"/>
    <mergeCell ref="J229:K229"/>
    <mergeCell ref="L232:M232"/>
    <mergeCell ref="N232:O232"/>
    <mergeCell ref="B233:C233"/>
    <mergeCell ref="D233:E233"/>
    <mergeCell ref="F233:G233"/>
    <mergeCell ref="H233:I233"/>
    <mergeCell ref="J233:K233"/>
    <mergeCell ref="L233:M233"/>
    <mergeCell ref="N233:O233"/>
    <mergeCell ref="B232:C232"/>
    <mergeCell ref="D232:E232"/>
    <mergeCell ref="F232:G232"/>
    <mergeCell ref="H232:I232"/>
    <mergeCell ref="J232:K232"/>
    <mergeCell ref="L234:P234"/>
    <mergeCell ref="B250:C250"/>
    <mergeCell ref="D250:E250"/>
    <mergeCell ref="F250:G250"/>
    <mergeCell ref="H250:I250"/>
    <mergeCell ref="J250:K250"/>
    <mergeCell ref="L250:M250"/>
    <mergeCell ref="N250:O250"/>
    <mergeCell ref="A234:G234"/>
    <mergeCell ref="L252:M252"/>
    <mergeCell ref="N252:O252"/>
    <mergeCell ref="B253:C253"/>
    <mergeCell ref="D253:E253"/>
    <mergeCell ref="F253:G253"/>
    <mergeCell ref="H253:I253"/>
    <mergeCell ref="J253:K253"/>
    <mergeCell ref="L253:M253"/>
    <mergeCell ref="N253:O253"/>
    <mergeCell ref="B252:C252"/>
    <mergeCell ref="D252:E252"/>
    <mergeCell ref="F252:G252"/>
    <mergeCell ref="H252:I252"/>
    <mergeCell ref="J252:K252"/>
    <mergeCell ref="L255:M255"/>
    <mergeCell ref="N255:O255"/>
    <mergeCell ref="B256:C256"/>
    <mergeCell ref="D256:E256"/>
    <mergeCell ref="F256:G256"/>
    <mergeCell ref="H256:I256"/>
    <mergeCell ref="J256:K256"/>
    <mergeCell ref="L256:M256"/>
    <mergeCell ref="N256:O256"/>
    <mergeCell ref="B255:C255"/>
    <mergeCell ref="D255:E255"/>
    <mergeCell ref="F255:G255"/>
    <mergeCell ref="H255:I255"/>
    <mergeCell ref="J255:K255"/>
    <mergeCell ref="L258:M258"/>
    <mergeCell ref="N258:O258"/>
    <mergeCell ref="B259:C259"/>
    <mergeCell ref="D259:E259"/>
    <mergeCell ref="F259:G259"/>
    <mergeCell ref="H259:I259"/>
    <mergeCell ref="J259:K259"/>
    <mergeCell ref="L259:M259"/>
    <mergeCell ref="N259:O259"/>
    <mergeCell ref="B258:C258"/>
    <mergeCell ref="D258:E258"/>
    <mergeCell ref="F258:G258"/>
    <mergeCell ref="H258:I258"/>
    <mergeCell ref="J258:K258"/>
    <mergeCell ref="L261:M261"/>
    <mergeCell ref="N261:O261"/>
    <mergeCell ref="B262:C262"/>
    <mergeCell ref="D262:E262"/>
    <mergeCell ref="F262:G262"/>
    <mergeCell ref="H262:I262"/>
    <mergeCell ref="J262:K262"/>
    <mergeCell ref="L262:M262"/>
    <mergeCell ref="N262:O262"/>
    <mergeCell ref="B261:C261"/>
    <mergeCell ref="D261:E261"/>
    <mergeCell ref="F261:G261"/>
    <mergeCell ref="H261:I261"/>
    <mergeCell ref="J261:K261"/>
    <mergeCell ref="L264:M264"/>
    <mergeCell ref="N264:O264"/>
    <mergeCell ref="B265:C265"/>
    <mergeCell ref="D265:E265"/>
    <mergeCell ref="F265:G265"/>
    <mergeCell ref="H265:I265"/>
    <mergeCell ref="J265:K265"/>
    <mergeCell ref="L265:M265"/>
    <mergeCell ref="N265:O265"/>
    <mergeCell ref="B264:C264"/>
    <mergeCell ref="D264:E264"/>
    <mergeCell ref="F264:G264"/>
    <mergeCell ref="H264:I264"/>
    <mergeCell ref="J264:K264"/>
    <mergeCell ref="L267:P267"/>
    <mergeCell ref="B283:C283"/>
    <mergeCell ref="D283:E283"/>
    <mergeCell ref="F283:G283"/>
    <mergeCell ref="H283:I283"/>
    <mergeCell ref="J283:K283"/>
    <mergeCell ref="L283:M283"/>
    <mergeCell ref="N283:O283"/>
    <mergeCell ref="A267:G267"/>
    <mergeCell ref="L285:M285"/>
    <mergeCell ref="N285:O285"/>
    <mergeCell ref="B286:C286"/>
    <mergeCell ref="D286:E286"/>
    <mergeCell ref="F286:G286"/>
    <mergeCell ref="H286:I286"/>
    <mergeCell ref="J286:K286"/>
    <mergeCell ref="L286:M286"/>
    <mergeCell ref="N286:O286"/>
    <mergeCell ref="B285:C285"/>
    <mergeCell ref="D285:E285"/>
    <mergeCell ref="F285:G285"/>
    <mergeCell ref="H285:I285"/>
    <mergeCell ref="J285:K285"/>
    <mergeCell ref="L288:M288"/>
    <mergeCell ref="N288:O288"/>
    <mergeCell ref="B289:C289"/>
    <mergeCell ref="D289:E289"/>
    <mergeCell ref="F289:G289"/>
    <mergeCell ref="H289:I289"/>
    <mergeCell ref="J289:K289"/>
    <mergeCell ref="L289:M289"/>
    <mergeCell ref="N289:O289"/>
    <mergeCell ref="B288:C288"/>
    <mergeCell ref="D288:E288"/>
    <mergeCell ref="F288:G288"/>
    <mergeCell ref="H288:I288"/>
    <mergeCell ref="J288:K288"/>
    <mergeCell ref="L291:M291"/>
    <mergeCell ref="N291:O291"/>
    <mergeCell ref="B292:C292"/>
    <mergeCell ref="D292:E292"/>
    <mergeCell ref="F292:G292"/>
    <mergeCell ref="H292:I292"/>
    <mergeCell ref="J292:K292"/>
    <mergeCell ref="L292:M292"/>
    <mergeCell ref="N292:O292"/>
    <mergeCell ref="B291:C291"/>
    <mergeCell ref="D291:E291"/>
    <mergeCell ref="F291:G291"/>
    <mergeCell ref="H291:I291"/>
    <mergeCell ref="J291:K291"/>
    <mergeCell ref="L294:M294"/>
    <mergeCell ref="N294:O294"/>
    <mergeCell ref="B295:C295"/>
    <mergeCell ref="D295:E295"/>
    <mergeCell ref="F295:G295"/>
    <mergeCell ref="H295:I295"/>
    <mergeCell ref="J295:K295"/>
    <mergeCell ref="L295:M295"/>
    <mergeCell ref="N295:O295"/>
    <mergeCell ref="B294:C294"/>
    <mergeCell ref="D294:E294"/>
    <mergeCell ref="F294:G294"/>
    <mergeCell ref="H294:I294"/>
    <mergeCell ref="J294:K294"/>
    <mergeCell ref="L297:M297"/>
    <mergeCell ref="N297:O297"/>
    <mergeCell ref="B298:C298"/>
    <mergeCell ref="D298:E298"/>
    <mergeCell ref="F298:G298"/>
    <mergeCell ref="H298:I298"/>
    <mergeCell ref="J298:K298"/>
    <mergeCell ref="L298:M298"/>
    <mergeCell ref="N298:O298"/>
    <mergeCell ref="B297:C297"/>
    <mergeCell ref="D297:E297"/>
    <mergeCell ref="F297:G297"/>
    <mergeCell ref="H297:I297"/>
    <mergeCell ref="J297:K297"/>
    <mergeCell ref="L300:M300"/>
    <mergeCell ref="N300:O300"/>
    <mergeCell ref="L303:P303"/>
    <mergeCell ref="B319:C319"/>
    <mergeCell ref="D319:E319"/>
    <mergeCell ref="F319:G319"/>
    <mergeCell ref="H319:I319"/>
    <mergeCell ref="J319:K319"/>
    <mergeCell ref="L319:M319"/>
    <mergeCell ref="N319:O319"/>
    <mergeCell ref="A303:G303"/>
    <mergeCell ref="B300:C300"/>
    <mergeCell ref="D300:E300"/>
    <mergeCell ref="F300:G300"/>
    <mergeCell ref="H300:I300"/>
    <mergeCell ref="J300:K300"/>
    <mergeCell ref="L321:M321"/>
    <mergeCell ref="N321:O321"/>
    <mergeCell ref="B322:C322"/>
    <mergeCell ref="D322:E322"/>
    <mergeCell ref="F322:G322"/>
    <mergeCell ref="H322:I322"/>
    <mergeCell ref="J322:K322"/>
    <mergeCell ref="L322:M322"/>
    <mergeCell ref="N322:O322"/>
    <mergeCell ref="B321:C321"/>
    <mergeCell ref="D321:E321"/>
    <mergeCell ref="F321:G321"/>
    <mergeCell ref="H321:I321"/>
    <mergeCell ref="J321:K321"/>
    <mergeCell ref="L324:M324"/>
    <mergeCell ref="N324:O324"/>
    <mergeCell ref="B325:C325"/>
    <mergeCell ref="D325:E325"/>
    <mergeCell ref="F325:G325"/>
    <mergeCell ref="H325:I325"/>
    <mergeCell ref="J325:K325"/>
    <mergeCell ref="L325:M325"/>
    <mergeCell ref="N325:O325"/>
    <mergeCell ref="B324:C324"/>
    <mergeCell ref="D324:E324"/>
    <mergeCell ref="F324:G324"/>
    <mergeCell ref="H324:I324"/>
    <mergeCell ref="J324:K324"/>
    <mergeCell ref="L327:M327"/>
    <mergeCell ref="N327:O327"/>
    <mergeCell ref="B328:C328"/>
    <mergeCell ref="D328:E328"/>
    <mergeCell ref="F328:G328"/>
    <mergeCell ref="H328:I328"/>
    <mergeCell ref="J328:K328"/>
    <mergeCell ref="L328:M328"/>
    <mergeCell ref="N328:O328"/>
    <mergeCell ref="B327:C327"/>
    <mergeCell ref="D327:E327"/>
    <mergeCell ref="F327:G327"/>
    <mergeCell ref="H327:I327"/>
    <mergeCell ref="J327:K327"/>
    <mergeCell ref="L330:M330"/>
    <mergeCell ref="N330:O330"/>
    <mergeCell ref="B331:C331"/>
    <mergeCell ref="D331:E331"/>
    <mergeCell ref="F331:G331"/>
    <mergeCell ref="H331:I331"/>
    <mergeCell ref="J331:K331"/>
    <mergeCell ref="L331:M331"/>
    <mergeCell ref="N331:O331"/>
    <mergeCell ref="B330:C330"/>
    <mergeCell ref="D330:E330"/>
    <mergeCell ref="F330:G330"/>
    <mergeCell ref="H330:I330"/>
    <mergeCell ref="J330:K330"/>
    <mergeCell ref="L333:M333"/>
    <mergeCell ref="N333:O333"/>
    <mergeCell ref="B334:C334"/>
    <mergeCell ref="D334:E334"/>
    <mergeCell ref="F334:G334"/>
    <mergeCell ref="H334:I334"/>
    <mergeCell ref="J334:K334"/>
    <mergeCell ref="L334:M334"/>
    <mergeCell ref="N334:O334"/>
    <mergeCell ref="B333:C333"/>
    <mergeCell ref="D333:E333"/>
    <mergeCell ref="F333:G333"/>
    <mergeCell ref="H333:I333"/>
    <mergeCell ref="J333:K333"/>
    <mergeCell ref="L335:P335"/>
    <mergeCell ref="B351:C351"/>
    <mergeCell ref="D351:E351"/>
    <mergeCell ref="F351:G351"/>
    <mergeCell ref="H351:I351"/>
    <mergeCell ref="J351:K351"/>
    <mergeCell ref="L351:M351"/>
    <mergeCell ref="N351:O351"/>
    <mergeCell ref="A335:G335"/>
    <mergeCell ref="L353:M353"/>
    <mergeCell ref="N353:O353"/>
    <mergeCell ref="B354:C354"/>
    <mergeCell ref="D354:E354"/>
    <mergeCell ref="F354:G354"/>
    <mergeCell ref="H354:I354"/>
    <mergeCell ref="J354:K354"/>
    <mergeCell ref="L354:M354"/>
    <mergeCell ref="N354:O354"/>
    <mergeCell ref="B353:C353"/>
    <mergeCell ref="D353:E353"/>
    <mergeCell ref="F353:G353"/>
    <mergeCell ref="H353:I353"/>
    <mergeCell ref="J353:K353"/>
    <mergeCell ref="L356:M356"/>
    <mergeCell ref="N356:O356"/>
    <mergeCell ref="B357:C357"/>
    <mergeCell ref="D357:E357"/>
    <mergeCell ref="F357:G357"/>
    <mergeCell ref="H357:I357"/>
    <mergeCell ref="J357:K357"/>
    <mergeCell ref="L357:M357"/>
    <mergeCell ref="N357:O357"/>
    <mergeCell ref="B356:C356"/>
    <mergeCell ref="D356:E356"/>
    <mergeCell ref="F356:G356"/>
    <mergeCell ref="H356:I356"/>
    <mergeCell ref="J356:K356"/>
    <mergeCell ref="L359:M359"/>
    <mergeCell ref="N359:O359"/>
    <mergeCell ref="B360:C360"/>
    <mergeCell ref="D360:E360"/>
    <mergeCell ref="F360:G360"/>
    <mergeCell ref="H360:I360"/>
    <mergeCell ref="J360:K360"/>
    <mergeCell ref="L360:M360"/>
    <mergeCell ref="N360:O360"/>
    <mergeCell ref="B359:C359"/>
    <mergeCell ref="D359:E359"/>
    <mergeCell ref="F359:G359"/>
    <mergeCell ref="H359:I359"/>
    <mergeCell ref="J359:K359"/>
    <mergeCell ref="L362:M362"/>
    <mergeCell ref="N362:O362"/>
    <mergeCell ref="B363:C363"/>
    <mergeCell ref="D363:E363"/>
    <mergeCell ref="F363:G363"/>
    <mergeCell ref="H363:I363"/>
    <mergeCell ref="J363:K363"/>
    <mergeCell ref="L363:M363"/>
    <mergeCell ref="N363:O363"/>
    <mergeCell ref="B362:C362"/>
    <mergeCell ref="D362:E362"/>
    <mergeCell ref="F362:G362"/>
    <mergeCell ref="H362:I362"/>
    <mergeCell ref="J362:K362"/>
    <mergeCell ref="L368:P368"/>
    <mergeCell ref="L369:O369"/>
    <mergeCell ref="A368:G368"/>
    <mergeCell ref="L365:M365"/>
    <mergeCell ref="N365:O365"/>
    <mergeCell ref="B366:C366"/>
    <mergeCell ref="D366:E366"/>
    <mergeCell ref="F366:G366"/>
    <mergeCell ref="H366:I366"/>
    <mergeCell ref="J366:K366"/>
    <mergeCell ref="L366:M366"/>
    <mergeCell ref="N366:O366"/>
    <mergeCell ref="B365:C365"/>
    <mergeCell ref="D365:E365"/>
    <mergeCell ref="F365:G365"/>
    <mergeCell ref="H365:I365"/>
    <mergeCell ref="J365:K365"/>
    <mergeCell ref="L384:M384"/>
    <mergeCell ref="N384:O384"/>
    <mergeCell ref="B386:C386"/>
    <mergeCell ref="D386:E386"/>
    <mergeCell ref="F386:G386"/>
    <mergeCell ref="H386:I386"/>
    <mergeCell ref="J386:K386"/>
    <mergeCell ref="L386:M386"/>
    <mergeCell ref="N386:O386"/>
    <mergeCell ref="B384:C384"/>
    <mergeCell ref="D384:E384"/>
    <mergeCell ref="F384:G384"/>
    <mergeCell ref="H384:I384"/>
    <mergeCell ref="J384:K384"/>
    <mergeCell ref="L387:M387"/>
    <mergeCell ref="N387:O387"/>
    <mergeCell ref="B389:C389"/>
    <mergeCell ref="D389:E389"/>
    <mergeCell ref="F389:G389"/>
    <mergeCell ref="H389:I389"/>
    <mergeCell ref="J389:K389"/>
    <mergeCell ref="L389:M389"/>
    <mergeCell ref="N389:O389"/>
    <mergeCell ref="B387:C387"/>
    <mergeCell ref="D387:E387"/>
    <mergeCell ref="F387:G387"/>
    <mergeCell ref="H387:I387"/>
    <mergeCell ref="J387:K387"/>
    <mergeCell ref="L390:M390"/>
    <mergeCell ref="N390:O390"/>
    <mergeCell ref="B392:C392"/>
    <mergeCell ref="D392:E392"/>
    <mergeCell ref="F392:G392"/>
    <mergeCell ref="H392:I392"/>
    <mergeCell ref="J392:K392"/>
    <mergeCell ref="L392:M392"/>
    <mergeCell ref="N392:O392"/>
    <mergeCell ref="B390:C390"/>
    <mergeCell ref="D390:E390"/>
    <mergeCell ref="F390:G390"/>
    <mergeCell ref="H390:I390"/>
    <mergeCell ref="J390:K390"/>
    <mergeCell ref="L393:M393"/>
    <mergeCell ref="N393:O393"/>
    <mergeCell ref="B395:C395"/>
    <mergeCell ref="D395:E395"/>
    <mergeCell ref="F395:G395"/>
    <mergeCell ref="H395:I395"/>
    <mergeCell ref="J395:K395"/>
    <mergeCell ref="L395:M395"/>
    <mergeCell ref="N395:O395"/>
    <mergeCell ref="B393:C393"/>
    <mergeCell ref="D393:E393"/>
    <mergeCell ref="F393:G393"/>
    <mergeCell ref="H393:I393"/>
    <mergeCell ref="J393:K393"/>
    <mergeCell ref="L396:M396"/>
    <mergeCell ref="N396:O396"/>
    <mergeCell ref="B398:C398"/>
    <mergeCell ref="D398:E398"/>
    <mergeCell ref="F398:G398"/>
    <mergeCell ref="H398:I398"/>
    <mergeCell ref="J398:K398"/>
    <mergeCell ref="L398:M398"/>
    <mergeCell ref="N398:O398"/>
    <mergeCell ref="B396:C396"/>
    <mergeCell ref="D396:E396"/>
    <mergeCell ref="F396:G396"/>
    <mergeCell ref="H396:I396"/>
    <mergeCell ref="J396:K396"/>
    <mergeCell ref="L399:M399"/>
    <mergeCell ref="N399:O399"/>
    <mergeCell ref="B401:C401"/>
    <mergeCell ref="D401:E401"/>
    <mergeCell ref="F401:G401"/>
    <mergeCell ref="H401:I401"/>
    <mergeCell ref="J401:K401"/>
    <mergeCell ref="L401:M401"/>
    <mergeCell ref="N401:O401"/>
    <mergeCell ref="B399:C399"/>
    <mergeCell ref="D399:E399"/>
    <mergeCell ref="F399:G399"/>
    <mergeCell ref="H399:I399"/>
    <mergeCell ref="J399:K399"/>
  </mergeCells>
  <conditionalFormatting sqref="C19 E19 G19 I19 K19 M19 O19">
    <cfRule type="expression" dxfId="35" priority="34" stopIfTrue="1">
      <formula>DAY(C19)&gt;8</formula>
    </cfRule>
  </conditionalFormatting>
  <conditionalFormatting sqref="C19 E19 G19 I19 K19 M19 O19 C22 E22 G22 I22 K22 M22 O22 C25 E25 G25 I25 K25 M25 O25 C28 E28 G28 I28 K28 M28 O28 C31 E31 F32:G32 G31 I31 K31 M31 O31">
    <cfRule type="expression" dxfId="34" priority="36" stopIfTrue="1">
      <formula>B20&lt;&gt;""</formula>
    </cfRule>
  </conditionalFormatting>
  <conditionalFormatting sqref="C31 E31 G31 I31 K31 M31 O31">
    <cfRule type="expression" dxfId="33" priority="35" stopIfTrue="1">
      <formula>AND(DAY(C31)&gt;=1,DAY(C31)&lt;=15)</formula>
    </cfRule>
  </conditionalFormatting>
  <conditionalFormatting sqref="C51 E51 G51 I51 K51 M51 O51">
    <cfRule type="expression" dxfId="32" priority="31" stopIfTrue="1">
      <formula>DAY(C51)&gt;8</formula>
    </cfRule>
  </conditionalFormatting>
  <conditionalFormatting sqref="C51 E51 G51 I51 K51 M51 O51 C54 E54 G54 I54 K54 M54 O54 C57 E57 G57 I57 K57 M57 O57 C60 E60 G60 I60 K60 M60 O60 C63 E63 G63 I63 K63 M63 O63">
    <cfRule type="expression" dxfId="31" priority="33" stopIfTrue="1">
      <formula>B52&lt;&gt;""</formula>
    </cfRule>
  </conditionalFormatting>
  <conditionalFormatting sqref="C63 E63 G63 I63 K63 M63 O63">
    <cfRule type="expression" dxfId="30" priority="32" stopIfTrue="1">
      <formula>AND(DAY(C63)&gt;=1,DAY(C63)&lt;=15)</formula>
    </cfRule>
  </conditionalFormatting>
  <conditionalFormatting sqref="C84 E84 G84 I84 K84 M84 O84">
    <cfRule type="expression" dxfId="29" priority="28" stopIfTrue="1">
      <formula>DAY(C84)&gt;8</formula>
    </cfRule>
  </conditionalFormatting>
  <conditionalFormatting sqref="C84 E84 G84 I84 K84 M84 O84 C87 E87 G87 I87 K87 M87 O87 C90 E90 G90 I90 K90 M90 O90 C93 E93 G93 I93 K93 M93 O93 C96 E96 G96 I96 K96 M96 O96">
    <cfRule type="expression" dxfId="28" priority="30" stopIfTrue="1">
      <formula>B85&lt;&gt;""</formula>
    </cfRule>
  </conditionalFormatting>
  <conditionalFormatting sqref="C96 E96 G96 I96 K96 M96 O96">
    <cfRule type="expression" dxfId="27" priority="29" stopIfTrue="1">
      <formula>AND(DAY(C96)&gt;=1,DAY(C96)&lt;=15)</formula>
    </cfRule>
  </conditionalFormatting>
  <conditionalFormatting sqref="C117 E117 G117 I117 K117 M117 O117">
    <cfRule type="expression" dxfId="26" priority="25" stopIfTrue="1">
      <formula>DAY(C117)&gt;8</formula>
    </cfRule>
  </conditionalFormatting>
  <conditionalFormatting sqref="C117 E117 G117 I117 K117 M117 O117 C120 E120 G120 I120 K120 M120 O120 C123 E123 G123 I123 K123 M123 O123 C126 E126 G126 I126 K126 M126 O126 C129 E129 G129 I129 K129 M129 O129">
    <cfRule type="expression" dxfId="25" priority="27" stopIfTrue="1">
      <formula>B118&lt;&gt;""</formula>
    </cfRule>
  </conditionalFormatting>
  <conditionalFormatting sqref="C129 E129 G129 I129 K129 M129 O129">
    <cfRule type="expression" dxfId="24" priority="26" stopIfTrue="1">
      <formula>AND(DAY(C129)&gt;=1,DAY(C129)&lt;=15)</formula>
    </cfRule>
  </conditionalFormatting>
  <conditionalFormatting sqref="C151 E151 G151 I151 K151 M151 O151">
    <cfRule type="expression" dxfId="23" priority="22" stopIfTrue="1">
      <formula>DAY(C151)&gt;8</formula>
    </cfRule>
  </conditionalFormatting>
  <conditionalFormatting sqref="C151 E151 G151 I151 K151 M151 O151 C154 E154 G154 I154 K154 M154 O154 C157 E157 G157 I157 K157 M157 O157 C160 E160 G160 I160 K160 M160 O160 C163 E163 G163 I163 K163 M163 O163">
    <cfRule type="expression" dxfId="22" priority="24" stopIfTrue="1">
      <formula>B152&lt;&gt;""</formula>
    </cfRule>
  </conditionalFormatting>
  <conditionalFormatting sqref="C163 E163 G163 I163 K163 M163 O163">
    <cfRule type="expression" dxfId="21" priority="23" stopIfTrue="1">
      <formula>AND(DAY(C163)&gt;=1,DAY(C163)&lt;=15)</formula>
    </cfRule>
  </conditionalFormatting>
  <conditionalFormatting sqref="C185 E185 G185 I185 K185 M185 O185">
    <cfRule type="expression" dxfId="20" priority="19" stopIfTrue="1">
      <formula>DAY(C185)&gt;8</formula>
    </cfRule>
  </conditionalFormatting>
  <conditionalFormatting sqref="C185 E185 G185 I185 K185 M185 O185 C188 E188 G188 I188 K188 M188 O188 C191 E191 G191 I191 K191 M191 O191 C194 E194 G194 I194 K194 M194 O194 C197 E197 G197 I197 K197 M197 O197">
    <cfRule type="expression" dxfId="19" priority="21" stopIfTrue="1">
      <formula>B186&lt;&gt;""</formula>
    </cfRule>
  </conditionalFormatting>
  <conditionalFormatting sqref="C197 E197 G197 I197 K197 M197 O197">
    <cfRule type="expression" dxfId="18" priority="20" stopIfTrue="1">
      <formula>AND(DAY(C197)&gt;=1,DAY(C197)&lt;=15)</formula>
    </cfRule>
  </conditionalFormatting>
  <conditionalFormatting sqref="C219 E219 G219 I219 K219 M219 O219">
    <cfRule type="expression" dxfId="17" priority="16" stopIfTrue="1">
      <formula>DAY(C219)&gt;8</formula>
    </cfRule>
  </conditionalFormatting>
  <conditionalFormatting sqref="C219 E219 G219 I219 K219 M219 O219 C222 E222 G222 I222 K222 M222 O222 C225 E225 G225 I225 K225 M225 O225 C228 E228 G228 I228 K228 M228 O228 C231 E231 G231 I231 K231 M231 O231">
    <cfRule type="expression" dxfId="16" priority="18" stopIfTrue="1">
      <formula>B220&lt;&gt;""</formula>
    </cfRule>
  </conditionalFormatting>
  <conditionalFormatting sqref="C231 E231 G231 I231 K231 M231 O231">
    <cfRule type="expression" dxfId="15" priority="17" stopIfTrue="1">
      <formula>AND(DAY(C231)&gt;=1,DAY(C231)&lt;=15)</formula>
    </cfRule>
  </conditionalFormatting>
  <conditionalFormatting sqref="C251 E251 G251 I251 K251 M251 O251">
    <cfRule type="expression" dxfId="14" priority="13" stopIfTrue="1">
      <formula>DAY(C251)&gt;8</formula>
    </cfRule>
  </conditionalFormatting>
  <conditionalFormatting sqref="C251 E251 G251 I251 K251 M251 O251 C254 E254 G254 I254 K254 M254 O254 C257 E257 G257 I257 K257 M257 O257 C260 E260 G260 I260 K260 M260 O260 C263 E263 G263 I263 K263 M263 O263">
    <cfRule type="expression" dxfId="13" priority="15" stopIfTrue="1">
      <formula>B252&lt;&gt;""</formula>
    </cfRule>
  </conditionalFormatting>
  <conditionalFormatting sqref="C263 E263 G263 I263 K263 M263 O263">
    <cfRule type="expression" dxfId="12" priority="14" stopIfTrue="1">
      <formula>AND(DAY(C263)&gt;=1,DAY(C263)&lt;=15)</formula>
    </cfRule>
  </conditionalFormatting>
  <conditionalFormatting sqref="C284 E284 G284 I284 K284 M284 O284">
    <cfRule type="expression" dxfId="11" priority="10" stopIfTrue="1">
      <formula>DAY(C284)&gt;8</formula>
    </cfRule>
  </conditionalFormatting>
  <conditionalFormatting sqref="C284 E284 G284 I284 K284 M284 O284 C287 E287 G287 I287 K287 M287 O287 C290 E290 G290 I290 K290 M290 O290 C293 E293 G293 I293 K293 M293 O293 C296 E296 G296 I296 K296 M296 O296 C299 E299 G299 I299 K299 M299 O299">
    <cfRule type="expression" dxfId="10" priority="12" stopIfTrue="1">
      <formula>B285&lt;&gt;""</formula>
    </cfRule>
  </conditionalFormatting>
  <conditionalFormatting sqref="C296 E296 G296 I296 K296 M296 O296 C299 E299 G299 I299 K299 M299 O299">
    <cfRule type="expression" dxfId="9" priority="11" stopIfTrue="1">
      <formula>AND(DAY(C296)&gt;=1,DAY(C296)&lt;=15)</formula>
    </cfRule>
  </conditionalFormatting>
  <conditionalFormatting sqref="C320 E320 G320 I320 K320 M320 O320">
    <cfRule type="expression" dxfId="8" priority="7" stopIfTrue="1">
      <formula>DAY(C320)&gt;8</formula>
    </cfRule>
  </conditionalFormatting>
  <conditionalFormatting sqref="C320 E320 G320 I320 K320 M320 O320 C323 E323 G323 I323 K323 M323 O323 C326 E326 G326 I326 K326 M326 O326 C329 E329 G329 I329 K329 M329 O329 C332 E332 G332 I332 K332 M332 O332">
    <cfRule type="expression" dxfId="7" priority="9" stopIfTrue="1">
      <formula>B321&lt;&gt;""</formula>
    </cfRule>
  </conditionalFormatting>
  <conditionalFormatting sqref="C332 E332 G332 I332 K332 M332 O332">
    <cfRule type="expression" dxfId="6" priority="8" stopIfTrue="1">
      <formula>AND(DAY(C332)&gt;=1,DAY(C332)&lt;=15)</formula>
    </cfRule>
  </conditionalFormatting>
  <conditionalFormatting sqref="C352 E352 G352 I352 K352 M352 O352">
    <cfRule type="expression" dxfId="5" priority="4" stopIfTrue="1">
      <formula>DAY(C352)&gt;8</formula>
    </cfRule>
  </conditionalFormatting>
  <conditionalFormatting sqref="C352 E352 G352 I352 K352 M352 O352 C355 E355 G355 I355 K355 M355 O355 C358 E358 G358 I358 K358 M358 O358 C361 E361 G361 I361 K361 M361 O361 C364 E364 G364 I364 K364 M364 O364">
    <cfRule type="expression" dxfId="4" priority="6" stopIfTrue="1">
      <formula>B353&lt;&gt;""</formula>
    </cfRule>
  </conditionalFormatting>
  <conditionalFormatting sqref="C364 E364 G364 I364 K364 M364 O364">
    <cfRule type="expression" dxfId="3" priority="5" stopIfTrue="1">
      <formula>AND(DAY(C364)&gt;=1,DAY(C364)&lt;=15)</formula>
    </cfRule>
  </conditionalFormatting>
  <conditionalFormatting sqref="C385 E385 G385 I385 K385 M385 O385">
    <cfRule type="expression" dxfId="2" priority="1" stopIfTrue="1">
      <formula>DAY(C385)&gt;8</formula>
    </cfRule>
  </conditionalFormatting>
  <conditionalFormatting sqref="C385 E385 G385 I385 K385 M385 O385 C388 E388 G388 I388 K388 M388 O388 C391 E391 G391 I391 K391 M391 O391 C394 E394 G394 I394 K394 M394 O394 C397 E397 G397 I397 K397 M397 O397 C400 E400 G400 I400 K400 M400 O400">
    <cfRule type="expression" dxfId="1" priority="3" stopIfTrue="1">
      <formula>B386&lt;&gt;""</formula>
    </cfRule>
  </conditionalFormatting>
  <conditionalFormatting sqref="C397 E397 G397 I397 K397 M397 O397 C400 E400 G400 I400 K400 M400 O400">
    <cfRule type="expression" dxfId="0" priority="2" stopIfTrue="1">
      <formula>AND(DAY(C397)&gt;=1,DAY(C397)&lt;=15)</formula>
    </cfRule>
  </conditionalFormatting>
  <printOptions horizontalCentered="1" verticalCentered="1"/>
  <pageMargins left="0.2" right="0.2" top="0.25" bottom="0.25" header="0" footer="0"/>
  <pageSetup scale="88" fitToHeight="12" orientation="portrait" r:id="rId1"/>
  <headerFooter scaleWithDoc="0" alignWithMargins="0"/>
  <rowBreaks count="8" manualBreakCount="8">
    <brk id="65" max="16" man="1"/>
    <brk id="98" max="16" man="1"/>
    <brk id="132" max="16" man="1"/>
    <brk id="166" max="16" man="1"/>
    <brk id="200" max="16" man="1"/>
    <brk id="265" max="16" man="1"/>
    <brk id="301" max="16" man="1"/>
    <brk id="366" max="16" man="1"/>
  </rowBreaks>
  <customProperties>
    <customPr name="SheetChang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5" r:id="rId5" name="Compteur1">
              <controlPr defaultSize="0" print="0" autoPict="0" altText="Compteur. Utilisez le compteur pour changer l’année civile ou tapez l’année désirée dans la cellule L2.">
                <anchor moveWithCells="1">
                  <from>
                    <xdr:col>15</xdr:col>
                    <xdr:colOff>47625</xdr:colOff>
                    <xdr:row>1</xdr:row>
                    <xdr:rowOff>142875</xdr:rowOff>
                  </from>
                  <to>
                    <xdr:col>16</xdr:col>
                    <xdr:colOff>104775</xdr:colOff>
                    <xdr:row>1</xdr:row>
                    <xdr:rowOff>523875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BA92212D-3893-4988-AADA-A94AC5ABF5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Calendrier familial saisonnier</vt:lpstr>
      <vt:lpstr>Annéecivile</vt:lpstr>
      <vt:lpstr>'Calendrier familial saisonnier'!Zone_d_impression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cp:lastModifiedBy/>
  <dcterms:created xsi:type="dcterms:W3CDTF">2015-11-10T10:23:54Z</dcterms:created>
  <dcterms:modified xsi:type="dcterms:W3CDTF">2018-11-24T08:09:36Z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TC031076459991</vt:lpwstr>
  </property>
</Properties>
</file>