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1.xml" ContentType="application/vnd.openxmlformats-officedocument.drawing+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xandre\Desktop\"/>
    </mc:Choice>
  </mc:AlternateContent>
  <bookViews>
    <workbookView xWindow="-120" yWindow="-120" windowWidth="29040" windowHeight="1764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otal Annuel" sheetId="26" r:id="rId13"/>
    <sheet name="Noms des employés" sheetId="16" r:id="rId14"/>
    <sheet name="Valeurs" sheetId="27" r:id="rId15"/>
  </sheets>
  <definedNames>
    <definedName name="AnnéeCalendrier">Janvier!$AH$4</definedName>
    <definedName name="CléCongés">Janvier!$F$2</definedName>
    <definedName name="CléMaladie">Janvier!$J$2</definedName>
    <definedName name="CléPersonnalisée1">Janvier!$M$2</definedName>
    <definedName name="CléPersonnalisée2">Janvier!$P$2</definedName>
    <definedName name="CléTravail">Janvier!$C$2</definedName>
    <definedName name="ÉtiquetteCléCongé">Janvier!$D$2</definedName>
    <definedName name="ÉtiquetteCléMaladie">Janvier!$K$2</definedName>
    <definedName name="ÉtiquetteCléPersonnalisée1">Janvier!$N$2</definedName>
    <definedName name="ÉtiquetteCléPersonnalisée2">Janvier!$Q$2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I13" i="4" l="1"/>
  <c r="AJ13" i="4"/>
  <c r="AK13" i="4"/>
  <c r="AH13" i="4"/>
  <c r="AH7" i="4"/>
  <c r="AH8" i="4"/>
  <c r="AH9" i="4"/>
  <c r="AH10" i="4"/>
  <c r="AH11" i="4"/>
  <c r="B13" i="26" l="1"/>
  <c r="C13" i="26"/>
  <c r="D13" i="26"/>
  <c r="E13" i="26"/>
  <c r="B14" i="26"/>
  <c r="C14" i="26"/>
  <c r="D14" i="26"/>
  <c r="E14" i="26"/>
  <c r="B15" i="26"/>
  <c r="C15" i="26"/>
  <c r="D15" i="26"/>
  <c r="E15" i="26"/>
  <c r="B16" i="26"/>
  <c r="C16" i="26"/>
  <c r="D16" i="26"/>
  <c r="E16" i="26"/>
  <c r="B17" i="26"/>
  <c r="C17" i="26"/>
  <c r="D17" i="26"/>
  <c r="E17" i="26"/>
  <c r="B18" i="26"/>
  <c r="C18" i="26"/>
  <c r="D18" i="26"/>
  <c r="E18" i="26"/>
  <c r="B19" i="26"/>
  <c r="C19" i="26"/>
  <c r="D19" i="26"/>
  <c r="E19" i="26"/>
  <c r="B20" i="26"/>
  <c r="C20" i="26"/>
  <c r="D20" i="26"/>
  <c r="E20" i="26"/>
  <c r="B21" i="26"/>
  <c r="C21" i="26"/>
  <c r="D21" i="26"/>
  <c r="E21" i="26"/>
  <c r="E12" i="26" l="1"/>
  <c r="D12" i="26"/>
  <c r="C12" i="26"/>
  <c r="B12" i="26"/>
  <c r="E11" i="26"/>
  <c r="D11" i="26"/>
  <c r="C11" i="26"/>
  <c r="B11" i="26"/>
  <c r="E10" i="26"/>
  <c r="D10" i="26"/>
  <c r="C10" i="26"/>
  <c r="B10" i="26"/>
  <c r="E9" i="26"/>
  <c r="D9" i="26"/>
  <c r="C9" i="26"/>
  <c r="B9" i="26"/>
  <c r="E8" i="26"/>
  <c r="D8" i="26"/>
  <c r="C8" i="26"/>
  <c r="B8" i="26"/>
  <c r="A1" i="26"/>
  <c r="AH4" i="23"/>
  <c r="B1" i="5"/>
  <c r="AH4" i="5"/>
  <c r="C5" i="5"/>
  <c r="D5" i="5"/>
  <c r="E5" i="5"/>
  <c r="F5" i="5"/>
  <c r="G5" i="5"/>
  <c r="H5" i="5"/>
  <c r="I5" i="5"/>
  <c r="J5" i="5"/>
  <c r="K5" i="5"/>
  <c r="L5" i="5"/>
  <c r="M5" i="5"/>
  <c r="N5" i="5"/>
  <c r="O5" i="5"/>
  <c r="P5" i="5"/>
  <c r="Q5" i="5"/>
  <c r="R5" i="5"/>
  <c r="S5" i="5"/>
  <c r="T5" i="5"/>
  <c r="U5" i="5"/>
  <c r="V5" i="5"/>
  <c r="W5" i="5"/>
  <c r="X5" i="5"/>
  <c r="Y5" i="5"/>
  <c r="Z5" i="5"/>
  <c r="AA5" i="5"/>
  <c r="AB5" i="5"/>
  <c r="AC5" i="5"/>
  <c r="AD5" i="5"/>
  <c r="AE5" i="5"/>
  <c r="B13" i="5"/>
  <c r="C13" i="5"/>
  <c r="D13" i="5"/>
  <c r="E13" i="5"/>
  <c r="F13" i="5"/>
  <c r="G13" i="5"/>
  <c r="H13" i="5"/>
  <c r="I13" i="5"/>
  <c r="J13" i="5"/>
  <c r="K13" i="5"/>
  <c r="L13" i="5"/>
  <c r="M13" i="5"/>
  <c r="N13" i="5"/>
  <c r="O13" i="5"/>
  <c r="P13" i="5"/>
  <c r="Q13" i="5"/>
  <c r="R13" i="5"/>
  <c r="S13" i="5"/>
  <c r="T13" i="5"/>
  <c r="U13" i="5"/>
  <c r="V13" i="5"/>
  <c r="W13" i="5"/>
  <c r="X13" i="5"/>
  <c r="Y13" i="5"/>
  <c r="Z13" i="5"/>
  <c r="AA13" i="5"/>
  <c r="AB13" i="5"/>
  <c r="AC13" i="5"/>
  <c r="AD13" i="5"/>
  <c r="AE13" i="5"/>
  <c r="AG5" i="17" l="1"/>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D13" i="15" l="1"/>
  <c r="AE13" i="15"/>
  <c r="AF13" i="15"/>
  <c r="AG13" i="15"/>
  <c r="AE13" i="25"/>
  <c r="AF13" i="25"/>
  <c r="AG13" i="25"/>
  <c r="AE13" i="24"/>
  <c r="AF13" i="24"/>
  <c r="AG13" i="24"/>
  <c r="AE13" i="23"/>
  <c r="AF13" i="23"/>
  <c r="AG13" i="23"/>
  <c r="AF13" i="22"/>
  <c r="AG13" i="22"/>
  <c r="AF14" i="21"/>
  <c r="AG14" i="21"/>
  <c r="AF13" i="20"/>
  <c r="AG13" i="20"/>
  <c r="AF13" i="19"/>
  <c r="AG13" i="19"/>
  <c r="AG13" i="18"/>
  <c r="AF13" i="18"/>
  <c r="AF13" i="17"/>
  <c r="AG13" i="17"/>
  <c r="B13" i="23" l="1"/>
  <c r="AD13" i="25"/>
  <c r="AC13" i="25"/>
  <c r="AB13" i="25"/>
  <c r="AA13" i="25"/>
  <c r="Z13" i="25"/>
  <c r="Y13" i="25"/>
  <c r="X13" i="25"/>
  <c r="W13" i="25"/>
  <c r="V13" i="25"/>
  <c r="U13" i="25"/>
  <c r="T13" i="25"/>
  <c r="S13" i="25"/>
  <c r="R13" i="25"/>
  <c r="Q13" i="25"/>
  <c r="P13" i="25"/>
  <c r="O13" i="25"/>
  <c r="N13" i="25"/>
  <c r="M13" i="25"/>
  <c r="L13" i="25"/>
  <c r="K13" i="25"/>
  <c r="J13" i="25"/>
  <c r="I13" i="25"/>
  <c r="H13" i="25"/>
  <c r="G13" i="25"/>
  <c r="F13" i="25"/>
  <c r="E13" i="25"/>
  <c r="D13" i="25"/>
  <c r="C13" i="25"/>
  <c r="B13" i="25"/>
  <c r="AH4" i="25"/>
  <c r="B1" i="25"/>
  <c r="AD13" i="24"/>
  <c r="AC13" i="24"/>
  <c r="AB13" i="24"/>
  <c r="AA13" i="24"/>
  <c r="Z13" i="24"/>
  <c r="Y13" i="24"/>
  <c r="X13" i="24"/>
  <c r="W13" i="24"/>
  <c r="V13" i="24"/>
  <c r="U13" i="24"/>
  <c r="T13" i="24"/>
  <c r="S13" i="24"/>
  <c r="R13" i="24"/>
  <c r="Q13" i="24"/>
  <c r="P13" i="24"/>
  <c r="O13" i="24"/>
  <c r="N13" i="24"/>
  <c r="M13" i="24"/>
  <c r="L13" i="24"/>
  <c r="K13" i="24"/>
  <c r="J13" i="24"/>
  <c r="I13" i="24"/>
  <c r="H13" i="24"/>
  <c r="G13" i="24"/>
  <c r="F13" i="24"/>
  <c r="E13" i="24"/>
  <c r="D13" i="24"/>
  <c r="C13" i="24"/>
  <c r="B13" i="24"/>
  <c r="AH4" i="24"/>
  <c r="B1" i="24"/>
  <c r="AD13" i="23"/>
  <c r="AC13" i="23"/>
  <c r="AB13" i="23"/>
  <c r="AA13" i="23"/>
  <c r="Z13" i="23"/>
  <c r="Y13" i="23"/>
  <c r="X13" i="23"/>
  <c r="W13" i="23"/>
  <c r="V13" i="23"/>
  <c r="U13" i="23"/>
  <c r="T13" i="23"/>
  <c r="S13" i="23"/>
  <c r="R13" i="23"/>
  <c r="Q13" i="23"/>
  <c r="P13" i="23"/>
  <c r="O13" i="23"/>
  <c r="N13" i="23"/>
  <c r="M13" i="23"/>
  <c r="L13" i="23"/>
  <c r="K13" i="23"/>
  <c r="J13" i="23"/>
  <c r="I13" i="23"/>
  <c r="H13" i="23"/>
  <c r="G13" i="23"/>
  <c r="F13" i="23"/>
  <c r="E13" i="23"/>
  <c r="D13" i="23"/>
  <c r="C13" i="23"/>
  <c r="B1" i="23"/>
  <c r="AE13" i="22"/>
  <c r="AD13" i="22"/>
  <c r="AC13" i="22"/>
  <c r="AB13" i="22"/>
  <c r="AA13" i="22"/>
  <c r="Z13" i="22"/>
  <c r="Y13" i="22"/>
  <c r="X13" i="22"/>
  <c r="W13" i="22"/>
  <c r="V13" i="22"/>
  <c r="U13" i="22"/>
  <c r="T13" i="22"/>
  <c r="S13" i="22"/>
  <c r="R13" i="22"/>
  <c r="Q13" i="22"/>
  <c r="P13" i="22"/>
  <c r="O13" i="22"/>
  <c r="N13" i="22"/>
  <c r="M13" i="22"/>
  <c r="L13" i="22"/>
  <c r="K13" i="22"/>
  <c r="J13" i="22"/>
  <c r="I13" i="22"/>
  <c r="H13" i="22"/>
  <c r="G13" i="22"/>
  <c r="F13" i="22"/>
  <c r="E13" i="22"/>
  <c r="D13" i="22"/>
  <c r="C13" i="22"/>
  <c r="B13" i="22"/>
  <c r="AH4" i="22"/>
  <c r="B1" i="22"/>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4" i="21"/>
  <c r="B1" i="21"/>
  <c r="AE13" i="20"/>
  <c r="AD13" i="20"/>
  <c r="AC13" i="20"/>
  <c r="AB13" i="20"/>
  <c r="AA13" i="20"/>
  <c r="Z13" i="20"/>
  <c r="Y13" i="20"/>
  <c r="X13" i="20"/>
  <c r="W13" i="20"/>
  <c r="V13" i="20"/>
  <c r="U13" i="20"/>
  <c r="T13" i="20"/>
  <c r="S13" i="20"/>
  <c r="R13" i="20"/>
  <c r="Q13" i="20"/>
  <c r="P13" i="20"/>
  <c r="O13" i="20"/>
  <c r="N13" i="20"/>
  <c r="M13" i="20"/>
  <c r="L13" i="20"/>
  <c r="K13" i="20"/>
  <c r="J13" i="20"/>
  <c r="I13" i="20"/>
  <c r="H13" i="20"/>
  <c r="G13" i="20"/>
  <c r="F13" i="20"/>
  <c r="E13" i="20"/>
  <c r="D13" i="20"/>
  <c r="C13" i="20"/>
  <c r="B13" i="20"/>
  <c r="AH4" i="20"/>
  <c r="B1" i="20"/>
  <c r="AE13" i="19"/>
  <c r="AD13" i="19"/>
  <c r="AC13" i="19"/>
  <c r="AB13" i="19"/>
  <c r="AA13" i="19"/>
  <c r="Z13" i="19"/>
  <c r="Y13" i="19"/>
  <c r="X13" i="19"/>
  <c r="W13" i="19"/>
  <c r="V13" i="19"/>
  <c r="U13" i="19"/>
  <c r="T13" i="19"/>
  <c r="S13" i="19"/>
  <c r="R13" i="19"/>
  <c r="Q13" i="19"/>
  <c r="P13" i="19"/>
  <c r="O13" i="19"/>
  <c r="N13" i="19"/>
  <c r="M13" i="19"/>
  <c r="L13" i="19"/>
  <c r="K13" i="19"/>
  <c r="J13" i="19"/>
  <c r="I13" i="19"/>
  <c r="H13" i="19"/>
  <c r="G13" i="19"/>
  <c r="F13" i="19"/>
  <c r="E13" i="19"/>
  <c r="D13" i="19"/>
  <c r="C13" i="19"/>
  <c r="B13" i="19"/>
  <c r="AH4" i="19"/>
  <c r="B1" i="19"/>
  <c r="AE13" i="18"/>
  <c r="AD13" i="18"/>
  <c r="AC13" i="18"/>
  <c r="AB13" i="18"/>
  <c r="AA13" i="18"/>
  <c r="Z13" i="18"/>
  <c r="Y13" i="18"/>
  <c r="X13" i="18"/>
  <c r="W13" i="18"/>
  <c r="V13" i="18"/>
  <c r="U13" i="18"/>
  <c r="T13" i="18"/>
  <c r="S13" i="18"/>
  <c r="R13" i="18"/>
  <c r="Q13" i="18"/>
  <c r="P13" i="18"/>
  <c r="O13" i="18"/>
  <c r="N13" i="18"/>
  <c r="M13" i="18"/>
  <c r="L13" i="18"/>
  <c r="K13" i="18"/>
  <c r="J13" i="18"/>
  <c r="I13" i="18"/>
  <c r="H13" i="18"/>
  <c r="G13" i="18"/>
  <c r="F13" i="18"/>
  <c r="E13" i="18"/>
  <c r="D13" i="18"/>
  <c r="C13" i="18"/>
  <c r="B13" i="18"/>
  <c r="AH4" i="18"/>
  <c r="B1" i="18"/>
  <c r="AE13" i="17"/>
  <c r="AD13" i="17"/>
  <c r="AC13" i="17"/>
  <c r="AB13" i="17"/>
  <c r="AA13" i="17"/>
  <c r="Z13" i="17"/>
  <c r="Y13" i="17"/>
  <c r="X13" i="17"/>
  <c r="W13" i="17"/>
  <c r="V13" i="17"/>
  <c r="U13" i="17"/>
  <c r="T13" i="17"/>
  <c r="S13" i="17"/>
  <c r="R13" i="17"/>
  <c r="Q13" i="17"/>
  <c r="P13" i="17"/>
  <c r="O13" i="17"/>
  <c r="N13" i="17"/>
  <c r="M13" i="17"/>
  <c r="L13" i="17"/>
  <c r="K13" i="17"/>
  <c r="J13" i="17"/>
  <c r="I13" i="17"/>
  <c r="H13" i="17"/>
  <c r="G13" i="17"/>
  <c r="F13" i="17"/>
  <c r="E13" i="17"/>
  <c r="D13" i="17"/>
  <c r="C13" i="17"/>
  <c r="B13" i="17"/>
  <c r="AH4" i="17"/>
  <c r="B1" i="17"/>
  <c r="B1" i="15"/>
  <c r="AH4" i="15" l="1"/>
  <c r="C13" i="15" l="1"/>
  <c r="D13" i="15"/>
  <c r="E13" i="15"/>
  <c r="F13" i="15"/>
  <c r="G13" i="15"/>
  <c r="H13" i="15"/>
  <c r="I13" i="15"/>
  <c r="J13" i="15"/>
  <c r="K13" i="15"/>
  <c r="L13" i="15"/>
  <c r="M13" i="15"/>
  <c r="N13" i="15"/>
  <c r="O13" i="15"/>
  <c r="P13" i="15"/>
  <c r="Q13" i="15"/>
  <c r="R13" i="15"/>
  <c r="S13" i="15"/>
  <c r="T13" i="15"/>
  <c r="U13" i="15"/>
  <c r="V13" i="15"/>
  <c r="W13" i="15"/>
  <c r="X13" i="15"/>
  <c r="Y13" i="15"/>
  <c r="Z13" i="15"/>
  <c r="AA13" i="15"/>
  <c r="AB13" i="15"/>
  <c r="AC13" i="15"/>
  <c r="B13" i="15" l="1"/>
  <c r="AH13" i="24" l="1"/>
  <c r="AH13" i="19"/>
  <c r="AH13" i="15"/>
  <c r="AH13" i="25"/>
  <c r="AH13" i="18"/>
  <c r="AH13" i="23"/>
  <c r="AH13" i="5"/>
  <c r="AH13" i="17"/>
  <c r="AH13" i="22"/>
  <c r="AJ13" i="25" l="1"/>
  <c r="AJ13" i="23"/>
  <c r="AJ13" i="19"/>
  <c r="AJ13" i="5"/>
  <c r="AJ13" i="15"/>
  <c r="AJ13" i="24"/>
  <c r="AJ14" i="21"/>
  <c r="AJ13" i="17"/>
  <c r="AJ13" i="18"/>
  <c r="AJ13" i="22"/>
  <c r="AJ13" i="20"/>
  <c r="AK13" i="20"/>
  <c r="AK13" i="25"/>
  <c r="AK13" i="15"/>
  <c r="AK13" i="19"/>
  <c r="AK13" i="24"/>
  <c r="AK14" i="21"/>
  <c r="AK13" i="17"/>
  <c r="AK13" i="18"/>
  <c r="AK13" i="22"/>
  <c r="AK13" i="23"/>
  <c r="AK13" i="5"/>
  <c r="AI14" i="21"/>
  <c r="AI13" i="18"/>
  <c r="AI13" i="23"/>
  <c r="AI13" i="15"/>
  <c r="AI13" i="24"/>
  <c r="AI13" i="17"/>
  <c r="AI13" i="22"/>
  <c r="AI13" i="5"/>
  <c r="AI13" i="20"/>
  <c r="AI13" i="25"/>
  <c r="AI13" i="19"/>
  <c r="AH14" i="21"/>
  <c r="AH13" i="20"/>
</calcChain>
</file>

<file path=xl/sharedStrings.xml><?xml version="1.0" encoding="utf-8"?>
<sst xmlns="http://schemas.openxmlformats.org/spreadsheetml/2006/main" count="675" uniqueCount="88">
  <si>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</si>
  <si>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</si>
  <si>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</si>
  <si>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</si>
  <si>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</si>
  <si>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</si>
  <si>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</si>
  <si>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</si>
  <si>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</si>
  <si>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</si>
  <si>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</si>
  <si>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</si>
  <si>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</si>
  <si>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</si>
  <si>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</si>
  <si>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</si>
  <si>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</si>
  <si>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</si>
  <si>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</si>
  <si>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</si>
  <si>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</si>
  <si>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</si>
  <si>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</si>
  <si>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</si>
  <si>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</si>
  <si>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</si>
  <si>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</si>
  <si>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</si>
  <si>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</si>
  <si>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</si>
  <si>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</si>
  <si>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</si>
  <si>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</si>
  <si>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</si>
  <si>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</si>
  <si>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</si>
  <si>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</si>
  <si>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</si>
  <si>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</si>
  <si>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</si>
  <si>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</si>
  <si>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</si>
  <si>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</si>
  <si>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</si>
  <si>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</si>
  <si>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</si>
  <si>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</si>
  <si>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</si>
  <si>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</si>
  <si>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</si>
  <si>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</si>
  <si>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</si>
  <si>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</si>
  <si>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</si>
  <si>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</si>
  <si>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</si>
  <si>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</si>
  <si>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</si>
  <si>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</si>
  <si>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</si>
  <si>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</si>
  <si>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</si>
  <si>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</si>
  <si>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T</t>
  </si>
  <si>
    <t>Travaillé</t>
  </si>
  <si>
    <t>Congés</t>
  </si>
  <si>
    <t xml:space="preserve">Dates </t>
  </si>
  <si>
    <t>Calendrier  des employés</t>
  </si>
  <si>
    <t>Pierre-Yves</t>
  </si>
  <si>
    <t>Nakani</t>
  </si>
  <si>
    <t>Jérémy</t>
  </si>
  <si>
    <t>Employé 6</t>
  </si>
  <si>
    <t>Employé 7</t>
  </si>
  <si>
    <t>Employé 8</t>
  </si>
  <si>
    <t>Employé 9</t>
  </si>
  <si>
    <t>Employé 10</t>
  </si>
  <si>
    <t>Employé 11</t>
  </si>
  <si>
    <t>Employé 12</t>
  </si>
  <si>
    <t>Employé 13</t>
  </si>
  <si>
    <t>Employé 14</t>
  </si>
  <si>
    <t>Employé 15</t>
  </si>
  <si>
    <t>Employé 16</t>
  </si>
  <si>
    <t>Employé 17</t>
  </si>
  <si>
    <t>X</t>
  </si>
  <si>
    <t xml:space="preserve">Codes </t>
  </si>
  <si>
    <t>Valeurs</t>
  </si>
  <si>
    <t xml:space="preserve">C </t>
  </si>
  <si>
    <t>Total par catégorie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</si>
</sst>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1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36">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0"/>
        <bgColor theme="4" tint="0.79992065187536243"/>
      </patternFill>
    </fill>
    <fill>
      <patternFill patternType="solid">
        <fgColor theme="0"/>
        <bgColor indexed="64"/>
      </patternFill>
    </fill>
    <fill>
      <patternFill patternType="solid">
        <fgColor theme="2" tint="-9.9978637043366805E-2"/>
        <bgColor indexed="64"/>
      </patternFill>
    </fill>
  </fills>
  <borders count="2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theme="0" tint="-0.14996795556505021"/>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6">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0" borderId="0" xfId="26" applyFill="1" applyProtection="1">
      <alignment horizontal="left" vertical="center" wrapText="1" indent="2"/>
    </xf>
    <xf numFmtId="0" fontId="1" fillId="0" borderId="0" xfId="26" applyNumberFormat="1" applyFill="1" applyProtection="1">
      <alignment horizontal="left" vertical="center" wrapText="1" indent="2"/>
    </xf>
    <xf numFmtId="0" fontId="0" fillId="0" borderId="0" xfId="0" applyAlignment="1">
      <alignment horizontal="center" vertical="center"/>
    </xf>
    <xf numFmtId="0" fontId="0" fillId="0" borderId="0" xfId="26" applyFont="1">
      <alignment horizontal="left" vertical="center" wrapText="1" indent="2"/>
    </xf>
    <xf numFmtId="0" fontId="16" fillId="15" borderId="6" xfId="12" applyFont="1" applyFill="1" applyBorder="1" applyAlignment="1">
      <alignment horizontal="center" vertical="center"/>
    </xf>
    <xf numFmtId="166" fontId="16" fillId="9" borderId="6" xfId="8" applyNumberFormat="1" applyFont="1" applyFill="1" applyBorder="1" applyAlignment="1">
      <alignment horizontal="center" vertical="center"/>
    </xf>
    <xf numFmtId="0" fontId="16" fillId="13" borderId="6" xfId="23" applyFont="1" applyFill="1" applyBorder="1" applyAlignment="1">
      <alignment horizontal="center" vertical="center"/>
    </xf>
    <xf numFmtId="0" fontId="1" fillId="2" borderId="0" xfId="21" applyAlignment="1" applyProtection="1">
      <alignment vertical="center"/>
    </xf>
    <xf numFmtId="0" fontId="0" fillId="0" borderId="7" xfId="0" applyFont="1" applyFill="1" applyBorder="1" applyAlignment="1" applyProtection="1">
      <alignment horizontal="center" vertical="center"/>
    </xf>
    <xf numFmtId="1" fontId="1" fillId="0" borderId="7" xfId="25" applyFill="1" applyBorder="1" applyProtection="1">
      <alignment horizontal="center" vertical="center"/>
    </xf>
    <xf numFmtId="0" fontId="1" fillId="0" borderId="8" xfId="26" applyFill="1" applyBorder="1">
      <alignment horizontal="left" vertical="center" wrapText="1" indent="2"/>
    </xf>
    <xf numFmtId="0" fontId="0" fillId="0" borderId="9" xfId="0" applyFont="1" applyFill="1" applyBorder="1" applyAlignment="1" applyProtection="1">
      <alignment horizontal="center" vertical="center"/>
    </xf>
    <xf numFmtId="1" fontId="1" fillId="0" borderId="9" xfId="25" applyFill="1" applyBorder="1" applyProtection="1">
      <alignment horizontal="center" vertical="center"/>
    </xf>
    <xf numFmtId="1" fontId="1" fillId="0" borderId="10" xfId="25" applyFill="1" applyBorder="1" applyProtection="1">
      <alignment horizontal="center" vertical="center"/>
    </xf>
    <xf numFmtId="0" fontId="1" fillId="0" borderId="11" xfId="26" applyFill="1" applyBorder="1">
      <alignment horizontal="left" vertical="center" wrapText="1" indent="2"/>
    </xf>
    <xf numFmtId="1" fontId="1" fillId="0" borderId="12" xfId="25" applyFill="1" applyBorder="1" applyProtection="1">
      <alignment horizontal="center" vertical="center"/>
    </xf>
    <xf numFmtId="1" fontId="0" fillId="0" borderId="9" xfId="25" applyFont="1" applyFill="1" applyBorder="1" applyProtection="1">
      <alignment horizontal="center" vertical="center"/>
    </xf>
    <xf numFmtId="0" fontId="0" fillId="2" borderId="13" xfId="21" applyFont="1" applyFill="1" applyBorder="1" applyAlignment="1">
      <alignment horizontal="left" vertical="center" indent="1"/>
    </xf>
    <xf numFmtId="0" fontId="2" fillId="10" borderId="0" xfId="19" applyFont="1" applyFill="1" applyBorder="1" applyAlignment="1">
      <alignment horizontal="center" vertical="center"/>
    </xf>
    <xf numFmtId="0" fontId="0" fillId="0" borderId="7" xfId="26" applyFont="1" applyFill="1" applyBorder="1" applyAlignment="1">
      <alignment horizontal="left" vertical="center" wrapText="1" indent="2"/>
    </xf>
    <xf numFmtId="1" fontId="0" fillId="33" borderId="7" xfId="25" applyNumberFormat="1" applyFont="1" applyFill="1" applyBorder="1" applyAlignment="1">
      <alignment horizontal="center" vertical="center"/>
    </xf>
    <xf numFmtId="1" fontId="0" fillId="34" borderId="7" xfId="25" applyNumberFormat="1" applyFont="1" applyFill="1" applyBorder="1" applyAlignment="1">
      <alignment horizontal="center" vertical="center"/>
    </xf>
    <xf numFmtId="0" fontId="7" fillId="0" borderId="0" xfId="27" applyAlignment="1" applyProtection="1">
      <alignment horizontal="center"/>
    </xf>
    <xf numFmtId="0" fontId="5" fillId="2" borderId="0" xfId="3" applyAlignment="1" applyProtection="1">
      <alignment horizontal="center" vertical="center"/>
    </xf>
    <xf numFmtId="0" fontId="5"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0" fillId="2" borderId="0" xfId="21" applyFont="1" applyAlignment="1" applyProtection="1">
      <alignment horizontal="center" vertical="center"/>
    </xf>
    <xf numFmtId="0" fontId="1" fillId="2" borderId="0" xfId="21" applyAlignment="1" applyProtection="1">
      <alignment horizontal="center" vertical="center"/>
    </xf>
    <xf numFmtId="0" fontId="0" fillId="0" borderId="0" xfId="0" applyAlignment="1">
      <alignment horizontal="center" vertical="center"/>
    </xf>
    <xf numFmtId="0" fontId="1" fillId="0" borderId="14" xfId="26" applyFill="1" applyBorder="1">
      <alignment horizontal="left" vertical="center" wrapText="1" indent="2"/>
    </xf>
    <xf numFmtId="1" fontId="1" fillId="0" borderId="15" xfId="25" applyFill="1" applyBorder="1" applyProtection="1">
      <alignment horizontal="center" vertical="center"/>
    </xf>
    <xf numFmtId="1" fontId="1" fillId="0" borderId="16" xfId="25" applyFill="1" applyBorder="1" applyProtection="1">
      <alignment horizontal="center" vertical="center"/>
    </xf>
    <xf numFmtId="0" fontId="0" fillId="0" borderId="15" xfId="0" applyFont="1" applyFill="1" applyBorder="1" applyAlignment="1" applyProtection="1">
      <alignment horizontal="center" vertical="center"/>
    </xf>
    <xf numFmtId="0" fontId="0" fillId="0" borderId="0" xfId="0" applyBorder="1" applyProtection="1">
      <alignment horizontal="left" vertical="center"/>
    </xf>
    <xf numFmtId="0" fontId="1" fillId="0" borderId="0" xfId="26" applyFill="1" applyBorder="1">
      <alignment horizontal="left" vertical="center" wrapText="1" indent="2"/>
    </xf>
    <xf numFmtId="1" fontId="0" fillId="0" borderId="0" xfId="0" applyNumberFormat="1" applyBorder="1" applyProtection="1">
      <alignment horizontal="left" vertical="center"/>
    </xf>
    <xf numFmtId="0" fontId="0" fillId="0" borderId="0" xfId="0" applyBorder="1">
      <alignment horizontal="left" vertical="center"/>
    </xf>
    <xf numFmtId="0" fontId="0" fillId="35" borderId="17" xfId="0" applyFill="1" applyBorder="1" applyAlignment="1" applyProtection="1">
      <alignment horizontal="center" vertical="center"/>
    </xf>
    <xf numFmtId="0" fontId="0" fillId="35" borderId="18" xfId="0" applyFill="1" applyBorder="1" applyAlignment="1" applyProtection="1">
      <alignment horizontal="center" vertical="center"/>
    </xf>
    <xf numFmtId="1" fontId="2" fillId="35" borderId="18" xfId="0" applyNumberFormat="1" applyFont="1" applyFill="1" applyBorder="1" applyAlignment="1" applyProtection="1">
      <alignment horizontal="center" vertical="center"/>
    </xf>
    <xf numFmtId="1" fontId="2" fillId="35" borderId="19" xfId="0" applyNumberFormat="1" applyFont="1" applyFill="1" applyBorder="1" applyAlignment="1" applyProtection="1">
      <alignment horizontal="center" vertical="center"/>
    </xf>
    <xf numFmtId="1" fontId="2" fillId="35" borderId="20" xfId="0" applyNumberFormat="1" applyFont="1" applyFill="1" applyBorder="1" applyAlignment="1" applyProtection="1">
      <alignment horizontal="center" vertical="center"/>
    </xf>
    <xf numFmtId="0" fontId="0" fillId="35" borderId="19" xfId="0" applyFill="1" applyBorder="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96">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none">
          <fgColor indexed="64"/>
          <bgColor indexed="65"/>
        </patternFill>
      </fill>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numFmt numFmtId="1" formatCode="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style="medium">
          <color indexed="64"/>
        </left>
        <right style="thin">
          <color indexed="64"/>
        </right>
        <top style="thin">
          <color indexed="64"/>
        </top>
        <bottom style="medium">
          <color indexed="64"/>
        </bottom>
      </border>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95"/>
      <tableStyleElement type="headerRow" dxfId="994"/>
      <tableStyleElement type="totalRow" dxfId="993"/>
      <tableStyleElement type="firstColumn" dxfId="992"/>
      <tableStyleElement type="lastColumn" dxfId="991"/>
      <tableStyleElement type="firstRowStripe" dxfId="990"/>
      <tableStyleElement type="secondRowStripe" dxfId="989"/>
      <tableStyleElement type="firstColumnStripe" dxfId="988"/>
      <tableStyleElement type="secondColumnStripe" dxfId="987"/>
      <tableStyleElement type="firstHeaderCell" dxfId="986"/>
      <tableStyleElement type="lastHeaderCell" dxfId="985"/>
      <tableStyleElement type="firstTotalCell" dxfId="984"/>
      <tableStyleElement type="lastTotalCell" dxfId="98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2</xdr:col>
      <xdr:colOff>2004</xdr:colOff>
      <xdr:row>4</xdr:row>
      <xdr:rowOff>160020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422910"/>
          <a:ext cx="2543274" cy="708660"/>
        </a:xfrm>
        <a:prstGeom prst="rect">
          <a:avLst/>
        </a:prstGeom>
      </xdr:spPr>
    </xdr:pic>
    <xdr:clientData/>
  </xdr:twoCellAnchor>
</xdr:wsDr>
</file>

<file path=xl/tables/table1.xml><?xml version="1.0" encoding="utf-8"?>
<table xmlns="http://schemas.openxmlformats.org/spreadsheetml/2006/main" id="3" name="Janvier" displayName="Janvier" ref="B6:AK11" totalsRowShown="0" headerRowDxfId="84" dataDxfId="83" totalsRowDxfId="82">
  <autoFilter ref="B6:AK1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6">
    <tableColumn id="1" name="Nom de l’employé" dataDxfId="80" totalsRowDxfId="81" dataCellStyle="Employé"/>
    <tableColumn id="2" name="1" dataDxfId="78" totalsRowDxfId="79"/>
    <tableColumn id="3" name="2" dataDxfId="76" totalsRowDxfId="77"/>
    <tableColumn id="4" name="3" dataDxfId="74" totalsRowDxfId="75"/>
    <tableColumn id="5" name="4" dataDxfId="72" totalsRowDxfId="73"/>
    <tableColumn id="6" name="5" dataDxfId="70" totalsRowDxfId="71"/>
    <tableColumn id="7" name="6" dataDxfId="68" totalsRowDxfId="69"/>
    <tableColumn id="8" name="7" dataDxfId="66" totalsRowDxfId="67"/>
    <tableColumn id="9" name="8" dataDxfId="64" totalsRowDxfId="65"/>
    <tableColumn id="10" name="9" dataDxfId="62" totalsRowDxfId="63"/>
    <tableColumn id="11" name="10" dataDxfId="60" totalsRowDxfId="61"/>
    <tableColumn id="12" name="11" dataDxfId="58" totalsRowDxfId="59"/>
    <tableColumn id="13" name="12" dataDxfId="56" totalsRowDxfId="57"/>
    <tableColumn id="14" name="13" dataDxfId="54" totalsRowDxfId="55"/>
    <tableColumn id="15" name="14" dataDxfId="52" totalsRowDxfId="53"/>
    <tableColumn id="16" name="15" dataDxfId="50" totalsRowDxfId="51"/>
    <tableColumn id="17" name="16" dataDxfId="48" totalsRowDxfId="49"/>
    <tableColumn id="18" name="17" dataDxfId="46" totalsRowDxfId="47"/>
    <tableColumn id="19" name="18" dataDxfId="44" totalsRowDxfId="45"/>
    <tableColumn id="20" name="19" dataDxfId="42" totalsRowDxfId="43"/>
    <tableColumn id="21" name="20" dataDxfId="40" totalsRowDxfId="41"/>
    <tableColumn id="22" name="21" dataDxfId="38" totalsRowDxfId="39"/>
    <tableColumn id="23" name="22" dataDxfId="36" totalsRowDxfId="37"/>
    <tableColumn id="24" name="23" dataDxfId="34" totalsRowDxfId="35"/>
    <tableColumn id="25" name="24" dataDxfId="32" totalsRowDxfId="33"/>
    <tableColumn id="26" name="25" dataDxfId="30" totalsRowDxfId="31"/>
    <tableColumn id="27" name="26" dataDxfId="28" totalsRowDxfId="29"/>
    <tableColumn id="28" name="27" dataDxfId="26" totalsRowDxfId="27"/>
    <tableColumn id="29" name="28" dataDxfId="24" totalsRowDxfId="25"/>
    <tableColumn id="30" name="29" dataDxfId="22" totalsRowDxfId="23"/>
    <tableColumn id="31" name="30" dataDxfId="20" totalsRowDxfId="21"/>
    <tableColumn id="32" name="31" dataDxfId="18" totalsRowDxfId="19"/>
    <tableColumn id="33" name="Travaillé" dataDxfId="16" totalsRowDxfId="17">
      <calculatedColumnFormula>SUMIF(Janvier[[#This Row],[1]:[31]],CléTravail)</calculatedColumnFormula>
    </tableColumn>
    <tableColumn id="34" name="Congés" dataDxfId="14" totalsRowDxfId="15" dataCellStyle="Total"/>
    <tableColumn id="35" name="Maladie" dataDxfId="12" totalsRowDxfId="13" dataCellStyle="Total"/>
    <tableColumn id="36" name="Personnel" dataDxfId="10" totalsRowDxfId="11"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K13" totalsRowCount="1" headerRowDxfId="982" dataDxfId="981" totalsRowDxfId="980">
  <tableColumns count="36">
    <tableColumn id="1" name="Nom de l’employé" totalsRowFunction="custom" dataDxfId="979" totalsRowDxfId="978" dataCellStyle="Employé">
      <totalsRowFormula>NomMois&amp;" Total"</totalsRowFormula>
    </tableColumn>
    <tableColumn id="2" name="1" totalsRowFunction="count" dataDxfId="977" totalsRowDxfId="976"/>
    <tableColumn id="3" name="2" totalsRowFunction="count" dataDxfId="975" totalsRowDxfId="974"/>
    <tableColumn id="4" name="3" totalsRowFunction="count" dataDxfId="973" totalsRowDxfId="972"/>
    <tableColumn id="5" name="4" totalsRowFunction="count" dataDxfId="971" totalsRowDxfId="970"/>
    <tableColumn id="6" name="5" totalsRowFunction="count" dataDxfId="969" totalsRowDxfId="968"/>
    <tableColumn id="7" name="6" totalsRowFunction="count" dataDxfId="967" totalsRowDxfId="966"/>
    <tableColumn id="8" name="7" totalsRowFunction="count" dataDxfId="965" totalsRowDxfId="964"/>
    <tableColumn id="9" name="8" totalsRowFunction="count" dataDxfId="963" totalsRowDxfId="962"/>
    <tableColumn id="10" name="9" totalsRowFunction="count" dataDxfId="961" totalsRowDxfId="960"/>
    <tableColumn id="11" name="10" totalsRowFunction="count" dataDxfId="959" totalsRowDxfId="958"/>
    <tableColumn id="12" name="11" totalsRowFunction="count" dataDxfId="957" totalsRowDxfId="956"/>
    <tableColumn id="13" name="12" totalsRowFunction="count" dataDxfId="955" totalsRowDxfId="954"/>
    <tableColumn id="14" name="13" totalsRowFunction="count" dataDxfId="953" totalsRowDxfId="952"/>
    <tableColumn id="15" name="14" totalsRowFunction="count" dataDxfId="951" totalsRowDxfId="950"/>
    <tableColumn id="16" name="15" totalsRowFunction="count" dataDxfId="949" totalsRowDxfId="948"/>
    <tableColumn id="17" name="16" totalsRowFunction="count" dataDxfId="947" totalsRowDxfId="946"/>
    <tableColumn id="18" name="17" totalsRowFunction="count" dataDxfId="945" totalsRowDxfId="944"/>
    <tableColumn id="19" name="18" totalsRowFunction="count" dataDxfId="943" totalsRowDxfId="942"/>
    <tableColumn id="20" name="19" totalsRowFunction="count" dataDxfId="941" totalsRowDxfId="940"/>
    <tableColumn id="21" name="20" totalsRowFunction="count" dataDxfId="939" totalsRowDxfId="938"/>
    <tableColumn id="22" name="21" totalsRowFunction="count" dataDxfId="937" totalsRowDxfId="936"/>
    <tableColumn id="23" name="22" totalsRowFunction="count" dataDxfId="935" totalsRowDxfId="934"/>
    <tableColumn id="24" name="23" totalsRowFunction="count" dataDxfId="933" totalsRowDxfId="932"/>
    <tableColumn id="25" name="24" totalsRowFunction="count" dataDxfId="931" totalsRowDxfId="930"/>
    <tableColumn id="26" name="25" totalsRowFunction="count" dataDxfId="929" totalsRowDxfId="928"/>
    <tableColumn id="27" name="26" totalsRowFunction="count" dataDxfId="927" totalsRowDxfId="926"/>
    <tableColumn id="28" name="27" totalsRowFunction="count" dataDxfId="925" totalsRowDxfId="924"/>
    <tableColumn id="29" name="28" totalsRowFunction="count" dataDxfId="923" totalsRowDxfId="922"/>
    <tableColumn id="30" name="29" totalsRowFunction="count" dataDxfId="921" totalsRowDxfId="920"/>
    <tableColumn id="31" name=" " dataDxfId="919" totalsRowDxfId="918"/>
    <tableColumn id="32" name="  " dataDxfId="917" totalsRowDxfId="916"/>
    <tableColumn id="33" name="Travaillé" totalsRowFunction="sum" dataDxfId="915" totalsRowDxfId="914" dataCellStyle="Total"/>
    <tableColumn id="34" name="Congés" totalsRowFunction="custom" dataDxfId="913" totalsRowDxfId="912" dataCellStyle="Total">
      <totalsRowFormula>SUBTOTAL(109,Juillet[Congés])</totalsRowFormula>
    </tableColumn>
    <tableColumn id="35" name="Maladie" totalsRowFunction="custom" dataDxfId="911" totalsRowDxfId="910" dataCellStyle="Total">
      <totalsRowFormula>SUBTOTAL(109,Juillet[Maladie])</totalsRowFormula>
    </tableColumn>
    <tableColumn id="36" name="Personnel" totalsRowFunction="custom" dataDxfId="909" totalsRowDxfId="90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K13" totalsRowCount="1" headerRowDxfId="907" dataDxfId="906" totalsRowDxfId="905">
  <tableColumns count="36">
    <tableColumn id="1" name="Nom de l’employé" totalsRowFunction="custom" dataDxfId="904" totalsRowDxfId="903" dataCellStyle="Employé">
      <totalsRowFormula>NomMois&amp;" Total"</totalsRowFormula>
    </tableColumn>
    <tableColumn id="2" name="1" totalsRowFunction="count" dataDxfId="902" totalsRowDxfId="901"/>
    <tableColumn id="3" name="2" totalsRowFunction="count" dataDxfId="900" totalsRowDxfId="899"/>
    <tableColumn id="4" name="3" totalsRowFunction="count" dataDxfId="898" totalsRowDxfId="897"/>
    <tableColumn id="5" name="4" totalsRowFunction="count" dataDxfId="896" totalsRowDxfId="895"/>
    <tableColumn id="6" name="5" totalsRowFunction="count" dataDxfId="894" totalsRowDxfId="893"/>
    <tableColumn id="7" name="6" totalsRowFunction="count" dataDxfId="892" totalsRowDxfId="891"/>
    <tableColumn id="8" name="7" totalsRowFunction="count" dataDxfId="890" totalsRowDxfId="889"/>
    <tableColumn id="9" name="8" totalsRowFunction="count" dataDxfId="888" totalsRowDxfId="887"/>
    <tableColumn id="10" name="9" totalsRowFunction="count" dataDxfId="886" totalsRowDxfId="885"/>
    <tableColumn id="11" name="10" totalsRowFunction="count" dataDxfId="884" totalsRowDxfId="883"/>
    <tableColumn id="12" name="11" totalsRowFunction="count" dataDxfId="882" totalsRowDxfId="881"/>
    <tableColumn id="13" name="12" totalsRowFunction="count" dataDxfId="880" totalsRowDxfId="879"/>
    <tableColumn id="14" name="13" totalsRowFunction="count" dataDxfId="878" totalsRowDxfId="877"/>
    <tableColumn id="15" name="14" totalsRowFunction="count" dataDxfId="876" totalsRowDxfId="875"/>
    <tableColumn id="16" name="15" totalsRowFunction="count" dataDxfId="874" totalsRowDxfId="873"/>
    <tableColumn id="17" name="16" totalsRowFunction="count" dataDxfId="872" totalsRowDxfId="871"/>
    <tableColumn id="18" name="17" totalsRowFunction="count" dataDxfId="870" totalsRowDxfId="869"/>
    <tableColumn id="19" name="18" totalsRowFunction="count" dataDxfId="868" totalsRowDxfId="867"/>
    <tableColumn id="20" name="19" totalsRowFunction="count" dataDxfId="866" totalsRowDxfId="865"/>
    <tableColumn id="21" name="20" totalsRowFunction="count" dataDxfId="864" totalsRowDxfId="863"/>
    <tableColumn id="22" name="21" totalsRowFunction="count" dataDxfId="862" totalsRowDxfId="861"/>
    <tableColumn id="23" name="22" totalsRowFunction="count" dataDxfId="860" totalsRowDxfId="859"/>
    <tableColumn id="24" name="23" totalsRowFunction="count" dataDxfId="858" totalsRowDxfId="857"/>
    <tableColumn id="25" name="24" totalsRowFunction="count" dataDxfId="856" totalsRowDxfId="855"/>
    <tableColumn id="26" name="25" totalsRowFunction="count" dataDxfId="854" totalsRowDxfId="853"/>
    <tableColumn id="27" name="26" totalsRowFunction="count" dataDxfId="852" totalsRowDxfId="851"/>
    <tableColumn id="28" name="27" totalsRowFunction="count" dataDxfId="850" totalsRowDxfId="849"/>
    <tableColumn id="29" name="28" totalsRowFunction="count" dataDxfId="848" totalsRowDxfId="847"/>
    <tableColumn id="30" name="29" totalsRowFunction="count" dataDxfId="846" totalsRowDxfId="845"/>
    <tableColumn id="31" name="30" totalsRowFunction="count" dataDxfId="844" totalsRowDxfId="843"/>
    <tableColumn id="32" name="31" totalsRowFunction="count" dataDxfId="842" totalsRowDxfId="841"/>
    <tableColumn id="33" name="Travaillé" totalsRowFunction="sum" dataDxfId="840" totalsRowDxfId="839" dataCellStyle="Total"/>
    <tableColumn id="34" name="Congés" totalsRowFunction="custom" dataDxfId="838" totalsRowDxfId="837" dataCellStyle="Total">
      <totalsRowFormula>SUBTOTAL(109,Juillet[Congés])</totalsRowFormula>
    </tableColumn>
    <tableColumn id="35" name="Maladie" totalsRowFunction="custom" dataDxfId="836" totalsRowDxfId="835" dataCellStyle="Total">
      <totalsRowFormula>SUBTOTAL(109,Juillet[Maladie])</totalsRowFormula>
    </tableColumn>
    <tableColumn id="36" name="Personnel" totalsRowFunction="custom" dataDxfId="834" totalsRowDxfId="833"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K13" totalsRowCount="1" headerRowDxfId="832" dataDxfId="831" totalsRowDxfId="830">
  <tableColumns count="36">
    <tableColumn id="1" name="Nom de l’employé" totalsRowFunction="custom" dataDxfId="829" totalsRowDxfId="828" dataCellStyle="Employé">
      <totalsRowFormula>NomMois&amp;" Total"</totalsRowFormula>
    </tableColumn>
    <tableColumn id="2" name="1" totalsRowFunction="count" dataDxfId="827" totalsRowDxfId="826"/>
    <tableColumn id="3" name="2" totalsRowFunction="count" dataDxfId="825" totalsRowDxfId="824"/>
    <tableColumn id="4" name="3" totalsRowFunction="count" dataDxfId="823" totalsRowDxfId="822"/>
    <tableColumn id="5" name="4" totalsRowFunction="count" dataDxfId="821" totalsRowDxfId="820"/>
    <tableColumn id="6" name="5" totalsRowFunction="count" dataDxfId="819" totalsRowDxfId="818"/>
    <tableColumn id="7" name="6" totalsRowFunction="count" dataDxfId="817" totalsRowDxfId="816"/>
    <tableColumn id="8" name="7" totalsRowFunction="count" dataDxfId="815" totalsRowDxfId="814"/>
    <tableColumn id="9" name="8" totalsRowFunction="count" dataDxfId="813" totalsRowDxfId="812"/>
    <tableColumn id="10" name="9" totalsRowFunction="count" dataDxfId="811" totalsRowDxfId="810"/>
    <tableColumn id="11" name="10" totalsRowFunction="count" dataDxfId="809" totalsRowDxfId="808"/>
    <tableColumn id="12" name="11" totalsRowFunction="count" dataDxfId="807" totalsRowDxfId="806"/>
    <tableColumn id="13" name="12" totalsRowFunction="count" dataDxfId="805" totalsRowDxfId="804"/>
    <tableColumn id="14" name="13" totalsRowFunction="count" dataDxfId="803" totalsRowDxfId="802"/>
    <tableColumn id="15" name="14" totalsRowFunction="count" dataDxfId="801" totalsRowDxfId="800"/>
    <tableColumn id="16" name="15" totalsRowFunction="count" dataDxfId="799" totalsRowDxfId="798"/>
    <tableColumn id="17" name="16" totalsRowFunction="count" dataDxfId="797" totalsRowDxfId="796"/>
    <tableColumn id="18" name="17" totalsRowFunction="count" dataDxfId="795" totalsRowDxfId="794"/>
    <tableColumn id="19" name="18" totalsRowFunction="count" dataDxfId="793" totalsRowDxfId="792"/>
    <tableColumn id="20" name="19" totalsRowFunction="count" dataDxfId="791" totalsRowDxfId="790"/>
    <tableColumn id="21" name="20" totalsRowFunction="count" dataDxfId="789" totalsRowDxfId="788"/>
    <tableColumn id="22" name="21" totalsRowFunction="count" dataDxfId="787" totalsRowDxfId="786"/>
    <tableColumn id="23" name="22" totalsRowFunction="count" dataDxfId="785" totalsRowDxfId="784"/>
    <tableColumn id="24" name="23" totalsRowFunction="count" dataDxfId="783" totalsRowDxfId="782"/>
    <tableColumn id="25" name="24" totalsRowFunction="count" dataDxfId="781" totalsRowDxfId="780"/>
    <tableColumn id="26" name="25" totalsRowFunction="count" dataDxfId="779" totalsRowDxfId="778"/>
    <tableColumn id="27" name="26" totalsRowFunction="count" dataDxfId="777" totalsRowDxfId="776"/>
    <tableColumn id="28" name="27" totalsRowFunction="count" dataDxfId="775" totalsRowDxfId="774"/>
    <tableColumn id="29" name="28" totalsRowFunction="count" dataDxfId="773" totalsRowDxfId="772"/>
    <tableColumn id="30" name="29" totalsRowFunction="count" dataDxfId="771" totalsRowDxfId="770"/>
    <tableColumn id="31" name="30" totalsRowFunction="count" dataDxfId="769" totalsRowDxfId="768"/>
    <tableColumn id="32" name=" " totalsRowFunction="custom" dataDxfId="767" totalsRowDxfId="766">
      <totalsRowFormula>SUBTOTAL(103,Avril[30])</totalsRowFormula>
    </tableColumn>
    <tableColumn id="33" name="Travaillé" totalsRowFunction="sum" dataDxfId="765" totalsRowDxfId="764" dataCellStyle="Total"/>
    <tableColumn id="34" name="Congés" totalsRowFunction="custom" dataDxfId="763" totalsRowDxfId="762" dataCellStyle="Total">
      <totalsRowFormula>SUBTOTAL(109,Juillet[Congés])</totalsRowFormula>
    </tableColumn>
    <tableColumn id="35" name="Maladie" totalsRowFunction="custom" dataDxfId="761" totalsRowDxfId="760" dataCellStyle="Total">
      <totalsRowFormula>SUBTOTAL(109,Juillet[Maladie])</totalsRowFormula>
    </tableColumn>
    <tableColumn id="36" name="Personnel" totalsRowFunction="custom" dataDxfId="759" totalsRowDxfId="75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K13" totalsRowCount="1" headerRowDxfId="757" dataDxfId="756" totalsRowDxfId="755">
  <tableColumns count="36">
    <tableColumn id="1" name="Nom de l’employé" totalsRowFunction="custom" dataDxfId="754" totalsRowDxfId="753" dataCellStyle="Employé">
      <totalsRowFormula>NomMois&amp;" Total"</totalsRowFormula>
    </tableColumn>
    <tableColumn id="2" name="1" totalsRowFunction="count" dataDxfId="752" totalsRowDxfId="751"/>
    <tableColumn id="3" name="2" totalsRowFunction="count" dataDxfId="750" totalsRowDxfId="749"/>
    <tableColumn id="4" name="3" totalsRowFunction="count" dataDxfId="748" totalsRowDxfId="747"/>
    <tableColumn id="5" name="4" totalsRowFunction="count" dataDxfId="746" totalsRowDxfId="745"/>
    <tableColumn id="6" name="5" totalsRowFunction="count" dataDxfId="744" totalsRowDxfId="743"/>
    <tableColumn id="7" name="6" totalsRowFunction="count" dataDxfId="742" totalsRowDxfId="741"/>
    <tableColumn id="8" name="7" totalsRowFunction="count" dataDxfId="740" totalsRowDxfId="739"/>
    <tableColumn id="9" name="8" totalsRowFunction="count" dataDxfId="738" totalsRowDxfId="737"/>
    <tableColumn id="10" name="9" totalsRowFunction="count" dataDxfId="736" totalsRowDxfId="735"/>
    <tableColumn id="11" name="10" totalsRowFunction="count" dataDxfId="734" totalsRowDxfId="733"/>
    <tableColumn id="12" name="11" totalsRowFunction="count" dataDxfId="732" totalsRowDxfId="731"/>
    <tableColumn id="13" name="12" totalsRowFunction="count" dataDxfId="730" totalsRowDxfId="729"/>
    <tableColumn id="14" name="13" totalsRowFunction="count" dataDxfId="728" totalsRowDxfId="727"/>
    <tableColumn id="15" name="14" totalsRowFunction="count" dataDxfId="726" totalsRowDxfId="725"/>
    <tableColumn id="16" name="15" totalsRowFunction="count" dataDxfId="724" totalsRowDxfId="723"/>
    <tableColumn id="17" name="16" totalsRowFunction="count" dataDxfId="722" totalsRowDxfId="721"/>
    <tableColumn id="18" name="17" totalsRowFunction="count" dataDxfId="720" totalsRowDxfId="719"/>
    <tableColumn id="19" name="18" totalsRowFunction="count" dataDxfId="718" totalsRowDxfId="717"/>
    <tableColumn id="20" name="19" totalsRowFunction="count" dataDxfId="716" totalsRowDxfId="715"/>
    <tableColumn id="21" name="20" totalsRowFunction="count" dataDxfId="714" totalsRowDxfId="713"/>
    <tableColumn id="22" name="21" totalsRowFunction="count" dataDxfId="712" totalsRowDxfId="711"/>
    <tableColumn id="23" name="22" totalsRowFunction="count" dataDxfId="710" totalsRowDxfId="709"/>
    <tableColumn id="24" name="23" totalsRowFunction="count" dataDxfId="708" totalsRowDxfId="707"/>
    <tableColumn id="25" name="24" totalsRowFunction="count" dataDxfId="706" totalsRowDxfId="705"/>
    <tableColumn id="26" name="25" totalsRowFunction="count" dataDxfId="704" totalsRowDxfId="703"/>
    <tableColumn id="27" name="26" totalsRowFunction="count" dataDxfId="702" totalsRowDxfId="701"/>
    <tableColumn id="28" name="27" totalsRowFunction="count" dataDxfId="700" totalsRowDxfId="699"/>
    <tableColumn id="29" name="28" totalsRowFunction="count" dataDxfId="698" totalsRowDxfId="697"/>
    <tableColumn id="30" name="29" totalsRowFunction="count" dataDxfId="696" totalsRowDxfId="695"/>
    <tableColumn id="31" name="30" totalsRowFunction="count" dataDxfId="694" totalsRowDxfId="693"/>
    <tableColumn id="32" name="31" totalsRowFunction="count" dataDxfId="692" totalsRowDxfId="691"/>
    <tableColumn id="33" name="Travaillé" totalsRowFunction="sum" dataDxfId="690" totalsRowDxfId="689" dataCellStyle="Total"/>
    <tableColumn id="34" name="Congés" totalsRowFunction="custom" dataDxfId="688" totalsRowDxfId="687" dataCellStyle="Total">
      <totalsRowFormula>SUBTOTAL(109,Juillet[Congés])</totalsRowFormula>
    </tableColumn>
    <tableColumn id="35" name="Maladie" totalsRowFunction="custom" dataDxfId="686" totalsRowDxfId="685" dataCellStyle="Total">
      <totalsRowFormula>SUBTOTAL(109,Juillet[Maladie])</totalsRowFormula>
    </tableColumn>
    <tableColumn id="36" name="Personnel" totalsRowFunction="custom" dataDxfId="684" totalsRowDxfId="683"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K13" totalsRowCount="1" headerRowDxfId="682" dataDxfId="681" totalsRowDxfId="680">
  <tableColumns count="36">
    <tableColumn id="1" name="Nom de l’employé" totalsRowFunction="custom" dataDxfId="679" totalsRowDxfId="678" dataCellStyle="Employé">
      <totalsRowFormula>NomMois&amp;" Total"</totalsRowFormula>
    </tableColumn>
    <tableColumn id="2" name="1" totalsRowFunction="count" dataDxfId="677" totalsRowDxfId="676"/>
    <tableColumn id="3" name="2" totalsRowFunction="count" dataDxfId="675" totalsRowDxfId="674"/>
    <tableColumn id="4" name="3" totalsRowFunction="count" dataDxfId="673" totalsRowDxfId="672"/>
    <tableColumn id="5" name="4" totalsRowFunction="count" dataDxfId="671" totalsRowDxfId="670"/>
    <tableColumn id="6" name="5" totalsRowFunction="count" dataDxfId="669" totalsRowDxfId="668"/>
    <tableColumn id="7" name="6" totalsRowFunction="count" dataDxfId="667" totalsRowDxfId="666"/>
    <tableColumn id="8" name="7" totalsRowFunction="count" dataDxfId="665" totalsRowDxfId="664"/>
    <tableColumn id="9" name="8" totalsRowFunction="count" dataDxfId="663" totalsRowDxfId="662"/>
    <tableColumn id="10" name="9" totalsRowFunction="count" dataDxfId="661" totalsRowDxfId="660"/>
    <tableColumn id="11" name="10" totalsRowFunction="count" dataDxfId="659" totalsRowDxfId="658"/>
    <tableColumn id="12" name="11" totalsRowFunction="count" dataDxfId="657" totalsRowDxfId="656"/>
    <tableColumn id="13" name="12" totalsRowFunction="count" dataDxfId="655" totalsRowDxfId="654"/>
    <tableColumn id="14" name="13" totalsRowFunction="count" dataDxfId="653" totalsRowDxfId="652"/>
    <tableColumn id="15" name="14" totalsRowFunction="count" dataDxfId="651" totalsRowDxfId="650"/>
    <tableColumn id="16" name="15" totalsRowFunction="count" dataDxfId="649" totalsRowDxfId="648"/>
    <tableColumn id="17" name="16" totalsRowFunction="count" dataDxfId="647" totalsRowDxfId="646"/>
    <tableColumn id="18" name="17" totalsRowFunction="count" dataDxfId="645" totalsRowDxfId="644"/>
    <tableColumn id="19" name="18" totalsRowFunction="count" dataDxfId="643" totalsRowDxfId="642"/>
    <tableColumn id="20" name="19" totalsRowFunction="count" dataDxfId="641" totalsRowDxfId="640"/>
    <tableColumn id="21" name="20" totalsRowFunction="count" dataDxfId="639" totalsRowDxfId="638"/>
    <tableColumn id="22" name="21" totalsRowFunction="count" dataDxfId="637" totalsRowDxfId="636"/>
    <tableColumn id="23" name="22" totalsRowFunction="count" dataDxfId="635" totalsRowDxfId="634"/>
    <tableColumn id="24" name="23" totalsRowFunction="count" dataDxfId="633" totalsRowDxfId="632"/>
    <tableColumn id="25" name="24" totalsRowFunction="count" dataDxfId="631" totalsRowDxfId="630"/>
    <tableColumn id="26" name="25" totalsRowFunction="count" dataDxfId="629" totalsRowDxfId="628"/>
    <tableColumn id="27" name="26" totalsRowFunction="count" dataDxfId="627" totalsRowDxfId="626"/>
    <tableColumn id="28" name="27" totalsRowFunction="count" dataDxfId="625" totalsRowDxfId="624"/>
    <tableColumn id="29" name="28" totalsRowFunction="count" dataDxfId="623" totalsRowDxfId="622"/>
    <tableColumn id="30" name="29" totalsRowFunction="count" dataDxfId="621" totalsRowDxfId="620"/>
    <tableColumn id="31" name="30" totalsRowFunction="count" dataDxfId="619" totalsRowDxfId="618"/>
    <tableColumn id="32" name=" " totalsRowFunction="count" dataDxfId="617" totalsRowDxfId="616"/>
    <tableColumn id="33" name="Travaillé" totalsRowFunction="sum" dataDxfId="615" totalsRowDxfId="614" dataCellStyle="Total"/>
    <tableColumn id="34" name="Congés" totalsRowFunction="custom" dataDxfId="613" totalsRowDxfId="612" dataCellStyle="Total">
      <totalsRowFormula>SUBTOTAL(109,Juillet[Congés])</totalsRowFormula>
    </tableColumn>
    <tableColumn id="35" name="Maladie" totalsRowFunction="custom" dataDxfId="611" totalsRowDxfId="610" dataCellStyle="Total">
      <totalsRowFormula>SUBTOTAL(109,Juillet[Maladie])</totalsRowFormula>
    </tableColumn>
    <tableColumn id="36" name="Personnel" totalsRowFunction="custom" dataDxfId="609" totalsRowDxfId="60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K14" totalsRowCount="1" headerRowDxfId="607" dataDxfId="606" totalsRowDxfId="605">
  <tableColumns count="36">
    <tableColumn id="1" name="Nom de l’employé" totalsRowFunction="custom" dataDxfId="604" totalsRowDxfId="603" dataCellStyle="Employé">
      <totalsRowFormula>NomMois&amp;" Total"</totalsRowFormula>
    </tableColumn>
    <tableColumn id="2" name="1" totalsRowFunction="count" dataDxfId="602" totalsRowDxfId="601"/>
    <tableColumn id="3" name="2" totalsRowFunction="count" dataDxfId="600" totalsRowDxfId="599"/>
    <tableColumn id="4" name="3" totalsRowFunction="count" dataDxfId="598" totalsRowDxfId="597"/>
    <tableColumn id="5" name="4" totalsRowFunction="count" dataDxfId="596" totalsRowDxfId="595"/>
    <tableColumn id="6" name="5" totalsRowFunction="count" dataDxfId="594" totalsRowDxfId="593"/>
    <tableColumn id="7" name="6" totalsRowFunction="count" dataDxfId="592" totalsRowDxfId="591"/>
    <tableColumn id="8" name="7" totalsRowFunction="count" dataDxfId="590" totalsRowDxfId="589"/>
    <tableColumn id="9" name="8" totalsRowFunction="count" dataDxfId="588" totalsRowDxfId="587"/>
    <tableColumn id="10" name="9" totalsRowFunction="count" dataDxfId="586" totalsRowDxfId="585"/>
    <tableColumn id="11" name="10" totalsRowFunction="count" dataDxfId="584" totalsRowDxfId="583"/>
    <tableColumn id="12" name="11" totalsRowFunction="count" dataDxfId="582" totalsRowDxfId="581"/>
    <tableColumn id="13" name="12" totalsRowFunction="count" dataDxfId="580" totalsRowDxfId="579"/>
    <tableColumn id="14" name="13" totalsRowFunction="count" dataDxfId="578" totalsRowDxfId="577"/>
    <tableColumn id="15" name="14" totalsRowFunction="count" dataDxfId="576" totalsRowDxfId="575"/>
    <tableColumn id="16" name="15" totalsRowFunction="count" dataDxfId="574" totalsRowDxfId="573"/>
    <tableColumn id="17" name="16" totalsRowFunction="count" dataDxfId="572" totalsRowDxfId="571"/>
    <tableColumn id="18" name="17" totalsRowFunction="count" dataDxfId="570" totalsRowDxfId="569"/>
    <tableColumn id="19" name="18" totalsRowFunction="count" dataDxfId="568" totalsRowDxfId="567"/>
    <tableColumn id="20" name="19" totalsRowFunction="count" dataDxfId="566" totalsRowDxfId="565"/>
    <tableColumn id="21" name="20" totalsRowFunction="count" dataDxfId="564" totalsRowDxfId="563"/>
    <tableColumn id="22" name="21" totalsRowFunction="count" dataDxfId="562" totalsRowDxfId="561"/>
    <tableColumn id="23" name="22" totalsRowFunction="count" dataDxfId="560" totalsRowDxfId="559"/>
    <tableColumn id="24" name="23" totalsRowFunction="count" dataDxfId="558" totalsRowDxfId="557"/>
    <tableColumn id="25" name="24" totalsRowFunction="count" dataDxfId="556" totalsRowDxfId="555"/>
    <tableColumn id="26" name="25" totalsRowFunction="count" dataDxfId="554" totalsRowDxfId="553"/>
    <tableColumn id="27" name="26" totalsRowFunction="count" dataDxfId="552" totalsRowDxfId="551"/>
    <tableColumn id="28" name="27" totalsRowFunction="count" dataDxfId="550" totalsRowDxfId="549"/>
    <tableColumn id="29" name="28" totalsRowFunction="count" dataDxfId="548" totalsRowDxfId="547"/>
    <tableColumn id="30" name="29" totalsRowFunction="count" dataDxfId="546" totalsRowDxfId="545"/>
    <tableColumn id="31" name="30" totalsRowFunction="count" dataDxfId="544" totalsRowDxfId="543"/>
    <tableColumn id="32" name="31" totalsRowFunction="count" dataDxfId="542" totalsRowDxfId="541"/>
    <tableColumn id="33" name="Travaillé" totalsRowFunction="sum" dataDxfId="540" totalsRowDxfId="539" dataCellStyle="Total"/>
    <tableColumn id="34" name="Congés" totalsRowFunction="sum" dataDxfId="538" totalsRowDxfId="537" dataCellStyle="Total"/>
    <tableColumn id="35" name="Maladie" totalsRowFunction="sum" dataDxfId="536" totalsRowDxfId="535" dataCellStyle="Total"/>
    <tableColumn id="36" name="Personnel" totalsRowFunction="sum" dataDxfId="534" totalsRowDxfId="533"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K13" totalsRowCount="1" headerRowDxfId="532" dataDxfId="531" totalsRowDxfId="530">
  <tableColumns count="36">
    <tableColumn id="1" name="Nom de l’employé" totalsRowFunction="custom" dataDxfId="529" totalsRowDxfId="528" dataCellStyle="Employé">
      <totalsRowFormula>NomMois&amp;" Total"</totalsRowFormula>
    </tableColumn>
    <tableColumn id="2" name="1" totalsRowFunction="count" dataDxfId="527" totalsRowDxfId="526"/>
    <tableColumn id="3" name="2" totalsRowFunction="count" dataDxfId="525" totalsRowDxfId="524"/>
    <tableColumn id="4" name="3" totalsRowFunction="count" dataDxfId="523" totalsRowDxfId="522"/>
    <tableColumn id="5" name="4" totalsRowFunction="count" dataDxfId="521" totalsRowDxfId="520"/>
    <tableColumn id="6" name="5" totalsRowFunction="count" dataDxfId="519" totalsRowDxfId="518"/>
    <tableColumn id="7" name="6" totalsRowFunction="count" dataDxfId="517" totalsRowDxfId="516"/>
    <tableColumn id="8" name="7" totalsRowFunction="count" dataDxfId="515" totalsRowDxfId="514"/>
    <tableColumn id="9" name="8" totalsRowFunction="count" dataDxfId="513" totalsRowDxfId="512"/>
    <tableColumn id="10" name="9" totalsRowFunction="count" dataDxfId="511" totalsRowDxfId="510"/>
    <tableColumn id="11" name="10" totalsRowFunction="count" dataDxfId="509" totalsRowDxfId="508"/>
    <tableColumn id="12" name="11" totalsRowFunction="count" dataDxfId="507" totalsRowDxfId="506"/>
    <tableColumn id="13" name="12" totalsRowFunction="count" dataDxfId="505" totalsRowDxfId="504"/>
    <tableColumn id="14" name="13" totalsRowFunction="count" dataDxfId="503" totalsRowDxfId="502"/>
    <tableColumn id="15" name="14" totalsRowFunction="count" dataDxfId="501" totalsRowDxfId="500"/>
    <tableColumn id="16" name="15" totalsRowFunction="count" dataDxfId="499" totalsRowDxfId="498"/>
    <tableColumn id="17" name="16" totalsRowFunction="count" dataDxfId="497" totalsRowDxfId="496"/>
    <tableColumn id="18" name="17" totalsRowFunction="count" dataDxfId="495" totalsRowDxfId="494"/>
    <tableColumn id="19" name="18" totalsRowFunction="count" dataDxfId="493" totalsRowDxfId="492"/>
    <tableColumn id="20" name="19" totalsRowFunction="count" dataDxfId="491" totalsRowDxfId="490"/>
    <tableColumn id="21" name="20" totalsRowFunction="count" dataDxfId="489" totalsRowDxfId="488"/>
    <tableColumn id="22" name="21" totalsRowFunction="count" dataDxfId="487" totalsRowDxfId="486"/>
    <tableColumn id="23" name="22" totalsRowFunction="count" dataDxfId="485" totalsRowDxfId="484"/>
    <tableColumn id="24" name="23" totalsRowFunction="count" dataDxfId="483" totalsRowDxfId="482"/>
    <tableColumn id="25" name="24" totalsRowFunction="count" dataDxfId="481" totalsRowDxfId="480"/>
    <tableColumn id="26" name="25" totalsRowFunction="count" dataDxfId="479" totalsRowDxfId="478"/>
    <tableColumn id="27" name="26" totalsRowFunction="count" dataDxfId="477" totalsRowDxfId="476"/>
    <tableColumn id="28" name="27" totalsRowFunction="count" dataDxfId="475" totalsRowDxfId="474"/>
    <tableColumn id="29" name="28" totalsRowFunction="count" dataDxfId="473" totalsRowDxfId="472"/>
    <tableColumn id="30" name="29" totalsRowFunction="count" dataDxfId="471" totalsRowDxfId="470"/>
    <tableColumn id="31" name="30" totalsRowFunction="count" dataDxfId="469" totalsRowDxfId="468"/>
    <tableColumn id="32" name="31" totalsRowFunction="count" dataDxfId="467" totalsRowDxfId="466"/>
    <tableColumn id="33" name="Travaillé" totalsRowFunction="sum" dataDxfId="465" totalsRowDxfId="464" dataCellStyle="Total"/>
    <tableColumn id="34" name="Congés" totalsRowFunction="custom" dataDxfId="463" totalsRowDxfId="462" dataCellStyle="Total">
      <totalsRowFormula>SUBTOTAL(109,Juillet[Congés])</totalsRowFormula>
    </tableColumn>
    <tableColumn id="35" name="Maladie" totalsRowFunction="custom" dataDxfId="461" totalsRowDxfId="460" dataCellStyle="Total">
      <totalsRowFormula>SUBTOTAL(109,Juillet[Maladie])</totalsRowFormula>
    </tableColumn>
    <tableColumn id="36" name="Personnel" totalsRowFunction="custom" dataDxfId="459" totalsRowDxfId="45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K13" totalsRowCount="1" headerRowDxfId="457" dataDxfId="456" totalsRowDxfId="455">
  <tableColumns count="36">
    <tableColumn id="1" name="Nom de l’employé" totalsRowFunction="custom" dataDxfId="454" totalsRowDxfId="453" dataCellStyle="Employé">
      <totalsRowFormula>NomMois&amp;" Total"</totalsRowFormula>
    </tableColumn>
    <tableColumn id="2" name="1" totalsRowFunction="count" dataDxfId="452" totalsRowDxfId="451"/>
    <tableColumn id="3" name="2" totalsRowFunction="count" dataDxfId="450" totalsRowDxfId="449"/>
    <tableColumn id="4" name="3" totalsRowFunction="count" dataDxfId="448" totalsRowDxfId="447"/>
    <tableColumn id="5" name="4" totalsRowFunction="count" dataDxfId="446" totalsRowDxfId="445"/>
    <tableColumn id="6" name="5" totalsRowFunction="count" dataDxfId="444" totalsRowDxfId="443"/>
    <tableColumn id="7" name="6" totalsRowFunction="count" dataDxfId="442" totalsRowDxfId="441"/>
    <tableColumn id="8" name="7" totalsRowFunction="count" dataDxfId="440" totalsRowDxfId="439"/>
    <tableColumn id="9" name="8" totalsRowFunction="count" dataDxfId="438" totalsRowDxfId="437"/>
    <tableColumn id="10" name="9" totalsRowFunction="count" dataDxfId="436" totalsRowDxfId="435"/>
    <tableColumn id="11" name="10" totalsRowFunction="count" dataDxfId="434" totalsRowDxfId="433"/>
    <tableColumn id="12" name="11" totalsRowFunction="count" dataDxfId="432" totalsRowDxfId="431"/>
    <tableColumn id="13" name="12" totalsRowFunction="count" dataDxfId="430" totalsRowDxfId="429"/>
    <tableColumn id="14" name="13" totalsRowFunction="count" dataDxfId="428" totalsRowDxfId="427"/>
    <tableColumn id="15" name="14" totalsRowFunction="count" dataDxfId="426" totalsRowDxfId="425"/>
    <tableColumn id="16" name="15" totalsRowFunction="count" dataDxfId="424" totalsRowDxfId="423"/>
    <tableColumn id="17" name="16" totalsRowFunction="count" dataDxfId="422" totalsRowDxfId="421"/>
    <tableColumn id="18" name="17" totalsRowFunction="count" dataDxfId="420" totalsRowDxfId="419"/>
    <tableColumn id="19" name="18" totalsRowFunction="count" dataDxfId="418" totalsRowDxfId="417"/>
    <tableColumn id="20" name="19" totalsRowFunction="count" dataDxfId="416" totalsRowDxfId="415"/>
    <tableColumn id="21" name="20" totalsRowFunction="count" dataDxfId="414" totalsRowDxfId="413"/>
    <tableColumn id="22" name="21" totalsRowFunction="count" dataDxfId="412" totalsRowDxfId="411"/>
    <tableColumn id="23" name="22" totalsRowFunction="count" dataDxfId="410" totalsRowDxfId="409"/>
    <tableColumn id="24" name="23" totalsRowFunction="count" dataDxfId="408" totalsRowDxfId="407"/>
    <tableColumn id="25" name="24" totalsRowFunction="count" dataDxfId="406" totalsRowDxfId="405"/>
    <tableColumn id="26" name="25" totalsRowFunction="count" dataDxfId="404" totalsRowDxfId="403"/>
    <tableColumn id="27" name="26" totalsRowFunction="count" dataDxfId="402" totalsRowDxfId="401"/>
    <tableColumn id="28" name="27" totalsRowFunction="count" dataDxfId="400" totalsRowDxfId="399"/>
    <tableColumn id="29" name="28" totalsRowFunction="count" dataDxfId="398" totalsRowDxfId="397"/>
    <tableColumn id="30" name="29" totalsRowFunction="count" dataDxfId="396" totalsRowDxfId="395"/>
    <tableColumn id="31" name="30" totalsRowFunction="count" dataDxfId="394" totalsRowDxfId="393"/>
    <tableColumn id="32" name=" " totalsRowFunction="count" dataDxfId="392" totalsRowDxfId="391"/>
    <tableColumn id="33" name="Travaillé" totalsRowFunction="sum" dataDxfId="390" totalsRowDxfId="389" dataCellStyle="Total"/>
    <tableColumn id="34" name="Congés" totalsRowFunction="custom" dataDxfId="388" totalsRowDxfId="387" dataCellStyle="Total">
      <totalsRowFormula>SUBTOTAL(109,Juillet[Congés])</totalsRowFormula>
    </tableColumn>
    <tableColumn id="35" name="Maladie" totalsRowFunction="custom" dataDxfId="386" totalsRowDxfId="385" dataCellStyle="Total">
      <totalsRowFormula>SUBTOTAL(109,Juillet[Maladie])</totalsRowFormula>
    </tableColumn>
    <tableColumn id="36" name="Personnel" totalsRowFunction="custom" dataDxfId="384" totalsRowDxfId="383"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K13" totalsRowCount="1" headerRowDxfId="382" dataDxfId="381" totalsRowDxfId="380">
  <tableColumns count="36">
    <tableColumn id="1" name="Nom de l’employé" totalsRowFunction="custom" dataDxfId="379" totalsRowDxfId="378" dataCellStyle="Employé">
      <totalsRowFormula>NomMois&amp;" Total"</totalsRowFormula>
    </tableColumn>
    <tableColumn id="2" name="1" totalsRowFunction="count" dataDxfId="377" totalsRowDxfId="376"/>
    <tableColumn id="3" name="2" totalsRowFunction="count" dataDxfId="375" totalsRowDxfId="374"/>
    <tableColumn id="4" name="3" totalsRowFunction="count" dataDxfId="373" totalsRowDxfId="372"/>
    <tableColumn id="5" name="4" totalsRowFunction="count" dataDxfId="371" totalsRowDxfId="370"/>
    <tableColumn id="6" name="5" totalsRowFunction="count" dataDxfId="369" totalsRowDxfId="368"/>
    <tableColumn id="7" name="6" totalsRowFunction="count" dataDxfId="367" totalsRowDxfId="366"/>
    <tableColumn id="8" name="7" totalsRowFunction="count" dataDxfId="365" totalsRowDxfId="364"/>
    <tableColumn id="9" name="8" totalsRowFunction="count" dataDxfId="363" totalsRowDxfId="362"/>
    <tableColumn id="10" name="9" totalsRowFunction="count" dataDxfId="361" totalsRowDxfId="360"/>
    <tableColumn id="11" name="10" totalsRowFunction="count" dataDxfId="359" totalsRowDxfId="358"/>
    <tableColumn id="12" name="11" totalsRowFunction="count" dataDxfId="357" totalsRowDxfId="356"/>
    <tableColumn id="13" name="12" totalsRowFunction="count" dataDxfId="355" totalsRowDxfId="354"/>
    <tableColumn id="14" name="13" totalsRowFunction="count" dataDxfId="353" totalsRowDxfId="352"/>
    <tableColumn id="15" name="14" totalsRowFunction="count" dataDxfId="351" totalsRowDxfId="350"/>
    <tableColumn id="16" name="15" totalsRowFunction="count" dataDxfId="349" totalsRowDxfId="348"/>
    <tableColumn id="17" name="16" totalsRowFunction="count" dataDxfId="347" totalsRowDxfId="346"/>
    <tableColumn id="18" name="17" totalsRowFunction="count" dataDxfId="345" totalsRowDxfId="344"/>
    <tableColumn id="19" name="18" totalsRowFunction="count" dataDxfId="343" totalsRowDxfId="342"/>
    <tableColumn id="20" name="19" totalsRowFunction="count" dataDxfId="341" totalsRowDxfId="340"/>
    <tableColumn id="21" name="20" totalsRowFunction="count" dataDxfId="339" totalsRowDxfId="338"/>
    <tableColumn id="22" name="21" totalsRowFunction="count" dataDxfId="337" totalsRowDxfId="336"/>
    <tableColumn id="23" name="22" totalsRowFunction="count" dataDxfId="335" totalsRowDxfId="334"/>
    <tableColumn id="24" name="23" totalsRowFunction="count" dataDxfId="333" totalsRowDxfId="332"/>
    <tableColumn id="25" name="24" totalsRowFunction="count" dataDxfId="331" totalsRowDxfId="330"/>
    <tableColumn id="26" name="25" totalsRowFunction="count" dataDxfId="329" totalsRowDxfId="328"/>
    <tableColumn id="27" name="26" totalsRowFunction="count" dataDxfId="327" totalsRowDxfId="326"/>
    <tableColumn id="28" name="27" totalsRowFunction="count" dataDxfId="325" totalsRowDxfId="324"/>
    <tableColumn id="29" name="28" totalsRowFunction="count" dataDxfId="323" totalsRowDxfId="322"/>
    <tableColumn id="30" name="29" totalsRowFunction="count" dataDxfId="321" totalsRowDxfId="320"/>
    <tableColumn id="31" name="30" totalsRowFunction="count" dataDxfId="319" totalsRowDxfId="318"/>
    <tableColumn id="32" name="31" totalsRowFunction="count" dataDxfId="317" totalsRowDxfId="316"/>
    <tableColumn id="33" name="Travaillé" totalsRowFunction="sum" dataDxfId="315" totalsRowDxfId="314" dataCellStyle="Total"/>
    <tableColumn id="34" name="Congés" totalsRowFunction="custom" dataDxfId="313" totalsRowDxfId="312" dataCellStyle="Total">
      <totalsRowFormula>SUBTOTAL(109,Juillet[Congés])</totalsRowFormula>
    </tableColumn>
    <tableColumn id="35" name="Maladie" totalsRowFunction="custom" dataDxfId="311" totalsRowDxfId="310" dataCellStyle="Total">
      <totalsRowFormula>SUBTOTAL(109,Juillet[Maladie])</totalsRowFormula>
    </tableColumn>
    <tableColumn id="36" name="Personnel" totalsRowFunction="custom" dataDxfId="309" totalsRowDxfId="30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K13" totalsRowCount="1" headerRowDxfId="307" dataDxfId="306" totalsRowDxfId="305">
  <tableColumns count="36">
    <tableColumn id="1" name="Nom de l’employé" totalsRowFunction="custom" dataDxfId="304" totalsRowDxfId="303" dataCellStyle="Employé">
      <totalsRowFormula>NomMois&amp;" Total"</totalsRowFormula>
    </tableColumn>
    <tableColumn id="2" name="1" totalsRowFunction="count" dataDxfId="302" totalsRowDxfId="301"/>
    <tableColumn id="3" name="2" totalsRowFunction="count" dataDxfId="300" totalsRowDxfId="299"/>
    <tableColumn id="4" name="3" totalsRowFunction="count" dataDxfId="298" totalsRowDxfId="297"/>
    <tableColumn id="5" name="4" totalsRowFunction="count" dataDxfId="296" totalsRowDxfId="295"/>
    <tableColumn id="6" name="5" totalsRowFunction="count" dataDxfId="294" totalsRowDxfId="293"/>
    <tableColumn id="7" name="6" totalsRowFunction="count" dataDxfId="292" totalsRowDxfId="291"/>
    <tableColumn id="8" name="7" totalsRowFunction="count" dataDxfId="290" totalsRowDxfId="289"/>
    <tableColumn id="9" name="8" totalsRowFunction="count" dataDxfId="288" totalsRowDxfId="287"/>
    <tableColumn id="10" name="9" totalsRowFunction="count" dataDxfId="286" totalsRowDxfId="285"/>
    <tableColumn id="11" name="10" totalsRowFunction="count" dataDxfId="284" totalsRowDxfId="283"/>
    <tableColumn id="12" name="11" totalsRowFunction="count" dataDxfId="282" totalsRowDxfId="281"/>
    <tableColumn id="13" name="12" totalsRowFunction="count" dataDxfId="280" totalsRowDxfId="279"/>
    <tableColumn id="14" name="13" totalsRowFunction="count" dataDxfId="278" totalsRowDxfId="277"/>
    <tableColumn id="15" name="14" totalsRowFunction="count" dataDxfId="276" totalsRowDxfId="275"/>
    <tableColumn id="16" name="15" totalsRowFunction="count" dataDxfId="274" totalsRowDxfId="273"/>
    <tableColumn id="17" name="16" totalsRowFunction="count" dataDxfId="272" totalsRowDxfId="271"/>
    <tableColumn id="18" name="17" totalsRowFunction="count" dataDxfId="270" totalsRowDxfId="269"/>
    <tableColumn id="19" name="18" totalsRowFunction="count" dataDxfId="268" totalsRowDxfId="267"/>
    <tableColumn id="20" name="19" totalsRowFunction="count" dataDxfId="266" totalsRowDxfId="265"/>
    <tableColumn id="21" name="20" totalsRowFunction="count" dataDxfId="264" totalsRowDxfId="263"/>
    <tableColumn id="22" name="21" totalsRowFunction="count" dataDxfId="262" totalsRowDxfId="261"/>
    <tableColumn id="23" name="22" totalsRowFunction="count" dataDxfId="260" totalsRowDxfId="259"/>
    <tableColumn id="24" name="23" totalsRowFunction="count" dataDxfId="258" totalsRowDxfId="257"/>
    <tableColumn id="25" name="24" totalsRowFunction="count" dataDxfId="256" totalsRowDxfId="255"/>
    <tableColumn id="26" name="25" totalsRowFunction="count" dataDxfId="254" totalsRowDxfId="253"/>
    <tableColumn id="27" name="26" totalsRowFunction="count" dataDxfId="252" totalsRowDxfId="251"/>
    <tableColumn id="28" name="27" totalsRowFunction="count" dataDxfId="250" totalsRowDxfId="249"/>
    <tableColumn id="29" name="28" totalsRowFunction="count" dataDxfId="248" totalsRowDxfId="247"/>
    <tableColumn id="30" name="29" totalsRowFunction="count" dataDxfId="246" totalsRowDxfId="245"/>
    <tableColumn id="31" name="30" totalsRowFunction="count" dataDxfId="244" totalsRowDxfId="243"/>
    <tableColumn id="32" name=" " totalsRowFunction="count" dataDxfId="242" totalsRowDxfId="241"/>
    <tableColumn id="33" name="Travaillé" totalsRowFunction="sum" dataDxfId="240" totalsRowDxfId="239" dataCellStyle="Total"/>
    <tableColumn id="34" name="Congés" totalsRowFunction="custom" dataDxfId="238" totalsRowDxfId="237" dataCellStyle="Total">
      <totalsRowFormula>SUBTOTAL(109,Juillet[Congés])</totalsRowFormula>
    </tableColumn>
    <tableColumn id="35" name="Maladie" totalsRowFunction="custom" dataDxfId="236" totalsRowDxfId="235" dataCellStyle="Total">
      <totalsRowFormula>SUBTOTAL(109,Juillet[Maladie])</totalsRowFormula>
    </tableColumn>
    <tableColumn id="36" name="Personnel" totalsRowFunction="custom" dataDxfId="234" totalsRowDxfId="233"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K13" totalsRowCount="1" headerRowDxfId="232" dataDxfId="231" totalsRowDxfId="230">
  <tableColumns count="36">
    <tableColumn id="1" name="Nom de l’employé" totalsRowFunction="custom" dataDxfId="229" totalsRowDxfId="228" dataCellStyle="Employé">
      <totalsRowFormula>NomMois&amp;" Total"</totalsRowFormula>
    </tableColumn>
    <tableColumn id="2" name="1" totalsRowFunction="count" dataDxfId="227" totalsRowDxfId="226"/>
    <tableColumn id="3" name="2" totalsRowFunction="count" dataDxfId="225" totalsRowDxfId="224"/>
    <tableColumn id="4" name="3" totalsRowFunction="count" dataDxfId="223" totalsRowDxfId="222"/>
    <tableColumn id="5" name="4" totalsRowFunction="count" dataDxfId="221" totalsRowDxfId="220"/>
    <tableColumn id="6" name="5" totalsRowFunction="count" dataDxfId="219" totalsRowDxfId="218"/>
    <tableColumn id="7" name="6" totalsRowFunction="count" dataDxfId="217" totalsRowDxfId="216"/>
    <tableColumn id="8" name="7" totalsRowFunction="count" dataDxfId="215" totalsRowDxfId="214"/>
    <tableColumn id="9" name="8" totalsRowFunction="count" dataDxfId="213" totalsRowDxfId="212"/>
    <tableColumn id="10" name="9" totalsRowFunction="count" dataDxfId="211" totalsRowDxfId="210"/>
    <tableColumn id="11" name="10" totalsRowFunction="count" dataDxfId="209" totalsRowDxfId="208"/>
    <tableColumn id="12" name="11" totalsRowFunction="count" dataDxfId="207" totalsRowDxfId="206"/>
    <tableColumn id="13" name="12" totalsRowFunction="count" dataDxfId="205" totalsRowDxfId="204"/>
    <tableColumn id="14" name="13" totalsRowFunction="count" dataDxfId="203" totalsRowDxfId="202"/>
    <tableColumn id="15" name="14" totalsRowFunction="count" dataDxfId="201" totalsRowDxfId="200"/>
    <tableColumn id="16" name="15" totalsRowFunction="count" dataDxfId="199" totalsRowDxfId="198"/>
    <tableColumn id="17" name="16" totalsRowFunction="count" dataDxfId="197" totalsRowDxfId="196"/>
    <tableColumn id="18" name="17" totalsRowFunction="count" dataDxfId="195" totalsRowDxfId="194"/>
    <tableColumn id="19" name="18" totalsRowFunction="count" dataDxfId="193" totalsRowDxfId="192"/>
    <tableColumn id="20" name="19" totalsRowFunction="count" dataDxfId="191" totalsRowDxfId="190"/>
    <tableColumn id="21" name="20" totalsRowFunction="count" dataDxfId="189" totalsRowDxfId="188"/>
    <tableColumn id="22" name="21" totalsRowFunction="count" dataDxfId="187" totalsRowDxfId="186"/>
    <tableColumn id="23" name="22" totalsRowFunction="count" dataDxfId="185" totalsRowDxfId="184"/>
    <tableColumn id="24" name="23" totalsRowFunction="count" dataDxfId="183" totalsRowDxfId="182"/>
    <tableColumn id="25" name="24" totalsRowFunction="count" dataDxfId="181" totalsRowDxfId="180"/>
    <tableColumn id="26" name="25" totalsRowFunction="count" dataDxfId="179" totalsRowDxfId="178"/>
    <tableColumn id="27" name="26" totalsRowFunction="count" dataDxfId="177" totalsRowDxfId="176"/>
    <tableColumn id="28" name="27" totalsRowFunction="count" dataDxfId="175" totalsRowDxfId="174"/>
    <tableColumn id="29" name="28" totalsRowFunction="count" dataDxfId="173" totalsRowDxfId="172"/>
    <tableColumn id="30" name="29" totalsRowFunction="count" dataDxfId="171" totalsRowDxfId="170"/>
    <tableColumn id="31" name="30" totalsRowFunction="count" dataDxfId="169" totalsRowDxfId="168"/>
    <tableColumn id="32" name="31" totalsRowFunction="count" dataDxfId="167" totalsRowDxfId="166"/>
    <tableColumn id="33" name="Travaillé" totalsRowFunction="sum" dataDxfId="165" totalsRowDxfId="164" dataCellStyle="Total"/>
    <tableColumn id="34" name="Congés" totalsRowFunction="custom" dataDxfId="163" totalsRowDxfId="162" dataCellStyle="Total">
      <totalsRowFormula>SUBTOTAL(109,Juillet[Congés])</totalsRowFormula>
    </tableColumn>
    <tableColumn id="35" name="Maladie" totalsRowFunction="custom" dataDxfId="161" totalsRowDxfId="160" dataCellStyle="Total">
      <totalsRowFormula>SUBTOTAL(109,Juillet[Maladie])</totalsRowFormula>
    </tableColumn>
    <tableColumn id="36" name="Personnel" totalsRowFunction="custom" dataDxfId="159" totalsRowDxfId="158" dataCellStyle="Total">
      <totalsRowFormula>SUBTOTAL(109,Juillet[Personnel])</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20">
  <autoFilter ref="B3:B20"/>
  <tableColumns count="1">
    <tableColumn id="1" name="Noms des employés" totalsRowFunction="count" totalsRowDxfId="157"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id="5" name="CODESVALEURS" displayName="CODESVALEURS" ref="A1:B6" totalsRowShown="0">
  <autoFilter ref="A1:B6"/>
  <tableColumns count="2">
    <tableColumn id="1" name="Codes "/>
    <tableColumn id="2" name="Valeurs"/>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K13"/>
  <sheetViews>
    <sheetView showGridLines="0" tabSelected="1" topLeftCell="C1" zoomScaleNormal="100" workbookViewId="0">
      <selection activeCell="S13" sqref="S13"/>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5" width="9.578125" style="10" customWidth="1"/>
    <col min="36" max="37" width="9.578125" customWidth="1"/>
  </cols>
  <sheetData>
    <row r="1" spans="1:37" ht="50.1" customHeight="1" x14ac:dyDescent="0.55000000000000004">
      <c r="A1" s="16"/>
      <c r="B1" s="13" t="s">
        <v>67</v>
      </c>
    </row>
    <row r="2" spans="1:37" ht="15" customHeight="1" x14ac:dyDescent="0.55000000000000004">
      <c r="B2" s="17" t="s">
        <v>0</v>
      </c>
      <c r="C2" s="4" t="s">
        <v>63</v>
      </c>
      <c r="D2" s="47" t="s">
        <v>64</v>
      </c>
      <c r="E2" s="48"/>
      <c r="F2" s="5" t="s">
        <v>14</v>
      </c>
      <c r="G2" s="50" t="s">
        <v>18</v>
      </c>
      <c r="H2" s="50"/>
      <c r="I2" s="29"/>
      <c r="J2" s="6" t="s">
        <v>16</v>
      </c>
      <c r="K2" s="48" t="s">
        <v>23</v>
      </c>
      <c r="L2" s="48"/>
      <c r="M2" s="7" t="s">
        <v>8</v>
      </c>
      <c r="N2" s="49" t="s">
        <v>65</v>
      </c>
      <c r="O2" s="49"/>
      <c r="P2" s="8" t="s">
        <v>83</v>
      </c>
      <c r="Q2" s="29" t="s">
        <v>32</v>
      </c>
      <c r="R2" s="29"/>
      <c r="S2" s="29"/>
      <c r="T2" s="29"/>
    </row>
    <row r="3" spans="1:37" ht="15" customHeight="1" x14ac:dyDescent="0.55000000000000004">
      <c r="AH3" s="44" t="s">
        <v>48</v>
      </c>
      <c r="AI3" s="44"/>
    </row>
    <row r="4" spans="1:37" ht="30" customHeight="1" x14ac:dyDescent="0.55000000000000004">
      <c r="B4" s="11" t="s">
        <v>1</v>
      </c>
      <c r="C4" s="46" t="s">
        <v>66</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45">
        <v>2019</v>
      </c>
      <c r="AI4" s="45"/>
      <c r="AJ4" s="45"/>
      <c r="AK4" s="45"/>
    </row>
    <row r="5" spans="1:37" ht="15" customHeight="1" x14ac:dyDescent="0.55000000000000004">
      <c r="B5" s="11"/>
      <c r="C5" s="2" t="str">
        <f>TEXT(WEEKDAY(DATE(AnnéeCalendrier,1,1),1),"jjj")</f>
        <v>mar</v>
      </c>
      <c r="D5" s="2" t="str">
        <f>TEXT(WEEKDAY(DATE(AnnéeCalendrier,1,2),1),"jjj")</f>
        <v>mer</v>
      </c>
      <c r="E5" s="2" t="str">
        <f>TEXT(WEEKDAY(DATE(AnnéeCalendrier,1,3),1),"jjj")</f>
        <v>jeu</v>
      </c>
      <c r="F5" s="2" t="str">
        <f>TEXT(WEEKDAY(DATE(AnnéeCalendrier,1,4),1),"jjj")</f>
        <v>ven</v>
      </c>
      <c r="G5" s="2" t="str">
        <f>TEXT(WEEKDAY(DATE(AnnéeCalendrier,1,5),1),"jjj")</f>
        <v>sam</v>
      </c>
      <c r="H5" s="2" t="str">
        <f>TEXT(WEEKDAY(DATE(AnnéeCalendrier,1,6),1),"jjj")</f>
        <v>dim</v>
      </c>
      <c r="I5" s="2" t="str">
        <f>TEXT(WEEKDAY(DATE(AnnéeCalendrier,1,7),1),"jjj")</f>
        <v>lun</v>
      </c>
      <c r="J5" s="2" t="str">
        <f>TEXT(WEEKDAY(DATE(AnnéeCalendrier,1,8),1),"jjj")</f>
        <v>mar</v>
      </c>
      <c r="K5" s="2" t="str">
        <f>TEXT(WEEKDAY(DATE(AnnéeCalendrier,1,9),1),"jjj")</f>
        <v>mer</v>
      </c>
      <c r="L5" s="2" t="str">
        <f>TEXT(WEEKDAY(DATE(AnnéeCalendrier,1,10),1),"jjj")</f>
        <v>jeu</v>
      </c>
      <c r="M5" s="2" t="str">
        <f>TEXT(WEEKDAY(DATE(AnnéeCalendrier,1,11),1),"jjj")</f>
        <v>ven</v>
      </c>
      <c r="N5" s="2" t="str">
        <f>TEXT(WEEKDAY(DATE(AnnéeCalendrier,1,12),1),"jjj")</f>
        <v>sam</v>
      </c>
      <c r="O5" s="2" t="str">
        <f>TEXT(WEEKDAY(DATE(AnnéeCalendrier,1,13),1),"jjj")</f>
        <v>dim</v>
      </c>
      <c r="P5" s="2" t="str">
        <f>TEXT(WEEKDAY(DATE(AnnéeCalendrier,1,14),1),"jjj")</f>
        <v>lun</v>
      </c>
      <c r="Q5" s="2" t="str">
        <f>TEXT(WEEKDAY(DATE(AnnéeCalendrier,1,15),1),"jjj")</f>
        <v>mar</v>
      </c>
      <c r="R5" s="2" t="str">
        <f>TEXT(WEEKDAY(DATE(AnnéeCalendrier,1,16),1),"jjj")</f>
        <v>mer</v>
      </c>
      <c r="S5" s="2" t="str">
        <f>TEXT(WEEKDAY(DATE(AnnéeCalendrier,1,17),1),"jjj")</f>
        <v>jeu</v>
      </c>
      <c r="T5" s="2" t="str">
        <f>TEXT(WEEKDAY(DATE(AnnéeCalendrier,1,18),1),"jjj")</f>
        <v>ven</v>
      </c>
      <c r="U5" s="2" t="str">
        <f>TEXT(WEEKDAY(DATE(AnnéeCalendrier,1,19),1),"jjj")</f>
        <v>sam</v>
      </c>
      <c r="V5" s="2" t="str">
        <f>TEXT(WEEKDAY(DATE(AnnéeCalendrier,1,20),1),"jjj")</f>
        <v>dim</v>
      </c>
      <c r="W5" s="2" t="str">
        <f>TEXT(WEEKDAY(DATE(AnnéeCalendrier,1,21),1),"jjj")</f>
        <v>lun</v>
      </c>
      <c r="X5" s="2" t="str">
        <f>TEXT(WEEKDAY(DATE(AnnéeCalendrier,1,22),1),"jjj")</f>
        <v>mar</v>
      </c>
      <c r="Y5" s="2" t="str">
        <f>TEXT(WEEKDAY(DATE(AnnéeCalendrier,1,23),1),"jjj")</f>
        <v>mer</v>
      </c>
      <c r="Z5" s="2" t="str">
        <f>TEXT(WEEKDAY(DATE(AnnéeCalendrier,1,24),1),"jjj")</f>
        <v>jeu</v>
      </c>
      <c r="AA5" s="2" t="str">
        <f>TEXT(WEEKDAY(DATE(AnnéeCalendrier,1,25),1),"jjj")</f>
        <v>ven</v>
      </c>
      <c r="AB5" s="2" t="str">
        <f>TEXT(WEEKDAY(DATE(AnnéeCalendrier,1,26),1),"jjj")</f>
        <v>sam</v>
      </c>
      <c r="AC5" s="2" t="str">
        <f>TEXT(WEEKDAY(DATE(AnnéeCalendrier,1,27),1),"jjj")</f>
        <v>dim</v>
      </c>
      <c r="AD5" s="2" t="str">
        <f>TEXT(WEEKDAY(DATE(AnnéeCalendrier,1,28),1),"jjj")</f>
        <v>lun</v>
      </c>
      <c r="AE5" s="2" t="str">
        <f>TEXT(WEEKDAY(DATE(AnnéeCalendrier,1,29),1),"jjj")</f>
        <v>mar</v>
      </c>
      <c r="AF5" s="2" t="str">
        <f>TEXT(WEEKDAY(DATE(AnnéeCalendrier,1,30),1),"jjj")</f>
        <v>mer</v>
      </c>
      <c r="AG5" s="2" t="str">
        <f>TEXT(WEEKDAY(DATE(AnnéeCalendrier,1,31),1),"jjj")</f>
        <v>jeu</v>
      </c>
      <c r="AH5" s="11"/>
      <c r="AI5" s="21"/>
      <c r="AJ5" s="21"/>
      <c r="AK5" s="21"/>
    </row>
    <row r="6" spans="1:37" ht="15" customHeight="1" thickBot="1" x14ac:dyDescent="0.6">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1:37" ht="30" customHeight="1" x14ac:dyDescent="0.55000000000000004">
      <c r="B7" s="32" t="s">
        <v>68</v>
      </c>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33"/>
      <c r="AH7" s="38">
        <f>SUMIF(Janvier[[#This Row],[1]:[31]],CléTravail)</f>
        <v>0</v>
      </c>
      <c r="AI7" s="34"/>
      <c r="AJ7" s="34"/>
      <c r="AK7" s="35"/>
    </row>
    <row r="8" spans="1:37" ht="30" customHeight="1" x14ac:dyDescent="0.55000000000000004">
      <c r="B8" s="36" t="s">
        <v>69</v>
      </c>
      <c r="C8" s="30"/>
      <c r="D8" s="30"/>
      <c r="E8" s="30"/>
      <c r="F8" s="30"/>
      <c r="G8" s="30"/>
      <c r="H8" s="30"/>
      <c r="I8" s="30"/>
      <c r="J8" s="30"/>
      <c r="K8" s="30"/>
      <c r="L8" s="30"/>
      <c r="M8" s="30"/>
      <c r="N8" s="30"/>
      <c r="O8" s="30"/>
      <c r="P8" s="30"/>
      <c r="Q8" s="30"/>
      <c r="R8" s="30"/>
      <c r="S8" s="30"/>
      <c r="T8" s="30"/>
      <c r="U8" s="30"/>
      <c r="V8" s="30"/>
      <c r="W8" s="30"/>
      <c r="X8" s="30"/>
      <c r="Y8" s="30"/>
      <c r="Z8" s="30"/>
      <c r="AA8" s="30"/>
      <c r="AB8" s="30"/>
      <c r="AC8" s="30"/>
      <c r="AD8" s="30"/>
      <c r="AE8" s="30"/>
      <c r="AF8" s="30"/>
      <c r="AG8" s="30"/>
      <c r="AH8" s="31">
        <f>SUMIF(Janvier[[#This Row],[1]:[31]],CléTravail)</f>
        <v>0</v>
      </c>
      <c r="AI8" s="31"/>
      <c r="AJ8" s="31"/>
      <c r="AK8" s="37"/>
    </row>
    <row r="9" spans="1:37" ht="30" customHeight="1" x14ac:dyDescent="0.55000000000000004">
      <c r="B9" s="36" t="s">
        <v>70</v>
      </c>
      <c r="C9" s="30"/>
      <c r="D9" s="30"/>
      <c r="E9" s="30"/>
      <c r="F9" s="30"/>
      <c r="G9" s="30"/>
      <c r="H9" s="30"/>
      <c r="I9" s="30"/>
      <c r="J9" s="30"/>
      <c r="K9" s="30"/>
      <c r="L9" s="30"/>
      <c r="M9" s="30"/>
      <c r="N9" s="30"/>
      <c r="O9" s="30"/>
      <c r="P9" s="30"/>
      <c r="Q9" s="30"/>
      <c r="R9" s="30"/>
      <c r="S9" s="30"/>
      <c r="T9" s="30"/>
      <c r="U9" s="30"/>
      <c r="V9" s="30"/>
      <c r="W9" s="30"/>
      <c r="X9" s="30"/>
      <c r="Y9" s="30"/>
      <c r="Z9" s="30"/>
      <c r="AA9" s="30"/>
      <c r="AB9" s="30"/>
      <c r="AC9" s="30"/>
      <c r="AD9" s="30"/>
      <c r="AE9" s="30"/>
      <c r="AF9" s="30"/>
      <c r="AG9" s="30"/>
      <c r="AH9" s="31">
        <f>SUMIF(Janvier[[#This Row],[1]:[31]],CléTravail)</f>
        <v>0</v>
      </c>
      <c r="AI9" s="31"/>
      <c r="AJ9" s="31"/>
      <c r="AK9" s="37"/>
    </row>
    <row r="10" spans="1:37" ht="30" customHeight="1" x14ac:dyDescent="0.55000000000000004">
      <c r="B10" s="36" t="s">
        <v>6</v>
      </c>
      <c r="C10" s="30"/>
      <c r="D10" s="30"/>
      <c r="E10" s="30"/>
      <c r="F10" s="30"/>
      <c r="G10" s="30"/>
      <c r="H10" s="30"/>
      <c r="I10" s="30"/>
      <c r="J10" s="30"/>
      <c r="K10" s="30"/>
      <c r="L10" s="30"/>
      <c r="M10" s="30"/>
      <c r="N10" s="30"/>
      <c r="O10" s="30"/>
      <c r="P10" s="30"/>
      <c r="Q10" s="30"/>
      <c r="R10" s="30"/>
      <c r="S10" s="30"/>
      <c r="T10" s="30"/>
      <c r="U10" s="30"/>
      <c r="V10" s="30"/>
      <c r="W10" s="30"/>
      <c r="X10" s="30"/>
      <c r="Y10" s="30"/>
      <c r="Z10" s="30"/>
      <c r="AA10" s="30"/>
      <c r="AB10" s="30"/>
      <c r="AC10" s="30"/>
      <c r="AD10" s="30"/>
      <c r="AE10" s="30"/>
      <c r="AF10" s="30"/>
      <c r="AG10" s="30"/>
      <c r="AH10" s="31">
        <f>SUMIF(Janvier[[#This Row],[1]:[31]],CléTravail)</f>
        <v>0</v>
      </c>
      <c r="AI10" s="31"/>
      <c r="AJ10" s="31"/>
      <c r="AK10" s="37"/>
    </row>
    <row r="11" spans="1:37" ht="30" customHeight="1" x14ac:dyDescent="0.55000000000000004">
      <c r="B11" s="52" t="s">
        <v>7</v>
      </c>
      <c r="C11" s="55"/>
      <c r="D11" s="55"/>
      <c r="E11" s="55"/>
      <c r="F11" s="55"/>
      <c r="G11" s="55"/>
      <c r="H11" s="55"/>
      <c r="I11" s="55"/>
      <c r="J11" s="55"/>
      <c r="K11" s="55"/>
      <c r="L11" s="55"/>
      <c r="M11" s="55"/>
      <c r="N11" s="55"/>
      <c r="O11" s="55"/>
      <c r="P11" s="55"/>
      <c r="Q11" s="55"/>
      <c r="R11" s="55"/>
      <c r="S11" s="55"/>
      <c r="T11" s="55"/>
      <c r="U11" s="55"/>
      <c r="V11" s="55"/>
      <c r="W11" s="55"/>
      <c r="X11" s="55"/>
      <c r="Y11" s="55"/>
      <c r="Z11" s="55"/>
      <c r="AA11" s="55"/>
      <c r="AB11" s="55"/>
      <c r="AC11" s="55"/>
      <c r="AD11" s="55"/>
      <c r="AE11" s="55"/>
      <c r="AF11" s="55"/>
      <c r="AG11" s="55"/>
      <c r="AH11" s="53">
        <f>SUMIF(Janvier[[#This Row],[1]:[31]],CléTravail)</f>
        <v>0</v>
      </c>
      <c r="AI11" s="53"/>
      <c r="AJ11" s="53"/>
      <c r="AK11" s="54"/>
    </row>
    <row r="12" spans="1:37" s="59" customFormat="1" ht="13.2" customHeight="1" thickBot="1" x14ac:dyDescent="0.6">
      <c r="A12" s="56"/>
      <c r="B12" s="57"/>
      <c r="C12" s="56"/>
      <c r="D12" s="56"/>
      <c r="E12" s="56"/>
      <c r="F12" s="56"/>
      <c r="G12" s="56"/>
      <c r="H12" s="56"/>
      <c r="I12" s="56"/>
      <c r="J12" s="56"/>
      <c r="K12" s="56"/>
      <c r="L12" s="56"/>
      <c r="M12" s="56"/>
      <c r="N12" s="56"/>
      <c r="O12" s="56"/>
      <c r="P12" s="56"/>
      <c r="Q12" s="56"/>
      <c r="R12" s="56"/>
      <c r="S12" s="56"/>
      <c r="T12" s="56"/>
      <c r="U12" s="56"/>
      <c r="V12" s="56"/>
      <c r="W12" s="56"/>
      <c r="X12" s="56"/>
      <c r="Y12" s="56"/>
      <c r="Z12" s="56"/>
      <c r="AA12" s="56"/>
      <c r="AB12" s="56"/>
      <c r="AC12" s="56"/>
      <c r="AD12" s="56"/>
      <c r="AE12" s="56"/>
      <c r="AF12" s="56"/>
      <c r="AG12" s="56"/>
      <c r="AH12" s="58" t="s">
        <v>50</v>
      </c>
      <c r="AI12" s="9"/>
      <c r="AJ12" s="9"/>
      <c r="AK12" s="9"/>
    </row>
    <row r="13" spans="1:37" ht="30" customHeight="1" thickBot="1" x14ac:dyDescent="0.6">
      <c r="AB13" s="60" t="s">
        <v>87</v>
      </c>
      <c r="AC13" s="61"/>
      <c r="AD13" s="61"/>
      <c r="AE13" s="61"/>
      <c r="AF13" s="61"/>
      <c r="AG13" s="65"/>
      <c r="AH13" s="64">
        <f>SUM(AH7:AH12)</f>
        <v>0</v>
      </c>
      <c r="AI13" s="62">
        <f t="shared" ref="AI13:AK13" si="0">SUM(AI7:AI12)</f>
        <v>0</v>
      </c>
      <c r="AJ13" s="62">
        <f t="shared" si="0"/>
        <v>0</v>
      </c>
      <c r="AK13" s="63">
        <f t="shared" si="0"/>
        <v>0</v>
      </c>
    </row>
  </sheetData>
  <mergeCells count="9">
    <mergeCell ref="AB13:AG13"/>
    <mergeCell ref="AH3:AI3"/>
    <mergeCell ref="AH4:AI4"/>
    <mergeCell ref="AJ4:AK4"/>
    <mergeCell ref="C4:AG4"/>
    <mergeCell ref="D2:E2"/>
    <mergeCell ref="K2:L2"/>
    <mergeCell ref="N2:O2"/>
    <mergeCell ref="G2:H2"/>
  </mergeCells>
  <conditionalFormatting sqref="C7:AG11">
    <cfRule type="expression" priority="5" stopIfTrue="1">
      <formula>C7=""</formula>
    </cfRule>
    <cfRule type="expression" dxfId="156" priority="10" stopIfTrue="1">
      <formula>C7=CléPersonnalisée2</formula>
    </cfRule>
    <cfRule type="expression" dxfId="155" priority="11" stopIfTrue="1">
      <formula>C7=CléPersonnalisée1</formula>
    </cfRule>
    <cfRule type="expression" dxfId="154" priority="12" stopIfTrue="1">
      <formula>C7=CléMaladie</formula>
    </cfRule>
    <cfRule type="expression" dxfId="153" priority="13" stopIfTrue="1">
      <formula>C7=CléCongés</formula>
    </cfRule>
    <cfRule type="expression" dxfId="152" priority="14" stopIfTrue="1">
      <formula>C7=CléTravail</formula>
    </cfRule>
  </conditionalFormatting>
  <conditionalFormatting sqref="AH8:AH11">
    <cfRule type="dataBar" priority="172">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7:AI11">
    <cfRule type="dataBar" priority="4">
      <dataBar>
        <cfvo type="num" val="0"/>
        <cfvo type="num" val="31"/>
        <color theme="2" tint="-0.249977111117893"/>
      </dataBar>
      <extLst>
        <ext xmlns:x14="http://schemas.microsoft.com/office/spreadsheetml/2009/9/main" uri="{B025F937-C7B1-47D3-B67F-A62EFF666E3E}">
          <x14:id>{4FE2040B-35D1-4091-8961-5036F8E73DD4}</x14:id>
        </ext>
      </extLst>
    </cfRule>
  </conditionalFormatting>
  <conditionalFormatting sqref="AJ7:AK11">
    <cfRule type="dataBar" priority="3">
      <dataBar>
        <cfvo type="num" val="0"/>
        <cfvo type="num" val="31"/>
        <color theme="2" tint="-0.249977111117893"/>
      </dataBar>
      <extLst>
        <ext xmlns:x14="http://schemas.microsoft.com/office/spreadsheetml/2009/9/main" uri="{B025F937-C7B1-47D3-B67F-A62EFF666E3E}">
          <x14:id>{516680D6-7F11-4652-BFD9-40018573E759}</x14:id>
        </ext>
      </extLst>
    </cfRule>
  </conditionalFormatting>
  <conditionalFormatting sqref="AH7">
    <cfRule type="dataBar" priority="1">
      <dataBar>
        <cfvo type="num" val="0"/>
        <cfvo type="num" val="31"/>
        <color theme="2" tint="-0.249977111117893"/>
      </dataBar>
      <extLst>
        <ext xmlns:x14="http://schemas.microsoft.com/office/spreadsheetml/2009/9/main" uri="{B025F937-C7B1-47D3-B67F-A62EFF666E3E}">
          <x14:id>{4F9786AF-98A6-44F7-8596-ABB623E7521D}</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AH8:AH11</xm:sqref>
        </x14:conditionalFormatting>
        <x14:conditionalFormatting xmlns:xm="http://schemas.microsoft.com/office/excel/2006/main">
          <x14:cfRule type="dataBar" id="{4FE2040B-35D1-4091-8961-5036F8E73DD4}">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516680D6-7F11-4652-BFD9-40018573E759}">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4F9786AF-98A6-44F7-8596-ABB623E7521D}">
            <x14:dataBar minLength="0" maxLength="100">
              <x14:cfvo type="num">
                <xm:f>0</xm:f>
              </x14:cfvo>
              <x14:cfvo type="num">
                <xm:f>31</xm:f>
              </x14:cfvo>
              <x14:negativeFillColor rgb="FFFF0000"/>
              <x14:axisColor rgb="FF000000"/>
            </x14:dataBar>
          </x14:cfRule>
          <xm:sqref>AH7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row>
    <row r="4" spans="2:37" ht="30" customHeight="1" x14ac:dyDescent="0.55000000000000004">
      <c r="B4" s="21" t="s">
        <v>49</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21">
        <f>AnnéeCalendrier</f>
        <v>2019</v>
      </c>
      <c r="AI4" s="21"/>
      <c r="AJ4" s="21"/>
      <c r="AK4" s="21"/>
    </row>
    <row r="5" spans="2:37" ht="15" customHeight="1" x14ac:dyDescent="0.55000000000000004">
      <c r="B5" s="21"/>
      <c r="C5" s="2" t="str">
        <f>TEXT(WEEKDAY(DATE(AnnéeCalendrier,2,1),1),"jjj")</f>
        <v>ven</v>
      </c>
      <c r="D5" s="2" t="str">
        <f>TEXT(WEEKDAY(DATE(AnnéeCalendrier,2,2),1),"jjj")</f>
        <v>sam</v>
      </c>
      <c r="E5" s="2" t="str">
        <f>TEXT(WEEKDAY(DATE(AnnéeCalendrier,2,3),1),"jjj")</f>
        <v>dim</v>
      </c>
      <c r="F5" s="2" t="str">
        <f>TEXT(WEEKDAY(DATE(AnnéeCalendrier,2,4),1),"jjj")</f>
        <v>lun</v>
      </c>
      <c r="G5" s="2" t="str">
        <f>TEXT(WEEKDAY(DATE(AnnéeCalendrier,2,5),1),"jjj")</f>
        <v>mar</v>
      </c>
      <c r="H5" s="2" t="str">
        <f>TEXT(WEEKDAY(DATE(AnnéeCalendrier,2,6),1),"jjj")</f>
        <v>mer</v>
      </c>
      <c r="I5" s="2" t="str">
        <f>TEXT(WEEKDAY(DATE(AnnéeCalendrier,2,7),1),"jjj")</f>
        <v>jeu</v>
      </c>
      <c r="J5" s="2" t="str">
        <f>TEXT(WEEKDAY(DATE(AnnéeCalendrier,2,8),1),"jjj")</f>
        <v>ven</v>
      </c>
      <c r="K5" s="2" t="str">
        <f>TEXT(WEEKDAY(DATE(AnnéeCalendrier,2,9),1),"jjj")</f>
        <v>sam</v>
      </c>
      <c r="L5" s="2" t="str">
        <f>TEXT(WEEKDAY(DATE(AnnéeCalendrier,2,10),1),"jjj")</f>
        <v>dim</v>
      </c>
      <c r="M5" s="2" t="str">
        <f>TEXT(WEEKDAY(DATE(AnnéeCalendrier,2,11),1),"jjj")</f>
        <v>lun</v>
      </c>
      <c r="N5" s="2" t="str">
        <f>TEXT(WEEKDAY(DATE(AnnéeCalendrier,2,12),1),"jjj")</f>
        <v>mar</v>
      </c>
      <c r="O5" s="2" t="str">
        <f>TEXT(WEEKDAY(DATE(AnnéeCalendrier,2,13),1),"jjj")</f>
        <v>mer</v>
      </c>
      <c r="P5" s="2" t="str">
        <f>TEXT(WEEKDAY(DATE(AnnéeCalendrier,2,14),1),"jjj")</f>
        <v>jeu</v>
      </c>
      <c r="Q5" s="2" t="str">
        <f>TEXT(WEEKDAY(DATE(AnnéeCalendrier,2,15),1),"jjj")</f>
        <v>ven</v>
      </c>
      <c r="R5" s="2" t="str">
        <f>TEXT(WEEKDAY(DATE(AnnéeCalendrier,2,16),1),"jjj")</f>
        <v>sam</v>
      </c>
      <c r="S5" s="2" t="str">
        <f>TEXT(WEEKDAY(DATE(AnnéeCalendrier,2,17),1),"jjj")</f>
        <v>dim</v>
      </c>
      <c r="T5" s="2" t="str">
        <f>TEXT(WEEKDAY(DATE(AnnéeCalendrier,2,18),1),"jjj")</f>
        <v>lun</v>
      </c>
      <c r="U5" s="2" t="str">
        <f>TEXT(WEEKDAY(DATE(AnnéeCalendrier,2,19),1),"jjj")</f>
        <v>mar</v>
      </c>
      <c r="V5" s="2" t="str">
        <f>TEXT(WEEKDAY(DATE(AnnéeCalendrier,2,20),1),"jjj")</f>
        <v>mer</v>
      </c>
      <c r="W5" s="2" t="str">
        <f>TEXT(WEEKDAY(DATE(AnnéeCalendrier,2,21),1),"jjj")</f>
        <v>jeu</v>
      </c>
      <c r="X5" s="2" t="str">
        <f>TEXT(WEEKDAY(DATE(AnnéeCalendrier,2,22),1),"jjj")</f>
        <v>ven</v>
      </c>
      <c r="Y5" s="2" t="str">
        <f>TEXT(WEEKDAY(DATE(AnnéeCalendrier,2,23),1),"jjj")</f>
        <v>sam</v>
      </c>
      <c r="Z5" s="2" t="str">
        <f>TEXT(WEEKDAY(DATE(AnnéeCalendrier,2,24),1),"jjj")</f>
        <v>dim</v>
      </c>
      <c r="AA5" s="2" t="str">
        <f>TEXT(WEEKDAY(DATE(AnnéeCalendrier,2,25),1),"jjj")</f>
        <v>lun</v>
      </c>
      <c r="AB5" s="2" t="str">
        <f>TEXT(WEEKDAY(DATE(AnnéeCalendrier,2,26),1),"jjj")</f>
        <v>mar</v>
      </c>
      <c r="AC5" s="2" t="str">
        <f>TEXT(WEEKDAY(DATE(AnnéeCalendrier,2,27),1),"jjj")</f>
        <v>mer</v>
      </c>
      <c r="AD5" s="2" t="str">
        <f>TEXT(WEEKDAY(DATE(AnnéeCalendrier,2,28),1),"jjj")</f>
        <v>jeu</v>
      </c>
      <c r="AE5" s="2" t="str">
        <f>TEXT(WEEKDAY(DATE(AnnéeCalendrier,2,29),1),"jjj")</f>
        <v>ven</v>
      </c>
      <c r="AF5" s="2"/>
      <c r="AG5" s="2"/>
      <c r="AH5" s="2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50</v>
      </c>
      <c r="AG6" s="3" t="s">
        <v>51</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2"/>
      <c r="AH12" s="12"/>
      <c r="AI12" s="12"/>
      <c r="AJ12" s="12"/>
      <c r="AK12" s="12"/>
    </row>
    <row r="13" spans="2:37" ht="30" customHeight="1" x14ac:dyDescent="0.55000000000000004">
      <c r="B13" s="18" t="str">
        <f>NomMois&amp;" Total"</f>
        <v>Février Total</v>
      </c>
      <c r="C13" s="12">
        <f>SUBTOTAL(103,Février[1])</f>
        <v>0</v>
      </c>
      <c r="D13" s="12">
        <f>SUBTOTAL(103,Février[2])</f>
        <v>0</v>
      </c>
      <c r="E13" s="12">
        <f>SUBTOTAL(103,Février[3])</f>
        <v>0</v>
      </c>
      <c r="F13" s="12">
        <f>SUBTOTAL(103,Février[4])</f>
        <v>0</v>
      </c>
      <c r="G13" s="12">
        <f>SUBTOTAL(103,Février[5])</f>
        <v>0</v>
      </c>
      <c r="H13" s="12">
        <f>SUBTOTAL(103,Février[6])</f>
        <v>0</v>
      </c>
      <c r="I13" s="12">
        <f>SUBTOTAL(103,Février[7])</f>
        <v>0</v>
      </c>
      <c r="J13" s="12">
        <f>SUBTOTAL(103,Février[8])</f>
        <v>0</v>
      </c>
      <c r="K13" s="12">
        <f>SUBTOTAL(103,Février[9])</f>
        <v>0</v>
      </c>
      <c r="L13" s="12">
        <f>SUBTOTAL(103,Février[10])</f>
        <v>0</v>
      </c>
      <c r="M13" s="12">
        <f>SUBTOTAL(103,Février[11])</f>
        <v>0</v>
      </c>
      <c r="N13" s="12">
        <f>SUBTOTAL(103,Février[12])</f>
        <v>0</v>
      </c>
      <c r="O13" s="12">
        <f>SUBTOTAL(103,Février[13])</f>
        <v>0</v>
      </c>
      <c r="P13" s="12">
        <f>SUBTOTAL(103,Février[14])</f>
        <v>0</v>
      </c>
      <c r="Q13" s="12">
        <f>SUBTOTAL(103,Février[15])</f>
        <v>0</v>
      </c>
      <c r="R13" s="12">
        <f>SUBTOTAL(103,Février[16])</f>
        <v>0</v>
      </c>
      <c r="S13" s="12">
        <f>SUBTOTAL(103,Février[17])</f>
        <v>0</v>
      </c>
      <c r="T13" s="12">
        <f>SUBTOTAL(103,Février[18])</f>
        <v>0</v>
      </c>
      <c r="U13" s="12">
        <f>SUBTOTAL(103,Février[19])</f>
        <v>0</v>
      </c>
      <c r="V13" s="12">
        <f>SUBTOTAL(103,Février[20])</f>
        <v>0</v>
      </c>
      <c r="W13" s="12">
        <f>SUBTOTAL(103,Février[21])</f>
        <v>0</v>
      </c>
      <c r="X13" s="12">
        <f>SUBTOTAL(103,Février[22])</f>
        <v>0</v>
      </c>
      <c r="Y13" s="12">
        <f>SUBTOTAL(103,Février[23])</f>
        <v>0</v>
      </c>
      <c r="Z13" s="12">
        <f>SUBTOTAL(103,Février[24])</f>
        <v>0</v>
      </c>
      <c r="AA13" s="12">
        <f>SUBTOTAL(103,Février[25])</f>
        <v>0</v>
      </c>
      <c r="AB13" s="12">
        <f>SUBTOTAL(103,Février[26])</f>
        <v>0</v>
      </c>
      <c r="AC13" s="12">
        <f>SUBTOTAL(103,Février[27])</f>
        <v>0</v>
      </c>
      <c r="AD13" s="12">
        <f>SUBTOTAL(103,Février[28])</f>
        <v>0</v>
      </c>
      <c r="AE13" s="12">
        <f>SUBTOTAL(103,Février[29])</f>
        <v>0</v>
      </c>
      <c r="AF13" s="12"/>
      <c r="AG13" s="12"/>
      <c r="AH13" s="12">
        <f>SUBTOTAL(109,Février[Travaillé])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AE6">
    <cfRule type="expression" dxfId="151" priority="19">
      <formula>MONTH(DATE(AnnéeCalendrier,2,29))&lt;&gt;2</formula>
    </cfRule>
  </conditionalFormatting>
  <conditionalFormatting sqref="AE5">
    <cfRule type="expression" dxfId="150" priority="18">
      <formula>MONTH(DATE(AnnéeCalendrier,2,29))&lt;&gt;2</formula>
    </cfRule>
  </conditionalFormatting>
  <conditionalFormatting sqref="C7:AG12">
    <cfRule type="expression" priority="5" stopIfTrue="1">
      <formula>C7=""</formula>
    </cfRule>
    <cfRule type="expression" dxfId="149" priority="6" stopIfTrue="1">
      <formula>C7=CléPersonnalisée2</formula>
    </cfRule>
  </conditionalFormatting>
  <conditionalFormatting sqref="C7:AG12">
    <cfRule type="expression" dxfId="148" priority="8" stopIfTrue="1">
      <formula>C7=CléPersonnalisée1</formula>
    </cfRule>
    <cfRule type="expression" dxfId="147" priority="9" stopIfTrue="1">
      <formula>C7=CléMaladie</formula>
    </cfRule>
    <cfRule type="expression" dxfId="146" priority="10" stopIfTrue="1">
      <formula>C7=CléCongés</formula>
    </cfRule>
    <cfRule type="expression" dxfId="145" priority="11" stopIfTrue="1">
      <formula>C7=CléTravail</formula>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{7F811F00-F02B-49FF-8B0D-7425E3E4C20E}</x14:id>
        </ext>
      </extLst>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{519C4681-CA73-4545-BF00-797E297CC6F0}</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{AA3443F1-A216-4B43-B37E-5519FEB1DA11}</x14:id>
        </ext>
      </extLst>
    </cfRule>
  </conditionalFormatting>
  <dataValidations xWindow="232" yWindow="365"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F811F00-F02B-49FF-8B0D-7425E3E4C20E}">
            <x14:dataBar minLength="0" maxLength="100">
              <x14:cfvo type="num">
                <xm:f>0</xm:f>
              </x14:cfvo>
              <x14:cfvo type="num">
                <xm:f>31</xm:f>
              </x14:cfvo>
              <x14:negativeFillColor rgb="FFFF0000"/>
              <x14:axisColor rgb="FF000000"/>
            </x14:dataBar>
          </x14:cfRule>
          <xm:sqref>AJ7:AK11</xm:sqref>
        </x14:conditionalFormatting>
        <x14:conditionalFormatting xmlns:xm="http://schemas.microsoft.com/office/excel/2006/main">
          <x14:cfRule type="dataBar" id="{519C4681-CA73-4545-BF00-797E297CC6F0}">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AA3443F1-A216-4B43-B37E-5519FEB1DA11}">
            <x14:dataBar minLength="0" maxLength="100">
              <x14:cfvo type="num">
                <xm:f>0</xm:f>
              </x14:cfvo>
              <x14:cfvo type="num">
                <xm:f>31</xm:f>
              </x14:cfvo>
              <x14:negativeFillColor rgb="FFFF0000"/>
              <x14:axisColor rgb="FF000000"/>
            </x14:dataBar>
          </x14:cfRule>
          <xm:sqref>AI7:AI11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employés'!$B$4:$B$8</xm:f>
          </x14:formula1>
          <xm:sqref>B7:B12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52</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TEXT(WEEKDAY(DATE(AnnéeCalendrier,3,1),1),"jjj")</f>
        <v>ven</v>
      </c>
      <c r="D5" s="2" t="str">
        <f>TEXT(WEEKDAY(DATE(AnnéeCalendrier,3,2),1),"jjj")</f>
        <v>sam</v>
      </c>
      <c r="E5" s="2" t="str">
        <f>TEXT(WEEKDAY(DATE(AnnéeCalendrier,3,3),1),"jjj")</f>
        <v>dim</v>
      </c>
      <c r="F5" s="2" t="str">
        <f>TEXT(WEEKDAY(DATE(AnnéeCalendrier,3,4),1),"jjj")</f>
        <v>lun</v>
      </c>
      <c r="G5" s="2" t="str">
        <f>TEXT(WEEKDAY(DATE(AnnéeCalendrier,3,5),1),"jjj")</f>
        <v>mar</v>
      </c>
      <c r="H5" s="2" t="str">
        <f>TEXT(WEEKDAY(DATE(AnnéeCalendrier,3,6),1),"jjj")</f>
        <v>mer</v>
      </c>
      <c r="I5" s="2" t="str">
        <f>TEXT(WEEKDAY(DATE(AnnéeCalendrier,3,7),1),"jjj")</f>
        <v>jeu</v>
      </c>
      <c r="J5" s="2" t="str">
        <f>TEXT(WEEKDAY(DATE(AnnéeCalendrier,3,8),1),"jjj")</f>
        <v>ven</v>
      </c>
      <c r="K5" s="2" t="str">
        <f>TEXT(WEEKDAY(DATE(AnnéeCalendrier,3,9),1),"jjj")</f>
        <v>sam</v>
      </c>
      <c r="L5" s="2" t="str">
        <f>TEXT(WEEKDAY(DATE(AnnéeCalendrier,3,10),1),"jjj")</f>
        <v>dim</v>
      </c>
      <c r="M5" s="2" t="str">
        <f>TEXT(WEEKDAY(DATE(AnnéeCalendrier,3,11),1),"jjj")</f>
        <v>lun</v>
      </c>
      <c r="N5" s="2" t="str">
        <f>TEXT(WEEKDAY(DATE(AnnéeCalendrier,3,12),1),"jjj")</f>
        <v>mar</v>
      </c>
      <c r="O5" s="2" t="str">
        <f>TEXT(WEEKDAY(DATE(AnnéeCalendrier,3,13),1),"jjj")</f>
        <v>mer</v>
      </c>
      <c r="P5" s="2" t="str">
        <f>TEXT(WEEKDAY(DATE(AnnéeCalendrier,3,14),1),"jjj")</f>
        <v>jeu</v>
      </c>
      <c r="Q5" s="2" t="str">
        <f>TEXT(WEEKDAY(DATE(AnnéeCalendrier,3,15),1),"jjj")</f>
        <v>ven</v>
      </c>
      <c r="R5" s="2" t="str">
        <f>TEXT(WEEKDAY(DATE(AnnéeCalendrier,3,16),1),"jjj")</f>
        <v>sam</v>
      </c>
      <c r="S5" s="2" t="str">
        <f>TEXT(WEEKDAY(DATE(AnnéeCalendrier,3,17),1),"jjj")</f>
        <v>dim</v>
      </c>
      <c r="T5" s="2" t="str">
        <f>TEXT(WEEKDAY(DATE(AnnéeCalendrier,3,18),1),"jjj")</f>
        <v>lun</v>
      </c>
      <c r="U5" s="2" t="str">
        <f>TEXT(WEEKDAY(DATE(AnnéeCalendrier,3,19),1),"jjj")</f>
        <v>mar</v>
      </c>
      <c r="V5" s="2" t="str">
        <f>TEXT(WEEKDAY(DATE(AnnéeCalendrier,3,20),1),"jjj")</f>
        <v>mer</v>
      </c>
      <c r="W5" s="2" t="str">
        <f>TEXT(WEEKDAY(DATE(AnnéeCalendrier,3,21),1),"jjj")</f>
        <v>jeu</v>
      </c>
      <c r="X5" s="2" t="str">
        <f>TEXT(WEEKDAY(DATE(AnnéeCalendrier,3,22),1),"jjj")</f>
        <v>ven</v>
      </c>
      <c r="Y5" s="2" t="str">
        <f>TEXT(WEEKDAY(DATE(AnnéeCalendrier,3,23),1),"jjj")</f>
        <v>sam</v>
      </c>
      <c r="Z5" s="2" t="str">
        <f>TEXT(WEEKDAY(DATE(AnnéeCalendrier,3,24),1),"jjj")</f>
        <v>dim</v>
      </c>
      <c r="AA5" s="2" t="str">
        <f>TEXT(WEEKDAY(DATE(AnnéeCalendrier,3,25),1),"jjj")</f>
        <v>lun</v>
      </c>
      <c r="AB5" s="2" t="str">
        <f>TEXT(WEEKDAY(DATE(AnnéeCalendrier,3,26),1),"jjj")</f>
        <v>mar</v>
      </c>
      <c r="AC5" s="2" t="str">
        <f>TEXT(WEEKDAY(DATE(AnnéeCalendrier,3,27),1),"jjj")</f>
        <v>mer</v>
      </c>
      <c r="AD5" s="2" t="str">
        <f>TEXT(WEEKDAY(DATE(AnnéeCalendrier,3,28),1),"jjj")</f>
        <v>jeu</v>
      </c>
      <c r="AE5" s="2" t="str">
        <f>TEXT(WEEKDAY(DATE(AnnéeCalendrier,3,29),1),"jjj")</f>
        <v>ven</v>
      </c>
      <c r="AF5" s="2" t="str">
        <f>TEXT(WEEKDAY(DATE(AnnéeCalendrier,3,30),1),"jjj")</f>
        <v>sam</v>
      </c>
      <c r="AG5" s="2" t="str">
        <f>TEXT(WEEKDAY(DATE(AnnéeCalendrier,3,31),1),"jjj")</f>
        <v>dim</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Mars Total</v>
      </c>
      <c r="C13" s="12">
        <f>SUBTOTAL(103,Mars[1])</f>
        <v>0</v>
      </c>
      <c r="D13" s="12">
        <f>SUBTOTAL(103,Mars[2])</f>
        <v>0</v>
      </c>
      <c r="E13" s="12">
        <f>SUBTOTAL(103,Mars[3])</f>
        <v>0</v>
      </c>
      <c r="F13" s="12">
        <f>SUBTOTAL(103,Mars[4])</f>
        <v>0</v>
      </c>
      <c r="G13" s="12">
        <f>SUBTOTAL(103,Mars[5])</f>
        <v>0</v>
      </c>
      <c r="H13" s="12">
        <f>SUBTOTAL(103,Mars[6])</f>
        <v>0</v>
      </c>
      <c r="I13" s="12">
        <f>SUBTOTAL(103,Mars[7])</f>
        <v>0</v>
      </c>
      <c r="J13" s="12">
        <f>SUBTOTAL(103,Mars[8])</f>
        <v>0</v>
      </c>
      <c r="K13" s="12">
        <f>SUBTOTAL(103,Mars[9])</f>
        <v>0</v>
      </c>
      <c r="L13" s="12">
        <f>SUBTOTAL(103,Mars[10])</f>
        <v>0</v>
      </c>
      <c r="M13" s="12">
        <f>SUBTOTAL(103,Mars[11])</f>
        <v>0</v>
      </c>
      <c r="N13" s="12">
        <f>SUBTOTAL(103,Mars[12])</f>
        <v>0</v>
      </c>
      <c r="O13" s="12">
        <f>SUBTOTAL(103,Mars[13])</f>
        <v>0</v>
      </c>
      <c r="P13" s="12">
        <f>SUBTOTAL(103,Mars[14])</f>
        <v>0</v>
      </c>
      <c r="Q13" s="12">
        <f>SUBTOTAL(103,Mars[15])</f>
        <v>0</v>
      </c>
      <c r="R13" s="12">
        <f>SUBTOTAL(103,Mars[16])</f>
        <v>0</v>
      </c>
      <c r="S13" s="12">
        <f>SUBTOTAL(103,Mars[17])</f>
        <v>0</v>
      </c>
      <c r="T13" s="12">
        <f>SUBTOTAL(103,Mars[18])</f>
        <v>0</v>
      </c>
      <c r="U13" s="12">
        <f>SUBTOTAL(103,Mars[19])</f>
        <v>0</v>
      </c>
      <c r="V13" s="12">
        <f>SUBTOTAL(103,Mars[20])</f>
        <v>0</v>
      </c>
      <c r="W13" s="12">
        <f>SUBTOTAL(103,Mars[21])</f>
        <v>0</v>
      </c>
      <c r="X13" s="12">
        <f>SUBTOTAL(103,Mars[22])</f>
        <v>0</v>
      </c>
      <c r="Y13" s="12">
        <f>SUBTOTAL(103,Mars[23])</f>
        <v>0</v>
      </c>
      <c r="Z13" s="12">
        <f>SUBTOTAL(103,Mars[24])</f>
        <v>0</v>
      </c>
      <c r="AA13" s="12">
        <f>SUBTOTAL(103,Mars[25])</f>
        <v>0</v>
      </c>
      <c r="AB13" s="12">
        <f>SUBTOTAL(103,Mars[26])</f>
        <v>0</v>
      </c>
      <c r="AC13" s="12">
        <f>SUBTOTAL(103,Mars[27])</f>
        <v>0</v>
      </c>
      <c r="AD13" s="12">
        <f>SUBTOTAL(103,Mars[28])</f>
        <v>0</v>
      </c>
      <c r="AE13" s="12">
        <f>SUBTOTAL(103,Mars[29])</f>
        <v>0</v>
      </c>
      <c r="AF13" s="12">
        <f>SUBTOTAL(103,Mars[30])</f>
        <v>0</v>
      </c>
      <c r="AG13" s="12">
        <f>SUBTOTAL(103,Mars[31])</f>
        <v>0</v>
      </c>
      <c r="AH13" s="12">
        <f>SUBTOTAL(109,Mars[Travaillé])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44" priority="5" stopIfTrue="1">
      <formula>C7=CléPersonnalisée2</formula>
    </cfRule>
    <cfRule type="expression" dxfId="143" priority="6" stopIfTrue="1">
      <formula>C7=CléPersonnalisée1</formula>
    </cfRule>
    <cfRule type="expression" dxfId="142" priority="7" stopIfTrue="1">
      <formula>C7=CléMaladie</formula>
    </cfRule>
    <cfRule type="expression" dxfId="141" priority="8" stopIfTrue="1">
      <formula>C7=CléCongés</formula>
    </cfRule>
    <cfRule type="expression" dxfId="140"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{6035BC01-C75C-4E6E-A371-EDCA9BCF56B6}</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{4836E415-8AF1-4CC7-A52E-138C6EF922D6}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{DF968660-AFCD-4D55-900D-E2D72431B853}</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035BC01-C75C-4E6E-A371-EDCA9BCF56B6}">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836E415-8AF1-4CC7-A52E-138C6EF922D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968660-AFCD-4D55-900D-E2D72431B853}">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53</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TEXT(WEEKDAY(DATE(AnnéeCalendrier,4,1),1),"jjj")</f>
        <v>lun</v>
      </c>
      <c r="D5" s="2" t="str">
        <f>TEXT(WEEKDAY(DATE(AnnéeCalendrier,4,2),1),"jjj")</f>
        <v>mar</v>
      </c>
      <c r="E5" s="2" t="str">
        <f>TEXT(WEEKDAY(DATE(AnnéeCalendrier,4,3),1),"jjj")</f>
        <v>mer</v>
      </c>
      <c r="F5" s="2" t="str">
        <f>TEXT(WEEKDAY(DATE(AnnéeCalendrier,4,4),1),"jjj")</f>
        <v>jeu</v>
      </c>
      <c r="G5" s="2" t="str">
        <f>TEXT(WEEKDAY(DATE(AnnéeCalendrier,4,5),1),"jjj")</f>
        <v>ven</v>
      </c>
      <c r="H5" s="2" t="str">
        <f>TEXT(WEEKDAY(DATE(AnnéeCalendrier,4,6),1),"jjj")</f>
        <v>sam</v>
      </c>
      <c r="I5" s="2" t="str">
        <f>TEXT(WEEKDAY(DATE(AnnéeCalendrier,4,7),1),"jjj")</f>
        <v>dim</v>
      </c>
      <c r="J5" s="2" t="str">
        <f>TEXT(WEEKDAY(DATE(AnnéeCalendrier,4,8),1),"jjj")</f>
        <v>lun</v>
      </c>
      <c r="K5" s="2" t="str">
        <f>TEXT(WEEKDAY(DATE(AnnéeCalendrier,4,9),1),"jjj")</f>
        <v>mar</v>
      </c>
      <c r="L5" s="2" t="str">
        <f>TEXT(WEEKDAY(DATE(AnnéeCalendrier,4,10),1),"jjj")</f>
        <v>mer</v>
      </c>
      <c r="M5" s="2" t="str">
        <f>TEXT(WEEKDAY(DATE(AnnéeCalendrier,4,11),1),"jjj")</f>
        <v>jeu</v>
      </c>
      <c r="N5" s="2" t="str">
        <f>TEXT(WEEKDAY(DATE(AnnéeCalendrier,4,12),1),"jjj")</f>
        <v>ven</v>
      </c>
      <c r="O5" s="2" t="str">
        <f>TEXT(WEEKDAY(DATE(AnnéeCalendrier,4,13),1),"jjj")</f>
        <v>sam</v>
      </c>
      <c r="P5" s="2" t="str">
        <f>TEXT(WEEKDAY(DATE(AnnéeCalendrier,4,14),1),"jjj")</f>
        <v>dim</v>
      </c>
      <c r="Q5" s="2" t="str">
        <f>TEXT(WEEKDAY(DATE(AnnéeCalendrier,4,15),1),"jjj")</f>
        <v>lun</v>
      </c>
      <c r="R5" s="2" t="str">
        <f>TEXT(WEEKDAY(DATE(AnnéeCalendrier,4,16),1),"jjj")</f>
        <v>mar</v>
      </c>
      <c r="S5" s="2" t="str">
        <f>TEXT(WEEKDAY(DATE(AnnéeCalendrier,4,17),1),"jjj")</f>
        <v>mer</v>
      </c>
      <c r="T5" s="2" t="str">
        <f>TEXT(WEEKDAY(DATE(AnnéeCalendrier,4,18),1),"jjj")</f>
        <v>jeu</v>
      </c>
      <c r="U5" s="2" t="str">
        <f>TEXT(WEEKDAY(DATE(AnnéeCalendrier,4,19),1),"jjj")</f>
        <v>ven</v>
      </c>
      <c r="V5" s="2" t="str">
        <f>TEXT(WEEKDAY(DATE(AnnéeCalendrier,4,20),1),"jjj")</f>
        <v>sam</v>
      </c>
      <c r="W5" s="2" t="str">
        <f>TEXT(WEEKDAY(DATE(AnnéeCalendrier,4,21),1),"jjj")</f>
        <v>dim</v>
      </c>
      <c r="X5" s="2" t="str">
        <f>TEXT(WEEKDAY(DATE(AnnéeCalendrier,4,22),1),"jjj")</f>
        <v>lun</v>
      </c>
      <c r="Y5" s="2" t="str">
        <f>TEXT(WEEKDAY(DATE(AnnéeCalendrier,4,23),1),"jjj")</f>
        <v>mar</v>
      </c>
      <c r="Z5" s="2" t="str">
        <f>TEXT(WEEKDAY(DATE(AnnéeCalendrier,4,24),1),"jjj")</f>
        <v>mer</v>
      </c>
      <c r="AA5" s="2" t="str">
        <f>TEXT(WEEKDAY(DATE(AnnéeCalendrier,4,25),1),"jjj")</f>
        <v>jeu</v>
      </c>
      <c r="AB5" s="2" t="str">
        <f>TEXT(WEEKDAY(DATE(AnnéeCalendrier,4,26),1),"jjj")</f>
        <v>ven</v>
      </c>
      <c r="AC5" s="2" t="str">
        <f>TEXT(WEEKDAY(DATE(AnnéeCalendrier,4,27),1),"jjj")</f>
        <v>sam</v>
      </c>
      <c r="AD5" s="2" t="str">
        <f>TEXT(WEEKDAY(DATE(AnnéeCalendrier,4,28),1),"jjj")</f>
        <v>dim</v>
      </c>
      <c r="AE5" s="2" t="str">
        <f>TEXT(WEEKDAY(DATE(AnnéeCalendrier,4,29),1),"jjj")</f>
        <v>lun</v>
      </c>
      <c r="AF5" s="2" t="str">
        <f>TEXT(WEEKDAY(DATE(AnnéeCalendrier,4,30),1),"jjj")</f>
        <v>mar</v>
      </c>
      <c r="AG5" s="2"/>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20" t="s">
        <v>50</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Avril Total</v>
      </c>
      <c r="C13" s="12">
        <f>SUBTOTAL(103,Avril[1])</f>
        <v>0</v>
      </c>
      <c r="D13" s="12">
        <f>SUBTOTAL(103,Avril[2])</f>
        <v>0</v>
      </c>
      <c r="E13" s="12">
        <f>SUBTOTAL(103,Avril[3])</f>
        <v>0</v>
      </c>
      <c r="F13" s="12">
        <f>SUBTOTAL(103,Avril[4])</f>
        <v>0</v>
      </c>
      <c r="G13" s="12">
        <f>SUBTOTAL(103,Avril[5])</f>
        <v>0</v>
      </c>
      <c r="H13" s="12">
        <f>SUBTOTAL(103,Avril[6])</f>
        <v>0</v>
      </c>
      <c r="I13" s="12">
        <f>SUBTOTAL(103,Avril[7])</f>
        <v>0</v>
      </c>
      <c r="J13" s="12">
        <f>SUBTOTAL(103,Avril[8])</f>
        <v>0</v>
      </c>
      <c r="K13" s="12">
        <f>SUBTOTAL(103,Avril[9])</f>
        <v>0</v>
      </c>
      <c r="L13" s="12">
        <f>SUBTOTAL(103,Avril[10])</f>
        <v>0</v>
      </c>
      <c r="M13" s="12">
        <f>SUBTOTAL(103,Avril[11])</f>
        <v>0</v>
      </c>
      <c r="N13" s="12">
        <f>SUBTOTAL(103,Avril[12])</f>
        <v>0</v>
      </c>
      <c r="O13" s="12">
        <f>SUBTOTAL(103,Avril[13])</f>
        <v>0</v>
      </c>
      <c r="P13" s="12">
        <f>SUBTOTAL(103,Avril[14])</f>
        <v>0</v>
      </c>
      <c r="Q13" s="12">
        <f>SUBTOTAL(103,Avril[15])</f>
        <v>0</v>
      </c>
      <c r="R13" s="12">
        <f>SUBTOTAL(103,Avril[16])</f>
        <v>0</v>
      </c>
      <c r="S13" s="12">
        <f>SUBTOTAL(103,Avril[17])</f>
        <v>0</v>
      </c>
      <c r="T13" s="12">
        <f>SUBTOTAL(103,Avril[18])</f>
        <v>0</v>
      </c>
      <c r="U13" s="12">
        <f>SUBTOTAL(103,Avril[19])</f>
        <v>0</v>
      </c>
      <c r="V13" s="12">
        <f>SUBTOTAL(103,Avril[20])</f>
        <v>0</v>
      </c>
      <c r="W13" s="12">
        <f>SUBTOTAL(103,Avril[21])</f>
        <v>0</v>
      </c>
      <c r="X13" s="12">
        <f>SUBTOTAL(103,Avril[22])</f>
        <v>0</v>
      </c>
      <c r="Y13" s="12">
        <f>SUBTOTAL(103,Avril[23])</f>
        <v>0</v>
      </c>
      <c r="Z13" s="12">
        <f>SUBTOTAL(103,Avril[24])</f>
        <v>0</v>
      </c>
      <c r="AA13" s="12">
        <f>SUBTOTAL(103,Avril[25])</f>
        <v>0</v>
      </c>
      <c r="AB13" s="12">
        <f>SUBTOTAL(103,Avril[26])</f>
        <v>0</v>
      </c>
      <c r="AC13" s="12">
        <f>SUBTOTAL(103,Avril[27])</f>
        <v>0</v>
      </c>
      <c r="AD13" s="12">
        <f>SUBTOTAL(103,Avril[28])</f>
        <v>0</v>
      </c>
      <c r="AE13" s="12">
        <f>SUBTOTAL(103,Avril[29])</f>
        <v>0</v>
      </c>
      <c r="AF13" s="12">
        <f>SUBTOTAL(103,Avril[30])</f>
        <v>0</v>
      </c>
      <c r="AG13" s="12">
        <f>SUBTOTAL(103,Avril[30])</f>
        <v>0</v>
      </c>
      <c r="AH13" s="12">
        <f>SUBTOTAL(109,Avril[Travaillé])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39" priority="5" stopIfTrue="1">
      <formula>C7=CléPersonnalisée2</formula>
    </cfRule>
    <cfRule type="expression" dxfId="138" priority="6" stopIfTrue="1">
      <formula>C7=CléPersonnalisée1</formula>
    </cfRule>
    <cfRule type="expression" dxfId="137" priority="7" stopIfTrue="1">
      <formula>C7=CléMaladie</formula>
    </cfRule>
    <cfRule type="expression" dxfId="136" priority="8" stopIfTrue="1">
      <formula>C7=CléCongés</formula>
    </cfRule>
    <cfRule type="expression" dxfId="135"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{C872E5A8-82E9-46B6-A583-384028B07ED5}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{7E558BFA-C9EF-4773-B87C-70106E99F957}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{31464247-1E86-47FC-B12D-8EC3976294C4}</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872E5A8-82E9-46B6-A583-384028B07ED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7E558BFA-C9EF-4773-B87C-70106E99F95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31464247-1E86-47FC-B12D-8EC3976294C4}">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54</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TEXT(WEEKDAY(DATE(AnnéeCalendrier,5,1),1),"jjj")</f>
        <v>mer</v>
      </c>
      <c r="D5" s="2" t="str">
        <f>TEXT(WEEKDAY(DATE(AnnéeCalendrier,5,2),1),"jjj")</f>
        <v>jeu</v>
      </c>
      <c r="E5" s="2" t="str">
        <f>TEXT(WEEKDAY(DATE(AnnéeCalendrier,5,3),1),"jjj")</f>
        <v>ven</v>
      </c>
      <c r="F5" s="2" t="str">
        <f>TEXT(WEEKDAY(DATE(AnnéeCalendrier,5,4),1),"jjj")</f>
        <v>sam</v>
      </c>
      <c r="G5" s="2" t="str">
        <f>TEXT(WEEKDAY(DATE(AnnéeCalendrier,5,5),1),"jjj")</f>
        <v>dim</v>
      </c>
      <c r="H5" s="2" t="str">
        <f>TEXT(WEEKDAY(DATE(AnnéeCalendrier,5,6),1),"jjj")</f>
        <v>lun</v>
      </c>
      <c r="I5" s="2" t="str">
        <f>TEXT(WEEKDAY(DATE(AnnéeCalendrier,5,7),1),"jjj")</f>
        <v>mar</v>
      </c>
      <c r="J5" s="2" t="str">
        <f>TEXT(WEEKDAY(DATE(AnnéeCalendrier,5,8),1),"jjj")</f>
        <v>mer</v>
      </c>
      <c r="K5" s="2" t="str">
        <f>TEXT(WEEKDAY(DATE(AnnéeCalendrier,5,9),1),"jjj")</f>
        <v>jeu</v>
      </c>
      <c r="L5" s="2" t="str">
        <f>TEXT(WEEKDAY(DATE(AnnéeCalendrier,5,10),1),"jjj")</f>
        <v>ven</v>
      </c>
      <c r="M5" s="2" t="str">
        <f>TEXT(WEEKDAY(DATE(AnnéeCalendrier,5,11),1),"jjj")</f>
        <v>sam</v>
      </c>
      <c r="N5" s="2" t="str">
        <f>TEXT(WEEKDAY(DATE(AnnéeCalendrier,5,12),1),"jjj")</f>
        <v>dim</v>
      </c>
      <c r="O5" s="2" t="str">
        <f>TEXT(WEEKDAY(DATE(AnnéeCalendrier,5,13),1),"jjj")</f>
        <v>lun</v>
      </c>
      <c r="P5" s="2" t="str">
        <f>TEXT(WEEKDAY(DATE(AnnéeCalendrier,5,14),1),"jjj")</f>
        <v>mar</v>
      </c>
      <c r="Q5" s="2" t="str">
        <f>TEXT(WEEKDAY(DATE(AnnéeCalendrier,5,15),1),"jjj")</f>
        <v>mer</v>
      </c>
      <c r="R5" s="2" t="str">
        <f>TEXT(WEEKDAY(DATE(AnnéeCalendrier,5,16),1),"jjj")</f>
        <v>jeu</v>
      </c>
      <c r="S5" s="2" t="str">
        <f>TEXT(WEEKDAY(DATE(AnnéeCalendrier,5,17),1),"jjj")</f>
        <v>ven</v>
      </c>
      <c r="T5" s="2" t="str">
        <f>TEXT(WEEKDAY(DATE(AnnéeCalendrier,5,18),1),"jjj")</f>
        <v>sam</v>
      </c>
      <c r="U5" s="2" t="str">
        <f>TEXT(WEEKDAY(DATE(AnnéeCalendrier,5,19),1),"jjj")</f>
        <v>dim</v>
      </c>
      <c r="V5" s="2" t="str">
        <f>TEXT(WEEKDAY(DATE(AnnéeCalendrier,5,20),1),"jjj")</f>
        <v>lun</v>
      </c>
      <c r="W5" s="2" t="str">
        <f>TEXT(WEEKDAY(DATE(AnnéeCalendrier,5,21),1),"jjj")</f>
        <v>mar</v>
      </c>
      <c r="X5" s="2" t="str">
        <f>TEXT(WEEKDAY(DATE(AnnéeCalendrier,5,22),1),"jjj")</f>
        <v>mer</v>
      </c>
      <c r="Y5" s="2" t="str">
        <f>TEXT(WEEKDAY(DATE(AnnéeCalendrier,5,23),1),"jjj")</f>
        <v>jeu</v>
      </c>
      <c r="Z5" s="2" t="str">
        <f>TEXT(WEEKDAY(DATE(AnnéeCalendrier,5,24),1),"jjj")</f>
        <v>ven</v>
      </c>
      <c r="AA5" s="2" t="str">
        <f>TEXT(WEEKDAY(DATE(AnnéeCalendrier,5,25),1),"jjj")</f>
        <v>sam</v>
      </c>
      <c r="AB5" s="2" t="str">
        <f>TEXT(WEEKDAY(DATE(AnnéeCalendrier,5,26),1),"jjj")</f>
        <v>dim</v>
      </c>
      <c r="AC5" s="2" t="str">
        <f>TEXT(WEEKDAY(DATE(AnnéeCalendrier,5,27),1),"jjj")</f>
        <v>lun</v>
      </c>
      <c r="AD5" s="2" t="str">
        <f>TEXT(WEEKDAY(DATE(AnnéeCalendrier,5,28),1),"jjj")</f>
        <v>mar</v>
      </c>
      <c r="AE5" s="2" t="str">
        <f>TEXT(WEEKDAY(DATE(AnnéeCalendrier,5,29),1),"jjj")</f>
        <v>mer</v>
      </c>
      <c r="AF5" s="2" t="str">
        <f>TEXT(WEEKDAY(DATE(AnnéeCalendrier,5,30),1),"jjj")</f>
        <v>jeu</v>
      </c>
      <c r="AG5" s="2" t="str">
        <f>TEXT(WEEKDAY(DATE(AnnéeCalendrier,5,31),1),"jjj")</f>
        <v>ven</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Mai Total</v>
      </c>
      <c r="C13" s="12">
        <f>SUBTOTAL(103,Mai[1])</f>
        <v>0</v>
      </c>
      <c r="D13" s="12">
        <f>SUBTOTAL(103,Mai[2])</f>
        <v>0</v>
      </c>
      <c r="E13" s="12">
        <f>SUBTOTAL(103,Mai[3])</f>
        <v>0</v>
      </c>
      <c r="F13" s="12">
        <f>SUBTOTAL(103,Mai[4])</f>
        <v>0</v>
      </c>
      <c r="G13" s="12">
        <f>SUBTOTAL(103,Mai[5])</f>
        <v>0</v>
      </c>
      <c r="H13" s="12">
        <f>SUBTOTAL(103,Mai[6])</f>
        <v>0</v>
      </c>
      <c r="I13" s="12">
        <f>SUBTOTAL(103,Mai[7])</f>
        <v>0</v>
      </c>
      <c r="J13" s="12">
        <f>SUBTOTAL(103,Mai[8])</f>
        <v>0</v>
      </c>
      <c r="K13" s="12">
        <f>SUBTOTAL(103,Mai[9])</f>
        <v>0</v>
      </c>
      <c r="L13" s="12">
        <f>SUBTOTAL(103,Mai[10])</f>
        <v>0</v>
      </c>
      <c r="M13" s="12">
        <f>SUBTOTAL(103,Mai[11])</f>
        <v>0</v>
      </c>
      <c r="N13" s="12">
        <f>SUBTOTAL(103,Mai[12])</f>
        <v>0</v>
      </c>
      <c r="O13" s="12">
        <f>SUBTOTAL(103,Mai[13])</f>
        <v>0</v>
      </c>
      <c r="P13" s="12">
        <f>SUBTOTAL(103,Mai[14])</f>
        <v>0</v>
      </c>
      <c r="Q13" s="12">
        <f>SUBTOTAL(103,Mai[15])</f>
        <v>0</v>
      </c>
      <c r="R13" s="12">
        <f>SUBTOTAL(103,Mai[16])</f>
        <v>0</v>
      </c>
      <c r="S13" s="12">
        <f>SUBTOTAL(103,Mai[17])</f>
        <v>0</v>
      </c>
      <c r="T13" s="12">
        <f>SUBTOTAL(103,Mai[18])</f>
        <v>0</v>
      </c>
      <c r="U13" s="12">
        <f>SUBTOTAL(103,Mai[19])</f>
        <v>0</v>
      </c>
      <c r="V13" s="12">
        <f>SUBTOTAL(103,Mai[20])</f>
        <v>0</v>
      </c>
      <c r="W13" s="12">
        <f>SUBTOTAL(103,Mai[21])</f>
        <v>0</v>
      </c>
      <c r="X13" s="12">
        <f>SUBTOTAL(103,Mai[22])</f>
        <v>0</v>
      </c>
      <c r="Y13" s="12">
        <f>SUBTOTAL(103,Mai[23])</f>
        <v>0</v>
      </c>
      <c r="Z13" s="12">
        <f>SUBTOTAL(103,Mai[24])</f>
        <v>0</v>
      </c>
      <c r="AA13" s="12">
        <f>SUBTOTAL(103,Mai[25])</f>
        <v>0</v>
      </c>
      <c r="AB13" s="12">
        <f>SUBTOTAL(103,Mai[26])</f>
        <v>0</v>
      </c>
      <c r="AC13" s="12">
        <f>SUBTOTAL(103,Mai[27])</f>
        <v>0</v>
      </c>
      <c r="AD13" s="12">
        <f>SUBTOTAL(103,Mai[28])</f>
        <v>0</v>
      </c>
      <c r="AE13" s="12">
        <f>SUBTOTAL(103,Mai[29])</f>
        <v>0</v>
      </c>
      <c r="AF13" s="12">
        <f>SUBTOTAL(103,Mai[30])</f>
        <v>0</v>
      </c>
      <c r="AG13" s="12">
        <f>SUBTOTAL(103,Mai[31])</f>
        <v>0</v>
      </c>
      <c r="AH13" s="12">
        <f>SUBTOTAL(109,Mai[Travaillé])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34" priority="5" stopIfTrue="1">
      <formula>C7=CléPersonnalisée2</formula>
    </cfRule>
    <cfRule type="expression" dxfId="133" priority="6" stopIfTrue="1">
      <formula>C7=CléPersonnalisée1</formula>
    </cfRule>
    <cfRule type="expression" dxfId="132" priority="7" stopIfTrue="1">
      <formula>C7=CléMaladie</formula>
    </cfRule>
    <cfRule type="expression" dxfId="131" priority="8" stopIfTrue="1">
      <formula>C7=CléCongés</formula>
    </cfRule>
    <cfRule type="expression" dxfId="130"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{8D1BB314-FFEB-4F60-8D5B-8821A993CF69}</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{1692C942-4C7F-4CB7-9118-2CE7B79A1749}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{ADA107CA-07B7-481F-882F-E3CB9E304835}</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D1BB314-FFEB-4F60-8D5B-8821A993CF69}">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1692C942-4C7F-4CB7-9118-2CE7B79A174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ADA107CA-07B7-481F-882F-E3CB9E30483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55</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TEXT(WEEKDAY(DATE(AnnéeCalendrier,6,1),1),"jjj")</f>
        <v>sam</v>
      </c>
      <c r="D5" s="2" t="str">
        <f>TEXT(WEEKDAY(DATE(AnnéeCalendrier,6,2),1),"jjj")</f>
        <v>dim</v>
      </c>
      <c r="E5" s="2" t="str">
        <f>TEXT(WEEKDAY(DATE(AnnéeCalendrier,6,3),1),"jjj")</f>
        <v>lun</v>
      </c>
      <c r="F5" s="2" t="str">
        <f>TEXT(WEEKDAY(DATE(AnnéeCalendrier,6,4),1),"jjj")</f>
        <v>mar</v>
      </c>
      <c r="G5" s="2" t="str">
        <f>TEXT(WEEKDAY(DATE(AnnéeCalendrier,6,5),1),"jjj")</f>
        <v>mer</v>
      </c>
      <c r="H5" s="2" t="str">
        <f>TEXT(WEEKDAY(DATE(AnnéeCalendrier,6,6),1),"jjj")</f>
        <v>jeu</v>
      </c>
      <c r="I5" s="2" t="str">
        <f>TEXT(WEEKDAY(DATE(AnnéeCalendrier,6,7),1),"jjj")</f>
        <v>ven</v>
      </c>
      <c r="J5" s="2" t="str">
        <f>TEXT(WEEKDAY(DATE(AnnéeCalendrier,6,8),1),"jjj")</f>
        <v>sam</v>
      </c>
      <c r="K5" s="2" t="str">
        <f>TEXT(WEEKDAY(DATE(AnnéeCalendrier,6,9),1),"jjj")</f>
        <v>dim</v>
      </c>
      <c r="L5" s="2" t="str">
        <f>TEXT(WEEKDAY(DATE(AnnéeCalendrier,6,10),1),"jjj")</f>
        <v>lun</v>
      </c>
      <c r="M5" s="2" t="str">
        <f>TEXT(WEEKDAY(DATE(AnnéeCalendrier,6,11),1),"jjj")</f>
        <v>mar</v>
      </c>
      <c r="N5" s="2" t="str">
        <f>TEXT(WEEKDAY(DATE(AnnéeCalendrier,6,12),1),"jjj")</f>
        <v>mer</v>
      </c>
      <c r="O5" s="2" t="str">
        <f>TEXT(WEEKDAY(DATE(AnnéeCalendrier,6,13),1),"jjj")</f>
        <v>jeu</v>
      </c>
      <c r="P5" s="2" t="str">
        <f>TEXT(WEEKDAY(DATE(AnnéeCalendrier,6,14),1),"jjj")</f>
        <v>ven</v>
      </c>
      <c r="Q5" s="2" t="str">
        <f>TEXT(WEEKDAY(DATE(AnnéeCalendrier,6,15),1),"jjj")</f>
        <v>sam</v>
      </c>
      <c r="R5" s="2" t="str">
        <f>TEXT(WEEKDAY(DATE(AnnéeCalendrier,6,16),1),"jjj")</f>
        <v>dim</v>
      </c>
      <c r="S5" s="2" t="str">
        <f>TEXT(WEEKDAY(DATE(AnnéeCalendrier,6,17),1),"jjj")</f>
        <v>lun</v>
      </c>
      <c r="T5" s="2" t="str">
        <f>TEXT(WEEKDAY(DATE(AnnéeCalendrier,6,18),1),"jjj")</f>
        <v>mar</v>
      </c>
      <c r="U5" s="2" t="str">
        <f>TEXT(WEEKDAY(DATE(AnnéeCalendrier,6,19),1),"jjj")</f>
        <v>mer</v>
      </c>
      <c r="V5" s="2" t="str">
        <f>TEXT(WEEKDAY(DATE(AnnéeCalendrier,6,20),1),"jjj")</f>
        <v>jeu</v>
      </c>
      <c r="W5" s="2" t="str">
        <f>TEXT(WEEKDAY(DATE(AnnéeCalendrier,6,21),1),"jjj")</f>
        <v>ven</v>
      </c>
      <c r="X5" s="2" t="str">
        <f>TEXT(WEEKDAY(DATE(AnnéeCalendrier,6,22),1),"jjj")</f>
        <v>sam</v>
      </c>
      <c r="Y5" s="2" t="str">
        <f>TEXT(WEEKDAY(DATE(AnnéeCalendrier,6,23),1),"jjj")</f>
        <v>dim</v>
      </c>
      <c r="Z5" s="2" t="str">
        <f>TEXT(WEEKDAY(DATE(AnnéeCalendrier,6,24),1),"jjj")</f>
        <v>lun</v>
      </c>
      <c r="AA5" s="2" t="str">
        <f>TEXT(WEEKDAY(DATE(AnnéeCalendrier,6,25),1),"jjj")</f>
        <v>mar</v>
      </c>
      <c r="AB5" s="2" t="str">
        <f>TEXT(WEEKDAY(DATE(AnnéeCalendrier,6,26),1),"jjj")</f>
        <v>mer</v>
      </c>
      <c r="AC5" s="2" t="str">
        <f>TEXT(WEEKDAY(DATE(AnnéeCalendrier,6,27),1),"jjj")</f>
        <v>jeu</v>
      </c>
      <c r="AD5" s="2" t="str">
        <f>TEXT(WEEKDAY(DATE(AnnéeCalendrier,6,28),1),"jjj")</f>
        <v>ven</v>
      </c>
      <c r="AE5" s="2" t="str">
        <f>TEXT(WEEKDAY(DATE(AnnéeCalendrier,6,29),1),"jjj")</f>
        <v>sam</v>
      </c>
      <c r="AF5" s="2" t="str">
        <f>TEXT(WEEKDAY(DATE(AnnéeCalendrier,6,30),1),"jjj")</f>
        <v>dim</v>
      </c>
      <c r="AG5" s="2"/>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Juin Total</v>
      </c>
      <c r="C13" s="12">
        <f>SUBTOTAL(103,Juin[1])</f>
        <v>0</v>
      </c>
      <c r="D13" s="12">
        <f>SUBTOTAL(103,Juin[2])</f>
        <v>0</v>
      </c>
      <c r="E13" s="12">
        <f>SUBTOTAL(103,Juin[3])</f>
        <v>0</v>
      </c>
      <c r="F13" s="12">
        <f>SUBTOTAL(103,Juin[4])</f>
        <v>0</v>
      </c>
      <c r="G13" s="12">
        <f>SUBTOTAL(103,Juin[5])</f>
        <v>0</v>
      </c>
      <c r="H13" s="12">
        <f>SUBTOTAL(103,Juin[6])</f>
        <v>0</v>
      </c>
      <c r="I13" s="12">
        <f>SUBTOTAL(103,Juin[7])</f>
        <v>0</v>
      </c>
      <c r="J13" s="12">
        <f>SUBTOTAL(103,Juin[8])</f>
        <v>0</v>
      </c>
      <c r="K13" s="12">
        <f>SUBTOTAL(103,Juin[9])</f>
        <v>0</v>
      </c>
      <c r="L13" s="12">
        <f>SUBTOTAL(103,Juin[10])</f>
        <v>0</v>
      </c>
      <c r="M13" s="12">
        <f>SUBTOTAL(103,Juin[11])</f>
        <v>0</v>
      </c>
      <c r="N13" s="12">
        <f>SUBTOTAL(103,Juin[12])</f>
        <v>0</v>
      </c>
      <c r="O13" s="12">
        <f>SUBTOTAL(103,Juin[13])</f>
        <v>0</v>
      </c>
      <c r="P13" s="12">
        <f>SUBTOTAL(103,Juin[14])</f>
        <v>0</v>
      </c>
      <c r="Q13" s="12">
        <f>SUBTOTAL(103,Juin[15])</f>
        <v>0</v>
      </c>
      <c r="R13" s="12">
        <f>SUBTOTAL(103,Juin[16])</f>
        <v>0</v>
      </c>
      <c r="S13" s="12">
        <f>SUBTOTAL(103,Juin[17])</f>
        <v>0</v>
      </c>
      <c r="T13" s="12">
        <f>SUBTOTAL(103,Juin[18])</f>
        <v>0</v>
      </c>
      <c r="U13" s="12">
        <f>SUBTOTAL(103,Juin[19])</f>
        <v>0</v>
      </c>
      <c r="V13" s="12">
        <f>SUBTOTAL(103,Juin[20])</f>
        <v>0</v>
      </c>
      <c r="W13" s="12">
        <f>SUBTOTAL(103,Juin[21])</f>
        <v>0</v>
      </c>
      <c r="X13" s="12">
        <f>SUBTOTAL(103,Juin[22])</f>
        <v>0</v>
      </c>
      <c r="Y13" s="12">
        <f>SUBTOTAL(103,Juin[23])</f>
        <v>0</v>
      </c>
      <c r="Z13" s="12">
        <f>SUBTOTAL(103,Juin[24])</f>
        <v>0</v>
      </c>
      <c r="AA13" s="12">
        <f>SUBTOTAL(103,Juin[25])</f>
        <v>0</v>
      </c>
      <c r="AB13" s="12">
        <f>SUBTOTAL(103,Juin[26])</f>
        <v>0</v>
      </c>
      <c r="AC13" s="12">
        <f>SUBTOTAL(103,Juin[27])</f>
        <v>0</v>
      </c>
      <c r="AD13" s="12">
        <f>SUBTOTAL(103,Juin[28])</f>
        <v>0</v>
      </c>
      <c r="AE13" s="12">
        <f>SUBTOTAL(103,Juin[29])</f>
        <v>0</v>
      </c>
      <c r="AF13" s="12">
        <f>SUBTOTAL(103,Juin[30])</f>
        <v>0</v>
      </c>
      <c r="AG13" s="12">
        <f>SUBTOTAL(103,Juin[[ ]])</f>
        <v>0</v>
      </c>
      <c r="AH13" s="12">
        <f>SUBTOTAL(109,Juin[Travaillé])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29" priority="5" stopIfTrue="1">
      <formula>C7=CléPersonnalisée2</formula>
    </cfRule>
    <cfRule type="expression" dxfId="128" priority="6" stopIfTrue="1">
      <formula>C7=CléPersonnalisée1</formula>
    </cfRule>
    <cfRule type="expression" dxfId="127" priority="7" stopIfTrue="1">
      <formula>C7=CléMaladie</formula>
    </cfRule>
    <cfRule type="expression" dxfId="126" priority="8" stopIfTrue="1">
      <formula>C7=CléCongés</formula>
    </cfRule>
    <cfRule type="expression" dxfId="125"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{11270CEC-5B6A-464D-BEED-B82C1B740103}</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{49EA3E04-1588-498C-8001-B93F00605B92}</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{DFC71A31-5740-4FDA-BA2E-AACCE646B7A5}</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1270CEC-5B6A-464D-BEED-B82C1B740103}">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9EA3E04-1588-498C-8001-B93F00605B92}">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DFC71A31-5740-4FDA-BA2E-AACCE646B7A5}">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K14"/>
  <sheetViews>
    <sheetView showGridLines="0" topLeftCell="C1" zoomScaleNormal="100" workbookViewId="0">
      <selection activeCell="AH7" sqref="AH7:AK13"/>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56</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TEXT(WEEKDAY(DATE(AnnéeCalendrier,7,1),1),"jjj")</f>
        <v>lun</v>
      </c>
      <c r="D5" s="2" t="str">
        <f>TEXT(WEEKDAY(DATE(AnnéeCalendrier,7,2),1),"jjj")</f>
        <v>mar</v>
      </c>
      <c r="E5" s="2" t="str">
        <f>TEXT(WEEKDAY(DATE(AnnéeCalendrier,7,3),1),"jjj")</f>
        <v>mer</v>
      </c>
      <c r="F5" s="2" t="str">
        <f>TEXT(WEEKDAY(DATE(AnnéeCalendrier,7,4),1),"jjj")</f>
        <v>jeu</v>
      </c>
      <c r="G5" s="2" t="str">
        <f>TEXT(WEEKDAY(DATE(AnnéeCalendrier,7,5),1),"jjj")</f>
        <v>ven</v>
      </c>
      <c r="H5" s="2" t="str">
        <f>TEXT(WEEKDAY(DATE(AnnéeCalendrier,7,6),1),"jjj")</f>
        <v>sam</v>
      </c>
      <c r="I5" s="2" t="str">
        <f>TEXT(WEEKDAY(DATE(AnnéeCalendrier,7,7),1),"jjj")</f>
        <v>dim</v>
      </c>
      <c r="J5" s="2" t="str">
        <f>TEXT(WEEKDAY(DATE(AnnéeCalendrier,7,8),1),"jjj")</f>
        <v>lun</v>
      </c>
      <c r="K5" s="2" t="str">
        <f>TEXT(WEEKDAY(DATE(AnnéeCalendrier,7,9),1),"jjj")</f>
        <v>mar</v>
      </c>
      <c r="L5" s="2" t="str">
        <f>TEXT(WEEKDAY(DATE(AnnéeCalendrier,7,10),1),"jjj")</f>
        <v>mer</v>
      </c>
      <c r="M5" s="2" t="str">
        <f>TEXT(WEEKDAY(DATE(AnnéeCalendrier,7,11),1),"jjj")</f>
        <v>jeu</v>
      </c>
      <c r="N5" s="2" t="str">
        <f>TEXT(WEEKDAY(DATE(AnnéeCalendrier,7,12),1),"jjj")</f>
        <v>ven</v>
      </c>
      <c r="O5" s="2" t="str">
        <f>TEXT(WEEKDAY(DATE(AnnéeCalendrier,7,13),1),"jjj")</f>
        <v>sam</v>
      </c>
      <c r="P5" s="2" t="str">
        <f>TEXT(WEEKDAY(DATE(AnnéeCalendrier,7,14),1),"jjj")</f>
        <v>dim</v>
      </c>
      <c r="Q5" s="2" t="str">
        <f>TEXT(WEEKDAY(DATE(AnnéeCalendrier,7,15),1),"jjj")</f>
        <v>lun</v>
      </c>
      <c r="R5" s="2" t="str">
        <f>TEXT(WEEKDAY(DATE(AnnéeCalendrier,7,16),1),"jjj")</f>
        <v>mar</v>
      </c>
      <c r="S5" s="2" t="str">
        <f>TEXT(WEEKDAY(DATE(AnnéeCalendrier,7,17),1),"jjj")</f>
        <v>mer</v>
      </c>
      <c r="T5" s="2" t="str">
        <f>TEXT(WEEKDAY(DATE(AnnéeCalendrier,7,18),1),"jjj")</f>
        <v>jeu</v>
      </c>
      <c r="U5" s="2" t="str">
        <f>TEXT(WEEKDAY(DATE(AnnéeCalendrier,7,19),1),"jjj")</f>
        <v>ven</v>
      </c>
      <c r="V5" s="2" t="str">
        <f>TEXT(WEEKDAY(DATE(AnnéeCalendrier,7,20),1),"jjj")</f>
        <v>sam</v>
      </c>
      <c r="W5" s="2" t="str">
        <f>TEXT(WEEKDAY(DATE(AnnéeCalendrier,7,21),1),"jjj")</f>
        <v>dim</v>
      </c>
      <c r="X5" s="2" t="str">
        <f>TEXT(WEEKDAY(DATE(AnnéeCalendrier,7,22),1),"jjj")</f>
        <v>lun</v>
      </c>
      <c r="Y5" s="2" t="str">
        <f>TEXT(WEEKDAY(DATE(AnnéeCalendrier,7,23),1),"jjj")</f>
        <v>mar</v>
      </c>
      <c r="Z5" s="2" t="str">
        <f>TEXT(WEEKDAY(DATE(AnnéeCalendrier,7,24),1),"jjj")</f>
        <v>mer</v>
      </c>
      <c r="AA5" s="2" t="str">
        <f>TEXT(WEEKDAY(DATE(AnnéeCalendrier,7,25),1),"jjj")</f>
        <v>jeu</v>
      </c>
      <c r="AB5" s="2" t="str">
        <f>TEXT(WEEKDAY(DATE(AnnéeCalendrier,7,26),1),"jjj")</f>
        <v>ven</v>
      </c>
      <c r="AC5" s="2" t="str">
        <f>TEXT(WEEKDAY(DATE(AnnéeCalendrier,7,27),1),"jjj")</f>
        <v>sam</v>
      </c>
      <c r="AD5" s="2" t="str">
        <f>TEXT(WEEKDAY(DATE(AnnéeCalendrier,7,28),1),"jjj")</f>
        <v>dim</v>
      </c>
      <c r="AE5" s="2" t="str">
        <f>TEXT(WEEKDAY(DATE(AnnéeCalendrier,7,29),1),"jjj")</f>
        <v>lun</v>
      </c>
      <c r="AF5" s="2" t="str">
        <f>TEXT(WEEKDAY(DATE(AnnéeCalendrier,7,30),1),"jjj")</f>
        <v>mar</v>
      </c>
      <c r="AG5" s="2" t="str">
        <f>TEXT(WEEKDAY(DATE(AnnéeCalendrier,7,31),1),"jjj")</f>
        <v>mer</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23"/>
      <c r="AH13" s="12"/>
      <c r="AI13" s="3"/>
      <c r="AJ13" s="3"/>
      <c r="AK13" s="3"/>
    </row>
    <row r="14" spans="2:37" ht="30" customHeight="1" x14ac:dyDescent="0.55000000000000004">
      <c r="B14" s="18" t="str">
        <f>NomMois&amp;" Total"</f>
        <v>Juillet Total</v>
      </c>
      <c r="C14" s="12">
        <f>SUBTOTAL(103,Juillet[1])</f>
        <v>0</v>
      </c>
      <c r="D14" s="12">
        <f>SUBTOTAL(103,Juillet[2])</f>
        <v>0</v>
      </c>
      <c r="E14" s="12">
        <f>SUBTOTAL(103,Juillet[3])</f>
        <v>0</v>
      </c>
      <c r="F14" s="12">
        <f>SUBTOTAL(103,Juillet[4])</f>
        <v>0</v>
      </c>
      <c r="G14" s="12">
        <f>SUBTOTAL(103,Juillet[5])</f>
        <v>0</v>
      </c>
      <c r="H14" s="12">
        <f>SUBTOTAL(103,Juillet[6])</f>
        <v>0</v>
      </c>
      <c r="I14" s="12">
        <f>SUBTOTAL(103,Juillet[7])</f>
        <v>0</v>
      </c>
      <c r="J14" s="12">
        <f>SUBTOTAL(103,Juillet[8])</f>
        <v>0</v>
      </c>
      <c r="K14" s="12">
        <f>SUBTOTAL(103,Juillet[9])</f>
        <v>0</v>
      </c>
      <c r="L14" s="12">
        <f>SUBTOTAL(103,Juillet[10])</f>
        <v>0</v>
      </c>
      <c r="M14" s="12">
        <f>SUBTOTAL(103,Juillet[11])</f>
        <v>0</v>
      </c>
      <c r="N14" s="12">
        <f>SUBTOTAL(103,Juillet[12])</f>
        <v>0</v>
      </c>
      <c r="O14" s="12">
        <f>SUBTOTAL(103,Juillet[13])</f>
        <v>0</v>
      </c>
      <c r="P14" s="12">
        <f>SUBTOTAL(103,Juillet[14])</f>
        <v>0</v>
      </c>
      <c r="Q14" s="12">
        <f>SUBTOTAL(103,Juillet[15])</f>
        <v>0</v>
      </c>
      <c r="R14" s="12">
        <f>SUBTOTAL(103,Juillet[16])</f>
        <v>0</v>
      </c>
      <c r="S14" s="12">
        <f>SUBTOTAL(103,Juillet[17])</f>
        <v>0</v>
      </c>
      <c r="T14" s="12">
        <f>SUBTOTAL(103,Juillet[18])</f>
        <v>0</v>
      </c>
      <c r="U14" s="12">
        <f>SUBTOTAL(103,Juillet[19])</f>
        <v>0</v>
      </c>
      <c r="V14" s="12">
        <f>SUBTOTAL(103,Juillet[20])</f>
        <v>0</v>
      </c>
      <c r="W14" s="12">
        <f>SUBTOTAL(103,Juillet[21])</f>
        <v>0</v>
      </c>
      <c r="X14" s="12">
        <f>SUBTOTAL(103,Juillet[22])</f>
        <v>0</v>
      </c>
      <c r="Y14" s="12">
        <f>SUBTOTAL(103,Juillet[23])</f>
        <v>0</v>
      </c>
      <c r="Z14" s="12">
        <f>SUBTOTAL(103,Juillet[24])</f>
        <v>0</v>
      </c>
      <c r="AA14" s="12">
        <f>SUBTOTAL(103,Juillet[25])</f>
        <v>0</v>
      </c>
      <c r="AB14" s="12">
        <f>SUBTOTAL(103,Juillet[26])</f>
        <v>0</v>
      </c>
      <c r="AC14" s="12">
        <f>SUBTOTAL(103,Juillet[27])</f>
        <v>0</v>
      </c>
      <c r="AD14" s="12">
        <f>SUBTOTAL(103,Juillet[28])</f>
        <v>0</v>
      </c>
      <c r="AE14" s="12">
        <f>SUBTOTAL(103,Juillet[29])</f>
        <v>0</v>
      </c>
      <c r="AF14" s="12">
        <f>SUBTOTAL(103,Juillet[30])</f>
        <v>0</v>
      </c>
      <c r="AG14" s="12">
        <f>SUBTOTAL(103,Juillet[31])</f>
        <v>0</v>
      </c>
      <c r="AH14" s="12">
        <f>SUBTOTAL(109,Juillet[Travaillé])</f>
        <v>0</v>
      </c>
      <c r="AI14" s="12">
        <f>SUBTOTAL(109,Juillet[Congés])</f>
        <v>0</v>
      </c>
      <c r="AJ14" s="12">
        <f>SUBTOTAL(109,Juillet[Maladie])</f>
        <v>0</v>
      </c>
      <c r="AK14" s="12">
        <f>SUBTOTAL(109,Juillet[Personnel])</f>
        <v>0</v>
      </c>
    </row>
  </sheetData>
  <mergeCells count="6">
    <mergeCell ref="C4:AG4"/>
    <mergeCell ref="D2:E2"/>
    <mergeCell ref="G2:I2"/>
    <mergeCell ref="K2:L2"/>
    <mergeCell ref="N2:Q2"/>
    <mergeCell ref="S2:V2"/>
  </mergeCells>
  <conditionalFormatting sqref="C7:AG13">
    <cfRule type="expression" priority="4" stopIfTrue="1">
      <formula>C7=""</formula>
    </cfRule>
  </conditionalFormatting>
  <conditionalFormatting sqref="C7:AG13">
    <cfRule type="expression" dxfId="124" priority="5" stopIfTrue="1">
      <formula>C7=CléPersonnalisée2</formula>
    </cfRule>
    <cfRule type="expression" dxfId="123" priority="6" stopIfTrue="1">
      <formula>C7=CléPersonnalisée1</formula>
    </cfRule>
    <cfRule type="expression" dxfId="122" priority="7" stopIfTrue="1">
      <formula>C7=CléMaladie</formula>
    </cfRule>
    <cfRule type="expression" dxfId="121" priority="8" stopIfTrue="1">
      <formula>C7=CléCongés</formula>
    </cfRule>
    <cfRule type="expression" dxfId="120"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{F86DF969-DE44-44DF-B327-BEAC89583234}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{23461751-F110-49A4-9F41-62A46C59E0D7}</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{F5FB7EF2-A30E-4010-86F2-651A4DC5B648}</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6DF969-DE44-44DF-B327-BEAC8958323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23461751-F110-49A4-9F41-62A46C59E0D7}">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5FB7EF2-A30E-4010-86F2-651A4DC5B648}">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57</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TEXT(WEEKDAY(DATE(AnnéeCalendrier,8,1),1),"jjj")</f>
        <v>jeu</v>
      </c>
      <c r="D5" s="2" t="str">
        <f>TEXT(WEEKDAY(DATE(AnnéeCalendrier,8,2),1),"jjj")</f>
        <v>ven</v>
      </c>
      <c r="E5" s="2" t="str">
        <f>TEXT(WEEKDAY(DATE(AnnéeCalendrier,8,3),1),"jjj")</f>
        <v>sam</v>
      </c>
      <c r="F5" s="2" t="str">
        <f>TEXT(WEEKDAY(DATE(AnnéeCalendrier,8,4),1),"jjj")</f>
        <v>dim</v>
      </c>
      <c r="G5" s="2" t="str">
        <f>TEXT(WEEKDAY(DATE(AnnéeCalendrier,8,5),1),"jjj")</f>
        <v>lun</v>
      </c>
      <c r="H5" s="2" t="str">
        <f>TEXT(WEEKDAY(DATE(AnnéeCalendrier,8,6),1),"jjj")</f>
        <v>mar</v>
      </c>
      <c r="I5" s="2" t="str">
        <f>TEXT(WEEKDAY(DATE(AnnéeCalendrier,8,7),1),"jjj")</f>
        <v>mer</v>
      </c>
      <c r="J5" s="2" t="str">
        <f>TEXT(WEEKDAY(DATE(AnnéeCalendrier,8,8),1),"jjj")</f>
        <v>jeu</v>
      </c>
      <c r="K5" s="2" t="str">
        <f>TEXT(WEEKDAY(DATE(AnnéeCalendrier,8,9),1),"jjj")</f>
        <v>ven</v>
      </c>
      <c r="L5" s="2" t="str">
        <f>TEXT(WEEKDAY(DATE(AnnéeCalendrier,8,10),1),"jjj")</f>
        <v>sam</v>
      </c>
      <c r="M5" s="2" t="str">
        <f>TEXT(WEEKDAY(DATE(AnnéeCalendrier,8,11),1),"jjj")</f>
        <v>dim</v>
      </c>
      <c r="N5" s="2" t="str">
        <f>TEXT(WEEKDAY(DATE(AnnéeCalendrier,8,12),1),"jjj")</f>
        <v>lun</v>
      </c>
      <c r="O5" s="2" t="str">
        <f>TEXT(WEEKDAY(DATE(AnnéeCalendrier,8,13),1),"jjj")</f>
        <v>mar</v>
      </c>
      <c r="P5" s="2" t="str">
        <f>TEXT(WEEKDAY(DATE(AnnéeCalendrier,8,14),1),"jjj")</f>
        <v>mer</v>
      </c>
      <c r="Q5" s="2" t="str">
        <f>TEXT(WEEKDAY(DATE(AnnéeCalendrier,8,15),1),"jjj")</f>
        <v>jeu</v>
      </c>
      <c r="R5" s="2" t="str">
        <f>TEXT(WEEKDAY(DATE(AnnéeCalendrier,8,16),1),"jjj")</f>
        <v>ven</v>
      </c>
      <c r="S5" s="2" t="str">
        <f>TEXT(WEEKDAY(DATE(AnnéeCalendrier,8,17),1),"jjj")</f>
        <v>sam</v>
      </c>
      <c r="T5" s="2" t="str">
        <f>TEXT(WEEKDAY(DATE(AnnéeCalendrier,8,18),1),"jjj")</f>
        <v>dim</v>
      </c>
      <c r="U5" s="2" t="str">
        <f>TEXT(WEEKDAY(DATE(AnnéeCalendrier,8,19),1),"jjj")</f>
        <v>lun</v>
      </c>
      <c r="V5" s="2" t="str">
        <f>TEXT(WEEKDAY(DATE(AnnéeCalendrier,8,20),1),"jjj")</f>
        <v>mar</v>
      </c>
      <c r="W5" s="2" t="str">
        <f>TEXT(WEEKDAY(DATE(AnnéeCalendrier,8,21),1),"jjj")</f>
        <v>mer</v>
      </c>
      <c r="X5" s="2" t="str">
        <f>TEXT(WEEKDAY(DATE(AnnéeCalendrier,8,22),1),"jjj")</f>
        <v>jeu</v>
      </c>
      <c r="Y5" s="2" t="str">
        <f>TEXT(WEEKDAY(DATE(AnnéeCalendrier,8,23),1),"jjj")</f>
        <v>ven</v>
      </c>
      <c r="Z5" s="2" t="str">
        <f>TEXT(WEEKDAY(DATE(AnnéeCalendrier,8,24),1),"jjj")</f>
        <v>sam</v>
      </c>
      <c r="AA5" s="2" t="str">
        <f>TEXT(WEEKDAY(DATE(AnnéeCalendrier,8,25),1),"jjj")</f>
        <v>dim</v>
      </c>
      <c r="AB5" s="2" t="str">
        <f>TEXT(WEEKDAY(DATE(AnnéeCalendrier,8,26),1),"jjj")</f>
        <v>lun</v>
      </c>
      <c r="AC5" s="2" t="str">
        <f>TEXT(WEEKDAY(DATE(AnnéeCalendrier,8,27),1),"jjj")</f>
        <v>mar</v>
      </c>
      <c r="AD5" s="2" t="str">
        <f>TEXT(WEEKDAY(DATE(AnnéeCalendrier,8,28),1),"jjj")</f>
        <v>mer</v>
      </c>
      <c r="AE5" s="2" t="str">
        <f>TEXT(WEEKDAY(DATE(AnnéeCalendrier,8,29),1),"jjj")</f>
        <v>jeu</v>
      </c>
      <c r="AF5" s="2" t="str">
        <f>TEXT(WEEKDAY(DATE(AnnéeCalendrier,8,30),1),"jjj")</f>
        <v>ven</v>
      </c>
      <c r="AG5" s="2" t="str">
        <f>TEXT(WEEKDAY(DATE(AnnéeCalendrier,8,31),1),"jjj")</f>
        <v>sam</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Août Total</v>
      </c>
      <c r="C13" s="12">
        <f>SUBTOTAL(103,Août[1])</f>
        <v>0</v>
      </c>
      <c r="D13" s="12">
        <f>SUBTOTAL(103,Août[2])</f>
        <v>0</v>
      </c>
      <c r="E13" s="12">
        <f>SUBTOTAL(103,Août[3])</f>
        <v>0</v>
      </c>
      <c r="F13" s="12">
        <f>SUBTOTAL(103,Août[4])</f>
        <v>0</v>
      </c>
      <c r="G13" s="12">
        <f>SUBTOTAL(103,Août[5])</f>
        <v>0</v>
      </c>
      <c r="H13" s="12">
        <f>SUBTOTAL(103,Août[6])</f>
        <v>0</v>
      </c>
      <c r="I13" s="12">
        <f>SUBTOTAL(103,Août[7])</f>
        <v>0</v>
      </c>
      <c r="J13" s="12">
        <f>SUBTOTAL(103,Août[8])</f>
        <v>0</v>
      </c>
      <c r="K13" s="12">
        <f>SUBTOTAL(103,Août[9])</f>
        <v>0</v>
      </c>
      <c r="L13" s="12">
        <f>SUBTOTAL(103,Août[10])</f>
        <v>0</v>
      </c>
      <c r="M13" s="12">
        <f>SUBTOTAL(103,Août[11])</f>
        <v>0</v>
      </c>
      <c r="N13" s="12">
        <f>SUBTOTAL(103,Août[12])</f>
        <v>0</v>
      </c>
      <c r="O13" s="12">
        <f>SUBTOTAL(103,Août[13])</f>
        <v>0</v>
      </c>
      <c r="P13" s="12">
        <f>SUBTOTAL(103,Août[14])</f>
        <v>0</v>
      </c>
      <c r="Q13" s="12">
        <f>SUBTOTAL(103,Août[15])</f>
        <v>0</v>
      </c>
      <c r="R13" s="12">
        <f>SUBTOTAL(103,Août[16])</f>
        <v>0</v>
      </c>
      <c r="S13" s="12">
        <f>SUBTOTAL(103,Août[17])</f>
        <v>0</v>
      </c>
      <c r="T13" s="12">
        <f>SUBTOTAL(103,Août[18])</f>
        <v>0</v>
      </c>
      <c r="U13" s="12">
        <f>SUBTOTAL(103,Août[19])</f>
        <v>0</v>
      </c>
      <c r="V13" s="12">
        <f>SUBTOTAL(103,Août[20])</f>
        <v>0</v>
      </c>
      <c r="W13" s="12">
        <f>SUBTOTAL(103,Août[21])</f>
        <v>0</v>
      </c>
      <c r="X13" s="12">
        <f>SUBTOTAL(103,Août[22])</f>
        <v>0</v>
      </c>
      <c r="Y13" s="12">
        <f>SUBTOTAL(103,Août[23])</f>
        <v>0</v>
      </c>
      <c r="Z13" s="12">
        <f>SUBTOTAL(103,Août[24])</f>
        <v>0</v>
      </c>
      <c r="AA13" s="12">
        <f>SUBTOTAL(103,Août[25])</f>
        <v>0</v>
      </c>
      <c r="AB13" s="12">
        <f>SUBTOTAL(103,Août[26])</f>
        <v>0</v>
      </c>
      <c r="AC13" s="12">
        <f>SUBTOTAL(103,Août[27])</f>
        <v>0</v>
      </c>
      <c r="AD13" s="12">
        <f>SUBTOTAL(103,Août[28])</f>
        <v>0</v>
      </c>
      <c r="AE13" s="12">
        <f>SUBTOTAL(103,Août[29])</f>
        <v>0</v>
      </c>
      <c r="AF13" s="12">
        <f>SUBTOTAL(103,Août[30])</f>
        <v>0</v>
      </c>
      <c r="AG13" s="12">
        <f>SUBTOTAL(103,Août[31])</f>
        <v>0</v>
      </c>
      <c r="AH13" s="12">
        <f>SUBTOTAL(109,Août[Travaillé])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19" priority="5" stopIfTrue="1">
      <formula>C7=CléPersonnalisée2</formula>
    </cfRule>
    <cfRule type="expression" dxfId="118" priority="6" stopIfTrue="1">
      <formula>C7=CléPersonnalisée1</formula>
    </cfRule>
    <cfRule type="expression" dxfId="117" priority="7" stopIfTrue="1">
      <formula>C7=CléMaladie</formula>
    </cfRule>
    <cfRule type="expression" dxfId="116" priority="8" stopIfTrue="1">
      <formula>C7=CléCongés</formula>
    </cfRule>
    <cfRule type="expression" dxfId="115"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{5F937125-2BA2-480C-B9F6-8B77FA585C48}</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{B57C6024-0395-44AF-B67A-D5EF8F343131}</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{9B863C61-1B1E-486A-AC37-605C489D8BDA}</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F937125-2BA2-480C-B9F6-8B77FA585C48}">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B57C6024-0395-44AF-B67A-D5EF8F343131}">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9B863C61-1B1E-486A-AC37-605C489D8BDA}">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58</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TEXT(WEEKDAY(DATE(AnnéeCalendrier,9,1),1),"jjj")</f>
        <v>dim</v>
      </c>
      <c r="D5" s="2" t="str">
        <f>TEXT(WEEKDAY(DATE(AnnéeCalendrier,9,2),1),"jjj")</f>
        <v>lun</v>
      </c>
      <c r="E5" s="2" t="str">
        <f>TEXT(WEEKDAY(DATE(AnnéeCalendrier,9,3),1),"jjj")</f>
        <v>mar</v>
      </c>
      <c r="F5" s="2" t="str">
        <f>TEXT(WEEKDAY(DATE(AnnéeCalendrier,9,4),1),"jjj")</f>
        <v>mer</v>
      </c>
      <c r="G5" s="2" t="str">
        <f>TEXT(WEEKDAY(DATE(AnnéeCalendrier,9,5),1),"jjj")</f>
        <v>jeu</v>
      </c>
      <c r="H5" s="2" t="str">
        <f>TEXT(WEEKDAY(DATE(AnnéeCalendrier,9,6),1),"jjj")</f>
        <v>ven</v>
      </c>
      <c r="I5" s="2" t="str">
        <f>TEXT(WEEKDAY(DATE(AnnéeCalendrier,9,7),1),"jjj")</f>
        <v>sam</v>
      </c>
      <c r="J5" s="2" t="str">
        <f>TEXT(WEEKDAY(DATE(AnnéeCalendrier,9,8),1),"jjj")</f>
        <v>dim</v>
      </c>
      <c r="K5" s="2" t="str">
        <f>TEXT(WEEKDAY(DATE(AnnéeCalendrier,9,9),1),"jjj")</f>
        <v>lun</v>
      </c>
      <c r="L5" s="2" t="str">
        <f>TEXT(WEEKDAY(DATE(AnnéeCalendrier,9,10),1),"jjj")</f>
        <v>mar</v>
      </c>
      <c r="M5" s="2" t="str">
        <f>TEXT(WEEKDAY(DATE(AnnéeCalendrier,9,11),1),"jjj")</f>
        <v>mer</v>
      </c>
      <c r="N5" s="2" t="str">
        <f>TEXT(WEEKDAY(DATE(AnnéeCalendrier,9,12),1),"jjj")</f>
        <v>jeu</v>
      </c>
      <c r="O5" s="2" t="str">
        <f>TEXT(WEEKDAY(DATE(AnnéeCalendrier,9,13),1),"jjj")</f>
        <v>ven</v>
      </c>
      <c r="P5" s="2" t="str">
        <f>TEXT(WEEKDAY(DATE(AnnéeCalendrier,9,14),1),"jjj")</f>
        <v>sam</v>
      </c>
      <c r="Q5" s="2" t="str">
        <f>TEXT(WEEKDAY(DATE(AnnéeCalendrier,9,15),1),"jjj")</f>
        <v>dim</v>
      </c>
      <c r="R5" s="2" t="str">
        <f>TEXT(WEEKDAY(DATE(AnnéeCalendrier,9,16),1),"jjj")</f>
        <v>lun</v>
      </c>
      <c r="S5" s="2" t="str">
        <f>TEXT(WEEKDAY(DATE(AnnéeCalendrier,9,17),1),"jjj")</f>
        <v>mar</v>
      </c>
      <c r="T5" s="2" t="str">
        <f>TEXT(WEEKDAY(DATE(AnnéeCalendrier,9,18),1),"jjj")</f>
        <v>mer</v>
      </c>
      <c r="U5" s="2" t="str">
        <f>TEXT(WEEKDAY(DATE(AnnéeCalendrier,9,19),1),"jjj")</f>
        <v>jeu</v>
      </c>
      <c r="V5" s="2" t="str">
        <f>TEXT(WEEKDAY(DATE(AnnéeCalendrier,9,20),1),"jjj")</f>
        <v>ven</v>
      </c>
      <c r="W5" s="2" t="str">
        <f>TEXT(WEEKDAY(DATE(AnnéeCalendrier,9,21),1),"jjj")</f>
        <v>sam</v>
      </c>
      <c r="X5" s="2" t="str">
        <f>TEXT(WEEKDAY(DATE(AnnéeCalendrier,9,22),1),"jjj")</f>
        <v>dim</v>
      </c>
      <c r="Y5" s="2" t="str">
        <f>TEXT(WEEKDAY(DATE(AnnéeCalendrier,9,23),1),"jjj")</f>
        <v>lun</v>
      </c>
      <c r="Z5" s="2" t="str">
        <f>TEXT(WEEKDAY(DATE(AnnéeCalendrier,9,24),1),"jjj")</f>
        <v>mar</v>
      </c>
      <c r="AA5" s="2" t="str">
        <f>TEXT(WEEKDAY(DATE(AnnéeCalendrier,9,25),1),"jjj")</f>
        <v>mer</v>
      </c>
      <c r="AB5" s="2" t="str">
        <f>TEXT(WEEKDAY(DATE(AnnéeCalendrier,9,26),1),"jjj")</f>
        <v>jeu</v>
      </c>
      <c r="AC5" s="2" t="str">
        <f>TEXT(WEEKDAY(DATE(AnnéeCalendrier,9,27),1),"jjj")</f>
        <v>ven</v>
      </c>
      <c r="AD5" s="2" t="str">
        <f>TEXT(WEEKDAY(DATE(AnnéeCalendrier,9,28),1),"jjj")</f>
        <v>sam</v>
      </c>
      <c r="AE5" s="2" t="str">
        <f>TEXT(WEEKDAY(DATE(AnnéeCalendrier,9,29),1),"jjj")</f>
        <v>dim</v>
      </c>
      <c r="AF5" s="2" t="str">
        <f>TEXT(WEEKDAY(DATE(AnnéeCalendrier,9,30),1),"jjj")</f>
        <v>lun</v>
      </c>
      <c r="AG5" s="2"/>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Septembre Total</v>
      </c>
      <c r="C13" s="12">
        <f>SUBTOTAL(103,Septembre[1])</f>
        <v>0</v>
      </c>
      <c r="D13" s="12">
        <f>SUBTOTAL(103,Septembre[2])</f>
        <v>0</v>
      </c>
      <c r="E13" s="12">
        <f>SUBTOTAL(103,Septembre[3])</f>
        <v>0</v>
      </c>
      <c r="F13" s="12">
        <f>SUBTOTAL(103,Septembre[4])</f>
        <v>0</v>
      </c>
      <c r="G13" s="12">
        <f>SUBTOTAL(103,Septembre[5])</f>
        <v>0</v>
      </c>
      <c r="H13" s="12">
        <f>SUBTOTAL(103,Septembre[6])</f>
        <v>0</v>
      </c>
      <c r="I13" s="12">
        <f>SUBTOTAL(103,Septembre[7])</f>
        <v>0</v>
      </c>
      <c r="J13" s="12">
        <f>SUBTOTAL(103,Septembre[8])</f>
        <v>0</v>
      </c>
      <c r="K13" s="12">
        <f>SUBTOTAL(103,Septembre[9])</f>
        <v>0</v>
      </c>
      <c r="L13" s="12">
        <f>SUBTOTAL(103,Septembre[10])</f>
        <v>0</v>
      </c>
      <c r="M13" s="12">
        <f>SUBTOTAL(103,Septembre[11])</f>
        <v>0</v>
      </c>
      <c r="N13" s="12">
        <f>SUBTOTAL(103,Septembre[12])</f>
        <v>0</v>
      </c>
      <c r="O13" s="12">
        <f>SUBTOTAL(103,Septembre[13])</f>
        <v>0</v>
      </c>
      <c r="P13" s="12">
        <f>SUBTOTAL(103,Septembre[14])</f>
        <v>0</v>
      </c>
      <c r="Q13" s="12">
        <f>SUBTOTAL(103,Septembre[15])</f>
        <v>0</v>
      </c>
      <c r="R13" s="12">
        <f>SUBTOTAL(103,Septembre[16])</f>
        <v>0</v>
      </c>
      <c r="S13" s="12">
        <f>SUBTOTAL(103,Septembre[17])</f>
        <v>0</v>
      </c>
      <c r="T13" s="12">
        <f>SUBTOTAL(103,Septembre[18])</f>
        <v>0</v>
      </c>
      <c r="U13" s="12">
        <f>SUBTOTAL(103,Septembre[19])</f>
        <v>0</v>
      </c>
      <c r="V13" s="12">
        <f>SUBTOTAL(103,Septembre[20])</f>
        <v>0</v>
      </c>
      <c r="W13" s="12">
        <f>SUBTOTAL(103,Septembre[21])</f>
        <v>0</v>
      </c>
      <c r="X13" s="12">
        <f>SUBTOTAL(103,Septembre[22])</f>
        <v>0</v>
      </c>
      <c r="Y13" s="12">
        <f>SUBTOTAL(103,Septembre[23])</f>
        <v>0</v>
      </c>
      <c r="Z13" s="12">
        <f>SUBTOTAL(103,Septembre[24])</f>
        <v>0</v>
      </c>
      <c r="AA13" s="12">
        <f>SUBTOTAL(103,Septembre[25])</f>
        <v>0</v>
      </c>
      <c r="AB13" s="12">
        <f>SUBTOTAL(103,Septembre[26])</f>
        <v>0</v>
      </c>
      <c r="AC13" s="12">
        <f>SUBTOTAL(103,Septembre[27])</f>
        <v>0</v>
      </c>
      <c r="AD13" s="12">
        <f>SUBTOTAL(103,Septembre[28])</f>
        <v>0</v>
      </c>
      <c r="AE13" s="12">
        <f>SUBTOTAL(103,Septembre[29])</f>
        <v>0</v>
      </c>
      <c r="AF13" s="12">
        <f>SUBTOTAL(103,Septembre[30])</f>
        <v>0</v>
      </c>
      <c r="AG13" s="12">
        <f>SUBTOTAL(103,Septembre[[ ]])</f>
        <v>0</v>
      </c>
      <c r="AH13" s="12">
        <f>SUBTOTAL(109,Septembre[Travaillé])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14" priority="5" stopIfTrue="1">
      <formula>C7=CléPersonnalisée2</formula>
    </cfRule>
    <cfRule type="expression" dxfId="113" priority="6" stopIfTrue="1">
      <formula>C7=CléPersonnalisée1</formula>
    </cfRule>
    <cfRule type="expression" dxfId="112" priority="7" stopIfTrue="1">
      <formula>C7=CléMaladie</formula>
    </cfRule>
    <cfRule type="expression" dxfId="111" priority="8" stopIfTrue="1">
      <formula>C7=CléCongés</formula>
    </cfRule>
    <cfRule type="expression" dxfId="110"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{20DE75E8-6F12-4584-A15E-36CD0DC111A5}</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{577B96AE-9991-439D-8FED-8FF366FBE0A8}</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{F0700942-D44D-4F9C-87E5-EE825BB2A440}</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0DE75E8-6F12-4584-A15E-36CD0DC111A5}">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577B96AE-9991-439D-8FED-8FF366FBE0A8}">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F0700942-D44D-4F9C-87E5-EE825BB2A44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59</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TEXT(WEEKDAY(DATE(AnnéeCalendrier,10,1),1),"jjj")</f>
        <v>mar</v>
      </c>
      <c r="D5" s="2" t="str">
        <f>TEXT(WEEKDAY(DATE(AnnéeCalendrier,10,2),1),"jjj")</f>
        <v>mer</v>
      </c>
      <c r="E5" s="2" t="str">
        <f>TEXT(WEEKDAY(DATE(AnnéeCalendrier,10,3),1),"jjj")</f>
        <v>jeu</v>
      </c>
      <c r="F5" s="2" t="str">
        <f>TEXT(WEEKDAY(DATE(AnnéeCalendrier,10,4),1),"jjj")</f>
        <v>ven</v>
      </c>
      <c r="G5" s="2" t="str">
        <f>TEXT(WEEKDAY(DATE(AnnéeCalendrier,10,5),1),"jjj")</f>
        <v>sam</v>
      </c>
      <c r="H5" s="2" t="str">
        <f>TEXT(WEEKDAY(DATE(AnnéeCalendrier,10,6),1),"jjj")</f>
        <v>dim</v>
      </c>
      <c r="I5" s="2" t="str">
        <f>TEXT(WEEKDAY(DATE(AnnéeCalendrier,10,7),1),"jjj")</f>
        <v>lun</v>
      </c>
      <c r="J5" s="2" t="str">
        <f>TEXT(WEEKDAY(DATE(AnnéeCalendrier,10,8),1),"jjj")</f>
        <v>mar</v>
      </c>
      <c r="K5" s="2" t="str">
        <f>TEXT(WEEKDAY(DATE(AnnéeCalendrier,10,9),1),"jjj")</f>
        <v>mer</v>
      </c>
      <c r="L5" s="2" t="str">
        <f>TEXT(WEEKDAY(DATE(AnnéeCalendrier,10,10),1),"jjj")</f>
        <v>jeu</v>
      </c>
      <c r="M5" s="2" t="str">
        <f>TEXT(WEEKDAY(DATE(AnnéeCalendrier,10,11),1),"jjj")</f>
        <v>ven</v>
      </c>
      <c r="N5" s="2" t="str">
        <f>TEXT(WEEKDAY(DATE(AnnéeCalendrier,10,12),1),"jjj")</f>
        <v>sam</v>
      </c>
      <c r="O5" s="2" t="str">
        <f>TEXT(WEEKDAY(DATE(AnnéeCalendrier,10,13),1),"jjj")</f>
        <v>dim</v>
      </c>
      <c r="P5" s="2" t="str">
        <f>TEXT(WEEKDAY(DATE(AnnéeCalendrier,10,14),1),"jjj")</f>
        <v>lun</v>
      </c>
      <c r="Q5" s="2" t="str">
        <f>TEXT(WEEKDAY(DATE(AnnéeCalendrier,10,15),1),"jjj")</f>
        <v>mar</v>
      </c>
      <c r="R5" s="2" t="str">
        <f>TEXT(WEEKDAY(DATE(AnnéeCalendrier,10,16),1),"jjj")</f>
        <v>mer</v>
      </c>
      <c r="S5" s="2" t="str">
        <f>TEXT(WEEKDAY(DATE(AnnéeCalendrier,10,17),1),"jjj")</f>
        <v>jeu</v>
      </c>
      <c r="T5" s="2" t="str">
        <f>TEXT(WEEKDAY(DATE(AnnéeCalendrier,10,18),1),"jjj")</f>
        <v>ven</v>
      </c>
      <c r="U5" s="2" t="str">
        <f>TEXT(WEEKDAY(DATE(AnnéeCalendrier,10,19),1),"jjj")</f>
        <v>sam</v>
      </c>
      <c r="V5" s="2" t="str">
        <f>TEXT(WEEKDAY(DATE(AnnéeCalendrier,10,20),1),"jjj")</f>
        <v>dim</v>
      </c>
      <c r="W5" s="2" t="str">
        <f>TEXT(WEEKDAY(DATE(AnnéeCalendrier,10,21),1),"jjj")</f>
        <v>lun</v>
      </c>
      <c r="X5" s="2" t="str">
        <f>TEXT(WEEKDAY(DATE(AnnéeCalendrier,10,22),1),"jjj")</f>
        <v>mar</v>
      </c>
      <c r="Y5" s="2" t="str">
        <f>TEXT(WEEKDAY(DATE(AnnéeCalendrier,10,23),1),"jjj")</f>
        <v>mer</v>
      </c>
      <c r="Z5" s="2" t="str">
        <f>TEXT(WEEKDAY(DATE(AnnéeCalendrier,10,24),1),"jjj")</f>
        <v>jeu</v>
      </c>
      <c r="AA5" s="2" t="str">
        <f>TEXT(WEEKDAY(DATE(AnnéeCalendrier,10,25),1),"jjj")</f>
        <v>ven</v>
      </c>
      <c r="AB5" s="2" t="str">
        <f>TEXT(WEEKDAY(DATE(AnnéeCalendrier,10,26),1),"jjj")</f>
        <v>sam</v>
      </c>
      <c r="AC5" s="2" t="str">
        <f>TEXT(WEEKDAY(DATE(AnnéeCalendrier,10,27),1),"jjj")</f>
        <v>dim</v>
      </c>
      <c r="AD5" s="2" t="str">
        <f>TEXT(WEEKDAY(DATE(AnnéeCalendrier,10,28),1),"jjj")</f>
        <v>lun</v>
      </c>
      <c r="AE5" s="2" t="str">
        <f>TEXT(WEEKDAY(DATE(AnnéeCalendrier,10,29),1),"jjj")</f>
        <v>mar</v>
      </c>
      <c r="AF5" s="2" t="str">
        <f>TEXT(WEEKDAY(DATE(AnnéeCalendrier,10,30),1),"jjj")</f>
        <v>mer</v>
      </c>
      <c r="AG5" s="2" t="str">
        <f>TEXT(WEEKDAY(DATE(AnnéeCalendrier,10,31),1),"jjj")</f>
        <v>jeu</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Octobre Total</v>
      </c>
      <c r="C13" s="12">
        <f>SUBTOTAL(103,Octobre[1])</f>
        <v>0</v>
      </c>
      <c r="D13" s="12">
        <f>SUBTOTAL(103,Octobre[2])</f>
        <v>0</v>
      </c>
      <c r="E13" s="12">
        <f>SUBTOTAL(103,Octobre[3])</f>
        <v>0</v>
      </c>
      <c r="F13" s="12">
        <f>SUBTOTAL(103,Octobre[4])</f>
        <v>0</v>
      </c>
      <c r="G13" s="12">
        <f>SUBTOTAL(103,Octobre[5])</f>
        <v>0</v>
      </c>
      <c r="H13" s="12">
        <f>SUBTOTAL(103,Octobre[6])</f>
        <v>0</v>
      </c>
      <c r="I13" s="12">
        <f>SUBTOTAL(103,Octobre[7])</f>
        <v>0</v>
      </c>
      <c r="J13" s="12">
        <f>SUBTOTAL(103,Octobre[8])</f>
        <v>0</v>
      </c>
      <c r="K13" s="12">
        <f>SUBTOTAL(103,Octobre[9])</f>
        <v>0</v>
      </c>
      <c r="L13" s="12">
        <f>SUBTOTAL(103,Octobre[10])</f>
        <v>0</v>
      </c>
      <c r="M13" s="12">
        <f>SUBTOTAL(103,Octobre[11])</f>
        <v>0</v>
      </c>
      <c r="N13" s="12">
        <f>SUBTOTAL(103,Octobre[12])</f>
        <v>0</v>
      </c>
      <c r="O13" s="12">
        <f>SUBTOTAL(103,Octobre[13])</f>
        <v>0</v>
      </c>
      <c r="P13" s="12">
        <f>SUBTOTAL(103,Octobre[14])</f>
        <v>0</v>
      </c>
      <c r="Q13" s="12">
        <f>SUBTOTAL(103,Octobre[15])</f>
        <v>0</v>
      </c>
      <c r="R13" s="12">
        <f>SUBTOTAL(103,Octobre[16])</f>
        <v>0</v>
      </c>
      <c r="S13" s="12">
        <f>SUBTOTAL(103,Octobre[17])</f>
        <v>0</v>
      </c>
      <c r="T13" s="12">
        <f>SUBTOTAL(103,Octobre[18])</f>
        <v>0</v>
      </c>
      <c r="U13" s="12">
        <f>SUBTOTAL(103,Octobre[19])</f>
        <v>0</v>
      </c>
      <c r="V13" s="12">
        <f>SUBTOTAL(103,Octobre[20])</f>
        <v>0</v>
      </c>
      <c r="W13" s="12">
        <f>SUBTOTAL(103,Octobre[21])</f>
        <v>0</v>
      </c>
      <c r="X13" s="12">
        <f>SUBTOTAL(103,Octobre[22])</f>
        <v>0</v>
      </c>
      <c r="Y13" s="12">
        <f>SUBTOTAL(103,Octobre[23])</f>
        <v>0</v>
      </c>
      <c r="Z13" s="12">
        <f>SUBTOTAL(103,Octobre[24])</f>
        <v>0</v>
      </c>
      <c r="AA13" s="12">
        <f>SUBTOTAL(103,Octobre[25])</f>
        <v>0</v>
      </c>
      <c r="AB13" s="12">
        <f>SUBTOTAL(103,Octobre[26])</f>
        <v>0</v>
      </c>
      <c r="AC13" s="12">
        <f>SUBTOTAL(103,Octobre[27])</f>
        <v>0</v>
      </c>
      <c r="AD13" s="12">
        <f>SUBTOTAL(103,Octobre[28])</f>
        <v>0</v>
      </c>
      <c r="AE13" s="12">
        <f>SUBTOTAL(103,Octobre[29])</f>
        <v>0</v>
      </c>
      <c r="AF13" s="12">
        <f>SUBTOTAL(103,Octobre[30])</f>
        <v>0</v>
      </c>
      <c r="AG13" s="12">
        <f>SUBTOTAL(103,Octobre[31])</f>
        <v>0</v>
      </c>
      <c r="AH13" s="12">
        <f>SUBTOTAL(109,Octobre[Travaillé])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09" priority="5" stopIfTrue="1">
      <formula>C7=CléPersonnalisée2</formula>
    </cfRule>
    <cfRule type="expression" dxfId="108" priority="6" stopIfTrue="1">
      <formula>C7=CléPersonnalisée1</formula>
    </cfRule>
    <cfRule type="expression" dxfId="107" priority="7" stopIfTrue="1">
      <formula>C7=CléMaladie</formula>
    </cfRule>
    <cfRule type="expression" dxfId="106" priority="8" stopIfTrue="1">
      <formula>C7=CléCongés</formula>
    </cfRule>
    <cfRule type="expression" dxfId="105"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{6992A093-9FE3-43D4-8E59-3F15F7F0ED14}</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{44C3CE78-6326-4CC1-BF10-86664B3C90C9}</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{28EAD995-321B-4E5D-AD47-0E5114CB08CE}</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992A093-9FE3-43D4-8E59-3F15F7F0ED14}">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44C3CE78-6326-4CC1-BF10-86664B3C90C9}">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28EAD995-321B-4E5D-AD47-0E5114CB08CE}">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60</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TEXT(WEEKDAY(DATE(AnnéeCalendrier,11,1),1),"jjj")</f>
        <v>ven</v>
      </c>
      <c r="D5" s="2" t="str">
        <f>TEXT(WEEKDAY(DATE(AnnéeCalendrier,11,2),1),"jjj")</f>
        <v>sam</v>
      </c>
      <c r="E5" s="2" t="str">
        <f>TEXT(WEEKDAY(DATE(AnnéeCalendrier,11,3),1),"jjj")</f>
        <v>dim</v>
      </c>
      <c r="F5" s="2" t="str">
        <f>TEXT(WEEKDAY(DATE(AnnéeCalendrier,11,4),1),"jjj")</f>
        <v>lun</v>
      </c>
      <c r="G5" s="2" t="str">
        <f>TEXT(WEEKDAY(DATE(AnnéeCalendrier,11,5),1),"jjj")</f>
        <v>mar</v>
      </c>
      <c r="H5" s="2" t="str">
        <f>TEXT(WEEKDAY(DATE(AnnéeCalendrier,11,6),1),"jjj")</f>
        <v>mer</v>
      </c>
      <c r="I5" s="2" t="str">
        <f>TEXT(WEEKDAY(DATE(AnnéeCalendrier,11,7),1),"jjj")</f>
        <v>jeu</v>
      </c>
      <c r="J5" s="2" t="str">
        <f>TEXT(WEEKDAY(DATE(AnnéeCalendrier,11,8),1),"jjj")</f>
        <v>ven</v>
      </c>
      <c r="K5" s="2" t="str">
        <f>TEXT(WEEKDAY(DATE(AnnéeCalendrier,11,9),1),"jjj")</f>
        <v>sam</v>
      </c>
      <c r="L5" s="2" t="str">
        <f>TEXT(WEEKDAY(DATE(AnnéeCalendrier,11,10),1),"jjj")</f>
        <v>dim</v>
      </c>
      <c r="M5" s="2" t="str">
        <f>TEXT(WEEKDAY(DATE(AnnéeCalendrier,11,11),1),"jjj")</f>
        <v>lun</v>
      </c>
      <c r="N5" s="2" t="str">
        <f>TEXT(WEEKDAY(DATE(AnnéeCalendrier,11,12),1),"jjj")</f>
        <v>mar</v>
      </c>
      <c r="O5" s="2" t="str">
        <f>TEXT(WEEKDAY(DATE(AnnéeCalendrier,11,13),1),"jjj")</f>
        <v>mer</v>
      </c>
      <c r="P5" s="2" t="str">
        <f>TEXT(WEEKDAY(DATE(AnnéeCalendrier,11,14),1),"jjj")</f>
        <v>jeu</v>
      </c>
      <c r="Q5" s="2" t="str">
        <f>TEXT(WEEKDAY(DATE(AnnéeCalendrier,11,15),1),"jjj")</f>
        <v>ven</v>
      </c>
      <c r="R5" s="2" t="str">
        <f>TEXT(WEEKDAY(DATE(AnnéeCalendrier,11,16),1),"jjj")</f>
        <v>sam</v>
      </c>
      <c r="S5" s="2" t="str">
        <f>TEXT(WEEKDAY(DATE(AnnéeCalendrier,11,17),1),"jjj")</f>
        <v>dim</v>
      </c>
      <c r="T5" s="2" t="str">
        <f>TEXT(WEEKDAY(DATE(AnnéeCalendrier,11,18),1),"jjj")</f>
        <v>lun</v>
      </c>
      <c r="U5" s="2" t="str">
        <f>TEXT(WEEKDAY(DATE(AnnéeCalendrier,11,19),1),"jjj")</f>
        <v>mar</v>
      </c>
      <c r="V5" s="2" t="str">
        <f>TEXT(WEEKDAY(DATE(AnnéeCalendrier,11,20),1),"jjj")</f>
        <v>mer</v>
      </c>
      <c r="W5" s="2" t="str">
        <f>TEXT(WEEKDAY(DATE(AnnéeCalendrier,11,21),1),"jjj")</f>
        <v>jeu</v>
      </c>
      <c r="X5" s="2" t="str">
        <f>TEXT(WEEKDAY(DATE(AnnéeCalendrier,11,22),1),"jjj")</f>
        <v>ven</v>
      </c>
      <c r="Y5" s="2" t="str">
        <f>TEXT(WEEKDAY(DATE(AnnéeCalendrier,11,23),1),"jjj")</f>
        <v>sam</v>
      </c>
      <c r="Z5" s="2" t="str">
        <f>TEXT(WEEKDAY(DATE(AnnéeCalendrier,11,24),1),"jjj")</f>
        <v>dim</v>
      </c>
      <c r="AA5" s="2" t="str">
        <f>TEXT(WEEKDAY(DATE(AnnéeCalendrier,11,25),1),"jjj")</f>
        <v>lun</v>
      </c>
      <c r="AB5" s="2" t="str">
        <f>TEXT(WEEKDAY(DATE(AnnéeCalendrier,11,26),1),"jjj")</f>
        <v>mar</v>
      </c>
      <c r="AC5" s="2" t="str">
        <f>TEXT(WEEKDAY(DATE(AnnéeCalendrier,11,27),1),"jjj")</f>
        <v>mer</v>
      </c>
      <c r="AD5" s="2" t="str">
        <f>TEXT(WEEKDAY(DATE(AnnéeCalendrier,11,28),1),"jjj")</f>
        <v>jeu</v>
      </c>
      <c r="AE5" s="2" t="str">
        <f>TEXT(WEEKDAY(DATE(AnnéeCalendrier,11,29),1),"jjj")</f>
        <v>ven</v>
      </c>
      <c r="AF5" s="2" t="str">
        <f>TEXT(WEEKDAY(DATE(AnnéeCalendrier,11,30),1),"jjj")</f>
        <v>sam</v>
      </c>
      <c r="AG5" s="2"/>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50</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Novembre Total</v>
      </c>
      <c r="C13" s="12">
        <f>SUBTOTAL(103,Novembre[1])</f>
        <v>0</v>
      </c>
      <c r="D13" s="12">
        <f>SUBTOTAL(103,Novembre[2])</f>
        <v>0</v>
      </c>
      <c r="E13" s="12">
        <f>SUBTOTAL(103,Novembre[3])</f>
        <v>0</v>
      </c>
      <c r="F13" s="12">
        <f>SUBTOTAL(103,Novembre[4])</f>
        <v>0</v>
      </c>
      <c r="G13" s="12">
        <f>SUBTOTAL(103,Novembre[5])</f>
        <v>0</v>
      </c>
      <c r="H13" s="12">
        <f>SUBTOTAL(103,Novembre[6])</f>
        <v>0</v>
      </c>
      <c r="I13" s="12">
        <f>SUBTOTAL(103,Novembre[7])</f>
        <v>0</v>
      </c>
      <c r="J13" s="12">
        <f>SUBTOTAL(103,Novembre[8])</f>
        <v>0</v>
      </c>
      <c r="K13" s="12">
        <f>SUBTOTAL(103,Novembre[9])</f>
        <v>0</v>
      </c>
      <c r="L13" s="12">
        <f>SUBTOTAL(103,Novembre[10])</f>
        <v>0</v>
      </c>
      <c r="M13" s="12">
        <f>SUBTOTAL(103,Novembre[11])</f>
        <v>0</v>
      </c>
      <c r="N13" s="12">
        <f>SUBTOTAL(103,Novembre[12])</f>
        <v>0</v>
      </c>
      <c r="O13" s="12">
        <f>SUBTOTAL(103,Novembre[13])</f>
        <v>0</v>
      </c>
      <c r="P13" s="12">
        <f>SUBTOTAL(103,Novembre[14])</f>
        <v>0</v>
      </c>
      <c r="Q13" s="12">
        <f>SUBTOTAL(103,Novembre[15])</f>
        <v>0</v>
      </c>
      <c r="R13" s="12">
        <f>SUBTOTAL(103,Novembre[16])</f>
        <v>0</v>
      </c>
      <c r="S13" s="12">
        <f>SUBTOTAL(103,Novembre[17])</f>
        <v>0</v>
      </c>
      <c r="T13" s="12">
        <f>SUBTOTAL(103,Novembre[18])</f>
        <v>0</v>
      </c>
      <c r="U13" s="12">
        <f>SUBTOTAL(103,Novembre[19])</f>
        <v>0</v>
      </c>
      <c r="V13" s="12">
        <f>SUBTOTAL(103,Novembre[20])</f>
        <v>0</v>
      </c>
      <c r="W13" s="12">
        <f>SUBTOTAL(103,Novembre[21])</f>
        <v>0</v>
      </c>
      <c r="X13" s="12">
        <f>SUBTOTAL(103,Novembre[22])</f>
        <v>0</v>
      </c>
      <c r="Y13" s="12">
        <f>SUBTOTAL(103,Novembre[23])</f>
        <v>0</v>
      </c>
      <c r="Z13" s="12">
        <f>SUBTOTAL(103,Novembre[24])</f>
        <v>0</v>
      </c>
      <c r="AA13" s="12">
        <f>SUBTOTAL(103,Novembre[25])</f>
        <v>0</v>
      </c>
      <c r="AB13" s="12">
        <f>SUBTOTAL(103,Novembre[26])</f>
        <v>0</v>
      </c>
      <c r="AC13" s="12">
        <f>SUBTOTAL(103,Novembre[27])</f>
        <v>0</v>
      </c>
      <c r="AD13" s="12">
        <f>SUBTOTAL(103,Novembre[28])</f>
        <v>0</v>
      </c>
      <c r="AE13" s="12">
        <f>SUBTOTAL(103,Novembre[29])</f>
        <v>0</v>
      </c>
      <c r="AF13" s="12">
        <f>SUBTOTAL(103,Novembre[30])</f>
        <v>0</v>
      </c>
      <c r="AG13" s="12">
        <f>SUBTOTAL(103,Novembre[[ ]])</f>
        <v>0</v>
      </c>
      <c r="AH13" s="12">
        <f>SUBTOTAL(109,Novembre[Travaillé])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104" priority="5" stopIfTrue="1">
      <formula>C7=CléPersonnalisée2</formula>
    </cfRule>
    <cfRule type="expression" dxfId="103" priority="6" stopIfTrue="1">
      <formula>C7=CléPersonnalisée1</formula>
    </cfRule>
    <cfRule type="expression" dxfId="102" priority="7" stopIfTrue="1">
      <formula>C7=CléMaladie</formula>
    </cfRule>
    <cfRule type="expression" dxfId="101" priority="8" stopIfTrue="1">
      <formula>C7=CléCongés</formula>
    </cfRule>
    <cfRule type="expression" dxfId="100"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{46458AF7-BB96-4CA7-B306-CC75722DE0EB}</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{D53EB54C-D67E-46E6-84D0-BE4136BCF71E}</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{634C148B-F505-4744-B0C5-858D54E18439}</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6458AF7-BB96-4CA7-B306-CC75722DE0EB}">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D53EB54C-D67E-46E6-84D0-BE4136BCF71E}">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634C148B-F505-4744-B0C5-858D54E18439}">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K13"/>
  <sheetViews>
    <sheetView showGridLines="0" topLeftCell="C1" zoomScaleNormal="100" workbookViewId="0">
      <selection activeCell="AH7" sqref="AH7:AK12"/>
    </sheetView>
  </sheetViews>
  <sheetFormatPr baseColWidth="10" defaultColWidth="9.15625" defaultRowHeight="30" customHeight="1" x14ac:dyDescent="0.55000000000000004"/>
  <cols>
    <col min="1" max="1" width="2.68359375" style="10" customWidth="1"/>
    <col min="2" max="2" width="25.68359375" style="10" customWidth="1"/>
    <col min="3" max="33" width="4.68359375" style="10" customWidth="1"/>
    <col min="34" max="34" width="9.578125" style="10" customWidth="1"/>
    <col min="35" max="37" width="9.578125" customWidth="1"/>
  </cols>
  <sheetData>
    <row r="1" spans="2:37" ht="50.1" customHeight="1" x14ac:dyDescent="0.55000000000000004">
      <c r="B1" s="13" t="str">
        <f>Titre_Absence_Employé</f>
        <v>Calendrier  des employés</v>
      </c>
    </row>
    <row r="2" spans="2:37" ht="15" customHeight="1" x14ac:dyDescent="0.55000000000000004">
      <c r="B2" s="17" t="s">
        <v>0</v>
      </c>
      <c r="C2" s="4" t="s">
        <v>8</v>
      </c>
      <c r="D2" s="48" t="s">
        <v>11</v>
      </c>
      <c r="E2" s="48"/>
      <c r="F2" s="5" t="s">
        <v>14</v>
      </c>
      <c r="G2" s="48" t="s">
        <v>18</v>
      </c>
      <c r="H2" s="48"/>
      <c r="I2" s="48"/>
      <c r="J2" s="6" t="s">
        <v>16</v>
      </c>
      <c r="K2" s="48" t="s">
        <v>23</v>
      </c>
      <c r="L2" s="48"/>
      <c r="M2" s="7"/>
      <c r="N2" s="48" t="s">
        <v>27</v>
      </c>
      <c r="O2" s="48"/>
      <c r="P2" s="48"/>
      <c r="Q2" s="48"/>
      <c r="R2" s="8"/>
      <c r="S2" s="48" t="s">
        <v>32</v>
      </c>
      <c r="T2" s="48"/>
      <c r="U2" s="48"/>
      <c r="V2" s="48"/>
    </row>
    <row r="3" spans="2:37" ht="15" customHeight="1" x14ac:dyDescent="0.55000000000000004">
      <c r="B3" s="13"/>
    </row>
    <row r="4" spans="2:37" ht="30" customHeight="1" x14ac:dyDescent="0.55000000000000004">
      <c r="B4" s="11" t="s">
        <v>61</v>
      </c>
      <c r="C4" s="46" t="s">
        <v>9</v>
      </c>
      <c r="D4" s="46"/>
      <c r="E4" s="46"/>
      <c r="F4" s="46"/>
      <c r="G4" s="46"/>
      <c r="H4" s="46"/>
      <c r="I4" s="46"/>
      <c r="J4" s="46"/>
      <c r="K4" s="46"/>
      <c r="L4" s="46"/>
      <c r="M4" s="46"/>
      <c r="N4" s="46"/>
      <c r="O4" s="46"/>
      <c r="P4" s="46"/>
      <c r="Q4" s="46"/>
      <c r="R4" s="46"/>
      <c r="S4" s="46"/>
      <c r="T4" s="46"/>
      <c r="U4" s="46"/>
      <c r="V4" s="46"/>
      <c r="W4" s="46"/>
      <c r="X4" s="46"/>
      <c r="Y4" s="46"/>
      <c r="Z4" s="46"/>
      <c r="AA4" s="46"/>
      <c r="AB4" s="46"/>
      <c r="AC4" s="46"/>
      <c r="AD4" s="46"/>
      <c r="AE4" s="46"/>
      <c r="AF4" s="46"/>
      <c r="AG4" s="46"/>
      <c r="AH4" s="11">
        <f>AnnéeCalendrier</f>
        <v>2019</v>
      </c>
      <c r="AI4" s="21"/>
      <c r="AJ4" s="21"/>
      <c r="AK4" s="21"/>
    </row>
    <row r="5" spans="2:37" ht="15" customHeight="1" x14ac:dyDescent="0.55000000000000004">
      <c r="B5" s="11"/>
      <c r="C5" s="2" t="str">
        <f>TEXT(WEEKDAY(DATE(AnnéeCalendrier,12,1),1),"jjj")</f>
        <v>dim</v>
      </c>
      <c r="D5" s="2" t="str">
        <f>TEXT(WEEKDAY(DATE(AnnéeCalendrier,12,2),1),"jjj")</f>
        <v>lun</v>
      </c>
      <c r="E5" s="2" t="str">
        <f>TEXT(WEEKDAY(DATE(AnnéeCalendrier,12,3),1),"jjj")</f>
        <v>mar</v>
      </c>
      <c r="F5" s="2" t="str">
        <f>TEXT(WEEKDAY(DATE(AnnéeCalendrier,12,4),1),"jjj")</f>
        <v>mer</v>
      </c>
      <c r="G5" s="2" t="str">
        <f>TEXT(WEEKDAY(DATE(AnnéeCalendrier,12,5),1),"jjj")</f>
        <v>jeu</v>
      </c>
      <c r="H5" s="2" t="str">
        <f>TEXT(WEEKDAY(DATE(AnnéeCalendrier,12,6),1),"jjj")</f>
        <v>ven</v>
      </c>
      <c r="I5" s="2" t="str">
        <f>TEXT(WEEKDAY(DATE(AnnéeCalendrier,12,7),1),"jjj")</f>
        <v>sam</v>
      </c>
      <c r="J5" s="2" t="str">
        <f>TEXT(WEEKDAY(DATE(AnnéeCalendrier,12,8),1),"jjj")</f>
        <v>dim</v>
      </c>
      <c r="K5" s="2" t="str">
        <f>TEXT(WEEKDAY(DATE(AnnéeCalendrier,12,9),1),"jjj")</f>
        <v>lun</v>
      </c>
      <c r="L5" s="2" t="str">
        <f>TEXT(WEEKDAY(DATE(AnnéeCalendrier,12,10),1),"jjj")</f>
        <v>mar</v>
      </c>
      <c r="M5" s="2" t="str">
        <f>TEXT(WEEKDAY(DATE(AnnéeCalendrier,12,11),1),"jjj")</f>
        <v>mer</v>
      </c>
      <c r="N5" s="2" t="str">
        <f>TEXT(WEEKDAY(DATE(AnnéeCalendrier,12,12),1),"jjj")</f>
        <v>jeu</v>
      </c>
      <c r="O5" s="2" t="str">
        <f>TEXT(WEEKDAY(DATE(AnnéeCalendrier,12,13),1),"jjj")</f>
        <v>ven</v>
      </c>
      <c r="P5" s="2" t="str">
        <f>TEXT(WEEKDAY(DATE(AnnéeCalendrier,12,14),1),"jjj")</f>
        <v>sam</v>
      </c>
      <c r="Q5" s="2" t="str">
        <f>TEXT(WEEKDAY(DATE(AnnéeCalendrier,12,15),1),"jjj")</f>
        <v>dim</v>
      </c>
      <c r="R5" s="2" t="str">
        <f>TEXT(WEEKDAY(DATE(AnnéeCalendrier,12,16),1),"jjj")</f>
        <v>lun</v>
      </c>
      <c r="S5" s="2" t="str">
        <f>TEXT(WEEKDAY(DATE(AnnéeCalendrier,12,17),1),"jjj")</f>
        <v>mar</v>
      </c>
      <c r="T5" s="2" t="str">
        <f>TEXT(WEEKDAY(DATE(AnnéeCalendrier,12,18),1),"jjj")</f>
        <v>mer</v>
      </c>
      <c r="U5" s="2" t="str">
        <f>TEXT(WEEKDAY(DATE(AnnéeCalendrier,12,19),1),"jjj")</f>
        <v>jeu</v>
      </c>
      <c r="V5" s="2" t="str">
        <f>TEXT(WEEKDAY(DATE(AnnéeCalendrier,12,20),1),"jjj")</f>
        <v>ven</v>
      </c>
      <c r="W5" s="2" t="str">
        <f>TEXT(WEEKDAY(DATE(AnnéeCalendrier,12,21),1),"jjj")</f>
        <v>sam</v>
      </c>
      <c r="X5" s="2" t="str">
        <f>TEXT(WEEKDAY(DATE(AnnéeCalendrier,12,22),1),"jjj")</f>
        <v>dim</v>
      </c>
      <c r="Y5" s="2" t="str">
        <f>TEXT(WEEKDAY(DATE(AnnéeCalendrier,12,23),1),"jjj")</f>
        <v>lun</v>
      </c>
      <c r="Z5" s="2" t="str">
        <f>TEXT(WEEKDAY(DATE(AnnéeCalendrier,12,24),1),"jjj")</f>
        <v>mar</v>
      </c>
      <c r="AA5" s="2" t="str">
        <f>TEXT(WEEKDAY(DATE(AnnéeCalendrier,12,25),1),"jjj")</f>
        <v>mer</v>
      </c>
      <c r="AB5" s="2" t="str">
        <f>TEXT(WEEKDAY(DATE(AnnéeCalendrier,12,26),1),"jjj")</f>
        <v>jeu</v>
      </c>
      <c r="AC5" s="2" t="str">
        <f>TEXT(WEEKDAY(DATE(AnnéeCalendrier,12,27),1),"jjj")</f>
        <v>ven</v>
      </c>
      <c r="AD5" s="2" t="str">
        <f>TEXT(WEEKDAY(DATE(AnnéeCalendrier,12,28),1),"jjj")</f>
        <v>sam</v>
      </c>
      <c r="AE5" s="2" t="str">
        <f>TEXT(WEEKDAY(DATE(AnnéeCalendrier,12,29),1),"jjj")</f>
        <v>dim</v>
      </c>
      <c r="AF5" s="2" t="str">
        <f>TEXT(WEEKDAY(DATE(AnnéeCalendrier,12,30),1),"jjj")</f>
        <v>lun</v>
      </c>
      <c r="AG5" s="2" t="str">
        <f>TEXT(WEEKDAY(DATE(AnnéeCalendrier,12,31),1),"jjj")</f>
        <v>mar</v>
      </c>
      <c r="AH5" s="11"/>
      <c r="AI5" s="21"/>
      <c r="AJ5" s="21"/>
      <c r="AK5" s="21"/>
    </row>
    <row r="6" spans="2:37" ht="15" customHeight="1" x14ac:dyDescent="0.55000000000000004">
      <c r="B6" s="14" t="s">
        <v>2</v>
      </c>
      <c r="C6" s="3" t="s">
        <v>10</v>
      </c>
      <c r="D6" s="3" t="s">
        <v>12</v>
      </c>
      <c r="E6" s="3" t="s">
        <v>13</v>
      </c>
      <c r="F6" s="3" t="s">
        <v>15</v>
      </c>
      <c r="G6" s="3" t="s">
        <v>17</v>
      </c>
      <c r="H6" s="3" t="s">
        <v>19</v>
      </c>
      <c r="I6" s="3" t="s">
        <v>20</v>
      </c>
      <c r="J6" s="3" t="s">
        <v>21</v>
      </c>
      <c r="K6" s="3" t="s">
        <v>22</v>
      </c>
      <c r="L6" s="3" t="s">
        <v>24</v>
      </c>
      <c r="M6" s="3" t="s">
        <v>25</v>
      </c>
      <c r="N6" s="3" t="s">
        <v>26</v>
      </c>
      <c r="O6" s="3" t="s">
        <v>28</v>
      </c>
      <c r="P6" s="3" t="s">
        <v>29</v>
      </c>
      <c r="Q6" s="3" t="s">
        <v>30</v>
      </c>
      <c r="R6" s="3" t="s">
        <v>31</v>
      </c>
      <c r="S6" s="3" t="s">
        <v>33</v>
      </c>
      <c r="T6" s="3" t="s">
        <v>34</v>
      </c>
      <c r="U6" s="3" t="s">
        <v>35</v>
      </c>
      <c r="V6" s="3" t="s">
        <v>36</v>
      </c>
      <c r="W6" s="3" t="s">
        <v>37</v>
      </c>
      <c r="X6" s="3" t="s">
        <v>38</v>
      </c>
      <c r="Y6" s="3" t="s">
        <v>39</v>
      </c>
      <c r="Z6" s="3" t="s">
        <v>40</v>
      </c>
      <c r="AA6" s="3" t="s">
        <v>41</v>
      </c>
      <c r="AB6" s="3" t="s">
        <v>42</v>
      </c>
      <c r="AC6" s="3" t="s">
        <v>43</v>
      </c>
      <c r="AD6" s="3" t="s">
        <v>44</v>
      </c>
      <c r="AE6" s="3" t="s">
        <v>45</v>
      </c>
      <c r="AF6" s="3" t="s">
        <v>46</v>
      </c>
      <c r="AG6" s="3" t="s">
        <v>47</v>
      </c>
      <c r="AH6" s="4" t="s">
        <v>64</v>
      </c>
      <c r="AI6" s="7" t="s">
        <v>65</v>
      </c>
      <c r="AJ6" s="6" t="s">
        <v>23</v>
      </c>
      <c r="AK6" s="5" t="s">
        <v>18</v>
      </c>
    </row>
    <row r="7" spans="2:37" ht="30" customHeight="1" x14ac:dyDescent="0.55000000000000004">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9"/>
      <c r="AI7" s="9"/>
      <c r="AJ7" s="9"/>
      <c r="AK7" s="9"/>
    </row>
    <row r="8" spans="2:37" ht="30" customHeight="1" x14ac:dyDescent="0.55000000000000004">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9"/>
      <c r="AI8" s="9"/>
      <c r="AJ8" s="9"/>
      <c r="AK8" s="9"/>
    </row>
    <row r="9" spans="2:37" ht="30" customHeight="1" x14ac:dyDescent="0.55000000000000004">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9"/>
      <c r="AI9" s="9"/>
      <c r="AJ9" s="9"/>
      <c r="AK9" s="9"/>
    </row>
    <row r="10" spans="2:37" ht="30" customHeight="1" x14ac:dyDescent="0.55000000000000004">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9"/>
      <c r="AI10" s="9"/>
      <c r="AJ10" s="9"/>
      <c r="AK10" s="9"/>
    </row>
    <row r="11" spans="2:37" ht="30" customHeight="1" x14ac:dyDescent="0.55000000000000004">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9"/>
      <c r="AI11" s="9"/>
      <c r="AJ11" s="9"/>
      <c r="AK11" s="9"/>
    </row>
    <row r="12" spans="2:37" ht="30" customHeight="1" x14ac:dyDescent="0.55000000000000004">
      <c r="B12" s="23"/>
      <c r="AH12" s="12"/>
      <c r="AI12" s="12"/>
      <c r="AJ12" s="12"/>
      <c r="AK12" s="12"/>
    </row>
    <row r="13" spans="2:37" ht="30" customHeight="1" x14ac:dyDescent="0.55000000000000004">
      <c r="B13" s="18" t="str">
        <f>NomMois&amp;" Total"</f>
        <v>Décembre Total</v>
      </c>
      <c r="C13" s="12">
        <f>SUBTOTAL(103,Décembre[1])</f>
        <v>0</v>
      </c>
      <c r="D13" s="12">
        <f>SUBTOTAL(103,Décembre[2])</f>
        <v>0</v>
      </c>
      <c r="E13" s="12">
        <f>SUBTOTAL(103,Décembre[3])</f>
        <v>0</v>
      </c>
      <c r="F13" s="12">
        <f>SUBTOTAL(103,Décembre[4])</f>
        <v>0</v>
      </c>
      <c r="G13" s="12">
        <f>SUBTOTAL(103,Décembre[5])</f>
        <v>0</v>
      </c>
      <c r="H13" s="12">
        <f>SUBTOTAL(103,Décembre[6])</f>
        <v>0</v>
      </c>
      <c r="I13" s="12">
        <f>SUBTOTAL(103,Décembre[7])</f>
        <v>0</v>
      </c>
      <c r="J13" s="12">
        <f>SUBTOTAL(103,Décembre[8])</f>
        <v>0</v>
      </c>
      <c r="K13" s="12">
        <f>SUBTOTAL(103,Décembre[9])</f>
        <v>0</v>
      </c>
      <c r="L13" s="12">
        <f>SUBTOTAL(103,Décembre[10])</f>
        <v>0</v>
      </c>
      <c r="M13" s="12">
        <f>SUBTOTAL(103,Décembre[11])</f>
        <v>0</v>
      </c>
      <c r="N13" s="12">
        <f>SUBTOTAL(103,Décembre[12])</f>
        <v>0</v>
      </c>
      <c r="O13" s="12">
        <f>SUBTOTAL(103,Décembre[13])</f>
        <v>0</v>
      </c>
      <c r="P13" s="12">
        <f>SUBTOTAL(103,Décembre[14])</f>
        <v>0</v>
      </c>
      <c r="Q13" s="12">
        <f>SUBTOTAL(103,Décembre[15])</f>
        <v>0</v>
      </c>
      <c r="R13" s="12">
        <f>SUBTOTAL(103,Décembre[16])</f>
        <v>0</v>
      </c>
      <c r="S13" s="12">
        <f>SUBTOTAL(103,Décembre[17])</f>
        <v>0</v>
      </c>
      <c r="T13" s="12">
        <f>SUBTOTAL(103,Décembre[18])</f>
        <v>0</v>
      </c>
      <c r="U13" s="12">
        <f>SUBTOTAL(103,Décembre[19])</f>
        <v>0</v>
      </c>
      <c r="V13" s="12">
        <f>SUBTOTAL(103,Décembre[20])</f>
        <v>0</v>
      </c>
      <c r="W13" s="12">
        <f>SUBTOTAL(103,Décembre[21])</f>
        <v>0</v>
      </c>
      <c r="X13" s="12">
        <f>SUBTOTAL(103,Décembre[22])</f>
        <v>0</v>
      </c>
      <c r="Y13" s="12">
        <f>SUBTOTAL(103,Décembre[23])</f>
        <v>0</v>
      </c>
      <c r="Z13" s="12">
        <f>SUBTOTAL(103,Décembre[24])</f>
        <v>0</v>
      </c>
      <c r="AA13" s="12">
        <f>SUBTOTAL(103,Décembre[25])</f>
        <v>0</v>
      </c>
      <c r="AB13" s="12">
        <f>SUBTOTAL(103,Décembre[26])</f>
        <v>0</v>
      </c>
      <c r="AC13" s="12">
        <f>SUBTOTAL(103,Décembre[27])</f>
        <v>0</v>
      </c>
      <c r="AD13" s="12">
        <f>SUBTOTAL(103,Décembre[28])</f>
        <v>0</v>
      </c>
      <c r="AE13" s="12">
        <f>SUBTOTAL(103,Décembre[29])</f>
        <v>0</v>
      </c>
      <c r="AF13" s="12">
        <f>SUBTOTAL(103,Décembre[30])</f>
        <v>0</v>
      </c>
      <c r="AG13" s="12">
        <f>SUBTOTAL(103,Décembre[31])</f>
        <v>0</v>
      </c>
      <c r="AH13" s="12">
        <f>SUBTOTAL(109,Décembre[Travaillé])</f>
        <v>0</v>
      </c>
      <c r="AI13" s="12">
        <f>SUBTOTAL(109,Juillet[Congés])</f>
        <v>0</v>
      </c>
      <c r="AJ13" s="12">
        <f>SUBTOTAL(109,Juillet[Maladie])</f>
        <v>0</v>
      </c>
      <c r="AK13" s="12">
        <f>SUBTOTAL(109,Juillet[Personnel])</f>
        <v>0</v>
      </c>
    </row>
  </sheetData>
  <mergeCells count="6">
    <mergeCell ref="C4:AG4"/>
    <mergeCell ref="D2:E2"/>
    <mergeCell ref="G2:I2"/>
    <mergeCell ref="K2:L2"/>
    <mergeCell ref="N2:Q2"/>
    <mergeCell ref="S2:V2"/>
  </mergeCells>
  <conditionalFormatting sqref="C7:AG12">
    <cfRule type="expression" priority="4" stopIfTrue="1">
      <formula>C7=""</formula>
    </cfRule>
  </conditionalFormatting>
  <conditionalFormatting sqref="C7:AG12">
    <cfRule type="expression" dxfId="99" priority="5" stopIfTrue="1">
      <formula>C7=CléPersonnalisée2</formula>
    </cfRule>
    <cfRule type="expression" dxfId="98" priority="6" stopIfTrue="1">
      <formula>C7=CléPersonnalisée1</formula>
    </cfRule>
    <cfRule type="expression" dxfId="97" priority="7" stopIfTrue="1">
      <formula>C7=CléMaladie</formula>
    </cfRule>
    <cfRule type="expression" dxfId="96" priority="8" stopIfTrue="1">
      <formula>C7=CléCongés</formula>
    </cfRule>
    <cfRule type="expression" dxfId="95" priority="9" stopIfTrue="1">
      <formula>C7=CléTravail</formula>
    </cfRule>
  </conditionalFormatting>
  <conditionalFormatting sqref="AH7:AH11">
    <cfRule type="dataBar" priority="3">
      <dataBar>
        <cfvo type="num" val="0"/>
        <cfvo type="num" val="31"/>
        <color theme="2" tint="-0.249977111117893"/>
      </dataBar>
      <extLst>
        <ext xmlns:x14="http://schemas.microsoft.com/office/spreadsheetml/2009/9/main" uri="{B025F937-C7B1-47D3-B67F-A62EFF666E3E}">
          <x14:id>{75AEC24A-02FB-47CC-822A-120B27AAD102}</x14:id>
        </ext>
      </extLst>
    </cfRule>
  </conditionalFormatting>
  <conditionalFormatting sqref="AI7:AI11">
    <cfRule type="dataBar" priority="2">
      <dataBar>
        <cfvo type="num" val="0"/>
        <cfvo type="num" val="31"/>
        <color theme="2" tint="-0.249977111117893"/>
      </dataBar>
      <extLst>
        <ext xmlns:x14="http://schemas.microsoft.com/office/spreadsheetml/2009/9/main" uri="{B025F937-C7B1-47D3-B67F-A62EFF666E3E}">
          <x14:id>{0266D57D-F6E0-4E97-AE77-3D9D08A669B6}</x14:id>
        </ext>
      </extLst>
    </cfRule>
  </conditionalFormatting>
  <conditionalFormatting sqref="AJ7:AK11">
    <cfRule type="dataBar" priority="1">
      <dataBar>
        <cfvo type="num" val="0"/>
        <cfvo type="num" val="31"/>
        <color theme="2" tint="-0.249977111117893"/>
      </dataBar>
      <extLst>
        <ext xmlns:x14="http://schemas.microsoft.com/office/spreadsheetml/2009/9/main" uri="{B025F937-C7B1-47D3-B67F-A62EFF666E3E}">
          <x14:id>{084AE007-CCAD-412B-BCAE-1EE61DF6ED10}</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AEC24A-02FB-47CC-822A-120B27AAD102}">
            <x14:dataBar minLength="0" maxLength="100">
              <x14:cfvo type="num">
                <xm:f>0</xm:f>
              </x14:cfvo>
              <x14:cfvo type="num">
                <xm:f>31</xm:f>
              </x14:cfvo>
              <x14:negativeFillColor rgb="FFFF0000"/>
              <x14:axisColor rgb="FF000000"/>
            </x14:dataBar>
          </x14:cfRule>
          <xm:sqref>AH7:AH11</xm:sqref>
        </x14:conditionalFormatting>
        <x14:conditionalFormatting xmlns:xm="http://schemas.microsoft.com/office/excel/2006/main">
          <x14:cfRule type="dataBar" id="{0266D57D-F6E0-4E97-AE77-3D9D08A669B6}">
            <x14:dataBar minLength="0" maxLength="100">
              <x14:cfvo type="num">
                <xm:f>0</xm:f>
              </x14:cfvo>
              <x14:cfvo type="num">
                <xm:f>31</xm:f>
              </x14:cfvo>
              <x14:negativeFillColor rgb="FFFF0000"/>
              <x14:axisColor rgb="FF000000"/>
            </x14:dataBar>
          </x14:cfRule>
          <xm:sqref>AI7:AI11</xm:sqref>
        </x14:conditionalFormatting>
        <x14:conditionalFormatting xmlns:xm="http://schemas.microsoft.com/office/excel/2006/main">
          <x14:cfRule type="dataBar" id="{084AE007-CCAD-412B-BCAE-1EE61DF6ED10}">
            <x14:dataBar minLength="0" maxLength="100">
              <x14:cfvo type="num">
                <xm:f>0</xm:f>
              </x14:cfvo>
              <x14:cfvo type="num">
                <xm:f>31</xm:f>
              </x14:cfvo>
              <x14:negativeFillColor rgb="FFFF0000"/>
              <x14:axisColor rgb="FF000000"/>
            </x14:dataBar>
          </x14:cfRule>
          <xm:sqref>AJ7:AK11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B7:B12</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1"/>
  <sheetViews>
    <sheetView workbookViewId="0">
      <selection activeCell="H19" sqref="H19"/>
    </sheetView>
  </sheetViews>
  <sheetFormatPr baseColWidth="10" defaultRowHeight="14.4" x14ac:dyDescent="0.55000000000000004"/>
  <cols>
    <col min="1" max="1" width="24.15625" customWidth="1"/>
  </cols>
  <sheetData>
    <row r="1" spans="1:5" ht="33.299999999999997" x14ac:dyDescent="0.55000000000000004">
      <c r="A1" s="13" t="str">
        <f>Titre_Absence_Employé</f>
        <v>Calendrier  des employés</v>
      </c>
    </row>
    <row r="2" spans="1:5" x14ac:dyDescent="0.55000000000000004">
      <c r="A2" s="51"/>
      <c r="B2" s="51"/>
      <c r="C2" s="51"/>
    </row>
    <row r="3" spans="1:5" x14ac:dyDescent="0.55000000000000004">
      <c r="A3" s="51"/>
      <c r="B3" s="51"/>
      <c r="C3" s="51"/>
    </row>
    <row r="4" spans="1:5" x14ac:dyDescent="0.55000000000000004">
      <c r="A4" s="51"/>
      <c r="B4" s="51"/>
      <c r="C4" s="51"/>
    </row>
    <row r="5" spans="1:5" x14ac:dyDescent="0.55000000000000004">
      <c r="A5" s="51"/>
      <c r="B5" s="51"/>
      <c r="C5" s="51"/>
    </row>
    <row r="6" spans="1:5" x14ac:dyDescent="0.55000000000000004">
      <c r="A6" s="24"/>
      <c r="B6" s="24"/>
      <c r="C6" s="24"/>
    </row>
    <row r="7" spans="1:5" x14ac:dyDescent="0.55000000000000004">
      <c r="A7" s="39" t="s">
        <v>2</v>
      </c>
      <c r="B7" s="26" t="s">
        <v>64</v>
      </c>
      <c r="C7" s="27" t="s">
        <v>65</v>
      </c>
      <c r="D7" s="28" t="s">
        <v>23</v>
      </c>
      <c r="E7" s="40" t="s">
        <v>18</v>
      </c>
    </row>
    <row r="8" spans="1:5" x14ac:dyDescent="0.55000000000000004">
      <c r="A8" s="41" t="s">
        <v>68</v>
      </c>
      <c r="B8" s="42">
        <f>COUNTA(Janvier!$C7:$AG7)</f>
        <v>0</v>
      </c>
      <c r="C8" s="42">
        <f>COUNTA(Janvier!$C7:$AG7)</f>
        <v>0</v>
      </c>
      <c r="D8" s="42">
        <f>COUNTA(Janvier!$C7:$AG7)</f>
        <v>0</v>
      </c>
      <c r="E8" s="43">
        <f>COUNTA(Janvier!$C7:$AG7)</f>
        <v>0</v>
      </c>
    </row>
    <row r="9" spans="1:5" x14ac:dyDescent="0.55000000000000004">
      <c r="A9" s="41" t="s">
        <v>69</v>
      </c>
      <c r="B9" s="43">
        <f>COUNTA(Janvier!$C8:$AG8)</f>
        <v>0</v>
      </c>
      <c r="C9" s="43">
        <f>COUNTA(Janvier!$C8:$AG8)</f>
        <v>0</v>
      </c>
      <c r="D9" s="43">
        <f>COUNTA(Janvier!$C8:$AG8)</f>
        <v>0</v>
      </c>
      <c r="E9" s="43">
        <f>COUNTA(Janvier!$C8:$AG8)</f>
        <v>0</v>
      </c>
    </row>
    <row r="10" spans="1:5" x14ac:dyDescent="0.55000000000000004">
      <c r="A10" s="41" t="s">
        <v>70</v>
      </c>
      <c r="B10" s="42">
        <f>COUNTA(Janvier!$C9:$AG9)</f>
        <v>0</v>
      </c>
      <c r="C10" s="42">
        <f>COUNTA(Janvier!$C9:$AG9)</f>
        <v>0</v>
      </c>
      <c r="D10" s="42">
        <f>COUNTA(Janvier!$C9:$AG9)</f>
        <v>0</v>
      </c>
      <c r="E10" s="43">
        <f>COUNTA(Janvier!$C9:$AG9)</f>
        <v>0</v>
      </c>
    </row>
    <row r="11" spans="1:5" x14ac:dyDescent="0.55000000000000004">
      <c r="A11" s="41" t="s">
        <v>7</v>
      </c>
      <c r="B11" s="43">
        <f>COUNTA(Janvier!$C10:$AG10)</f>
        <v>0</v>
      </c>
      <c r="C11" s="43">
        <f>COUNTA(Janvier!$C10:$AG10)</f>
        <v>0</v>
      </c>
      <c r="D11" s="43">
        <f>COUNTA(Janvier!$C10:$AG10)</f>
        <v>0</v>
      </c>
      <c r="E11" s="43">
        <f>COUNTA(Janvier!$C10:$AG10)</f>
        <v>0</v>
      </c>
    </row>
    <row r="12" spans="1:5" x14ac:dyDescent="0.55000000000000004">
      <c r="A12" s="41" t="s">
        <v>71</v>
      </c>
      <c r="B12" s="42">
        <f>COUNTA(Janvier!$C11:$AG11)</f>
        <v>0</v>
      </c>
      <c r="C12" s="42">
        <f>COUNTA(Janvier!$C11:$AG11)</f>
        <v>0</v>
      </c>
      <c r="D12" s="42">
        <f>COUNTA(Janvier!$C11:$AG11)</f>
        <v>0</v>
      </c>
      <c r="E12" s="43">
        <f>COUNTA(Janvier!$C11:$AG11)</f>
        <v>0</v>
      </c>
    </row>
    <row r="13" spans="1:5" x14ac:dyDescent="0.55000000000000004">
      <c r="A13" s="41" t="s">
        <v>73</v>
      </c>
      <c r="B13" s="43">
        <f>COUNTA(Janvier!$C12:$AG12)</f>
        <v>0</v>
      </c>
      <c r="C13" s="43">
        <f>COUNTA(Janvier!$C12:$AG12)</f>
        <v>0</v>
      </c>
      <c r="D13" s="43">
        <f>COUNTA(Janvier!$C12:$AG12)</f>
        <v>0</v>
      </c>
      <c r="E13" s="43">
        <f>COUNTA(Janvier!$C12:$AG12)</f>
        <v>0</v>
      </c>
    </row>
    <row r="14" spans="1:5" x14ac:dyDescent="0.55000000000000004">
      <c r="A14" s="41" t="s">
        <v>74</v>
      </c>
      <c r="B14" s="42">
        <f>COUNTA(Janvier!$C13:$AG13)</f>
        <v>1</v>
      </c>
      <c r="C14" s="42">
        <f>COUNTA(Janvier!$C13:$AG13)</f>
        <v>1</v>
      </c>
      <c r="D14" s="42">
        <f>COUNTA(Janvier!$C13:$AG13)</f>
        <v>1</v>
      </c>
      <c r="E14" s="43">
        <f>COUNTA(Janvier!$C13:$AG13)</f>
        <v>1</v>
      </c>
    </row>
    <row r="15" spans="1:5" x14ac:dyDescent="0.55000000000000004">
      <c r="A15" s="41" t="s">
        <v>75</v>
      </c>
      <c r="B15" s="43">
        <f>COUNTA(Janvier!$C14:$AG14)</f>
        <v>0</v>
      </c>
      <c r="C15" s="43">
        <f>COUNTA(Janvier!$C14:$AG14)</f>
        <v>0</v>
      </c>
      <c r="D15" s="43">
        <f>COUNTA(Janvier!$C14:$AG14)</f>
        <v>0</v>
      </c>
      <c r="E15" s="43">
        <f>COUNTA(Janvier!$C14:$AG14)</f>
        <v>0</v>
      </c>
    </row>
    <row r="16" spans="1:5" x14ac:dyDescent="0.55000000000000004">
      <c r="A16" s="41" t="s">
        <v>76</v>
      </c>
      <c r="B16" s="42">
        <f>COUNTA(Janvier!$C15:$AG15)</f>
        <v>0</v>
      </c>
      <c r="C16" s="42">
        <f>COUNTA(Janvier!$C15:$AG15)</f>
        <v>0</v>
      </c>
      <c r="D16" s="42">
        <f>COUNTA(Janvier!$C15:$AG15)</f>
        <v>0</v>
      </c>
      <c r="E16" s="43">
        <f>COUNTA(Janvier!$C15:$AG15)</f>
        <v>0</v>
      </c>
    </row>
    <row r="17" spans="1:5" x14ac:dyDescent="0.55000000000000004">
      <c r="A17" s="41" t="s">
        <v>77</v>
      </c>
      <c r="B17" s="42">
        <f>COUNTA(Janvier!$C16:$AG16)</f>
        <v>0</v>
      </c>
      <c r="C17" s="42">
        <f>COUNTA(Janvier!$C16:$AG16)</f>
        <v>0</v>
      </c>
      <c r="D17" s="42">
        <f>COUNTA(Janvier!$C16:$AG16)</f>
        <v>0</v>
      </c>
      <c r="E17" s="43">
        <f>COUNTA(Janvier!$C16:$AG16)</f>
        <v>0</v>
      </c>
    </row>
    <row r="18" spans="1:5" x14ac:dyDescent="0.55000000000000004">
      <c r="A18" s="41" t="s">
        <v>78</v>
      </c>
      <c r="B18" s="43">
        <f>COUNTA(Janvier!$C17:$AG17)</f>
        <v>0</v>
      </c>
      <c r="C18" s="43">
        <f>COUNTA(Janvier!$C17:$AG17)</f>
        <v>0</v>
      </c>
      <c r="D18" s="43">
        <f>COUNTA(Janvier!$C17:$AG17)</f>
        <v>0</v>
      </c>
      <c r="E18" s="43">
        <f>COUNTA(Janvier!$C17:$AG17)</f>
        <v>0</v>
      </c>
    </row>
    <row r="19" spans="1:5" x14ac:dyDescent="0.55000000000000004">
      <c r="A19" s="41" t="s">
        <v>79</v>
      </c>
      <c r="B19" s="42">
        <f>COUNTA(Janvier!$C18:$AG18)</f>
        <v>0</v>
      </c>
      <c r="C19" s="42">
        <f>COUNTA(Janvier!$C18:$AG18)</f>
        <v>0</v>
      </c>
      <c r="D19" s="42">
        <f>COUNTA(Janvier!$C18:$AG18)</f>
        <v>0</v>
      </c>
      <c r="E19" s="43">
        <f>COUNTA(Janvier!$C18:$AG18)</f>
        <v>0</v>
      </c>
    </row>
    <row r="20" spans="1:5" x14ac:dyDescent="0.55000000000000004">
      <c r="A20" s="41" t="s">
        <v>80</v>
      </c>
      <c r="B20" s="43">
        <f>COUNTA(Janvier!$C19:$AG19)</f>
        <v>0</v>
      </c>
      <c r="C20" s="43">
        <f>COUNTA(Janvier!$C19:$AG19)</f>
        <v>0</v>
      </c>
      <c r="D20" s="43">
        <f>COUNTA(Janvier!$C19:$AG19)</f>
        <v>0</v>
      </c>
      <c r="E20" s="43">
        <f>COUNTA(Janvier!$C19:$AG19)</f>
        <v>0</v>
      </c>
    </row>
    <row r="21" spans="1:5" x14ac:dyDescent="0.55000000000000004">
      <c r="A21" s="41" t="s">
        <v>81</v>
      </c>
      <c r="B21" s="42">
        <f>COUNTA(Janvier!$C20:$AG20)</f>
        <v>0</v>
      </c>
      <c r="C21" s="42">
        <f>COUNTA(Janvier!$C20:$AG20)</f>
        <v>0</v>
      </c>
      <c r="D21" s="42">
        <f>COUNTA(Janvier!$C20:$AG20)</f>
        <v>0</v>
      </c>
      <c r="E21" s="43">
        <f>COUNTA(Janvier!$C20:$AG20)</f>
        <v>0</v>
      </c>
    </row>
  </sheetData>
  <mergeCells count="1">
    <mergeCell ref="A2:C5"/>
  </mergeCells>
  <dataValidations count="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7"/>
    <dataValidation allowBlank="1" showInputMessage="1" showErrorMessage="1" prompt="Le titre mis à jour automatiquement figure dans cette cellule. Pour modifier le titre, mettez à jour la cellule B1 de la feuille de calcul Janvier" sqref="A1"/>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A8:A21</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B1:B20"/>
  <sheetViews>
    <sheetView showGridLines="0" workbookViewId="0">
      <selection activeCell="G6" sqref="G6"/>
    </sheetView>
  </sheetViews>
  <sheetFormatPr baseColWidth="10" defaultColWidth="9.15625" defaultRowHeight="30" customHeight="1" x14ac:dyDescent="0.55000000000000004"/>
  <cols>
    <col min="1" max="1" width="2.68359375" customWidth="1"/>
    <col min="2" max="2" width="30.68359375" customWidth="1"/>
    <col min="3" max="3" width="2.68359375" customWidth="1"/>
  </cols>
  <sheetData>
    <row r="1" spans="2:2" ht="50.1" customHeight="1" x14ac:dyDescent="0.55000000000000004">
      <c r="B1" s="19" t="s">
        <v>62</v>
      </c>
    </row>
    <row r="2" spans="2:2" ht="15" customHeight="1" x14ac:dyDescent="0.55000000000000004"/>
    <row r="3" spans="2:2" ht="30" customHeight="1" x14ac:dyDescent="0.55000000000000004">
      <c r="B3" t="s">
        <v>62</v>
      </c>
    </row>
    <row r="4" spans="2:2" ht="30" customHeight="1" x14ac:dyDescent="0.55000000000000004">
      <c r="B4" s="25" t="s">
        <v>68</v>
      </c>
    </row>
    <row r="5" spans="2:2" ht="30" customHeight="1" x14ac:dyDescent="0.55000000000000004">
      <c r="B5" s="25" t="s">
        <v>69</v>
      </c>
    </row>
    <row r="6" spans="2:2" ht="30" customHeight="1" x14ac:dyDescent="0.55000000000000004">
      <c r="B6" s="25" t="s">
        <v>70</v>
      </c>
    </row>
    <row r="7" spans="2:2" ht="30" customHeight="1" x14ac:dyDescent="0.55000000000000004">
      <c r="B7" s="1" t="s">
        <v>6</v>
      </c>
    </row>
    <row r="8" spans="2:2" ht="30" customHeight="1" x14ac:dyDescent="0.55000000000000004">
      <c r="B8" s="1" t="s">
        <v>7</v>
      </c>
    </row>
    <row r="9" spans="2:2" ht="30" customHeight="1" x14ac:dyDescent="0.55000000000000004">
      <c r="B9" s="1" t="s">
        <v>71</v>
      </c>
    </row>
    <row r="10" spans="2:2" ht="30" customHeight="1" x14ac:dyDescent="0.55000000000000004">
      <c r="B10" s="1" t="s">
        <v>72</v>
      </c>
    </row>
    <row r="11" spans="2:2" ht="30" customHeight="1" x14ac:dyDescent="0.55000000000000004">
      <c r="B11" s="1" t="s">
        <v>73</v>
      </c>
    </row>
    <row r="12" spans="2:2" ht="30" customHeight="1" x14ac:dyDescent="0.55000000000000004">
      <c r="B12" s="1" t="s">
        <v>74</v>
      </c>
    </row>
    <row r="13" spans="2:2" ht="30" customHeight="1" x14ac:dyDescent="0.55000000000000004">
      <c r="B13" s="1" t="s">
        <v>75</v>
      </c>
    </row>
    <row r="14" spans="2:2" ht="30" customHeight="1" x14ac:dyDescent="0.55000000000000004">
      <c r="B14" s="1" t="s">
        <v>76</v>
      </c>
    </row>
    <row r="15" spans="2:2" ht="30" customHeight="1" x14ac:dyDescent="0.55000000000000004">
      <c r="B15" s="1" t="s">
        <v>77</v>
      </c>
    </row>
    <row r="16" spans="2:2" ht="30" customHeight="1" x14ac:dyDescent="0.55000000000000004">
      <c r="B16" s="1" t="s">
        <v>78</v>
      </c>
    </row>
    <row r="17" spans="2:2" ht="30" customHeight="1" x14ac:dyDescent="0.55000000000000004">
      <c r="B17" s="1" t="s">
        <v>79</v>
      </c>
    </row>
    <row r="18" spans="2:2" ht="30" customHeight="1" x14ac:dyDescent="0.55000000000000004">
      <c r="B18" s="1" t="s">
        <v>80</v>
      </c>
    </row>
    <row r="19" spans="2:2" ht="30" customHeight="1" x14ac:dyDescent="0.55000000000000004">
      <c r="B19" s="1" t="s">
        <v>81</v>
      </c>
    </row>
    <row r="20" spans="2:2" ht="30" customHeight="1" x14ac:dyDescent="0.55000000000000004">
      <c r="B20" s="1" t="s">
        <v>82</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workbookViewId="0">
      <selection activeCell="B3" sqref="B3"/>
    </sheetView>
  </sheetViews>
  <sheetFormatPr baseColWidth="10" defaultRowHeight="14.4" x14ac:dyDescent="0.55000000000000004"/>
  <sheetData>
    <row r="1" spans="1:2" x14ac:dyDescent="0.55000000000000004">
      <c r="A1" t="s">
        <v>84</v>
      </c>
      <c r="B1" t="s">
        <v>85</v>
      </c>
    </row>
    <row r="2" spans="1:2" x14ac:dyDescent="0.55000000000000004">
      <c r="A2" t="s">
        <v>63</v>
      </c>
      <c r="B2">
        <v>1</v>
      </c>
    </row>
    <row r="3" spans="1:2" x14ac:dyDescent="0.55000000000000004">
      <c r="A3" t="s">
        <v>14</v>
      </c>
      <c r="B3">
        <v>1</v>
      </c>
    </row>
    <row r="4" spans="1:2" x14ac:dyDescent="0.55000000000000004">
      <c r="A4" t="s">
        <v>16</v>
      </c>
      <c r="B4">
        <v>1</v>
      </c>
    </row>
    <row r="5" spans="1:2" x14ac:dyDescent="0.55000000000000004">
      <c r="A5" t="s">
        <v>86</v>
      </c>
      <c r="B5">
        <v>1</v>
      </c>
    </row>
    <row r="6" spans="1:2" x14ac:dyDescent="0.55000000000000004">
      <c r="A6" t="s">
        <v>83</v>
      </c>
      <c r="B6">
        <v>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50</vt:i4>
      </vt:variant>
    </vt:vector>
  </HeadingPairs>
  <TitlesOfParts>
    <vt:vector size="65" baseType="lpstr">
      <vt:lpstr>Janvier</vt:lpstr>
      <vt:lpstr>Février</vt:lpstr>
      <vt:lpstr>Mars</vt:lpstr>
      <vt:lpstr>Avril</vt:lpstr>
      <vt:lpstr>Mai</vt:lpstr>
      <vt:lpstr>Juin</vt:lpstr>
      <vt:lpstr>Juillet</vt:lpstr>
      <vt:lpstr>Août</vt:lpstr>
      <vt:lpstr>Septembre</vt:lpstr>
      <vt:lpstr>Octobre</vt:lpstr>
      <vt:lpstr>Novembre</vt:lpstr>
      <vt:lpstr>Décembre</vt:lpstr>
      <vt:lpstr>Total Annuel</vt:lpstr>
      <vt:lpstr>Noms des employés</vt:lpstr>
      <vt:lpstr>Valeurs</vt:lpstr>
      <vt:lpstr>AnnéeCalendrier</vt:lpstr>
      <vt:lpstr>CléCongés</vt:lpstr>
      <vt:lpstr>CléMaladie</vt:lpstr>
      <vt:lpstr>CléPersonnalisée1</vt:lpstr>
      <vt:lpstr>CléPersonnalisée2</vt:lpstr>
      <vt:lpstr>CléTravail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dc:creator>
  <cp:lastModifiedBy>Alexandre</cp:lastModifiedBy>
  <dcterms:created xsi:type="dcterms:W3CDTF">2016-12-06T04:52:27Z</dcterms:created>
  <dcterms:modified xsi:type="dcterms:W3CDTF">2019-09-10T06:49:19Z</dcterms:modified>
</cp:coreProperties>
</file>