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3040" windowHeight="984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otal Annuel" sheetId="26" r:id="rId13"/>
  </sheets>
  <definedNames>
    <definedName name="AnnéeCalendrier">Janvier!$AH$4</definedName>
    <definedName name="CléCongés">Janvier!$F$2</definedName>
    <definedName name="CléMaladie">Janvier!$J$2</definedName>
    <definedName name="CléPanier_Repas">Janvier!$P$2</definedName>
    <definedName name="CléPersonnalisée1">Janvier!$M$2</definedName>
    <definedName name="CléTravail">Janvier!$C$2</definedName>
    <definedName name="ÉtiquetteCléCongé">Janvier!$D$2</definedName>
    <definedName name="ÉtiquetteCléMaladie">Janvier!$K$2</definedName>
    <definedName name="ÉtiquetteCléPersonnalisée1">Janvier!$N$2</definedName>
    <definedName name="ÉtiquetteCléPersonnalisée2">Janvier!$Q$2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#REF!</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K8" i="15" l="1"/>
  <c r="AK9" i="15"/>
  <c r="AK10" i="15"/>
  <c r="AK11" i="15"/>
  <c r="AK12" i="15"/>
  <c r="AK7" i="15"/>
  <c r="AK8" i="25"/>
  <c r="AK9" i="25"/>
  <c r="AK10" i="25"/>
  <c r="AK11" i="25"/>
  <c r="AK12" i="25"/>
  <c r="AK7" i="25"/>
  <c r="AK8" i="24"/>
  <c r="AK9" i="24"/>
  <c r="AK10" i="24"/>
  <c r="AK11" i="24"/>
  <c r="AK12" i="24"/>
  <c r="AK7" i="24"/>
  <c r="AK8" i="23"/>
  <c r="AK9" i="23"/>
  <c r="AK10" i="23"/>
  <c r="AK11" i="23"/>
  <c r="AK12" i="23"/>
  <c r="AK7" i="23"/>
  <c r="AK7" i="22"/>
  <c r="AK8" i="22"/>
  <c r="AK9" i="22"/>
  <c r="AK10" i="22"/>
  <c r="AK11" i="22"/>
  <c r="AK12" i="22"/>
  <c r="AJ7" i="22"/>
  <c r="AK7" i="20"/>
  <c r="AJ7" i="20"/>
  <c r="AK8" i="19"/>
  <c r="AK9" i="19"/>
  <c r="AK10" i="19"/>
  <c r="AK11" i="19"/>
  <c r="AK12" i="19"/>
  <c r="AK7" i="19"/>
  <c r="AK7" i="5" l="1"/>
  <c r="AK7" i="4"/>
  <c r="AK8" i="4"/>
  <c r="AK9" i="4"/>
  <c r="AK10" i="4"/>
  <c r="AK11" i="4"/>
  <c r="AK12" i="4"/>
  <c r="AK13" i="4"/>
  <c r="AJ7" i="4"/>
  <c r="A14" i="26" l="1"/>
  <c r="A13" i="26"/>
  <c r="A12" i="26"/>
  <c r="A11" i="26"/>
  <c r="A10" i="26"/>
  <c r="A9" i="26"/>
  <c r="A8" i="26"/>
  <c r="B11" i="15"/>
  <c r="B12" i="15"/>
  <c r="B11" i="25"/>
  <c r="B12" i="25"/>
  <c r="B11" i="24"/>
  <c r="B12" i="24"/>
  <c r="B11" i="23"/>
  <c r="B12" i="23"/>
  <c r="B11" i="22"/>
  <c r="B12" i="22"/>
  <c r="B11" i="21"/>
  <c r="B12" i="21"/>
  <c r="B13" i="21"/>
  <c r="B10" i="20"/>
  <c r="B11" i="20"/>
  <c r="B12" i="20"/>
  <c r="B12" i="19"/>
  <c r="B12" i="18"/>
  <c r="B12" i="17"/>
  <c r="B12" i="5"/>
  <c r="B13" i="5"/>
  <c r="AH13" i="5"/>
  <c r="AI13" i="5"/>
  <c r="AJ13" i="5"/>
  <c r="AK13" i="5"/>
  <c r="AH12" i="4" l="1"/>
  <c r="AI12" i="4"/>
  <c r="AJ12" i="4"/>
  <c r="AJ13" i="4"/>
  <c r="AI13" i="4"/>
  <c r="AH13" i="4"/>
  <c r="B10" i="15"/>
  <c r="B9" i="15"/>
  <c r="B8" i="15"/>
  <c r="B7" i="15"/>
  <c r="B10" i="25"/>
  <c r="B9" i="25"/>
  <c r="B8" i="25"/>
  <c r="B7" i="25"/>
  <c r="B10" i="24"/>
  <c r="B9" i="24"/>
  <c r="B8" i="24"/>
  <c r="B7" i="24"/>
  <c r="B10" i="23"/>
  <c r="B9" i="23"/>
  <c r="B8" i="23"/>
  <c r="B7" i="23"/>
  <c r="B10" i="22"/>
  <c r="B9" i="22"/>
  <c r="B8" i="22"/>
  <c r="B7" i="22"/>
  <c r="B7" i="21"/>
  <c r="B8" i="21"/>
  <c r="B9" i="21"/>
  <c r="B10" i="21"/>
  <c r="B9" i="20"/>
  <c r="B8" i="20"/>
  <c r="B7" i="20"/>
  <c r="B11" i="19"/>
  <c r="B10" i="19"/>
  <c r="B9" i="19"/>
  <c r="B8" i="19"/>
  <c r="B7" i="19"/>
  <c r="B11" i="18"/>
  <c r="B10" i="18"/>
  <c r="B9" i="18"/>
  <c r="B8" i="18"/>
  <c r="B7" i="18"/>
  <c r="B11" i="17"/>
  <c r="B10" i="17"/>
  <c r="B9" i="17"/>
  <c r="B8" i="17"/>
  <c r="B7" i="17"/>
  <c r="B8" i="5"/>
  <c r="B9" i="5"/>
  <c r="B10" i="5"/>
  <c r="B11" i="5"/>
  <c r="B7" i="5"/>
  <c r="AH12" i="5" l="1"/>
  <c r="AI12" i="5"/>
  <c r="AJ12" i="5"/>
  <c r="AK12" i="5"/>
  <c r="AH8" i="24"/>
  <c r="AI8" i="24"/>
  <c r="AJ8" i="24"/>
  <c r="AH9" i="24"/>
  <c r="AI9" i="24"/>
  <c r="AJ9" i="24"/>
  <c r="AH10" i="24"/>
  <c r="AI10" i="24"/>
  <c r="AJ10" i="24"/>
  <c r="AH11" i="24"/>
  <c r="AI11" i="24"/>
  <c r="AJ11" i="24"/>
  <c r="AH12" i="24"/>
  <c r="AI12" i="24"/>
  <c r="AJ12" i="24"/>
  <c r="AI7" i="24"/>
  <c r="AJ7" i="24"/>
  <c r="AH8" i="15"/>
  <c r="AI8" i="15"/>
  <c r="AJ8" i="15"/>
  <c r="AH9" i="15"/>
  <c r="AI9" i="15"/>
  <c r="AJ9" i="15"/>
  <c r="AH10" i="15"/>
  <c r="AI10" i="15"/>
  <c r="AJ10" i="15"/>
  <c r="AH11" i="15"/>
  <c r="AI11" i="15"/>
  <c r="AJ11" i="15"/>
  <c r="AH12" i="15"/>
  <c r="AI12" i="15"/>
  <c r="AJ12" i="15"/>
  <c r="AI7" i="15"/>
  <c r="AJ7" i="15"/>
  <c r="AH7" i="15"/>
  <c r="AH7" i="24"/>
  <c r="AH7" i="22"/>
  <c r="AH8" i="25"/>
  <c r="AI8" i="25"/>
  <c r="AJ8" i="25"/>
  <c r="AH9" i="25"/>
  <c r="AI9" i="25"/>
  <c r="AJ9" i="25"/>
  <c r="AH10" i="25"/>
  <c r="AI10" i="25"/>
  <c r="AJ10" i="25"/>
  <c r="AH11" i="25"/>
  <c r="AI11" i="25"/>
  <c r="AJ11" i="25"/>
  <c r="AH12" i="25"/>
  <c r="AI12" i="25"/>
  <c r="AJ12" i="25"/>
  <c r="AI7" i="25"/>
  <c r="AJ7" i="25"/>
  <c r="AH7" i="25"/>
  <c r="AH8" i="23"/>
  <c r="AI8" i="23"/>
  <c r="AJ8" i="23"/>
  <c r="AH9" i="23"/>
  <c r="AI9" i="23"/>
  <c r="AJ9" i="23"/>
  <c r="AH10" i="23"/>
  <c r="AI10" i="23"/>
  <c r="AJ10" i="23"/>
  <c r="AH11" i="23"/>
  <c r="AI11" i="23"/>
  <c r="AJ11" i="23"/>
  <c r="AH12" i="23"/>
  <c r="AI12" i="23"/>
  <c r="AJ12" i="23"/>
  <c r="AI7" i="23"/>
  <c r="AJ7" i="23"/>
  <c r="AH7" i="23"/>
  <c r="AH8" i="22"/>
  <c r="AI8" i="22"/>
  <c r="AJ8" i="22"/>
  <c r="AH9" i="22"/>
  <c r="AI9" i="22"/>
  <c r="AJ9" i="22"/>
  <c r="AH10" i="22"/>
  <c r="AI10" i="22"/>
  <c r="AJ10" i="22"/>
  <c r="AH11" i="22"/>
  <c r="AI11" i="22"/>
  <c r="AJ11" i="22"/>
  <c r="AH12" i="22"/>
  <c r="AI12" i="22"/>
  <c r="AJ12" i="22"/>
  <c r="AI7" i="22"/>
  <c r="AH8" i="21"/>
  <c r="AI8" i="21"/>
  <c r="AJ8" i="21"/>
  <c r="AK8" i="21"/>
  <c r="AH9" i="21"/>
  <c r="AI9" i="21"/>
  <c r="AJ9" i="21"/>
  <c r="AK9" i="21"/>
  <c r="AH10" i="21"/>
  <c r="AI10" i="21"/>
  <c r="AJ10" i="21"/>
  <c r="AK10" i="21"/>
  <c r="AH11" i="21"/>
  <c r="AI11" i="21"/>
  <c r="AJ11" i="21"/>
  <c r="AK11" i="21"/>
  <c r="AH12" i="21"/>
  <c r="AI12" i="21"/>
  <c r="AJ12" i="21"/>
  <c r="AK12" i="21"/>
  <c r="AH13" i="21"/>
  <c r="B14" i="26" s="1"/>
  <c r="AI13" i="21"/>
  <c r="C14" i="26" s="1"/>
  <c r="AJ13" i="21"/>
  <c r="D14" i="26" s="1"/>
  <c r="AK13" i="21"/>
  <c r="E14" i="26" s="1"/>
  <c r="AI7" i="21"/>
  <c r="AJ7" i="21"/>
  <c r="AK7" i="21"/>
  <c r="AH7" i="21"/>
  <c r="AH8" i="20"/>
  <c r="AI8" i="20"/>
  <c r="AJ8" i="20"/>
  <c r="AK8" i="20"/>
  <c r="AH9" i="20"/>
  <c r="AI9" i="20"/>
  <c r="AJ9" i="20"/>
  <c r="AK9" i="20"/>
  <c r="AH10" i="20"/>
  <c r="AI10" i="20"/>
  <c r="AJ10" i="20"/>
  <c r="AK10" i="20"/>
  <c r="AH11" i="20"/>
  <c r="AI11" i="20"/>
  <c r="AJ11" i="20"/>
  <c r="AK11" i="20"/>
  <c r="AH12" i="20"/>
  <c r="AI12" i="20"/>
  <c r="AJ12" i="20"/>
  <c r="AK12" i="20"/>
  <c r="AI7" i="20"/>
  <c r="AH7" i="20"/>
  <c r="AH8" i="19"/>
  <c r="AI8" i="19"/>
  <c r="AJ8" i="19"/>
  <c r="AH9" i="19"/>
  <c r="AI9" i="19"/>
  <c r="AJ9" i="19"/>
  <c r="AH10" i="19"/>
  <c r="AI10" i="19"/>
  <c r="AJ10" i="19"/>
  <c r="AH11" i="19"/>
  <c r="AI11" i="19"/>
  <c r="AJ11" i="19"/>
  <c r="AH12" i="19"/>
  <c r="AI12" i="19"/>
  <c r="AJ12" i="19"/>
  <c r="AI7" i="19"/>
  <c r="AJ7" i="19"/>
  <c r="AH7" i="19"/>
  <c r="AH8" i="18"/>
  <c r="AI8" i="18"/>
  <c r="AJ8" i="18"/>
  <c r="AK8" i="18"/>
  <c r="AH9" i="18"/>
  <c r="AI9" i="18"/>
  <c r="AJ9" i="18"/>
  <c r="AK9" i="18"/>
  <c r="AH10" i="18"/>
  <c r="AI10" i="18"/>
  <c r="AJ10" i="18"/>
  <c r="AK10" i="18"/>
  <c r="AH11" i="18"/>
  <c r="AI11" i="18"/>
  <c r="AJ11" i="18"/>
  <c r="AK11" i="18"/>
  <c r="AH12" i="18"/>
  <c r="AI12" i="18"/>
  <c r="AJ12" i="18"/>
  <c r="AK12" i="18"/>
  <c r="AI7" i="18"/>
  <c r="AI14" i="18" s="1"/>
  <c r="AJ7" i="18"/>
  <c r="AK7" i="18"/>
  <c r="AH7" i="18"/>
  <c r="AH8" i="17"/>
  <c r="AI8" i="17"/>
  <c r="AJ8" i="17"/>
  <c r="AK8" i="17"/>
  <c r="AH9" i="17"/>
  <c r="AI9" i="17"/>
  <c r="AJ9" i="17"/>
  <c r="AK9" i="17"/>
  <c r="AH10" i="17"/>
  <c r="AI10" i="17"/>
  <c r="AJ10" i="17"/>
  <c r="AK10" i="17"/>
  <c r="AH11" i="17"/>
  <c r="AI11" i="17"/>
  <c r="AJ11" i="17"/>
  <c r="AK11" i="17"/>
  <c r="AH12" i="17"/>
  <c r="AI12" i="17"/>
  <c r="AJ12" i="17"/>
  <c r="AK12" i="17"/>
  <c r="AI7" i="17"/>
  <c r="AJ7" i="17"/>
  <c r="AK7" i="17"/>
  <c r="AH7" i="17"/>
  <c r="AH8" i="5"/>
  <c r="AI8" i="5"/>
  <c r="AJ8" i="5"/>
  <c r="AK8" i="5"/>
  <c r="AH9" i="5"/>
  <c r="AI9" i="5"/>
  <c r="AJ9" i="5"/>
  <c r="AK9" i="5"/>
  <c r="AH10" i="5"/>
  <c r="AI10" i="5"/>
  <c r="AJ10" i="5"/>
  <c r="AK10" i="5"/>
  <c r="AH11" i="5"/>
  <c r="AI11" i="5"/>
  <c r="AJ11" i="5"/>
  <c r="AK11" i="5"/>
  <c r="AI7" i="5"/>
  <c r="AJ7" i="5"/>
  <c r="AH7" i="5"/>
  <c r="AH8" i="4"/>
  <c r="AI8" i="4"/>
  <c r="AJ8" i="4"/>
  <c r="AH9" i="4"/>
  <c r="AI9" i="4"/>
  <c r="AJ9" i="4"/>
  <c r="AH10" i="4"/>
  <c r="AI10" i="4"/>
  <c r="AJ10" i="4"/>
  <c r="AH11" i="4"/>
  <c r="AI11" i="4"/>
  <c r="AJ11" i="4"/>
  <c r="AI7" i="4"/>
  <c r="AH7" i="4"/>
  <c r="AI14" i="15" l="1"/>
  <c r="AI15" i="21"/>
  <c r="AJ14" i="15"/>
  <c r="AK14" i="15"/>
  <c r="AK14" i="25"/>
  <c r="AJ14" i="25"/>
  <c r="AI14" i="25"/>
  <c r="AK14" i="24"/>
  <c r="AJ14" i="24"/>
  <c r="AI14" i="24"/>
  <c r="AK14" i="23"/>
  <c r="AJ14" i="23"/>
  <c r="AI14" i="23"/>
  <c r="AK14" i="22"/>
  <c r="AJ14" i="22"/>
  <c r="AI14" i="22"/>
  <c r="AH15" i="21"/>
  <c r="AK15" i="21"/>
  <c r="AJ15" i="21"/>
  <c r="AH14" i="20"/>
  <c r="AK14" i="20"/>
  <c r="AJ14" i="20"/>
  <c r="AI14" i="20"/>
  <c r="AK14" i="19"/>
  <c r="AJ14" i="19"/>
  <c r="AI14" i="19"/>
  <c r="AJ14" i="18"/>
  <c r="AH14" i="18"/>
  <c r="AK14" i="18"/>
  <c r="B12" i="26"/>
  <c r="B9" i="26"/>
  <c r="AK14" i="17"/>
  <c r="AH14" i="17"/>
  <c r="AJ14" i="17"/>
  <c r="AI14" i="17"/>
  <c r="B10" i="26"/>
  <c r="D10" i="26"/>
  <c r="AK15" i="5"/>
  <c r="AH15" i="5"/>
  <c r="C11" i="26"/>
  <c r="AJ15" i="5"/>
  <c r="AI15" i="5"/>
  <c r="E8" i="26"/>
  <c r="D9" i="26"/>
  <c r="D11" i="26"/>
  <c r="E10" i="26"/>
  <c r="D12" i="26"/>
  <c r="C8" i="26"/>
  <c r="C12" i="26"/>
  <c r="C9" i="26"/>
  <c r="E11" i="26"/>
  <c r="E13" i="26"/>
  <c r="D13" i="26"/>
  <c r="B11" i="26"/>
  <c r="B13" i="26"/>
  <c r="D8" i="26"/>
  <c r="C10" i="26"/>
  <c r="E12" i="26"/>
  <c r="E9" i="26"/>
  <c r="C13" i="26"/>
  <c r="B8" i="26"/>
  <c r="AH15" i="4"/>
  <c r="AI15" i="4"/>
  <c r="AJ15" i="4"/>
  <c r="AK15" i="4"/>
  <c r="A1" i="26" l="1"/>
  <c r="AH4" i="23"/>
  <c r="B1" i="5"/>
  <c r="AH4" i="5"/>
  <c r="C5" i="5"/>
  <c r="D5" i="5"/>
  <c r="E5" i="5"/>
  <c r="F5" i="5"/>
  <c r="G5" i="5"/>
  <c r="H5" i="5"/>
  <c r="I5" i="5"/>
  <c r="J5" i="5"/>
  <c r="K5" i="5"/>
  <c r="L5" i="5"/>
  <c r="M5" i="5"/>
  <c r="N5" i="5"/>
  <c r="O5" i="5"/>
  <c r="P5" i="5"/>
  <c r="Q5" i="5"/>
  <c r="R5" i="5"/>
  <c r="S5" i="5"/>
  <c r="T5" i="5"/>
  <c r="U5" i="5"/>
  <c r="V5" i="5"/>
  <c r="W5" i="5"/>
  <c r="X5" i="5"/>
  <c r="Y5" i="5"/>
  <c r="Z5" i="5"/>
  <c r="AA5" i="5"/>
  <c r="AB5" i="5"/>
  <c r="AC5" i="5"/>
  <c r="AD5" i="5"/>
  <c r="AE5" i="5"/>
  <c r="AG5" i="17" l="1"/>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4" i="25" l="1"/>
  <c r="B1" i="25"/>
  <c r="AH4" i="24"/>
  <c r="B1" i="24"/>
  <c r="B1" i="23"/>
  <c r="AH4" i="22"/>
  <c r="B1" i="22"/>
  <c r="AH4" i="21"/>
  <c r="B1" i="21"/>
  <c r="AH4" i="20"/>
  <c r="B1" i="20"/>
  <c r="AH4" i="19"/>
  <c r="B1" i="19"/>
  <c r="AH4" i="18"/>
  <c r="B1" i="18"/>
  <c r="AH4" i="17"/>
  <c r="B1" i="17"/>
  <c r="B1" i="15"/>
  <c r="AH4" i="15" l="1"/>
  <c r="AH14" i="24" l="1"/>
  <c r="AH14" i="19"/>
  <c r="AH14" i="15"/>
  <c r="AH14" i="25"/>
  <c r="AH14" i="23"/>
  <c r="AH14" i="22"/>
</calcChain>
</file>

<file path=xl/sharedStrings.xml><?xml version="1.0" encoding="utf-8"?>
<sst xmlns="http://schemas.openxmlformats.org/spreadsheetml/2006/main" count="616" uniqueCount="70">
  <si>
    <t>Calendrier  des employés</t>
  </si>
  <si>
    <t>Clé de motif d’absence</t>
  </si>
  <si>
    <t>T</t>
  </si>
  <si>
    <t>Travaillé</t>
  </si>
  <si>
    <t>P</t>
  </si>
  <si>
    <t>Personnel</t>
  </si>
  <si>
    <t>M</t>
  </si>
  <si>
    <t>Maladie</t>
  </si>
  <si>
    <t>C</t>
  </si>
  <si>
    <t>Congés</t>
  </si>
  <si>
    <t>Entrez l’année :</t>
  </si>
  <si>
    <t>Janvier</t>
  </si>
  <si>
    <t xml:space="preserve">Dates </t>
  </si>
  <si>
    <t>Nom de l’employé</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</si>
  <si>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</si>
  <si>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</si>
  <si>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</si>
  <si>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</si>
  <si>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</si>
  <si>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</si>
  <si>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</si>
  <si>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</si>
  <si>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</si>
  <si>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</si>
  <si>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</si>
  <si>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</si>
  <si>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</si>
  <si>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</si>
  <si>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</si>
  <si>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</si>
  <si>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</si>
  <si>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</si>
  <si>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</si>
  <si>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</si>
  <si>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</si>
  <si>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</si>
  <si>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</si>
  <si>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</si>
  <si>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</si>
  <si>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</si>
  <si>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</si>
  <si>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</si>
  <si>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</si>
  <si>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</si>
  <si>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</si>
  <si>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Amandine KRUSE</t>
  </si>
  <si>
    <t>Nakani KANTE</t>
  </si>
  <si>
    <t>Jérémie THORIN</t>
  </si>
  <si>
    <t>Employé 4</t>
  </si>
  <si>
    <t xml:space="preserve">Remplacement </t>
  </si>
  <si>
    <t>Employé 5</t>
  </si>
  <si>
    <t>Employé 6</t>
  </si>
  <si>
    <t xml:space="preserve"> </t>
  </si>
  <si>
    <t>Total par catégorie</t>
  </si>
  <si>
    <t>Février</t>
  </si>
  <si>
    <t>Dates d’absence</t>
  </si>
  <si>
    <t xml:space="preserve">  </t>
  </si>
  <si>
    <t>Mars</t>
  </si>
  <si>
    <t>Avril</t>
  </si>
  <si>
    <t>Mai</t>
  </si>
  <si>
    <t>Juin</t>
  </si>
  <si>
    <t>Juillet</t>
  </si>
  <si>
    <t>Août</t>
  </si>
  <si>
    <t>Septembre</t>
  </si>
  <si>
    <t>Octobre</t>
  </si>
  <si>
    <t>Novembre</t>
  </si>
  <si>
    <t>Décembre</t>
  </si>
  <si>
    <t>R</t>
  </si>
  <si>
    <t>Panier Repas</t>
  </si>
  <si>
    <t>Repas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</si>
</sst>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rgb="FF4A5359"/>
      <name val="Arial"/>
      <family val="2"/>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2" tint="-9.9978637043366805E-2"/>
        <bgColor indexed="64"/>
      </patternFill>
    </fill>
  </fills>
  <borders count="23">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top style="thin">
        <color theme="0" tint="-0.14996795556505021"/>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top style="thin">
        <color theme="2" tint="-9.9917600024414813E-2"/>
      </top>
      <bottom style="thin">
        <color theme="2" tint="-9.9917600024414813E-2"/>
      </bottom>
      <diagonal/>
    </border>
    <border>
      <left style="thin">
        <color indexed="64"/>
      </left>
      <right style="medium">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1">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0" applyAlignment="1" applyProtection="1">
      <alignment horizontal="left" vertical="center" wrapText="1"/>
    </xf>
    <xf numFmtId="0" fontId="2" fillId="20" borderId="0" xfId="4" applyProtection="1">
      <alignment horizontal="right" vertical="center" indent="1"/>
    </xf>
    <xf numFmtId="0" fontId="8" fillId="0" borderId="0" xfId="0" applyFont="1" applyFill="1" applyBorder="1" applyAlignment="1" applyProtection="1">
      <alignment horizontal="center" vertical="center"/>
    </xf>
    <xf numFmtId="0" fontId="0" fillId="0" borderId="0" xfId="26" applyFont="1">
      <alignment horizontal="left" vertical="center" wrapText="1" indent="2"/>
    </xf>
    <xf numFmtId="0" fontId="16" fillId="15" borderId="6" xfId="12" applyFont="1" applyFill="1" applyBorder="1" applyAlignment="1">
      <alignment horizontal="center" vertical="center"/>
    </xf>
    <xf numFmtId="166" fontId="16" fillId="9" borderId="6" xfId="8" applyNumberFormat="1" applyFont="1" applyFill="1" applyBorder="1" applyAlignment="1">
      <alignment horizontal="center" vertical="center"/>
    </xf>
    <xf numFmtId="0" fontId="16" fillId="13" borderId="6" xfId="23" applyFont="1" applyFill="1" applyBorder="1" applyAlignment="1">
      <alignment horizontal="center" vertical="center"/>
    </xf>
    <xf numFmtId="0" fontId="1" fillId="2" borderId="0" xfId="21" applyAlignment="1" applyProtection="1">
      <alignment vertical="center"/>
    </xf>
    <xf numFmtId="0" fontId="0" fillId="0" borderId="7" xfId="0" applyFont="1" applyFill="1" applyBorder="1" applyAlignment="1" applyProtection="1">
      <alignment horizontal="center" vertical="center"/>
    </xf>
    <xf numFmtId="0" fontId="1" fillId="0" borderId="8" xfId="26" applyFill="1" applyBorder="1">
      <alignment horizontal="left" vertical="center" wrapText="1" indent="2"/>
    </xf>
    <xf numFmtId="0" fontId="0" fillId="0" borderId="9" xfId="0" applyFont="1" applyFill="1" applyBorder="1" applyAlignment="1" applyProtection="1">
      <alignment horizontal="center" vertical="center"/>
    </xf>
    <xf numFmtId="0" fontId="1" fillId="0" borderId="10" xfId="26" applyFill="1" applyBorder="1">
      <alignment horizontal="left" vertical="center" wrapText="1" indent="2"/>
    </xf>
    <xf numFmtId="1" fontId="0" fillId="0" borderId="9" xfId="25" applyFont="1" applyFill="1" applyBorder="1" applyProtection="1">
      <alignment horizontal="center" vertical="center"/>
    </xf>
    <xf numFmtId="0" fontId="0" fillId="2" borderId="11" xfId="21" applyFont="1" applyFill="1" applyBorder="1" applyAlignment="1">
      <alignment horizontal="left" vertical="center" indent="1"/>
    </xf>
    <xf numFmtId="0" fontId="2" fillId="10" borderId="0" xfId="19" applyFont="1" applyFill="1" applyBorder="1" applyAlignment="1">
      <alignment horizontal="center" vertical="center"/>
    </xf>
    <xf numFmtId="0" fontId="1" fillId="0" borderId="12" xfId="26" applyFill="1" applyBorder="1">
      <alignment horizontal="left" vertical="center" wrapText="1" indent="2"/>
    </xf>
    <xf numFmtId="0" fontId="0" fillId="0" borderId="13" xfId="0" applyFont="1" applyFill="1" applyBorder="1" applyAlignment="1" applyProtection="1">
      <alignment horizontal="center" vertical="center"/>
    </xf>
    <xf numFmtId="0" fontId="0" fillId="0" borderId="0" xfId="0" applyBorder="1" applyProtection="1">
      <alignment horizontal="left" vertical="center"/>
    </xf>
    <xf numFmtId="0" fontId="1" fillId="0" borderId="0" xfId="26" applyFill="1" applyBorder="1">
      <alignment horizontal="left" vertical="center" wrapText="1" indent="2"/>
    </xf>
    <xf numFmtId="1" fontId="0" fillId="0" borderId="0" xfId="0" applyNumberFormat="1" applyBorder="1" applyProtection="1">
      <alignment horizontal="left" vertical="center"/>
    </xf>
    <xf numFmtId="1" fontId="2" fillId="33" borderId="15" xfId="0" applyNumberFormat="1" applyFont="1" applyFill="1" applyBorder="1" applyAlignment="1" applyProtection="1">
      <alignment horizontal="center" vertical="center"/>
    </xf>
    <xf numFmtId="1" fontId="2" fillId="33" borderId="16" xfId="0" applyNumberFormat="1" applyFont="1" applyFill="1" applyBorder="1" applyAlignment="1" applyProtection="1">
      <alignment horizontal="center" vertical="center"/>
    </xf>
    <xf numFmtId="1" fontId="2" fillId="33" borderId="17" xfId="0" applyNumberFormat="1" applyFont="1" applyFill="1" applyBorder="1" applyAlignment="1" applyProtection="1">
      <alignment horizontal="center" vertical="center"/>
    </xf>
    <xf numFmtId="0" fontId="5" fillId="2" borderId="0" xfId="3" applyProtection="1">
      <alignment horizontal="center" vertical="center"/>
    </xf>
    <xf numFmtId="0" fontId="19" fillId="0" borderId="0" xfId="0" applyFont="1">
      <alignment horizontal="left" vertical="center"/>
    </xf>
    <xf numFmtId="0" fontId="0" fillId="0" borderId="9" xfId="0" applyFill="1" applyBorder="1" applyAlignment="1" applyProtection="1">
      <alignment horizontal="center" vertical="center"/>
    </xf>
    <xf numFmtId="0" fontId="0" fillId="0" borderId="0" xfId="0" applyAlignment="1">
      <alignment horizontal="center" vertical="center"/>
    </xf>
    <xf numFmtId="0" fontId="0" fillId="0" borderId="18" xfId="26" applyFont="1" applyFill="1" applyBorder="1" applyAlignment="1">
      <alignment horizontal="left" vertical="center" wrapText="1" indent="2"/>
    </xf>
    <xf numFmtId="1" fontId="0" fillId="0" borderId="18" xfId="26" applyNumberFormat="1" applyFont="1" applyFill="1" applyBorder="1" applyAlignment="1">
      <alignment horizontal="left" vertical="center" wrapText="1" indent="2"/>
    </xf>
    <xf numFmtId="1" fontId="0" fillId="0" borderId="13" xfId="25" applyNumberFormat="1" applyFont="1" applyFill="1" applyBorder="1" applyProtection="1">
      <alignment horizontal="center" vertical="center"/>
    </xf>
    <xf numFmtId="1" fontId="1" fillId="0" borderId="13" xfId="25" applyFill="1" applyBorder="1" applyProtection="1">
      <alignment horizontal="center" vertical="center"/>
    </xf>
    <xf numFmtId="1" fontId="1" fillId="0" borderId="19" xfId="25" applyFill="1" applyBorder="1" applyProtection="1">
      <alignment horizontal="center" vertical="center"/>
    </xf>
    <xf numFmtId="0" fontId="1" fillId="0" borderId="0" xfId="26" applyFill="1" applyProtection="1">
      <alignment horizontal="left" vertical="center" wrapText="1" indent="2"/>
    </xf>
    <xf numFmtId="1" fontId="1" fillId="0" borderId="0" xfId="25" applyNumberFormat="1" applyFill="1" applyBorder="1" applyProtection="1">
      <alignment horizontal="center" vertical="center"/>
    </xf>
    <xf numFmtId="0" fontId="0" fillId="2" borderId="0" xfId="21" applyFont="1" applyAlignment="1" applyProtection="1">
      <alignment vertical="center"/>
    </xf>
    <xf numFmtId="1" fontId="1" fillId="0" borderId="0" xfId="25" applyNumberFormat="1" applyFill="1" applyProtection="1">
      <alignment horizontal="center" vertical="center"/>
    </xf>
    <xf numFmtId="0" fontId="0" fillId="33" borderId="14" xfId="0" applyFill="1" applyBorder="1" applyAlignment="1" applyProtection="1">
      <alignment horizontal="center" vertical="center"/>
    </xf>
    <xf numFmtId="0" fontId="0" fillId="33" borderId="15" xfId="0" applyFill="1" applyBorder="1" applyAlignment="1" applyProtection="1">
      <alignment horizontal="center" vertical="center"/>
    </xf>
    <xf numFmtId="0" fontId="0" fillId="33" borderId="16" xfId="0" applyFill="1" applyBorder="1" applyAlignment="1" applyProtection="1">
      <alignment horizontal="center" vertical="center"/>
    </xf>
    <xf numFmtId="0" fontId="7" fillId="0" borderId="0" xfId="27" applyAlignment="1" applyProtection="1">
      <alignment horizontal="center"/>
    </xf>
    <xf numFmtId="0" fontId="5" fillId="2" borderId="0" xfId="3" applyAlignment="1"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xf numFmtId="0" fontId="0" fillId="2" borderId="0" xfId="21" applyFont="1" applyAlignment="1" applyProtection="1">
      <alignment horizontal="center" vertical="center"/>
    </xf>
    <xf numFmtId="0" fontId="1" fillId="2" borderId="0" xfId="21" applyAlignment="1" applyProtection="1">
      <alignment horizontal="center" vertical="center"/>
    </xf>
    <xf numFmtId="0" fontId="0" fillId="33" borderId="20" xfId="0" applyFill="1" applyBorder="1" applyAlignment="1" applyProtection="1">
      <alignment horizontal="center" vertical="center"/>
    </xf>
    <xf numFmtId="0" fontId="0" fillId="33" borderId="21" xfId="0" applyFill="1" applyBorder="1" applyAlignment="1" applyProtection="1">
      <alignment horizontal="center" vertical="center"/>
    </xf>
    <xf numFmtId="0" fontId="0" fillId="33" borderId="22" xfId="0" applyFill="1" applyBorder="1" applyAlignment="1" applyProtection="1">
      <alignment horizontal="center" vertical="center"/>
    </xf>
    <xf numFmtId="0" fontId="0" fillId="0" borderId="0" xfId="0" applyAlignment="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80">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medium">
          <color indexed="64"/>
        </bottom>
      </border>
      <protection locked="1" hidden="0"/>
    </dxf>
    <dxf>
      <numFmt numFmtId="1" formatCode="0"/>
      <fill>
        <patternFill patternType="none">
          <fgColor indexed="64"/>
          <bgColor indexed="65"/>
        </patternFill>
      </fill>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numFmt numFmtId="1" formatCode="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style="medium">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79"/>
      <tableStyleElement type="headerRow" dxfId="978"/>
      <tableStyleElement type="totalRow" dxfId="977"/>
      <tableStyleElement type="firstColumn" dxfId="976"/>
      <tableStyleElement type="lastColumn" dxfId="975"/>
      <tableStyleElement type="firstRowStripe" dxfId="974"/>
      <tableStyleElement type="secondRowStripe" dxfId="973"/>
      <tableStyleElement type="firstColumnStripe" dxfId="972"/>
      <tableStyleElement type="secondColumnStripe" dxfId="971"/>
      <tableStyleElement type="firstHeaderCell" dxfId="970"/>
      <tableStyleElement type="lastHeaderCell" dxfId="969"/>
      <tableStyleElement type="firstTotalCell" dxfId="968"/>
      <tableStyleElement type="lastTotalCell" dxfId="96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2</xdr:col>
      <xdr:colOff>2004</xdr:colOff>
      <xdr:row>4</xdr:row>
      <xdr:rowOff>160020</xdr:rowOff>
    </xdr:to>
    <xdr:pic>
      <xdr:nvPicPr>
        <xdr:cNvPr id="2" name="Image 1">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422910"/>
          <a:ext cx="2543274" cy="708660"/>
        </a:xfrm>
        <a:prstGeom prst="rect">
          <a:avLst/>
        </a:prstGeom>
      </xdr:spPr>
    </xdr:pic>
    <xdr:clientData/>
  </xdr:twoCellAnchor>
</xdr:wsDr>
</file>

<file path=xl/tables/table1.xml><?xml version="1.0" encoding="utf-8"?>
<table xmlns="http://schemas.openxmlformats.org/spreadsheetml/2006/main" id="3" name="Janvier" displayName="Janvier" ref="B6:AK13" totalsRowShown="0" headerRowDxfId="956" dataDxfId="955" totalsRowDxfId="954">
  <autoFilter ref="B6:AK1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6">
    <tableColumn id="1" name="Nom de l’employé" dataDxfId="953" totalsRowDxfId="952" dataCellStyle="Employé"/>
    <tableColumn id="2" name="1" dataDxfId="951" totalsRowDxfId="950"/>
    <tableColumn id="3" name="2" dataDxfId="949" totalsRowDxfId="948"/>
    <tableColumn id="4" name="3" dataDxfId="947" totalsRowDxfId="946"/>
    <tableColumn id="5" name="4" dataDxfId="945" totalsRowDxfId="944"/>
    <tableColumn id="6" name="5" dataDxfId="943" totalsRowDxfId="942"/>
    <tableColumn id="7" name="6" dataDxfId="941" totalsRowDxfId="940"/>
    <tableColumn id="8" name="7" dataDxfId="939" totalsRowDxfId="938"/>
    <tableColumn id="9" name="8" dataDxfId="937" totalsRowDxfId="936"/>
    <tableColumn id="10" name="9" dataDxfId="935" totalsRowDxfId="934"/>
    <tableColumn id="11" name="10" dataDxfId="933" totalsRowDxfId="932"/>
    <tableColumn id="12" name="11" dataDxfId="931" totalsRowDxfId="930"/>
    <tableColumn id="13" name="12" dataDxfId="929" totalsRowDxfId="928"/>
    <tableColumn id="14" name="13" dataDxfId="927" totalsRowDxfId="926"/>
    <tableColumn id="15" name="14" dataDxfId="925" totalsRowDxfId="924"/>
    <tableColumn id="16" name="15" dataDxfId="923" totalsRowDxfId="922"/>
    <tableColumn id="17" name="16" dataDxfId="921" totalsRowDxfId="920"/>
    <tableColumn id="18" name="17" dataDxfId="919" totalsRowDxfId="918"/>
    <tableColumn id="19" name="18" dataDxfId="917" totalsRowDxfId="916"/>
    <tableColumn id="20" name="19" dataDxfId="915" totalsRowDxfId="914"/>
    <tableColumn id="21" name="20" dataDxfId="913" totalsRowDxfId="912"/>
    <tableColumn id="22" name="21" dataDxfId="911" totalsRowDxfId="910"/>
    <tableColumn id="23" name="22" dataDxfId="909" totalsRowDxfId="908"/>
    <tableColumn id="24" name="23" dataDxfId="907" totalsRowDxfId="906"/>
    <tableColumn id="25" name="24" dataDxfId="905" totalsRowDxfId="904"/>
    <tableColumn id="26" name="25" dataDxfId="903" totalsRowDxfId="902"/>
    <tableColumn id="27" name="26" dataDxfId="901" totalsRowDxfId="900"/>
    <tableColumn id="28" name="27" dataDxfId="899" totalsRowDxfId="898"/>
    <tableColumn id="29" name="28" dataDxfId="897" totalsRowDxfId="896"/>
    <tableColumn id="30" name="29" dataDxfId="895" totalsRowDxfId="894"/>
    <tableColumn id="31" name="30" dataDxfId="893" totalsRowDxfId="892"/>
    <tableColumn id="32" name="31" dataDxfId="891" totalsRowDxfId="890"/>
    <tableColumn id="33" name="Travaillé" dataDxfId="889" totalsRowDxfId="888">
      <calculatedColumnFormula>SUMPRODUCT(--(Janvier[[#This Row],[1]:[31]]=LEFT(Janvier[[#Headers],[Travaillé]],1)))</calculatedColumnFormula>
    </tableColumn>
    <tableColumn id="34" name="Congés" dataDxfId="887" totalsRowDxfId="886" dataCellStyle="Total">
      <calculatedColumnFormula>SUMPRODUCT(--(Janvier[[#This Row],[1]:[31]]=LEFT(Janvier[[#Headers],[Congés]],1)))</calculatedColumnFormula>
    </tableColumn>
    <tableColumn id="35" name="Maladie" dataDxfId="885" totalsRowDxfId="884" dataCellStyle="Total">
      <calculatedColumnFormula>SUMPRODUCT(--(Janvier[[#This Row],[1]:[31]]=LEFT(Janvier[[#Headers],[Maladie]],1)))</calculatedColumnFormula>
    </tableColumn>
    <tableColumn id="36" name="Repas" dataDxfId="883" totalsRowDxfId="882" dataCellStyle="Total">
      <calculatedColumnFormula>SUMPRODUCT(--(Janvier[[#This Row],[1]:[31]]=LEFT(Janvier[[#Headers],[Repas]],1)))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K13" totalsRowShown="0" headerRowDxfId="874" dataDxfId="873" totalsRowDxfId="872">
  <tableColumns count="36">
    <tableColumn id="1" name="Nom de l’employé" dataDxfId="871" totalsRowDxfId="870" dataCellStyle="Employé">
      <calculatedColumnFormula>Janvier!B7</calculatedColumnFormula>
    </tableColumn>
    <tableColumn id="2" name="1" dataDxfId="869" totalsRowDxfId="868"/>
    <tableColumn id="3" name="2" dataDxfId="867" totalsRowDxfId="866"/>
    <tableColumn id="4" name="3" dataDxfId="865" totalsRowDxfId="864"/>
    <tableColumn id="5" name="4" dataDxfId="863" totalsRowDxfId="862"/>
    <tableColumn id="6" name="5" dataDxfId="861" totalsRowDxfId="860"/>
    <tableColumn id="7" name="6" dataDxfId="859" totalsRowDxfId="858"/>
    <tableColumn id="8" name="7" dataDxfId="857" totalsRowDxfId="856"/>
    <tableColumn id="9" name="8" dataDxfId="855" totalsRowDxfId="854"/>
    <tableColumn id="10" name="9" dataDxfId="853" totalsRowDxfId="852"/>
    <tableColumn id="11" name="10" dataDxfId="851" totalsRowDxfId="850"/>
    <tableColumn id="12" name="11" dataDxfId="849" totalsRowDxfId="848"/>
    <tableColumn id="13" name="12" dataDxfId="847" totalsRowDxfId="846"/>
    <tableColumn id="14" name="13" dataDxfId="845" totalsRowDxfId="844"/>
    <tableColumn id="15" name="14" dataDxfId="843" totalsRowDxfId="842"/>
    <tableColumn id="16" name="15" dataDxfId="841" totalsRowDxfId="840"/>
    <tableColumn id="17" name="16" dataDxfId="839" totalsRowDxfId="838"/>
    <tableColumn id="18" name="17" dataDxfId="837" totalsRowDxfId="836"/>
    <tableColumn id="19" name="18" dataDxfId="835" totalsRowDxfId="834"/>
    <tableColumn id="20" name="19" dataDxfId="833" totalsRowDxfId="832"/>
    <tableColumn id="21" name="20" dataDxfId="831" totalsRowDxfId="830"/>
    <tableColumn id="22" name="21" dataDxfId="829" totalsRowDxfId="828"/>
    <tableColumn id="23" name="22" dataDxfId="827" totalsRowDxfId="826"/>
    <tableColumn id="24" name="23" dataDxfId="825" totalsRowDxfId="824"/>
    <tableColumn id="25" name="24" dataDxfId="823" totalsRowDxfId="822"/>
    <tableColumn id="26" name="25" dataDxfId="821" totalsRowDxfId="820"/>
    <tableColumn id="27" name="26" dataDxfId="819" totalsRowDxfId="818"/>
    <tableColumn id="28" name="27" dataDxfId="817" totalsRowDxfId="816"/>
    <tableColumn id="29" name="28" dataDxfId="815" totalsRowDxfId="814"/>
    <tableColumn id="30" name="29" dataDxfId="813" totalsRowDxfId="812"/>
    <tableColumn id="31" name=" " dataDxfId="811" totalsRowDxfId="810"/>
    <tableColumn id="32" name="  " dataDxfId="809" totalsRowDxfId="808"/>
    <tableColumn id="33" name="Travaillé" dataDxfId="807" totalsRowDxfId="806" dataCellStyle="Total">
      <calculatedColumnFormula>SUMPRODUCT(--(Février[[#This Row],[1]:[29]]=LEFT(Février[[#Headers],[Travaillé]],1)))</calculatedColumnFormula>
    </tableColumn>
    <tableColumn id="34" name="Congés" dataDxfId="805" totalsRowDxfId="804" dataCellStyle="Total">
      <calculatedColumnFormula>SUMPRODUCT(--(Février[[#This Row],[1]:[29]]=LEFT(Février[[#Headers],[Congés]],1)))</calculatedColumnFormula>
    </tableColumn>
    <tableColumn id="35" name="Maladie" dataDxfId="803" totalsRowDxfId="802" dataCellStyle="Total">
      <calculatedColumnFormula>SUMPRODUCT(--(Février[[#This Row],[1]:[29]]=LEFT(Février[[#Headers],[Maladie]],1)))</calculatedColumnFormula>
    </tableColumn>
    <tableColumn id="36" name="Repas" dataDxfId="801" totalsRowDxfId="800" dataCellStyle="Total">
      <calculatedColumnFormula>SUMPRODUCT(--(Février[[#This Row],[1]:[29]]=LEFT(Février[[#Headers],[Repas]],1)))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K12" totalsRowShown="0" headerRowDxfId="794" dataDxfId="793" totalsRowDxfId="792">
  <tableColumns count="36">
    <tableColumn id="1" name="Nom de l’employé" dataDxfId="791" totalsRowDxfId="790" dataCellStyle="Employé">
      <calculatedColumnFormula>Janvier!B7</calculatedColumnFormula>
    </tableColumn>
    <tableColumn id="2" name="1" dataDxfId="789" totalsRowDxfId="788"/>
    <tableColumn id="3" name="2" dataDxfId="787" totalsRowDxfId="786"/>
    <tableColumn id="4" name="3" dataDxfId="785" totalsRowDxfId="784"/>
    <tableColumn id="5" name="4" dataDxfId="783" totalsRowDxfId="782"/>
    <tableColumn id="6" name="5" dataDxfId="781" totalsRowDxfId="780"/>
    <tableColumn id="7" name="6" dataDxfId="779" totalsRowDxfId="778"/>
    <tableColumn id="8" name="7" dataDxfId="777" totalsRowDxfId="776"/>
    <tableColumn id="9" name="8" dataDxfId="775" totalsRowDxfId="774"/>
    <tableColumn id="10" name="9" dataDxfId="773" totalsRowDxfId="772"/>
    <tableColumn id="11" name="10" dataDxfId="771" totalsRowDxfId="770"/>
    <tableColumn id="12" name="11" dataDxfId="769" totalsRowDxfId="768"/>
    <tableColumn id="13" name="12" dataDxfId="767" totalsRowDxfId="766"/>
    <tableColumn id="14" name="13" dataDxfId="765" totalsRowDxfId="764"/>
    <tableColumn id="15" name="14" dataDxfId="763" totalsRowDxfId="762"/>
    <tableColumn id="16" name="15" dataDxfId="761" totalsRowDxfId="760"/>
    <tableColumn id="17" name="16" dataDxfId="759" totalsRowDxfId="758"/>
    <tableColumn id="18" name="17" dataDxfId="757" totalsRowDxfId="756"/>
    <tableColumn id="19" name="18" dataDxfId="755" totalsRowDxfId="754"/>
    <tableColumn id="20" name="19" dataDxfId="753" totalsRowDxfId="752"/>
    <tableColumn id="21" name="20" dataDxfId="751" totalsRowDxfId="750"/>
    <tableColumn id="22" name="21" dataDxfId="749" totalsRowDxfId="748"/>
    <tableColumn id="23" name="22" dataDxfId="747" totalsRowDxfId="746"/>
    <tableColumn id="24" name="23" dataDxfId="745" totalsRowDxfId="744"/>
    <tableColumn id="25" name="24" dataDxfId="743" totalsRowDxfId="742"/>
    <tableColumn id="26" name="25" dataDxfId="741" totalsRowDxfId="740"/>
    <tableColumn id="27" name="26" dataDxfId="739" totalsRowDxfId="738"/>
    <tableColumn id="28" name="27" dataDxfId="737" totalsRowDxfId="736"/>
    <tableColumn id="29" name="28" dataDxfId="735" totalsRowDxfId="734"/>
    <tableColumn id="30" name="29" dataDxfId="733" totalsRowDxfId="732"/>
    <tableColumn id="31" name="30" dataDxfId="731" totalsRowDxfId="730"/>
    <tableColumn id="32" name="31" dataDxfId="729" totalsRowDxfId="728"/>
    <tableColumn id="33" name="Travaillé" dataDxfId="727" totalsRowDxfId="726" dataCellStyle="Total">
      <calculatedColumnFormula>SUMPRODUCT(--(Mars[[#This Row],[1]:[31]]=LEFT(Mars[[#Headers],[Travaillé]],1)))</calculatedColumnFormula>
    </tableColumn>
    <tableColumn id="34" name="Congés" dataDxfId="725" totalsRowDxfId="724" dataCellStyle="Total">
      <calculatedColumnFormula>SUMPRODUCT(--(Mars[[#This Row],[1]:[31]]=LEFT(Mars[[#Headers],[Congés]],1)))</calculatedColumnFormula>
    </tableColumn>
    <tableColumn id="35" name="Maladie" dataDxfId="723" totalsRowDxfId="722" dataCellStyle="Total">
      <calculatedColumnFormula>SUMPRODUCT(--(Mars[[#This Row],[1]:[31]]=LEFT(Mars[[#Headers],[Maladie]],1)))</calculatedColumnFormula>
    </tableColumn>
    <tableColumn id="36" name="Repas" dataDxfId="721" totalsRowDxfId="720" dataCellStyle="Total">
      <calculatedColumnFormula>SUMPRODUCT(--(Mars[[#This Row],[1]:[31]]=LEFT(Mars[[#Headers],[Repas]],1)))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K12" totalsRowShown="0" headerRowDxfId="714" dataDxfId="713" totalsRowDxfId="712">
  <tableColumns count="36">
    <tableColumn id="1" name="Nom de l’employé" dataDxfId="711" totalsRowDxfId="710" dataCellStyle="Employé">
      <calculatedColumnFormula>Janvier!B7</calculatedColumnFormula>
    </tableColumn>
    <tableColumn id="2" name="1" dataDxfId="709" totalsRowDxfId="708"/>
    <tableColumn id="3" name="2" dataDxfId="707" totalsRowDxfId="706"/>
    <tableColumn id="4" name="3" dataDxfId="705" totalsRowDxfId="704"/>
    <tableColumn id="5" name="4" dataDxfId="703" totalsRowDxfId="702"/>
    <tableColumn id="6" name="5" dataDxfId="701" totalsRowDxfId="700"/>
    <tableColumn id="7" name="6" dataDxfId="699" totalsRowDxfId="698"/>
    <tableColumn id="8" name="7" dataDxfId="697" totalsRowDxfId="696"/>
    <tableColumn id="9" name="8" dataDxfId="695" totalsRowDxfId="694"/>
    <tableColumn id="10" name="9" dataDxfId="693" totalsRowDxfId="692"/>
    <tableColumn id="11" name="10" dataDxfId="691" totalsRowDxfId="690"/>
    <tableColumn id="12" name="11" dataDxfId="689" totalsRowDxfId="688"/>
    <tableColumn id="13" name="12" dataDxfId="687" totalsRowDxfId="686"/>
    <tableColumn id="14" name="13" dataDxfId="685" totalsRowDxfId="684"/>
    <tableColumn id="15" name="14" dataDxfId="683" totalsRowDxfId="682"/>
    <tableColumn id="16" name="15" dataDxfId="681" totalsRowDxfId="680"/>
    <tableColumn id="17" name="16" dataDxfId="679" totalsRowDxfId="678"/>
    <tableColumn id="18" name="17" dataDxfId="677" totalsRowDxfId="676"/>
    <tableColumn id="19" name="18" dataDxfId="675" totalsRowDxfId="674"/>
    <tableColumn id="20" name="19" dataDxfId="673" totalsRowDxfId="672"/>
    <tableColumn id="21" name="20" dataDxfId="671" totalsRowDxfId="670"/>
    <tableColumn id="22" name="21" dataDxfId="669" totalsRowDxfId="668"/>
    <tableColumn id="23" name="22" dataDxfId="667" totalsRowDxfId="666"/>
    <tableColumn id="24" name="23" dataDxfId="665" totalsRowDxfId="664"/>
    <tableColumn id="25" name="24" dataDxfId="663" totalsRowDxfId="662"/>
    <tableColumn id="26" name="25" dataDxfId="661" totalsRowDxfId="660"/>
    <tableColumn id="27" name="26" dataDxfId="659" totalsRowDxfId="658"/>
    <tableColumn id="28" name="27" dataDxfId="657" totalsRowDxfId="656"/>
    <tableColumn id="29" name="28" dataDxfId="655" totalsRowDxfId="654"/>
    <tableColumn id="30" name="29" dataDxfId="653" totalsRowDxfId="652"/>
    <tableColumn id="31" name="30" dataDxfId="651" totalsRowDxfId="650"/>
    <tableColumn id="32" name=" " dataDxfId="649" totalsRowDxfId="648"/>
    <tableColumn id="33" name="Travaillé" dataDxfId="647" totalsRowDxfId="646" dataCellStyle="Total">
      <calculatedColumnFormula>SUMPRODUCT(--(Avril[[#This Row],[1]:[30]]=LEFT(Avril[[#Headers],[Travaillé]],1)))</calculatedColumnFormula>
    </tableColumn>
    <tableColumn id="34" name="Congés" dataDxfId="645" totalsRowDxfId="644" dataCellStyle="Total">
      <calculatedColumnFormula>SUMPRODUCT(--(Avril[[#This Row],[1]:[30]]=LEFT(Avril[[#Headers],[Congés]],1)))</calculatedColumnFormula>
    </tableColumn>
    <tableColumn id="35" name="Maladie" dataDxfId="643" totalsRowDxfId="642" dataCellStyle="Total">
      <calculatedColumnFormula>SUMPRODUCT(--(Avril[[#This Row],[1]:[30]]=LEFT(Avril[[#Headers],[Maladie]],1)))</calculatedColumnFormula>
    </tableColumn>
    <tableColumn id="36" name="Repas" dataDxfId="641" totalsRowDxfId="640" dataCellStyle="Total">
      <calculatedColumnFormula>SUMPRODUCT(--(Avril[[#This Row],[1]:[30]]=LEFT(Avril[[#Headers],[Repas]],1)))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K12" totalsRowShown="0" headerRowDxfId="634" dataDxfId="633" totalsRowDxfId="632">
  <tableColumns count="36">
    <tableColumn id="1" name="Nom de l’employé" dataDxfId="631" totalsRowDxfId="630" dataCellStyle="Employé">
      <calculatedColumnFormula>Janvier!B7</calculatedColumnFormula>
    </tableColumn>
    <tableColumn id="2" name="1" dataDxfId="629" totalsRowDxfId="628"/>
    <tableColumn id="3" name="2" dataDxfId="627" totalsRowDxfId="626"/>
    <tableColumn id="4" name="3" dataDxfId="625" totalsRowDxfId="624"/>
    <tableColumn id="5" name="4" dataDxfId="623" totalsRowDxfId="622"/>
    <tableColumn id="6" name="5" dataDxfId="621" totalsRowDxfId="620"/>
    <tableColumn id="7" name="6" dataDxfId="619" totalsRowDxfId="618"/>
    <tableColumn id="8" name="7" dataDxfId="617" totalsRowDxfId="616"/>
    <tableColumn id="9" name="8" dataDxfId="615" totalsRowDxfId="614"/>
    <tableColumn id="10" name="9" dataDxfId="613" totalsRowDxfId="612"/>
    <tableColumn id="11" name="10" dataDxfId="611" totalsRowDxfId="610"/>
    <tableColumn id="12" name="11" dataDxfId="609" totalsRowDxfId="608"/>
    <tableColumn id="13" name="12" dataDxfId="607" totalsRowDxfId="606"/>
    <tableColumn id="14" name="13" dataDxfId="605" totalsRowDxfId="604"/>
    <tableColumn id="15" name="14" dataDxfId="603" totalsRowDxfId="602"/>
    <tableColumn id="16" name="15" dataDxfId="601" totalsRowDxfId="600"/>
    <tableColumn id="17" name="16" dataDxfId="599" totalsRowDxfId="598"/>
    <tableColumn id="18" name="17" dataDxfId="597" totalsRowDxfId="596"/>
    <tableColumn id="19" name="18" dataDxfId="595" totalsRowDxfId="594"/>
    <tableColumn id="20" name="19" dataDxfId="593" totalsRowDxfId="592"/>
    <tableColumn id="21" name="20" dataDxfId="591" totalsRowDxfId="590"/>
    <tableColumn id="22" name="21" dataDxfId="589" totalsRowDxfId="588"/>
    <tableColumn id="23" name="22" dataDxfId="587" totalsRowDxfId="586"/>
    <tableColumn id="24" name="23" dataDxfId="585" totalsRowDxfId="584"/>
    <tableColumn id="25" name="24" dataDxfId="583" totalsRowDxfId="582"/>
    <tableColumn id="26" name="25" dataDxfId="581" totalsRowDxfId="580"/>
    <tableColumn id="27" name="26" dataDxfId="579" totalsRowDxfId="578"/>
    <tableColumn id="28" name="27" dataDxfId="577" totalsRowDxfId="576"/>
    <tableColumn id="29" name="28" dataDxfId="575" totalsRowDxfId="574"/>
    <tableColumn id="30" name="29" dataDxfId="573" totalsRowDxfId="572"/>
    <tableColumn id="31" name="30" dataDxfId="571" totalsRowDxfId="570"/>
    <tableColumn id="32" name="31" dataDxfId="569" totalsRowDxfId="568"/>
    <tableColumn id="33" name="Travaillé" dataDxfId="567" totalsRowDxfId="566" dataCellStyle="Total">
      <calculatedColumnFormula>SUMPRODUCT(--(Mai[[#This Row],[1]:[31]]=LEFT(Mai[[#Headers],[Travaillé]],1)))</calculatedColumnFormula>
    </tableColumn>
    <tableColumn id="34" name="Congés" dataDxfId="565" totalsRowDxfId="564" dataCellStyle="Total">
      <calculatedColumnFormula>SUMPRODUCT(--(Mai[[#This Row],[1]:[31]]=LEFT(Mai[[#Headers],[Congés]],1)))</calculatedColumnFormula>
    </tableColumn>
    <tableColumn id="35" name="Maladie" dataDxfId="563" totalsRowDxfId="562" dataCellStyle="Total">
      <calculatedColumnFormula>SUMPRODUCT(--(Mai[[#This Row],[1]:[31]]=LEFT(Mai[[#Headers],[Maladie]],1)))</calculatedColumnFormula>
    </tableColumn>
    <tableColumn id="36" name="Repas" dataDxfId="561" totalsRowDxfId="560" dataCellStyle="Total">
      <calculatedColumnFormula>SUMPRODUCT(--(Mai[[#This Row],[1]:[31]]=LEFT(Mai[[#Headers],[Repas]],1)))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K12" totalsRowShown="0" headerRowDxfId="554" dataDxfId="553" totalsRowDxfId="552">
  <tableColumns count="36">
    <tableColumn id="1" name="Nom de l’employé" dataDxfId="551" totalsRowDxfId="550" dataCellStyle="Employé">
      <calculatedColumnFormula>Janvier!B7</calculatedColumnFormula>
    </tableColumn>
    <tableColumn id="2" name="1" dataDxfId="549" totalsRowDxfId="548"/>
    <tableColumn id="3" name="2" dataDxfId="547" totalsRowDxfId="546"/>
    <tableColumn id="4" name="3" dataDxfId="545" totalsRowDxfId="544"/>
    <tableColumn id="5" name="4" dataDxfId="543" totalsRowDxfId="542"/>
    <tableColumn id="6" name="5" dataDxfId="541" totalsRowDxfId="540"/>
    <tableColumn id="7" name="6" dataDxfId="539" totalsRowDxfId="538"/>
    <tableColumn id="8" name="7" dataDxfId="537" totalsRowDxfId="536"/>
    <tableColumn id="9" name="8" dataDxfId="535" totalsRowDxfId="534"/>
    <tableColumn id="10" name="9" dataDxfId="533" totalsRowDxfId="532"/>
    <tableColumn id="11" name="10" dataDxfId="531" totalsRowDxfId="530"/>
    <tableColumn id="12" name="11" dataDxfId="529" totalsRowDxfId="528"/>
    <tableColumn id="13" name="12" dataDxfId="527" totalsRowDxfId="526"/>
    <tableColumn id="14" name="13" dataDxfId="525" totalsRowDxfId="524"/>
    <tableColumn id="15" name="14" dataDxfId="523" totalsRowDxfId="522"/>
    <tableColumn id="16" name="15" dataDxfId="521" totalsRowDxfId="520"/>
    <tableColumn id="17" name="16" dataDxfId="519" totalsRowDxfId="518"/>
    <tableColumn id="18" name="17" dataDxfId="517" totalsRowDxfId="516"/>
    <tableColumn id="19" name="18" dataDxfId="515" totalsRowDxfId="514"/>
    <tableColumn id="20" name="19" dataDxfId="513" totalsRowDxfId="512"/>
    <tableColumn id="21" name="20" dataDxfId="511" totalsRowDxfId="510"/>
    <tableColumn id="22" name="21" dataDxfId="509" totalsRowDxfId="508"/>
    <tableColumn id="23" name="22" dataDxfId="507" totalsRowDxfId="506"/>
    <tableColumn id="24" name="23" dataDxfId="505" totalsRowDxfId="504"/>
    <tableColumn id="25" name="24" dataDxfId="503" totalsRowDxfId="502"/>
    <tableColumn id="26" name="25" dataDxfId="501" totalsRowDxfId="500"/>
    <tableColumn id="27" name="26" dataDxfId="499" totalsRowDxfId="498"/>
    <tableColumn id="28" name="27" dataDxfId="497" totalsRowDxfId="496"/>
    <tableColumn id="29" name="28" dataDxfId="495" totalsRowDxfId="494"/>
    <tableColumn id="30" name="29" dataDxfId="493" totalsRowDxfId="492"/>
    <tableColumn id="31" name="30" dataDxfId="491" totalsRowDxfId="490"/>
    <tableColumn id="32" name=" " dataDxfId="489" totalsRowDxfId="488"/>
    <tableColumn id="33" name="Travaillé" dataDxfId="487" totalsRowDxfId="486" dataCellStyle="Total">
      <calculatedColumnFormula>SUMPRODUCT(--(Juin[[#This Row],[1]:[30]]=LEFT(Juin[[#Headers],[Travaillé]],1)))</calculatedColumnFormula>
    </tableColumn>
    <tableColumn id="34" name="Congés" dataDxfId="485" totalsRowDxfId="484" dataCellStyle="Total">
      <calculatedColumnFormula>SUMPRODUCT(--(Juin[[#This Row],[1]:[30]]=LEFT(Juin[[#Headers],[Congés]],1)))</calculatedColumnFormula>
    </tableColumn>
    <tableColumn id="35" name="Maladie" dataDxfId="483" totalsRowDxfId="482" dataCellStyle="Total">
      <calculatedColumnFormula>SUMPRODUCT(--(Juin[[#This Row],[1]:[30]]=LEFT(Juin[[#Headers],[Maladie]],1)))</calculatedColumnFormula>
    </tableColumn>
    <tableColumn id="36" name="Repas" dataDxfId="481" totalsRowDxfId="480" dataCellStyle="Total">
      <calculatedColumnFormula>SUMPRODUCT(--(Juin[[#This Row],[1]:[30]]=LEFT(Juin[[#Headers],[Repas]],1)))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K13" totalsRowShown="0" headerRowDxfId="474" dataDxfId="473" totalsRowDxfId="472">
  <tableColumns count="36">
    <tableColumn id="1" name="Nom de l’employé" dataDxfId="471" totalsRowDxfId="470" dataCellStyle="Employé">
      <calculatedColumnFormula>Janvier!B7</calculatedColumnFormula>
    </tableColumn>
    <tableColumn id="2" name="1" dataDxfId="469" totalsRowDxfId="468"/>
    <tableColumn id="3" name="2" dataDxfId="467" totalsRowDxfId="466"/>
    <tableColumn id="4" name="3" dataDxfId="465" totalsRowDxfId="464"/>
    <tableColumn id="5" name="4" dataDxfId="463" totalsRowDxfId="462"/>
    <tableColumn id="6" name="5" dataDxfId="461" totalsRowDxfId="460"/>
    <tableColumn id="7" name="6" dataDxfId="459" totalsRowDxfId="458"/>
    <tableColumn id="8" name="7" dataDxfId="457" totalsRowDxfId="456"/>
    <tableColumn id="9" name="8" dataDxfId="455" totalsRowDxfId="454"/>
    <tableColumn id="10" name="9" dataDxfId="453" totalsRowDxfId="452"/>
    <tableColumn id="11" name="10" dataDxfId="451" totalsRowDxfId="450"/>
    <tableColumn id="12" name="11" dataDxfId="449" totalsRowDxfId="448"/>
    <tableColumn id="13" name="12" dataDxfId="447" totalsRowDxfId="446"/>
    <tableColumn id="14" name="13" dataDxfId="445" totalsRowDxfId="444"/>
    <tableColumn id="15" name="14" dataDxfId="443" totalsRowDxfId="442"/>
    <tableColumn id="16" name="15" dataDxfId="441" totalsRowDxfId="440"/>
    <tableColumn id="17" name="16" dataDxfId="439" totalsRowDxfId="438"/>
    <tableColumn id="18" name="17" dataDxfId="437" totalsRowDxfId="436"/>
    <tableColumn id="19" name="18" dataDxfId="435" totalsRowDxfId="434"/>
    <tableColumn id="20" name="19" dataDxfId="433" totalsRowDxfId="432"/>
    <tableColumn id="21" name="20" dataDxfId="431" totalsRowDxfId="430"/>
    <tableColumn id="22" name="21" dataDxfId="429" totalsRowDxfId="428"/>
    <tableColumn id="23" name="22" dataDxfId="427" totalsRowDxfId="426"/>
    <tableColumn id="24" name="23" dataDxfId="425" totalsRowDxfId="424"/>
    <tableColumn id="25" name="24" dataDxfId="423" totalsRowDxfId="422"/>
    <tableColumn id="26" name="25" dataDxfId="421" totalsRowDxfId="420"/>
    <tableColumn id="27" name="26" dataDxfId="419" totalsRowDxfId="418"/>
    <tableColumn id="28" name="27" dataDxfId="417" totalsRowDxfId="416"/>
    <tableColumn id="29" name="28" dataDxfId="415" totalsRowDxfId="414"/>
    <tableColumn id="30" name="29" dataDxfId="413" totalsRowDxfId="412"/>
    <tableColumn id="31" name="30" dataDxfId="411" totalsRowDxfId="410"/>
    <tableColumn id="32" name="31" dataDxfId="409" totalsRowDxfId="408"/>
    <tableColumn id="33" name="Travaillé" dataDxfId="407" totalsRowDxfId="406" dataCellStyle="Total">
      <calculatedColumnFormula>SUMPRODUCT(--(Juillet[[#This Row],[1]:[31]]=LEFT(Juillet[[#Headers],[Travaillé]],1)))</calculatedColumnFormula>
    </tableColumn>
    <tableColumn id="34" name="Congés" dataDxfId="405" totalsRowDxfId="404" dataCellStyle="Total">
      <calculatedColumnFormula>SUMPRODUCT(--(Juillet[[#This Row],[1]:[31]]=LEFT(Juillet[[#Headers],[Congés]],1)))</calculatedColumnFormula>
    </tableColumn>
    <tableColumn id="35" name="Maladie" dataDxfId="403" totalsRowDxfId="402" dataCellStyle="Total">
      <calculatedColumnFormula>SUMPRODUCT(--(Juillet[[#This Row],[1]:[31]]=LEFT(Juillet[[#Headers],[Maladie]],1)))</calculatedColumnFormula>
    </tableColumn>
    <tableColumn id="36" name="Repas" dataDxfId="401" totalsRowDxfId="400" dataCellStyle="Total">
      <calculatedColumnFormula>SUMPRODUCT(--(Juillet[[#This Row],[1]:[31]]=LEFT(Juillet[[#Headers],[Repas]],1)))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K12" totalsRowShown="0" headerRowDxfId="394" dataDxfId="393" totalsRowDxfId="392">
  <tableColumns count="36">
    <tableColumn id="1" name="Nom de l’employé" dataDxfId="391" totalsRowDxfId="390" dataCellStyle="Employé">
      <calculatedColumnFormula>Janvier!B7</calculatedColumnFormula>
    </tableColumn>
    <tableColumn id="2" name="1" dataDxfId="389" totalsRowDxfId="388"/>
    <tableColumn id="3" name="2" dataDxfId="387" totalsRowDxfId="386"/>
    <tableColumn id="4" name="3" dataDxfId="385" totalsRowDxfId="384"/>
    <tableColumn id="5" name="4" dataDxfId="383" totalsRowDxfId="382"/>
    <tableColumn id="6" name="5" dataDxfId="381" totalsRowDxfId="380"/>
    <tableColumn id="7" name="6" dataDxfId="379" totalsRowDxfId="378"/>
    <tableColumn id="8" name="7" dataDxfId="377" totalsRowDxfId="376"/>
    <tableColumn id="9" name="8" dataDxfId="375" totalsRowDxfId="374"/>
    <tableColumn id="10" name="9" dataDxfId="373" totalsRowDxfId="372"/>
    <tableColumn id="11" name="10" dataDxfId="371" totalsRowDxfId="370"/>
    <tableColumn id="12" name="11" dataDxfId="369" totalsRowDxfId="368"/>
    <tableColumn id="13" name="12" dataDxfId="367" totalsRowDxfId="366"/>
    <tableColumn id="14" name="13" dataDxfId="365" totalsRowDxfId="364"/>
    <tableColumn id="15" name="14" dataDxfId="363" totalsRowDxfId="362"/>
    <tableColumn id="16" name="15" dataDxfId="361" totalsRowDxfId="360"/>
    <tableColumn id="17" name="16" dataDxfId="359" totalsRowDxfId="358"/>
    <tableColumn id="18" name="17" dataDxfId="357" totalsRowDxfId="356"/>
    <tableColumn id="19" name="18" dataDxfId="355" totalsRowDxfId="354"/>
    <tableColumn id="20" name="19" dataDxfId="353" totalsRowDxfId="352"/>
    <tableColumn id="21" name="20" dataDxfId="351" totalsRowDxfId="350"/>
    <tableColumn id="22" name="21" dataDxfId="349" totalsRowDxfId="348"/>
    <tableColumn id="23" name="22" dataDxfId="347" totalsRowDxfId="346"/>
    <tableColumn id="24" name="23" dataDxfId="345" totalsRowDxfId="344"/>
    <tableColumn id="25" name="24" dataDxfId="343" totalsRowDxfId="342"/>
    <tableColumn id="26" name="25" dataDxfId="341" totalsRowDxfId="340"/>
    <tableColumn id="27" name="26" dataDxfId="339" totalsRowDxfId="338"/>
    <tableColumn id="28" name="27" dataDxfId="337" totalsRowDxfId="336"/>
    <tableColumn id="29" name="28" dataDxfId="335" totalsRowDxfId="334"/>
    <tableColumn id="30" name="29" dataDxfId="333" totalsRowDxfId="332"/>
    <tableColumn id="31" name="30" dataDxfId="331" totalsRowDxfId="330"/>
    <tableColumn id="32" name="31" dataDxfId="329" totalsRowDxfId="328"/>
    <tableColumn id="33" name="Travaillé" dataDxfId="327" totalsRowDxfId="326" dataCellStyle="Total">
      <calculatedColumnFormula>SUMPRODUCT(--(Août[[#This Row],[1]:[31]]=LEFT(Août[[#Headers],[Travaillé]],1)))</calculatedColumnFormula>
    </tableColumn>
    <tableColumn id="34" name="Congés" dataDxfId="325" totalsRowDxfId="324" dataCellStyle="Total">
      <calculatedColumnFormula>SUMPRODUCT(--(Août[[#This Row],[1]:[31]]=LEFT(Août[[#Headers],[Congés]],1)))</calculatedColumnFormula>
    </tableColumn>
    <tableColumn id="35" name="Maladie" dataDxfId="323" totalsRowDxfId="322" dataCellStyle="Total">
      <calculatedColumnFormula>SUMPRODUCT(--(Août[[#This Row],[1]:[31]]=LEFT(Août[[#Headers],[Maladie]],1)))</calculatedColumnFormula>
    </tableColumn>
    <tableColumn id="36" name="Repas" dataDxfId="321" totalsRowDxfId="320" dataCellStyle="Total">
      <calculatedColumnFormula>SUMPRODUCT(--(Août[[#This Row],[1]:[31]]=LEFT(Août[[#Headers],[Repas]],1)))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K12" totalsRowShown="0" headerRowDxfId="314" dataDxfId="313" totalsRowDxfId="312">
  <tableColumns count="36">
    <tableColumn id="1" name="Nom de l’employé" dataDxfId="311" totalsRowDxfId="310" dataCellStyle="Employé">
      <calculatedColumnFormula>Janvier!B7</calculatedColumnFormula>
    </tableColumn>
    <tableColumn id="2" name="1" dataDxfId="309" totalsRowDxfId="308"/>
    <tableColumn id="3" name="2" dataDxfId="307" totalsRowDxfId="306"/>
    <tableColumn id="4" name="3" dataDxfId="305" totalsRowDxfId="304"/>
    <tableColumn id="5" name="4" dataDxfId="303" totalsRowDxfId="302"/>
    <tableColumn id="6" name="5" dataDxfId="301" totalsRowDxfId="300"/>
    <tableColumn id="7" name="6" dataDxfId="299" totalsRowDxfId="298"/>
    <tableColumn id="8" name="7" dataDxfId="297" totalsRowDxfId="296"/>
    <tableColumn id="9" name="8" dataDxfId="295" totalsRowDxfId="294"/>
    <tableColumn id="10" name="9" dataDxfId="293" totalsRowDxfId="292"/>
    <tableColumn id="11" name="10" dataDxfId="291" totalsRowDxfId="290"/>
    <tableColumn id="12" name="11" dataDxfId="289" totalsRowDxfId="288"/>
    <tableColumn id="13" name="12" dataDxfId="287" totalsRowDxfId="286"/>
    <tableColumn id="14" name="13" dataDxfId="285" totalsRowDxfId="284"/>
    <tableColumn id="15" name="14" dataDxfId="283" totalsRowDxfId="282"/>
    <tableColumn id="16" name="15" dataDxfId="281" totalsRowDxfId="280"/>
    <tableColumn id="17" name="16" dataDxfId="279" totalsRowDxfId="278"/>
    <tableColumn id="18" name="17" dataDxfId="277" totalsRowDxfId="276"/>
    <tableColumn id="19" name="18" dataDxfId="275" totalsRowDxfId="274"/>
    <tableColumn id="20" name="19" dataDxfId="273" totalsRowDxfId="272"/>
    <tableColumn id="21" name="20" dataDxfId="271" totalsRowDxfId="270"/>
    <tableColumn id="22" name="21" dataDxfId="269" totalsRowDxfId="268"/>
    <tableColumn id="23" name="22" dataDxfId="267" totalsRowDxfId="266"/>
    <tableColumn id="24" name="23" dataDxfId="265" totalsRowDxfId="264"/>
    <tableColumn id="25" name="24" dataDxfId="263" totalsRowDxfId="262"/>
    <tableColumn id="26" name="25" dataDxfId="261" totalsRowDxfId="260"/>
    <tableColumn id="27" name="26" dataDxfId="259" totalsRowDxfId="258"/>
    <tableColumn id="28" name="27" dataDxfId="257" totalsRowDxfId="256"/>
    <tableColumn id="29" name="28" dataDxfId="255" totalsRowDxfId="254"/>
    <tableColumn id="30" name="29" dataDxfId="253" totalsRowDxfId="252"/>
    <tableColumn id="31" name="30" dataDxfId="251" totalsRowDxfId="250"/>
    <tableColumn id="32" name=" " dataDxfId="249" totalsRowDxfId="248"/>
    <tableColumn id="33" name="Travaillé" dataDxfId="247" totalsRowDxfId="246" dataCellStyle="Total">
      <calculatedColumnFormula>SUMPRODUCT(--(Septembre[[#This Row],[1]:[30]]=LEFT(Septembre[[#Headers],[Travaillé]],1)))</calculatedColumnFormula>
    </tableColumn>
    <tableColumn id="34" name="Congés" dataDxfId="245" totalsRowDxfId="244" dataCellStyle="Total">
      <calculatedColumnFormula>SUMPRODUCT(--(Septembre[[#This Row],[1]:[30]]=LEFT(Septembre[[#Headers],[Congés]],1)))</calculatedColumnFormula>
    </tableColumn>
    <tableColumn id="35" name="Maladie" dataDxfId="243" totalsRowDxfId="242" dataCellStyle="Total">
      <calculatedColumnFormula>SUMPRODUCT(--(Septembre[[#This Row],[1]:[30]]=LEFT(Septembre[[#Headers],[Maladie]],1)))</calculatedColumnFormula>
    </tableColumn>
    <tableColumn id="36" name="Repas" dataDxfId="241" totalsRowDxfId="240" dataCellStyle="Total">
      <calculatedColumnFormula>SUMPRODUCT(--(Septembre[[#This Row],[1]:[30]]=LEFT(Septembre[[#Headers],[Repas]],1)))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K12" totalsRowShown="0" headerRowDxfId="234" dataDxfId="233" totalsRowDxfId="232">
  <tableColumns count="36">
    <tableColumn id="1" name="Nom de l’employé" dataDxfId="231" totalsRowDxfId="230" dataCellStyle="Employé">
      <calculatedColumnFormula>Janvier!B7</calculatedColumnFormula>
    </tableColumn>
    <tableColumn id="2" name="1" dataDxfId="229" totalsRowDxfId="228"/>
    <tableColumn id="3" name="2" dataDxfId="227" totalsRowDxfId="226"/>
    <tableColumn id="4" name="3" dataDxfId="225" totalsRowDxfId="224"/>
    <tableColumn id="5" name="4" dataDxfId="223" totalsRowDxfId="222"/>
    <tableColumn id="6" name="5" dataDxfId="221" totalsRowDxfId="220"/>
    <tableColumn id="7" name="6" dataDxfId="219" totalsRowDxfId="218"/>
    <tableColumn id="8" name="7" dataDxfId="217" totalsRowDxfId="216"/>
    <tableColumn id="9" name="8" dataDxfId="215" totalsRowDxfId="214"/>
    <tableColumn id="10" name="9" dataDxfId="213" totalsRowDxfId="212"/>
    <tableColumn id="11" name="10" dataDxfId="211" totalsRowDxfId="210"/>
    <tableColumn id="12" name="11" dataDxfId="209" totalsRowDxfId="208"/>
    <tableColumn id="13" name="12" dataDxfId="207" totalsRowDxfId="206"/>
    <tableColumn id="14" name="13" dataDxfId="205" totalsRowDxfId="204"/>
    <tableColumn id="15" name="14" dataDxfId="203" totalsRowDxfId="202"/>
    <tableColumn id="16" name="15" dataDxfId="201" totalsRowDxfId="200"/>
    <tableColumn id="17" name="16" dataDxfId="199" totalsRowDxfId="198"/>
    <tableColumn id="18" name="17" dataDxfId="197" totalsRowDxfId="196"/>
    <tableColumn id="19" name="18" dataDxfId="195" totalsRowDxfId="194"/>
    <tableColumn id="20" name="19" dataDxfId="193" totalsRowDxfId="192"/>
    <tableColumn id="21" name="20" dataDxfId="191" totalsRowDxfId="190"/>
    <tableColumn id="22" name="21" dataDxfId="189" totalsRowDxfId="188"/>
    <tableColumn id="23" name="22" dataDxfId="187" totalsRowDxfId="186"/>
    <tableColumn id="24" name="23" dataDxfId="185" totalsRowDxfId="184"/>
    <tableColumn id="25" name="24" dataDxfId="183" totalsRowDxfId="182"/>
    <tableColumn id="26" name="25" dataDxfId="181" totalsRowDxfId="180"/>
    <tableColumn id="27" name="26" dataDxfId="179" totalsRowDxfId="178"/>
    <tableColumn id="28" name="27" dataDxfId="177" totalsRowDxfId="176"/>
    <tableColumn id="29" name="28" dataDxfId="175" totalsRowDxfId="174"/>
    <tableColumn id="30" name="29" dataDxfId="173" totalsRowDxfId="172"/>
    <tableColumn id="31" name="30" dataDxfId="171" totalsRowDxfId="170"/>
    <tableColumn id="32" name="31" dataDxfId="169" totalsRowDxfId="168"/>
    <tableColumn id="33" name="Travaillé" dataDxfId="167" totalsRowDxfId="166" dataCellStyle="Total">
      <calculatedColumnFormula>SUMPRODUCT(--(Octobre[[#This Row],[1]:[31]]=LEFT(Octobre[[#Headers],[Travaillé]],1)))</calculatedColumnFormula>
    </tableColumn>
    <tableColumn id="34" name="Congés" dataDxfId="165" totalsRowDxfId="164" dataCellStyle="Total">
      <calculatedColumnFormula>SUMPRODUCT(--(Octobre[[#This Row],[1]:[31]]=LEFT(Octobre[[#Headers],[Congés]],1)))</calculatedColumnFormula>
    </tableColumn>
    <tableColumn id="35" name="Maladie" dataDxfId="163" totalsRowDxfId="162" dataCellStyle="Total">
      <calculatedColumnFormula>SUMPRODUCT(--(Octobre[[#This Row],[1]:[31]]=LEFT(Octobre[[#Headers],[Maladie]],1)))</calculatedColumnFormula>
    </tableColumn>
    <tableColumn id="36" name="Repas" dataDxfId="161" totalsRowDxfId="160" dataCellStyle="Total">
      <calculatedColumnFormula>SUMPRODUCT(--(Octobre[[#This Row],[1]:[31]]=LEFT(Octobre[[#Headers],[Repas]],1)))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K12" totalsRowShown="0" headerRowDxfId="154" dataDxfId="153" totalsRowDxfId="152">
  <tableColumns count="36">
    <tableColumn id="1" name="Nom de l’employé" dataDxfId="151" totalsRowDxfId="150" dataCellStyle="Employé">
      <calculatedColumnFormula>Janvier!B7</calculatedColumnFormula>
    </tableColumn>
    <tableColumn id="2" name="1" dataDxfId="149" totalsRowDxfId="148"/>
    <tableColumn id="3" name="2" dataDxfId="147" totalsRowDxfId="146"/>
    <tableColumn id="4" name="3" dataDxfId="145" totalsRowDxfId="144"/>
    <tableColumn id="5" name="4" dataDxfId="143" totalsRowDxfId="142"/>
    <tableColumn id="6" name="5" dataDxfId="141" totalsRowDxfId="140"/>
    <tableColumn id="7" name="6" dataDxfId="139" totalsRowDxfId="138"/>
    <tableColumn id="8" name="7" dataDxfId="137" totalsRowDxfId="136"/>
    <tableColumn id="9" name="8" dataDxfId="135" totalsRowDxfId="134"/>
    <tableColumn id="10" name="9" dataDxfId="133" totalsRowDxfId="132"/>
    <tableColumn id="11" name="10" dataDxfId="131" totalsRowDxfId="130"/>
    <tableColumn id="12" name="11" dataDxfId="129" totalsRowDxfId="128"/>
    <tableColumn id="13" name="12" dataDxfId="127" totalsRowDxfId="126"/>
    <tableColumn id="14" name="13" dataDxfId="125" totalsRowDxfId="124"/>
    <tableColumn id="15" name="14" dataDxfId="123" totalsRowDxfId="122"/>
    <tableColumn id="16" name="15" dataDxfId="121" totalsRowDxfId="120"/>
    <tableColumn id="17" name="16" dataDxfId="119" totalsRowDxfId="118"/>
    <tableColumn id="18" name="17" dataDxfId="117" totalsRowDxfId="116"/>
    <tableColumn id="19" name="18" dataDxfId="115" totalsRowDxfId="114"/>
    <tableColumn id="20" name="19" dataDxfId="113" totalsRowDxfId="112"/>
    <tableColumn id="21" name="20" dataDxfId="111" totalsRowDxfId="110"/>
    <tableColumn id="22" name="21" dataDxfId="109" totalsRowDxfId="108"/>
    <tableColumn id="23" name="22" dataDxfId="107" totalsRowDxfId="106"/>
    <tableColumn id="24" name="23" dataDxfId="105" totalsRowDxfId="104"/>
    <tableColumn id="25" name="24" dataDxfId="103" totalsRowDxfId="102"/>
    <tableColumn id="26" name="25" dataDxfId="101" totalsRowDxfId="100"/>
    <tableColumn id="27" name="26" dataDxfId="99" totalsRowDxfId="98"/>
    <tableColumn id="28" name="27" dataDxfId="97" totalsRowDxfId="96"/>
    <tableColumn id="29" name="28" dataDxfId="95" totalsRowDxfId="94"/>
    <tableColumn id="30" name="29" dataDxfId="93" totalsRowDxfId="92"/>
    <tableColumn id="31" name="30" dataDxfId="91" totalsRowDxfId="90"/>
    <tableColumn id="32" name=" " dataDxfId="89" totalsRowDxfId="88"/>
    <tableColumn id="33" name="Travaillé" dataDxfId="87" totalsRowDxfId="86" dataCellStyle="Total">
      <calculatedColumnFormula>SUMPRODUCT(--(Novembre[[#This Row],[1]:[30]]=LEFT(Novembre[[#Headers],[Travaillé]],1)))</calculatedColumnFormula>
    </tableColumn>
    <tableColumn id="34" name="Congés" dataDxfId="85" totalsRowDxfId="84" dataCellStyle="Total">
      <calculatedColumnFormula>SUMPRODUCT(--(Novembre[[#This Row],[1]:[30]]=LEFT(Novembre[[#Headers],[Congés]],1)))</calculatedColumnFormula>
    </tableColumn>
    <tableColumn id="35" name="Maladie" dataDxfId="83" totalsRowDxfId="82" dataCellStyle="Total">
      <calculatedColumnFormula>SUMPRODUCT(--(Novembre[[#This Row],[1]:[30]]=LEFT(Novembre[[#Headers],[Maladie]],1)))</calculatedColumnFormula>
    </tableColumn>
    <tableColumn id="36" name="Repas" dataDxfId="81" totalsRowDxfId="80" dataCellStyle="Total">
      <calculatedColumnFormula>SUMPRODUCT(--(Novembre[[#This Row],[1]:[30]]=LEFT(Novembre[[#Headers],[Repas]],1)))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K12" totalsRowShown="0" headerRowDxfId="74" dataDxfId="73" totalsRowDxfId="72">
  <tableColumns count="36">
    <tableColumn id="1" name="Nom de l’employé" dataDxfId="71" totalsRowDxfId="70" dataCellStyle="Employé">
      <calculatedColumnFormula>Janvier!B7</calculatedColumnFormula>
    </tableColumn>
    <tableColumn id="2" name="1" dataDxfId="69" totalsRowDxfId="68"/>
    <tableColumn id="3" name="2" dataDxfId="67" totalsRowDxfId="66"/>
    <tableColumn id="4" name="3" dataDxfId="65" totalsRowDxfId="64"/>
    <tableColumn id="5" name="4" dataDxfId="63" totalsRowDxfId="62"/>
    <tableColumn id="6" name="5" dataDxfId="61" totalsRowDxfId="60"/>
    <tableColumn id="7" name="6" dataDxfId="59" totalsRowDxfId="58"/>
    <tableColumn id="8" name="7" dataDxfId="57" totalsRowDxfId="56"/>
    <tableColumn id="9" name="8" dataDxfId="55" totalsRowDxfId="54"/>
    <tableColumn id="10" name="9" dataDxfId="53" totalsRowDxfId="52"/>
    <tableColumn id="11" name="10" dataDxfId="51" totalsRowDxfId="50"/>
    <tableColumn id="12" name="11" dataDxfId="49" totalsRowDxfId="48"/>
    <tableColumn id="13" name="12" dataDxfId="47" totalsRowDxfId="46"/>
    <tableColumn id="14" name="13" dataDxfId="45" totalsRowDxfId="44"/>
    <tableColumn id="15" name="14" dataDxfId="43" totalsRowDxfId="42"/>
    <tableColumn id="16" name="15" dataDxfId="41" totalsRowDxfId="40"/>
    <tableColumn id="17" name="16" dataDxfId="39" totalsRowDxfId="38"/>
    <tableColumn id="18" name="17" dataDxfId="37" totalsRowDxfId="36"/>
    <tableColumn id="19" name="18" dataDxfId="35" totalsRowDxfId="34"/>
    <tableColumn id="20" name="19" dataDxfId="33" totalsRowDxfId="32"/>
    <tableColumn id="21" name="20" dataDxfId="31" totalsRowDxfId="30"/>
    <tableColumn id="22" name="21" dataDxfId="29" totalsRowDxfId="28"/>
    <tableColumn id="23" name="22" dataDxfId="27" totalsRowDxfId="26"/>
    <tableColumn id="24" name="23" dataDxfId="25" totalsRowDxfId="24"/>
    <tableColumn id="25" name="24" dataDxfId="23" totalsRowDxfId="22"/>
    <tableColumn id="26" name="25" dataDxfId="21" totalsRowDxfId="20"/>
    <tableColumn id="27" name="26" dataDxfId="19" totalsRowDxfId="18"/>
    <tableColumn id="28" name="27" dataDxfId="17" totalsRowDxfId="16"/>
    <tableColumn id="29" name="28" dataDxfId="15" totalsRowDxfId="14"/>
    <tableColumn id="30" name="29" dataDxfId="13" totalsRowDxfId="12"/>
    <tableColumn id="31" name="30" dataDxfId="11" totalsRowDxfId="10"/>
    <tableColumn id="32" name="31" dataDxfId="9" totalsRowDxfId="8"/>
    <tableColumn id="33" name="Travaillé" dataDxfId="7" totalsRowDxfId="6" dataCellStyle="Total">
      <calculatedColumnFormula>SUMPRODUCT(--(Décembre[[#This Row],[1]:[31]]=LEFT(Décembre[[#Headers],[Travaillé]],1)))</calculatedColumnFormula>
    </tableColumn>
    <tableColumn id="34" name="Congés" dataDxfId="5" totalsRowDxfId="4" dataCellStyle="Total">
      <calculatedColumnFormula>SUMPRODUCT(--(Décembre[[#This Row],[1]:[31]]=LEFT(Décembre[[#Headers],[Congés]],1)))</calculatedColumnFormula>
    </tableColumn>
    <tableColumn id="35" name="Maladie" dataDxfId="3" totalsRowDxfId="2" dataCellStyle="Total">
      <calculatedColumnFormula>SUMPRODUCT(--(Décembre[[#This Row],[1]:[31]]=LEFT(Décembre[[#Headers],[Maladie]],1)))</calculatedColumnFormula>
    </tableColumn>
    <tableColumn id="36" name="Repas" dataDxfId="1" totalsRowDxfId="0" dataCellStyle="Total">
      <calculatedColumnFormula>SUMPRODUCT(--(Décembre[[#This Row],[1]:[31]]=LEFT(Décembre[[#Headers],[Repas]],1)))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K17"/>
  <sheetViews>
    <sheetView showGridLines="0" tabSelected="1" workbookViewId="0">
      <selection activeCell="B8" sqref="B8:AK8"/>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5" width="9.5546875" style="9" customWidth="1"/>
    <col min="36" max="36" width="9.5546875" customWidth="1"/>
    <col min="37" max="37" width="13.5546875" customWidth="1"/>
  </cols>
  <sheetData>
    <row r="1" spans="1:37" ht="50.1" customHeight="1" x14ac:dyDescent="0.3">
      <c r="A1" s="12"/>
      <c r="B1" s="10" t="s">
        <v>0</v>
      </c>
    </row>
    <row r="2" spans="1: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46" t="s">
        <v>68</v>
      </c>
      <c r="R2" s="46"/>
      <c r="S2" s="46"/>
      <c r="T2" s="19"/>
    </row>
    <row r="3" spans="1:37" ht="15" customHeight="1" x14ac:dyDescent="0.3">
      <c r="AH3" s="51" t="s">
        <v>10</v>
      </c>
      <c r="AI3" s="51"/>
    </row>
    <row r="4" spans="1:37" ht="30" customHeight="1" x14ac:dyDescent="0.3">
      <c r="B4" s="35" t="s">
        <v>11</v>
      </c>
      <c r="C4" s="52" t="s">
        <v>12</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52">
        <v>2019</v>
      </c>
      <c r="AI4" s="52"/>
      <c r="AJ4" s="52"/>
      <c r="AK4" s="52"/>
    </row>
    <row r="5" spans="1:37" ht="15" customHeight="1" x14ac:dyDescent="0.3">
      <c r="B5" s="35"/>
      <c r="C5" s="1" t="str">
        <f>TEXT(WEEKDAY(DATE(AnnéeCalendrier,1,1),1),"jjj")</f>
        <v>mar</v>
      </c>
      <c r="D5" s="1" t="str">
        <f>TEXT(WEEKDAY(DATE(AnnéeCalendrier,1,2),1),"jjj")</f>
        <v>mer</v>
      </c>
      <c r="E5" s="1" t="str">
        <f>TEXT(WEEKDAY(DATE(AnnéeCalendrier,1,3),1),"jjj")</f>
        <v>jeu</v>
      </c>
      <c r="F5" s="1" t="str">
        <f>TEXT(WEEKDAY(DATE(AnnéeCalendrier,1,4),1),"jjj")</f>
        <v>ven</v>
      </c>
      <c r="G5" s="1" t="str">
        <f>TEXT(WEEKDAY(DATE(AnnéeCalendrier,1,5),1),"jjj")</f>
        <v>sam</v>
      </c>
      <c r="H5" s="1" t="str">
        <f>TEXT(WEEKDAY(DATE(AnnéeCalendrier,1,6),1),"jjj")</f>
        <v>dim</v>
      </c>
      <c r="I5" s="1" t="str">
        <f>TEXT(WEEKDAY(DATE(AnnéeCalendrier,1,7),1),"jjj")</f>
        <v>lun</v>
      </c>
      <c r="J5" s="1" t="str">
        <f>TEXT(WEEKDAY(DATE(AnnéeCalendrier,1,8),1),"jjj")</f>
        <v>mar</v>
      </c>
      <c r="K5" s="1" t="str">
        <f>TEXT(WEEKDAY(DATE(AnnéeCalendrier,1,9),1),"jjj")</f>
        <v>mer</v>
      </c>
      <c r="L5" s="1" t="str">
        <f>TEXT(WEEKDAY(DATE(AnnéeCalendrier,1,10),1),"jjj")</f>
        <v>jeu</v>
      </c>
      <c r="M5" s="1" t="str">
        <f>TEXT(WEEKDAY(DATE(AnnéeCalendrier,1,11),1),"jjj")</f>
        <v>ven</v>
      </c>
      <c r="N5" s="1" t="str">
        <f>TEXT(WEEKDAY(DATE(AnnéeCalendrier,1,12),1),"jjj")</f>
        <v>sam</v>
      </c>
      <c r="O5" s="1" t="str">
        <f>TEXT(WEEKDAY(DATE(AnnéeCalendrier,1,13),1),"jjj")</f>
        <v>dim</v>
      </c>
      <c r="P5" s="1" t="str">
        <f>TEXT(WEEKDAY(DATE(AnnéeCalendrier,1,14),1),"jjj")</f>
        <v>lun</v>
      </c>
      <c r="Q5" s="1" t="str">
        <f>TEXT(WEEKDAY(DATE(AnnéeCalendrier,1,15),1),"jjj")</f>
        <v>mar</v>
      </c>
      <c r="R5" s="1" t="str">
        <f>TEXT(WEEKDAY(DATE(AnnéeCalendrier,1,16),1),"jjj")</f>
        <v>mer</v>
      </c>
      <c r="S5" s="1" t="str">
        <f>TEXT(WEEKDAY(DATE(AnnéeCalendrier,1,17),1),"jjj")</f>
        <v>jeu</v>
      </c>
      <c r="T5" s="1" t="str">
        <f>TEXT(WEEKDAY(DATE(AnnéeCalendrier,1,18),1),"jjj")</f>
        <v>ven</v>
      </c>
      <c r="U5" s="1" t="str">
        <f>TEXT(WEEKDAY(DATE(AnnéeCalendrier,1,19),1),"jjj")</f>
        <v>sam</v>
      </c>
      <c r="V5" s="1" t="str">
        <f>TEXT(WEEKDAY(DATE(AnnéeCalendrier,1,20),1),"jjj")</f>
        <v>dim</v>
      </c>
      <c r="W5" s="1" t="str">
        <f>TEXT(WEEKDAY(DATE(AnnéeCalendrier,1,21),1),"jjj")</f>
        <v>lun</v>
      </c>
      <c r="X5" s="1" t="str">
        <f>TEXT(WEEKDAY(DATE(AnnéeCalendrier,1,22),1),"jjj")</f>
        <v>mar</v>
      </c>
      <c r="Y5" s="1" t="str">
        <f>TEXT(WEEKDAY(DATE(AnnéeCalendrier,1,23),1),"jjj")</f>
        <v>mer</v>
      </c>
      <c r="Z5" s="1" t="str">
        <f>TEXT(WEEKDAY(DATE(AnnéeCalendrier,1,24),1),"jjj")</f>
        <v>jeu</v>
      </c>
      <c r="AA5" s="1" t="str">
        <f>TEXT(WEEKDAY(DATE(AnnéeCalendrier,1,25),1),"jjj")</f>
        <v>ven</v>
      </c>
      <c r="AB5" s="1" t="str">
        <f>TEXT(WEEKDAY(DATE(AnnéeCalendrier,1,26),1),"jjj")</f>
        <v>sam</v>
      </c>
      <c r="AC5" s="1" t="str">
        <f>TEXT(WEEKDAY(DATE(AnnéeCalendrier,1,27),1),"jjj")</f>
        <v>dim</v>
      </c>
      <c r="AD5" s="1" t="str">
        <f>TEXT(WEEKDAY(DATE(AnnéeCalendrier,1,28),1),"jjj")</f>
        <v>lun</v>
      </c>
      <c r="AE5" s="1" t="str">
        <f>TEXT(WEEKDAY(DATE(AnnéeCalendrier,1,29),1),"jjj")</f>
        <v>mar</v>
      </c>
      <c r="AF5" s="1" t="str">
        <f>TEXT(WEEKDAY(DATE(AnnéeCalendrier,1,30),1),"jjj")</f>
        <v>mer</v>
      </c>
      <c r="AG5" s="1" t="str">
        <f>TEXT(WEEKDAY(DATE(AnnéeCalendrier,1,31),1),"jjj")</f>
        <v>jeu</v>
      </c>
      <c r="AH5" s="35"/>
      <c r="AI5" s="35"/>
      <c r="AJ5" s="35"/>
      <c r="AK5" s="35"/>
    </row>
    <row r="6" spans="1:37" ht="15" customHeight="1" thickBot="1" x14ac:dyDescent="0.3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1:37" ht="30" customHeight="1" thickBot="1" x14ac:dyDescent="0.35">
      <c r="B7" s="21" t="s">
        <v>45</v>
      </c>
      <c r="C7" s="22"/>
      <c r="D7" s="22"/>
      <c r="E7" s="22"/>
      <c r="F7" s="22"/>
      <c r="G7" s="37"/>
      <c r="H7" s="22"/>
      <c r="I7" s="22"/>
      <c r="J7" s="22"/>
      <c r="K7" s="22"/>
      <c r="L7" s="22"/>
      <c r="M7" s="37"/>
      <c r="N7" s="22"/>
      <c r="O7" s="22"/>
      <c r="P7" s="22"/>
      <c r="Q7" s="37"/>
      <c r="R7" s="22"/>
      <c r="S7" s="22"/>
      <c r="T7" s="37"/>
      <c r="U7" s="37"/>
      <c r="V7" s="22"/>
      <c r="W7" s="22"/>
      <c r="X7" s="22"/>
      <c r="Y7" s="22"/>
      <c r="Z7" s="22"/>
      <c r="AA7" s="37"/>
      <c r="AB7" s="37"/>
      <c r="AC7" s="37"/>
      <c r="AD7" s="37"/>
      <c r="AE7" s="37"/>
      <c r="AF7" s="22"/>
      <c r="AG7" s="22"/>
      <c r="AH7" s="24">
        <f>SUMPRODUCT(--(Janvier[[#This Row],[1]:[31]]=LEFT(Janvier[[#Headers],[Travaillé]],1)))</f>
        <v>0</v>
      </c>
      <c r="AI7" s="24">
        <f>SUMPRODUCT(--(Janvier[[#This Row],[1]:[31]]=LEFT(Janvier[[#Headers],[Congés]],1)))</f>
        <v>0</v>
      </c>
      <c r="AJ7" s="24">
        <f>SUMPRODUCT(--(Janvier[[#This Row],[1]:[31]]=LEFT(Janvier[[#Headers],[Maladie]],1)))</f>
        <v>0</v>
      </c>
      <c r="AK7" s="24">
        <f>SUMPRODUCT(--(Janvier[[#This Row],[1]:[31]]=LEFT(Janvier[[#Headers],[Repas]],1)))</f>
        <v>0</v>
      </c>
    </row>
    <row r="8" spans="1:37" ht="30" customHeight="1" thickBot="1" x14ac:dyDescent="0.35">
      <c r="B8" s="23" t="s">
        <v>46</v>
      </c>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4">
        <f>SUMPRODUCT(--(Janvier[[#This Row],[1]:[31]]=LEFT(Janvier[[#Headers],[Travaillé]],1)))</f>
        <v>0</v>
      </c>
      <c r="AI8" s="24">
        <f>SUMPRODUCT(--(Janvier[[#This Row],[1]:[31]]=LEFT(Janvier[[#Headers],[Congés]],1)))</f>
        <v>0</v>
      </c>
      <c r="AJ8" s="24">
        <f>SUMPRODUCT(--(Janvier[[#This Row],[1]:[31]]=LEFT(Janvier[[#Headers],[Maladie]],1)))</f>
        <v>0</v>
      </c>
      <c r="AK8" s="24">
        <f>SUMPRODUCT(--(Janvier[[#This Row],[1]:[31]]=LEFT(Janvier[[#Headers],[Repas]],1)))</f>
        <v>0</v>
      </c>
    </row>
    <row r="9" spans="1:37" ht="30" customHeight="1" x14ac:dyDescent="0.3">
      <c r="B9" s="23" t="s">
        <v>47</v>
      </c>
      <c r="C9" s="20"/>
      <c r="D9" s="20"/>
      <c r="E9" s="20"/>
      <c r="F9" s="20"/>
      <c r="G9" s="20"/>
      <c r="H9" s="20"/>
      <c r="I9" s="20"/>
      <c r="J9" s="20"/>
      <c r="K9" s="20"/>
      <c r="L9" s="20"/>
      <c r="M9" s="20"/>
      <c r="N9" s="20"/>
      <c r="O9" s="20"/>
      <c r="P9" s="20"/>
      <c r="Q9" s="20"/>
      <c r="R9" s="20"/>
      <c r="S9" s="20"/>
      <c r="T9" s="20"/>
      <c r="U9" s="20"/>
      <c r="V9" s="20"/>
      <c r="W9" s="20"/>
      <c r="X9" s="20"/>
      <c r="Y9" s="20"/>
      <c r="Z9" s="20"/>
      <c r="AA9" s="20"/>
      <c r="AB9" s="20"/>
      <c r="AC9" s="20"/>
      <c r="AD9" s="20"/>
      <c r="AE9" s="20"/>
      <c r="AF9" s="20"/>
      <c r="AG9" s="20"/>
      <c r="AH9" s="24">
        <f>SUMPRODUCT(--(Janvier[[#This Row],[1]:[31]]=LEFT(Janvier[[#Headers],[Travaillé]],1)))</f>
        <v>0</v>
      </c>
      <c r="AI9" s="24">
        <f>SUMPRODUCT(--(Janvier[[#This Row],[1]:[31]]=LEFT(Janvier[[#Headers],[Congés]],1)))</f>
        <v>0</v>
      </c>
      <c r="AJ9" s="24">
        <f>SUMPRODUCT(--(Janvier[[#This Row],[1]:[31]]=LEFT(Janvier[[#Headers],[Maladie]],1)))</f>
        <v>0</v>
      </c>
      <c r="AK9" s="24">
        <f>SUMPRODUCT(--(Janvier[[#This Row],[1]:[31]]=LEFT(Janvier[[#Headers],[Repas]],1)))</f>
        <v>0</v>
      </c>
    </row>
    <row r="10" spans="1:37" ht="30" customHeight="1" x14ac:dyDescent="0.3">
      <c r="B10" s="23" t="s">
        <v>48</v>
      </c>
      <c r="C10" s="20"/>
      <c r="D10" s="20"/>
      <c r="E10" s="20"/>
      <c r="F10" s="20"/>
      <c r="G10" s="20"/>
      <c r="H10" s="20"/>
      <c r="I10" s="20"/>
      <c r="J10" s="20"/>
      <c r="K10" s="20"/>
      <c r="L10" s="20"/>
      <c r="M10" s="20"/>
      <c r="N10" s="20"/>
      <c r="O10" s="20"/>
      <c r="P10" s="20"/>
      <c r="Q10" s="20"/>
      <c r="R10" s="20"/>
      <c r="S10" s="20"/>
      <c r="T10" s="20"/>
      <c r="U10" s="20"/>
      <c r="V10" s="20"/>
      <c r="W10" s="20"/>
      <c r="X10" s="20"/>
      <c r="Y10" s="20"/>
      <c r="Z10" s="20"/>
      <c r="AA10" s="20"/>
      <c r="AB10" s="20"/>
      <c r="AC10" s="20"/>
      <c r="AD10" s="20"/>
      <c r="AE10" s="20"/>
      <c r="AF10" s="20"/>
      <c r="AG10" s="20"/>
      <c r="AH10" s="24">
        <f>SUMPRODUCT(--(Janvier[[#This Row],[1]:[31]]=LEFT(Janvier[[#Headers],[Travaillé]],1)))</f>
        <v>0</v>
      </c>
      <c r="AI10" s="24">
        <f>SUMPRODUCT(--(Janvier[[#This Row],[1]:[31]]=LEFT(Janvier[[#Headers],[Congés]],1)))</f>
        <v>0</v>
      </c>
      <c r="AJ10" s="24">
        <f>SUMPRODUCT(--(Janvier[[#This Row],[1]:[31]]=LEFT(Janvier[[#Headers],[Maladie]],1)))</f>
        <v>0</v>
      </c>
      <c r="AK10" s="24">
        <f>SUMPRODUCT(--(Janvier[[#This Row],[1]:[31]]=LEFT(Janvier[[#Headers],[Repas]],1)))</f>
        <v>0</v>
      </c>
    </row>
    <row r="11" spans="1:37" ht="30" customHeight="1" x14ac:dyDescent="0.3">
      <c r="B11" s="27" t="s">
        <v>49</v>
      </c>
      <c r="C11" s="28"/>
      <c r="D11" s="28"/>
      <c r="E11" s="28"/>
      <c r="F11" s="28"/>
      <c r="G11" s="28"/>
      <c r="H11" s="28"/>
      <c r="I11" s="28"/>
      <c r="J11" s="28"/>
      <c r="K11" s="28"/>
      <c r="L11" s="28"/>
      <c r="M11" s="28"/>
      <c r="N11" s="28"/>
      <c r="O11" s="28"/>
      <c r="P11" s="28"/>
      <c r="Q11" s="28"/>
      <c r="R11" s="28"/>
      <c r="S11" s="28"/>
      <c r="T11" s="28"/>
      <c r="U11" s="28"/>
      <c r="V11" s="28"/>
      <c r="W11" s="28"/>
      <c r="X11" s="28"/>
      <c r="Y11" s="28"/>
      <c r="Z11" s="28"/>
      <c r="AA11" s="28"/>
      <c r="AB11" s="28"/>
      <c r="AC11" s="28"/>
      <c r="AD11" s="28"/>
      <c r="AE11" s="28"/>
      <c r="AF11" s="28"/>
      <c r="AG11" s="28"/>
      <c r="AH11" s="24">
        <f>SUMPRODUCT(--(Janvier[[#This Row],[1]:[31]]=LEFT(Janvier[[#Headers],[Travaillé]],1)))</f>
        <v>0</v>
      </c>
      <c r="AI11" s="24">
        <f>SUMPRODUCT(--(Janvier[[#This Row],[1]:[31]]=LEFT(Janvier[[#Headers],[Congés]],1)))</f>
        <v>0</v>
      </c>
      <c r="AJ11" s="24">
        <f>SUMPRODUCT(--(Janvier[[#This Row],[1]:[31]]=LEFT(Janvier[[#Headers],[Maladie]],1)))</f>
        <v>0</v>
      </c>
      <c r="AK11" s="24">
        <f>SUMPRODUCT(--(Janvier[[#This Row],[1]:[31]]=LEFT(Janvier[[#Headers],[Repas]],1)))</f>
        <v>0</v>
      </c>
    </row>
    <row r="12" spans="1:37" ht="30" customHeight="1" x14ac:dyDescent="0.3">
      <c r="B12" s="23" t="s">
        <v>50</v>
      </c>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4">
        <f>SUMPRODUCT(--(Janvier[[#This Row],[1]:[31]]=LEFT(Janvier[[#Headers],[Travaillé]],1)))</f>
        <v>0</v>
      </c>
      <c r="AI12" s="24">
        <f>SUMPRODUCT(--(Janvier[[#This Row],[1]:[31]]=LEFT(Janvier[[#Headers],[Congés]],1)))</f>
        <v>0</v>
      </c>
      <c r="AJ12" s="24">
        <f>SUMPRODUCT(--(Janvier[[#This Row],[1]:[31]]=LEFT(Janvier[[#Headers],[Maladie]],1)))</f>
        <v>0</v>
      </c>
      <c r="AK12" s="24">
        <f>SUMPRODUCT(--(Janvier[[#This Row],[1]:[31]]=LEFT(Janvier[[#Headers],[Repas]],1)))</f>
        <v>0</v>
      </c>
    </row>
    <row r="13" spans="1:37" ht="30" customHeight="1" x14ac:dyDescent="0.3">
      <c r="B13" s="27" t="s">
        <v>51</v>
      </c>
      <c r="C13" s="28"/>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8"/>
      <c r="AH13" s="41">
        <f>SUMPRODUCT(--(Janvier[[#This Row],[1]:[31]]=LEFT(Janvier[[#Headers],[Travaillé]],1)))</f>
        <v>0</v>
      </c>
      <c r="AI13" s="42">
        <f>SUMPRODUCT(--(Janvier[[#This Row],[1]:[31]]=LEFT(Janvier[[#Headers],[Congés]],1)))</f>
        <v>0</v>
      </c>
      <c r="AJ13" s="42">
        <f>SUMPRODUCT(--(Janvier[[#This Row],[1]:[31]]=LEFT(Janvier[[#Headers],[Maladie]],1)))</f>
        <v>0</v>
      </c>
      <c r="AK13" s="43">
        <f>SUMPRODUCT(--(Janvier[[#This Row],[1]:[31]]=LEFT(Janvier[[#Headers],[Repas]],1)))</f>
        <v>0</v>
      </c>
    </row>
    <row r="14" spans="1:37" ht="30" customHeight="1" thickBot="1" x14ac:dyDescent="0.35">
      <c r="B14" s="30"/>
      <c r="C14" s="29"/>
      <c r="D14" s="29"/>
      <c r="E14" s="29"/>
      <c r="F14" s="29"/>
      <c r="G14" s="29"/>
      <c r="H14" s="29"/>
      <c r="I14" s="29"/>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31" t="s">
        <v>52</v>
      </c>
      <c r="AI14" s="8"/>
      <c r="AJ14" s="8"/>
      <c r="AK14" s="8"/>
    </row>
    <row r="15" spans="1:37" ht="30" customHeight="1" thickBot="1" x14ac:dyDescent="0.35">
      <c r="AB15" s="48" t="s">
        <v>53</v>
      </c>
      <c r="AC15" s="49"/>
      <c r="AD15" s="49"/>
      <c r="AE15" s="49"/>
      <c r="AF15" s="49"/>
      <c r="AG15" s="50"/>
      <c r="AH15" s="34">
        <f>SUM(AH7:AH14)</f>
        <v>0</v>
      </c>
      <c r="AI15" s="32">
        <f>SUM(AI7:AI14)</f>
        <v>0</v>
      </c>
      <c r="AJ15" s="32">
        <f>SUM(AJ7:AJ14)</f>
        <v>0</v>
      </c>
      <c r="AK15" s="33">
        <f>SUM(AK7:AK14)</f>
        <v>0</v>
      </c>
    </row>
    <row r="17" spans="2:2" ht="30" customHeight="1" x14ac:dyDescent="0.3">
      <c r="B17" s="36"/>
    </row>
  </sheetData>
  <mergeCells count="9">
    <mergeCell ref="D2:E2"/>
    <mergeCell ref="K2:L2"/>
    <mergeCell ref="N2:O2"/>
    <mergeCell ref="G2:H2"/>
    <mergeCell ref="AB15:AG15"/>
    <mergeCell ref="AH3:AI3"/>
    <mergeCell ref="AH4:AI4"/>
    <mergeCell ref="AJ4:AK4"/>
    <mergeCell ref="C4:AG4"/>
  </mergeCells>
  <conditionalFormatting sqref="C7:AG13">
    <cfRule type="expression" priority="27" stopIfTrue="1">
      <formula>C7=""</formula>
    </cfRule>
    <cfRule type="expression" dxfId="966" priority="32" stopIfTrue="1">
      <formula>C7=CléPanier_Repas</formula>
    </cfRule>
    <cfRule type="expression" dxfId="965" priority="33" stopIfTrue="1">
      <formula>C7=CléPersonnalisée1</formula>
    </cfRule>
    <cfRule type="expression" dxfId="964" priority="34" stopIfTrue="1">
      <formula>C7=CléMaladie</formula>
    </cfRule>
    <cfRule type="expression" dxfId="963" priority="35" stopIfTrue="1">
      <formula>C7=CléCongés</formula>
    </cfRule>
    <cfRule type="expression" dxfId="962" priority="36" stopIfTrue="1">
      <formula>C7=CléTravail</formula>
    </cfRule>
  </conditionalFormatting>
  <conditionalFormatting sqref="AI7:AI13">
    <cfRule type="dataBar" priority="26">
      <dataBar>
        <cfvo type="num" val="0"/>
        <cfvo type="num" val="31"/>
        <color theme="2" tint="-0.249977111117893"/>
      </dataBar>
      <extLst>
        <ext xmlns:x14="http://schemas.microsoft.com/office/spreadsheetml/2009/9/main" uri="{B025F937-C7B1-47D3-B67F-A62EFF666E3E}">
          <x14:id>{4FE2040B-35D1-4091-8961-5036F8E73DD4}</x14:id>
        </ext>
      </extLst>
    </cfRule>
  </conditionalFormatting>
  <conditionalFormatting sqref="AJ7:AK13">
    <cfRule type="dataBar" priority="25">
      <dataBar>
        <cfvo type="num" val="0"/>
        <cfvo type="num" val="31"/>
        <color theme="2" tint="-0.249977111117893"/>
      </dataBar>
      <extLst>
        <ext xmlns:x14="http://schemas.microsoft.com/office/spreadsheetml/2009/9/main" uri="{B025F937-C7B1-47D3-B67F-A62EFF666E3E}">
          <x14:id>{516680D6-7F11-4652-BFD9-40018573E759}</x14:id>
        </ext>
      </extLst>
    </cfRule>
  </conditionalFormatting>
  <conditionalFormatting sqref="AH7:AK13">
    <cfRule type="dataBar" priority="23">
      <dataBar>
        <cfvo type="num" val="0"/>
        <cfvo type="num" val="31"/>
        <color theme="2" tint="-0.249977111117893"/>
      </dataBar>
      <extLst>
        <ext xmlns:x14="http://schemas.microsoft.com/office/spreadsheetml/2009/9/main" uri="{B025F937-C7B1-47D3-B67F-A62EFF666E3E}">
          <x14:id>{4F9786AF-98A6-44F7-8596-ABB623E7521D}</x14:id>
        </ext>
      </extLst>
    </cfRule>
  </conditionalFormatting>
  <conditionalFormatting sqref="AH7">
    <cfRule type="dataBar" priority="21">
      <dataBar>
        <cfvo type="min"/>
        <cfvo type="max"/>
        <color rgb="FF63C384"/>
      </dataBar>
      <extLst>
        <ext xmlns:x14="http://schemas.microsoft.com/office/spreadsheetml/2009/9/main" uri="{B025F937-C7B1-47D3-B67F-A62EFF666E3E}">
          <x14:id>{1059A82E-30C6-498F-9940-FEDA7FC137A3}</x14:id>
        </ext>
      </extLst>
    </cfRule>
  </conditionalFormatting>
  <conditionalFormatting sqref="C13:AG13">
    <cfRule type="expression" priority="5" stopIfTrue="1">
      <formula>C13=""</formula>
    </cfRule>
    <cfRule type="expression" dxfId="961" priority="6" stopIfTrue="1">
      <formula>C13=CléPanier_Repas</formula>
    </cfRule>
    <cfRule type="expression" dxfId="960" priority="7" stopIfTrue="1">
      <formula>C13=CléPersonnalisée1</formula>
    </cfRule>
    <cfRule type="expression" dxfId="959" priority="8" stopIfTrue="1">
      <formula>C13=CléMaladie</formula>
    </cfRule>
    <cfRule type="expression" dxfId="958" priority="9" stopIfTrue="1">
      <formula>C13=CléCongés</formula>
    </cfRule>
    <cfRule type="expression" dxfId="957" priority="10" stopIfTrue="1">
      <formula>C13=CléTravail</formula>
    </cfRule>
  </conditionalFormatting>
  <conditionalFormatting sqref="AI13">
    <cfRule type="dataBar" priority="4">
      <dataBar>
        <cfvo type="num" val="0"/>
        <cfvo type="num" val="31"/>
        <color theme="2" tint="-0.249977111117893"/>
      </dataBar>
      <extLst>
        <ext xmlns:x14="http://schemas.microsoft.com/office/spreadsheetml/2009/9/main" uri="{B025F937-C7B1-47D3-B67F-A62EFF666E3E}">
          <x14:id>{0766DD68-EFCA-40B4-87A6-E813CEBA2910}</x14:id>
        </ext>
      </extLst>
    </cfRule>
  </conditionalFormatting>
  <conditionalFormatting sqref="AJ13:AK13">
    <cfRule type="dataBar" priority="3">
      <dataBar>
        <cfvo type="num" val="0"/>
        <cfvo type="num" val="31"/>
        <color theme="2" tint="-0.249977111117893"/>
      </dataBar>
      <extLst>
        <ext xmlns:x14="http://schemas.microsoft.com/office/spreadsheetml/2009/9/main" uri="{B025F937-C7B1-47D3-B67F-A62EFF666E3E}">
          <x14:id>{D061F373-B5D7-4B99-AFF0-BAA41E00EE3A}</x14:id>
        </ext>
      </extLst>
    </cfRule>
  </conditionalFormatting>
  <conditionalFormatting sqref="AH13:AK13">
    <cfRule type="dataBar" priority="2">
      <dataBar>
        <cfvo type="num" val="0"/>
        <cfvo type="num" val="31"/>
        <color theme="2" tint="-0.249977111117893"/>
      </dataBar>
      <extLst>
        <ext xmlns:x14="http://schemas.microsoft.com/office/spreadsheetml/2009/9/main" uri="{B025F937-C7B1-47D3-B67F-A62EFF666E3E}">
          <x14:id>{17A3E7AF-C2CB-45B9-81C1-C499F9850A19}</x14:id>
        </ext>
      </extLst>
    </cfRule>
  </conditionalFormatting>
  <conditionalFormatting sqref="AH13">
    <cfRule type="dataBar" priority="1">
      <dataBar>
        <cfvo type="min"/>
        <cfvo type="max"/>
        <color rgb="FFFF555A"/>
      </dataBar>
      <extLst>
        <ext xmlns:x14="http://schemas.microsoft.com/office/spreadsheetml/2009/9/main" uri="{B025F937-C7B1-47D3-B67F-A62EFF666E3E}">
          <x14:id>{A511AEE7-D855-4057-BA0D-02A704CC139B}</x14:id>
        </ext>
      </extLst>
    </cfRule>
  </conditionalFormatting>
  <conditionalFormatting sqref="AH7:AH13">
    <cfRule type="dataBar" priority="37">
      <dataBar>
        <cfvo type="min"/>
        <cfvo type="max"/>
        <color rgb="FFFF555A"/>
      </dataBar>
      <extLst>
        <ext xmlns:x14="http://schemas.microsoft.com/office/spreadsheetml/2009/9/main" uri="{B025F937-C7B1-47D3-B67F-A62EFF666E3E}">
          <x14:id>{6091E31B-2A48-4907-B5E1-B41E6B83D26A}</x14:id>
        </ext>
      </extLst>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FE2040B-35D1-4091-8961-5036F8E73DD4}">
            <x14:dataBar minLength="0" maxLength="100">
              <x14:cfvo type="num">
                <xm:f>0</xm:f>
              </x14:cfvo>
              <x14:cfvo type="num">
                <xm:f>31</xm:f>
              </x14:cfvo>
              <x14:negativeFillColor rgb="FFFF0000"/>
              <x14:axisColor rgb="FF000000"/>
            </x14:dataBar>
          </x14:cfRule>
          <xm:sqref>AI7:AI13</xm:sqref>
        </x14:conditionalFormatting>
        <x14:conditionalFormatting xmlns:xm="http://schemas.microsoft.com/office/excel/2006/main">
          <x14:cfRule type="dataBar" id="{516680D6-7F11-4652-BFD9-40018573E759}">
            <x14:dataBar minLength="0" maxLength="100">
              <x14:cfvo type="num">
                <xm:f>0</xm:f>
              </x14:cfvo>
              <x14:cfvo type="num">
                <xm:f>31</xm:f>
              </x14:cfvo>
              <x14:negativeFillColor rgb="FFFF0000"/>
              <x14:axisColor rgb="FF000000"/>
            </x14:dataBar>
          </x14:cfRule>
          <xm:sqref>AJ7:AK13</xm:sqref>
        </x14:conditionalFormatting>
        <x14:conditionalFormatting xmlns:xm="http://schemas.microsoft.com/office/excel/2006/main">
          <x14:cfRule type="dataBar" id="{4F9786AF-98A6-44F7-8596-ABB623E7521D}">
            <x14:dataBar minLength="0" maxLength="100">
              <x14:cfvo type="num">
                <xm:f>0</xm:f>
              </x14:cfvo>
              <x14:cfvo type="num">
                <xm:f>31</xm:f>
              </x14:cfvo>
              <x14:negativeFillColor rgb="FFFF0000"/>
              <x14:axisColor rgb="FF000000"/>
            </x14:dataBar>
          </x14:cfRule>
          <xm:sqref>AH7:AK13</xm:sqref>
        </x14:conditionalFormatting>
        <x14:conditionalFormatting xmlns:xm="http://schemas.microsoft.com/office/excel/2006/main">
          <x14:cfRule type="dataBar" id="{1059A82E-30C6-498F-9940-FEDA7FC137A3}">
            <x14:dataBar minLength="0" maxLength="100" border="1" negativeBarColorSameAsPositive="1" negativeBarBorderColorSameAsPositive="0" axisPosition="none">
              <x14:cfvo type="autoMin"/>
              <x14:cfvo type="autoMax"/>
              <x14:borderColor rgb="FF63C384"/>
              <x14:negativeBorderColor rgb="FF638EC6"/>
            </x14:dataBar>
          </x14:cfRule>
          <xm:sqref>AH7</xm:sqref>
        </x14:conditionalFormatting>
        <x14:conditionalFormatting xmlns:xm="http://schemas.microsoft.com/office/excel/2006/main">
          <x14:cfRule type="dataBar" id="{0766DD68-EFCA-40B4-87A6-E813CEBA2910}">
            <x14:dataBar minLength="0" maxLength="100">
              <x14:cfvo type="num">
                <xm:f>0</xm:f>
              </x14:cfvo>
              <x14:cfvo type="num">
                <xm:f>31</xm:f>
              </x14:cfvo>
              <x14:negativeFillColor rgb="FFFF0000"/>
              <x14:axisColor rgb="FF000000"/>
            </x14:dataBar>
          </x14:cfRule>
          <xm:sqref>AI13</xm:sqref>
        </x14:conditionalFormatting>
        <x14:conditionalFormatting xmlns:xm="http://schemas.microsoft.com/office/excel/2006/main">
          <x14:cfRule type="dataBar" id="{D061F373-B5D7-4B99-AFF0-BAA41E00EE3A}">
            <x14:dataBar minLength="0" maxLength="100">
              <x14:cfvo type="num">
                <xm:f>0</xm:f>
              </x14:cfvo>
              <x14:cfvo type="num">
                <xm:f>31</xm:f>
              </x14:cfvo>
              <x14:negativeFillColor rgb="FFFF0000"/>
              <x14:axisColor rgb="FF000000"/>
            </x14:dataBar>
          </x14:cfRule>
          <xm:sqref>AJ13:AK13</xm:sqref>
        </x14:conditionalFormatting>
        <x14:conditionalFormatting xmlns:xm="http://schemas.microsoft.com/office/excel/2006/main">
          <x14:cfRule type="dataBar" id="{17A3E7AF-C2CB-45B9-81C1-C499F9850A19}">
            <x14:dataBar minLength="0" maxLength="100">
              <x14:cfvo type="num">
                <xm:f>0</xm:f>
              </x14:cfvo>
              <x14:cfvo type="num">
                <xm:f>31</xm:f>
              </x14:cfvo>
              <x14:negativeFillColor rgb="FFFF0000"/>
              <x14:axisColor rgb="FF000000"/>
            </x14:dataBar>
          </x14:cfRule>
          <xm:sqref>AH13:AK13</xm:sqref>
        </x14:conditionalFormatting>
        <x14:conditionalFormatting xmlns:xm="http://schemas.microsoft.com/office/excel/2006/main">
          <x14:cfRule type="dataBar" id="{A511AEE7-D855-4057-BA0D-02A704CC139B}">
            <x14:dataBar minLength="0" maxLength="100" border="1" negativeBarColorSameAsPositive="1" negativeBarBorderColorSameAsPositive="0" axisPosition="none">
              <x14:cfvo type="autoMin"/>
              <x14:cfvo type="autoMax"/>
              <x14:borderColor rgb="FFFF555A"/>
              <x14:negativeBorderColor rgb="FF638EC6"/>
            </x14:dataBar>
          </x14:cfRule>
          <xm:sqref>AH13</xm:sqref>
        </x14:conditionalFormatting>
        <x14:conditionalFormatting xmlns:xm="http://schemas.microsoft.com/office/excel/2006/main">
          <x14:cfRule type="dataBar" id="{6091E31B-2A48-4907-B5E1-B41E6B83D26A}">
            <x14:dataBar minLength="0" maxLength="100" border="1" negativeBarColorSameAsPositive="1" negativeBarBorderColorSameAsPositive="0" axisPosition="none">
              <x14:cfvo type="autoMin"/>
              <x14:cfvo type="autoMax"/>
              <x14:borderColor rgb="FFFF555A"/>
              <x14:negativeBorderColor rgb="FF638EC6"/>
            </x14:dataBar>
          </x14:cfRule>
          <xm:sqref>AH7:AH13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M15"/>
  <sheetViews>
    <sheetView showGridLines="0" topLeftCell="A2" workbookViewId="0">
      <selection activeCell="Z12" sqref="Z12"/>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6" width="9.5546875" customWidth="1"/>
    <col min="37" max="37" width="10.44140625" customWidth="1"/>
    <col min="38" max="38" width="10.5546875" customWidth="1"/>
  </cols>
  <sheetData>
    <row r="1" spans="2:39" ht="50.1" customHeight="1" x14ac:dyDescent="0.3">
      <c r="B1" s="10" t="str">
        <f>Titre_Absence_Employé</f>
        <v>Calendrier  des employés</v>
      </c>
    </row>
    <row r="2" spans="2:39"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9" ht="15" customHeight="1" x14ac:dyDescent="0.3">
      <c r="B3"/>
    </row>
    <row r="4" spans="2:39" ht="30" customHeight="1" x14ac:dyDescent="0.3">
      <c r="B4" s="35" t="s">
        <v>54</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9" ht="15" customHeight="1" x14ac:dyDescent="0.3">
      <c r="B5" s="35"/>
      <c r="C5" s="1" t="str">
        <f>TEXT(WEEKDAY(DATE(AnnéeCalendrier,2,1),1),"jjj")</f>
        <v>ven</v>
      </c>
      <c r="D5" s="1" t="str">
        <f>TEXT(WEEKDAY(DATE(AnnéeCalendrier,2,2),1),"jjj")</f>
        <v>sam</v>
      </c>
      <c r="E5" s="1" t="str">
        <f>TEXT(WEEKDAY(DATE(AnnéeCalendrier,2,3),1),"jjj")</f>
        <v>dim</v>
      </c>
      <c r="F5" s="1" t="str">
        <f>TEXT(WEEKDAY(DATE(AnnéeCalendrier,2,4),1),"jjj")</f>
        <v>lun</v>
      </c>
      <c r="G5" s="1" t="str">
        <f>TEXT(WEEKDAY(DATE(AnnéeCalendrier,2,5),1),"jjj")</f>
        <v>mar</v>
      </c>
      <c r="H5" s="1" t="str">
        <f>TEXT(WEEKDAY(DATE(AnnéeCalendrier,2,6),1),"jjj")</f>
        <v>mer</v>
      </c>
      <c r="I5" s="1" t="str">
        <f>TEXT(WEEKDAY(DATE(AnnéeCalendrier,2,7),1),"jjj")</f>
        <v>jeu</v>
      </c>
      <c r="J5" s="1" t="str">
        <f>TEXT(WEEKDAY(DATE(AnnéeCalendrier,2,8),1),"jjj")</f>
        <v>ven</v>
      </c>
      <c r="K5" s="1" t="str">
        <f>TEXT(WEEKDAY(DATE(AnnéeCalendrier,2,9),1),"jjj")</f>
        <v>sam</v>
      </c>
      <c r="L5" s="1" t="str">
        <f>TEXT(WEEKDAY(DATE(AnnéeCalendrier,2,10),1),"jjj")</f>
        <v>dim</v>
      </c>
      <c r="M5" s="1" t="str">
        <f>TEXT(WEEKDAY(DATE(AnnéeCalendrier,2,11),1),"jjj")</f>
        <v>lun</v>
      </c>
      <c r="N5" s="1" t="str">
        <f>TEXT(WEEKDAY(DATE(AnnéeCalendrier,2,12),1),"jjj")</f>
        <v>mar</v>
      </c>
      <c r="O5" s="1" t="str">
        <f>TEXT(WEEKDAY(DATE(AnnéeCalendrier,2,13),1),"jjj")</f>
        <v>mer</v>
      </c>
      <c r="P5" s="1" t="str">
        <f>TEXT(WEEKDAY(DATE(AnnéeCalendrier,2,14),1),"jjj")</f>
        <v>jeu</v>
      </c>
      <c r="Q5" s="1" t="str">
        <f>TEXT(WEEKDAY(DATE(AnnéeCalendrier,2,15),1),"jjj")</f>
        <v>ven</v>
      </c>
      <c r="R5" s="1" t="str">
        <f>TEXT(WEEKDAY(DATE(AnnéeCalendrier,2,16),1),"jjj")</f>
        <v>sam</v>
      </c>
      <c r="S5" s="1" t="str">
        <f>TEXT(WEEKDAY(DATE(AnnéeCalendrier,2,17),1),"jjj")</f>
        <v>dim</v>
      </c>
      <c r="T5" s="1" t="str">
        <f>TEXT(WEEKDAY(DATE(AnnéeCalendrier,2,18),1),"jjj")</f>
        <v>lun</v>
      </c>
      <c r="U5" s="1" t="str">
        <f>TEXT(WEEKDAY(DATE(AnnéeCalendrier,2,19),1),"jjj")</f>
        <v>mar</v>
      </c>
      <c r="V5" s="1" t="str">
        <f>TEXT(WEEKDAY(DATE(AnnéeCalendrier,2,20),1),"jjj")</f>
        <v>mer</v>
      </c>
      <c r="W5" s="1" t="str">
        <f>TEXT(WEEKDAY(DATE(AnnéeCalendrier,2,21),1),"jjj")</f>
        <v>jeu</v>
      </c>
      <c r="X5" s="1" t="str">
        <f>TEXT(WEEKDAY(DATE(AnnéeCalendrier,2,22),1),"jjj")</f>
        <v>ven</v>
      </c>
      <c r="Y5" s="1" t="str">
        <f>TEXT(WEEKDAY(DATE(AnnéeCalendrier,2,23),1),"jjj")</f>
        <v>sam</v>
      </c>
      <c r="Z5" s="1" t="str">
        <f>TEXT(WEEKDAY(DATE(AnnéeCalendrier,2,24),1),"jjj")</f>
        <v>dim</v>
      </c>
      <c r="AA5" s="1" t="str">
        <f>TEXT(WEEKDAY(DATE(AnnéeCalendrier,2,25),1),"jjj")</f>
        <v>lun</v>
      </c>
      <c r="AB5" s="1" t="str">
        <f>TEXT(WEEKDAY(DATE(AnnéeCalendrier,2,26),1),"jjj")</f>
        <v>mar</v>
      </c>
      <c r="AC5" s="1" t="str">
        <f>TEXT(WEEKDAY(DATE(AnnéeCalendrier,2,27),1),"jjj")</f>
        <v>mer</v>
      </c>
      <c r="AD5" s="1" t="str">
        <f>TEXT(WEEKDAY(DATE(AnnéeCalendrier,2,28),1),"jjj")</f>
        <v>jeu</v>
      </c>
      <c r="AE5" s="1" t="str">
        <f>TEXT(WEEKDAY(DATE(AnnéeCalendrier,2,29),1),"jjj")</f>
        <v>ven</v>
      </c>
      <c r="AF5" s="1"/>
      <c r="AG5" s="1"/>
      <c r="AH5" s="35"/>
      <c r="AI5" s="35"/>
      <c r="AJ5" s="35"/>
      <c r="AK5" s="35"/>
    </row>
    <row r="6" spans="2:39"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52</v>
      </c>
      <c r="AG6" s="2" t="s">
        <v>56</v>
      </c>
      <c r="AH6" s="3" t="s">
        <v>3</v>
      </c>
      <c r="AI6" s="6" t="s">
        <v>9</v>
      </c>
      <c r="AJ6" s="5" t="s">
        <v>7</v>
      </c>
      <c r="AK6" s="4" t="s">
        <v>69</v>
      </c>
      <c r="AL6" s="9"/>
      <c r="AM6" t="s">
        <v>52</v>
      </c>
    </row>
    <row r="7" spans="2:39"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SUMPRODUCT(--(Février[[#This Row],[1]:[29]]=LEFT(Février[[#Headers],[Travaillé]],1)))</f>
        <v>0</v>
      </c>
      <c r="AI7" s="24">
        <f>SUMPRODUCT(--(Février[[#This Row],[1]:[29]]=LEFT(Février[[#Headers],[Congés]],1)))</f>
        <v>0</v>
      </c>
      <c r="AJ7" s="24">
        <f>SUMPRODUCT(--(Février[[#This Row],[1]:[29]]=LEFT(Février[[#Headers],[Maladie]],1)))</f>
        <v>0</v>
      </c>
      <c r="AK7" s="24">
        <f>SUMPRODUCT(--(Février[[#This Row],[1]:[29]]=LEFT(Février[[#Headers],[Repas]],1)))</f>
        <v>0</v>
      </c>
      <c r="AL7" s="47"/>
    </row>
    <row r="8" spans="2:39"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SUMPRODUCT(--(Février[[#This Row],[1]:[29]]=LEFT(Février[[#Headers],[Travaillé]],1)))</f>
        <v>0</v>
      </c>
      <c r="AI8" s="24">
        <f>SUMPRODUCT(--(Février[[#This Row],[1]:[29]]=LEFT(Février[[#Headers],[Congés]],1)))</f>
        <v>0</v>
      </c>
      <c r="AJ8" s="24">
        <f>SUMPRODUCT(--(Février[[#This Row],[1]:[29]]=LEFT(Février[[#Headers],[Maladie]],1)))</f>
        <v>0</v>
      </c>
      <c r="AK8" s="24">
        <f>SUMPRODUCT(--(Février[[#This Row],[1]:[29]]=LEFT(Février[[#Headers],[Repas]],1)))</f>
        <v>0</v>
      </c>
      <c r="AL8" s="47"/>
    </row>
    <row r="9" spans="2:39"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SUMPRODUCT(--(Février[[#This Row],[1]:[29]]=LEFT(Février[[#Headers],[Travaillé]],1)))</f>
        <v>0</v>
      </c>
      <c r="AI9" s="24">
        <f>SUMPRODUCT(--(Février[[#This Row],[1]:[29]]=LEFT(Février[[#Headers],[Congés]],1)))</f>
        <v>0</v>
      </c>
      <c r="AJ9" s="24">
        <f>SUMPRODUCT(--(Février[[#This Row],[1]:[29]]=LEFT(Février[[#Headers],[Maladie]],1)))</f>
        <v>0</v>
      </c>
      <c r="AK9" s="24">
        <f>SUMPRODUCT(--(Février[[#This Row],[1]:[29]]=LEFT(Février[[#Headers],[Repas]],1)))</f>
        <v>0</v>
      </c>
      <c r="AL9" s="47"/>
    </row>
    <row r="10" spans="2:39"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SUMPRODUCT(--(Février[[#This Row],[1]:[29]]=LEFT(Février[[#Headers],[Travaillé]],1)))</f>
        <v>0</v>
      </c>
      <c r="AI10" s="24">
        <f>SUMPRODUCT(--(Février[[#This Row],[1]:[29]]=LEFT(Février[[#Headers],[Congés]],1)))</f>
        <v>0</v>
      </c>
      <c r="AJ10" s="24">
        <f>SUMPRODUCT(--(Février[[#This Row],[1]:[29]]=LEFT(Février[[#Headers],[Maladie]],1)))</f>
        <v>0</v>
      </c>
      <c r="AK10" s="24">
        <f>SUMPRODUCT(--(Février[[#This Row],[1]:[29]]=LEFT(Février[[#Headers],[Repas]],1)))</f>
        <v>0</v>
      </c>
      <c r="AL10" s="47"/>
    </row>
    <row r="11" spans="2:39"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SUMPRODUCT(--(Février[[#This Row],[1]:[29]]=LEFT(Février[[#Headers],[Travaillé]],1)))</f>
        <v>0</v>
      </c>
      <c r="AI11" s="24">
        <f>SUMPRODUCT(--(Février[[#This Row],[1]:[29]]=LEFT(Février[[#Headers],[Congés]],1)))</f>
        <v>0</v>
      </c>
      <c r="AJ11" s="24">
        <f>SUMPRODUCT(--(Février[[#This Row],[1]:[29]]=LEFT(Février[[#Headers],[Maladie]],1)))</f>
        <v>0</v>
      </c>
      <c r="AK11" s="24">
        <f>SUMPRODUCT(--(Février[[#This Row],[1]:[29]]=LEFT(Février[[#Headers],[Repas]],1)))</f>
        <v>0</v>
      </c>
      <c r="AL11" s="47"/>
    </row>
    <row r="12" spans="2:39" ht="30" customHeight="1" x14ac:dyDescent="0.3">
      <c r="B12" s="15" t="str">
        <f>Janvier!B12</f>
        <v>Employé 5</v>
      </c>
      <c r="AH12" s="24">
        <f>SUMPRODUCT(--(Février[[#This Row],[1]:[29]]=LEFT(Février[[#Headers],[Travaillé]],1)))</f>
        <v>0</v>
      </c>
      <c r="AI12" s="24">
        <f>SUMPRODUCT(--(Février[[#This Row],[1]:[29]]=LEFT(Février[[#Headers],[Congés]],1)))</f>
        <v>0</v>
      </c>
      <c r="AJ12" s="24">
        <f>SUMPRODUCT(--(Février[[#This Row],[1]:[29]]=LEFT(Février[[#Headers],[Maladie]],1)))</f>
        <v>0</v>
      </c>
      <c r="AK12" s="24">
        <f>SUMPRODUCT(--(Février[[#This Row],[1]:[29]]=LEFT(Février[[#Headers],[Repas]],1)))</f>
        <v>0</v>
      </c>
      <c r="AL12" s="47"/>
    </row>
    <row r="13" spans="2:39" ht="30" customHeight="1" x14ac:dyDescent="0.3">
      <c r="B13" s="44" t="str">
        <f>Janvier!B13</f>
        <v>Employé 6</v>
      </c>
      <c r="AH13" s="45">
        <f>SUMPRODUCT(--(Février[[#This Row],[1]:[29]]=LEFT(Février[[#Headers],[Travaillé]],1)))</f>
        <v>0</v>
      </c>
      <c r="AI13" s="45">
        <f>SUMPRODUCT(--(Février[[#This Row],[1]:[29]]=LEFT(Février[[#Headers],[Congés]],1)))</f>
        <v>0</v>
      </c>
      <c r="AJ13" s="45">
        <f>SUMPRODUCT(--(Février[[#This Row],[1]:[29]]=LEFT(Février[[#Headers],[Maladie]],1)))</f>
        <v>0</v>
      </c>
      <c r="AK13" s="45">
        <f>SUMPRODUCT(--(Février[[#This Row],[1]:[29]]=LEFT(Février[[#Headers],[Repas]],1)))</f>
        <v>0</v>
      </c>
      <c r="AL13" s="47"/>
    </row>
    <row r="14" spans="2:39" ht="30" customHeight="1" thickBot="1" x14ac:dyDescent="0.35"/>
    <row r="15" spans="2:39" ht="30" customHeight="1" thickBot="1" x14ac:dyDescent="0.35">
      <c r="AB15" s="48" t="s">
        <v>53</v>
      </c>
      <c r="AC15" s="49"/>
      <c r="AD15" s="49"/>
      <c r="AE15" s="49"/>
      <c r="AF15" s="49"/>
      <c r="AG15" s="50"/>
      <c r="AH15" s="34">
        <f>SUM(AH6:AH14)</f>
        <v>0</v>
      </c>
      <c r="AI15" s="32">
        <f>SUM(AI6:AI14)</f>
        <v>0</v>
      </c>
      <c r="AJ15" s="32">
        <f>SUM(AJ6:AJ14)</f>
        <v>0</v>
      </c>
      <c r="AK15" s="33">
        <f>SUM(AK6:AK14)</f>
        <v>0</v>
      </c>
    </row>
  </sheetData>
  <mergeCells count="7">
    <mergeCell ref="AB15:AG15"/>
    <mergeCell ref="Q2:S2"/>
    <mergeCell ref="G2:H2"/>
    <mergeCell ref="N2:O2"/>
    <mergeCell ref="C4:AG4"/>
    <mergeCell ref="D2:E2"/>
    <mergeCell ref="K2:L2"/>
  </mergeCells>
  <conditionalFormatting sqref="AE6">
    <cfRule type="expression" dxfId="881" priority="22">
      <formula>MONTH(DATE(AnnéeCalendrier,2,29))&lt;&gt;2</formula>
    </cfRule>
  </conditionalFormatting>
  <conditionalFormatting sqref="AE5">
    <cfRule type="expression" dxfId="880" priority="21">
      <formula>MONTH(DATE(AnnéeCalendrier,2,29))&lt;&gt;2</formula>
    </cfRule>
  </conditionalFormatting>
  <conditionalFormatting sqref="C7:AG13">
    <cfRule type="expression" priority="8" stopIfTrue="1">
      <formula>C7=""</formula>
    </cfRule>
    <cfRule type="expression" dxfId="879" priority="9" stopIfTrue="1">
      <formula>C7=CléPanier_Repas</formula>
    </cfRule>
  </conditionalFormatting>
  <conditionalFormatting sqref="C7:AG13">
    <cfRule type="expression" dxfId="878" priority="11" stopIfTrue="1">
      <formula>C7=CléPersonnalisée1</formula>
    </cfRule>
    <cfRule type="expression" dxfId="877" priority="12" stopIfTrue="1">
      <formula>C7=CléMaladie</formula>
    </cfRule>
    <cfRule type="expression" dxfId="876" priority="13" stopIfTrue="1">
      <formula>C7=CléCongés</formula>
    </cfRule>
    <cfRule type="expression" dxfId="875" priority="14" stopIfTrue="1">
      <formula>C7=CléTravail</formula>
    </cfRule>
  </conditionalFormatting>
  <conditionalFormatting sqref="AI7:AI13">
    <cfRule type="dataBar" priority="3">
      <dataBar>
        <cfvo type="num" val="0"/>
        <cfvo type="num" val="31"/>
        <color theme="2" tint="-0.249977111117893"/>
      </dataBar>
      <extLst>
        <ext xmlns:x14="http://schemas.microsoft.com/office/spreadsheetml/2009/9/main" uri="{B025F937-C7B1-47D3-B67F-A62EFF666E3E}">
          <x14:id>{EA259838-FC4A-4A3A-8DDC-B7CEAE416DE3}</x14:id>
        </ext>
      </extLst>
    </cfRule>
  </conditionalFormatting>
  <conditionalFormatting sqref="AJ7:AK13">
    <cfRule type="dataBar" priority="2">
      <dataBar>
        <cfvo type="num" val="0"/>
        <cfvo type="num" val="31"/>
        <color theme="2" tint="-0.249977111117893"/>
      </dataBar>
      <extLst>
        <ext xmlns:x14="http://schemas.microsoft.com/office/spreadsheetml/2009/9/main" uri="{B025F937-C7B1-47D3-B67F-A62EFF666E3E}">
          <x14:id>{99154732-BD07-49EA-8BA5-357E6A03ED41}</x14:id>
        </ext>
      </extLst>
    </cfRule>
  </conditionalFormatting>
  <conditionalFormatting sqref="AH7:AK13">
    <cfRule type="dataBar" priority="1">
      <dataBar>
        <cfvo type="num" val="0"/>
        <cfvo type="num" val="31"/>
        <color theme="2" tint="-0.249977111117893"/>
      </dataBar>
      <extLst>
        <ext xmlns:x14="http://schemas.microsoft.com/office/spreadsheetml/2009/9/main" uri="{B025F937-C7B1-47D3-B67F-A62EFF666E3E}">
          <x14:id>{8BA3E15C-EA2E-4557-89E2-8B6042F17DC1}</x14:id>
        </ext>
      </extLst>
    </cfRule>
  </conditionalFormatting>
  <dataValidations xWindow="232" yWindow="365"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A259838-FC4A-4A3A-8DDC-B7CEAE416DE3}">
            <x14:dataBar minLength="0" maxLength="100">
              <x14:cfvo type="num">
                <xm:f>0</xm:f>
              </x14:cfvo>
              <x14:cfvo type="num">
                <xm:f>31</xm:f>
              </x14:cfvo>
              <x14:negativeFillColor rgb="FFFF0000"/>
              <x14:axisColor rgb="FF000000"/>
            </x14:dataBar>
          </x14:cfRule>
          <xm:sqref>AI7:AI13</xm:sqref>
        </x14:conditionalFormatting>
        <x14:conditionalFormatting xmlns:xm="http://schemas.microsoft.com/office/excel/2006/main">
          <x14:cfRule type="dataBar" id="{99154732-BD07-49EA-8BA5-357E6A03ED41}">
            <x14:dataBar minLength="0" maxLength="100">
              <x14:cfvo type="num">
                <xm:f>0</xm:f>
              </x14:cfvo>
              <x14:cfvo type="num">
                <xm:f>31</xm:f>
              </x14:cfvo>
              <x14:negativeFillColor rgb="FFFF0000"/>
              <x14:axisColor rgb="FF000000"/>
            </x14:dataBar>
          </x14:cfRule>
          <xm:sqref>AJ7:AK13</xm:sqref>
        </x14:conditionalFormatting>
        <x14:conditionalFormatting xmlns:xm="http://schemas.microsoft.com/office/excel/2006/main">
          <x14:cfRule type="dataBar" id="{8BA3E15C-EA2E-4557-89E2-8B6042F17DC1}">
            <x14:dataBar minLength="0" maxLength="100">
              <x14:cfvo type="num">
                <xm:f>0</xm:f>
              </x14:cfvo>
              <x14:cfvo type="num">
                <xm:f>31</xm:f>
              </x14:cfvo>
              <x14:negativeFillColor rgb="FFFF0000"/>
              <x14:axisColor rgb="FF000000"/>
            </x14:dataBar>
          </x14:cfRule>
          <xm:sqref>AH7:AK13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4"/>
  <sheetViews>
    <sheetView showGridLines="0" topLeftCell="C1" workbookViewId="0">
      <selection activeCell="T8" sqref="T8"/>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57</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TEXT(WEEKDAY(DATE(AnnéeCalendrier,3,1),1),"jjj")</f>
        <v>ven</v>
      </c>
      <c r="D5" s="1" t="str">
        <f>TEXT(WEEKDAY(DATE(AnnéeCalendrier,3,2),1),"jjj")</f>
        <v>sam</v>
      </c>
      <c r="E5" s="1" t="str">
        <f>TEXT(WEEKDAY(DATE(AnnéeCalendrier,3,3),1),"jjj")</f>
        <v>dim</v>
      </c>
      <c r="F5" s="1" t="str">
        <f>TEXT(WEEKDAY(DATE(AnnéeCalendrier,3,4),1),"jjj")</f>
        <v>lun</v>
      </c>
      <c r="G5" s="1" t="str">
        <f>TEXT(WEEKDAY(DATE(AnnéeCalendrier,3,5),1),"jjj")</f>
        <v>mar</v>
      </c>
      <c r="H5" s="1" t="str">
        <f>TEXT(WEEKDAY(DATE(AnnéeCalendrier,3,6),1),"jjj")</f>
        <v>mer</v>
      </c>
      <c r="I5" s="1" t="str">
        <f>TEXT(WEEKDAY(DATE(AnnéeCalendrier,3,7),1),"jjj")</f>
        <v>jeu</v>
      </c>
      <c r="J5" s="1" t="str">
        <f>TEXT(WEEKDAY(DATE(AnnéeCalendrier,3,8),1),"jjj")</f>
        <v>ven</v>
      </c>
      <c r="K5" s="1" t="str">
        <f>TEXT(WEEKDAY(DATE(AnnéeCalendrier,3,9),1),"jjj")</f>
        <v>sam</v>
      </c>
      <c r="L5" s="1" t="str">
        <f>TEXT(WEEKDAY(DATE(AnnéeCalendrier,3,10),1),"jjj")</f>
        <v>dim</v>
      </c>
      <c r="M5" s="1" t="str">
        <f>TEXT(WEEKDAY(DATE(AnnéeCalendrier,3,11),1),"jjj")</f>
        <v>lun</v>
      </c>
      <c r="N5" s="1" t="str">
        <f>TEXT(WEEKDAY(DATE(AnnéeCalendrier,3,12),1),"jjj")</f>
        <v>mar</v>
      </c>
      <c r="O5" s="1" t="str">
        <f>TEXT(WEEKDAY(DATE(AnnéeCalendrier,3,13),1),"jjj")</f>
        <v>mer</v>
      </c>
      <c r="P5" s="1" t="str">
        <f>TEXT(WEEKDAY(DATE(AnnéeCalendrier,3,14),1),"jjj")</f>
        <v>jeu</v>
      </c>
      <c r="Q5" s="1" t="str">
        <f>TEXT(WEEKDAY(DATE(AnnéeCalendrier,3,15),1),"jjj")</f>
        <v>ven</v>
      </c>
      <c r="R5" s="1" t="str">
        <f>TEXT(WEEKDAY(DATE(AnnéeCalendrier,3,16),1),"jjj")</f>
        <v>sam</v>
      </c>
      <c r="S5" s="1" t="str">
        <f>TEXT(WEEKDAY(DATE(AnnéeCalendrier,3,17),1),"jjj")</f>
        <v>dim</v>
      </c>
      <c r="T5" s="1" t="str">
        <f>TEXT(WEEKDAY(DATE(AnnéeCalendrier,3,18),1),"jjj")</f>
        <v>lun</v>
      </c>
      <c r="U5" s="1" t="str">
        <f>TEXT(WEEKDAY(DATE(AnnéeCalendrier,3,19),1),"jjj")</f>
        <v>mar</v>
      </c>
      <c r="V5" s="1" t="str">
        <f>TEXT(WEEKDAY(DATE(AnnéeCalendrier,3,20),1),"jjj")</f>
        <v>mer</v>
      </c>
      <c r="W5" s="1" t="str">
        <f>TEXT(WEEKDAY(DATE(AnnéeCalendrier,3,21),1),"jjj")</f>
        <v>jeu</v>
      </c>
      <c r="X5" s="1" t="str">
        <f>TEXT(WEEKDAY(DATE(AnnéeCalendrier,3,22),1),"jjj")</f>
        <v>ven</v>
      </c>
      <c r="Y5" s="1" t="str">
        <f>TEXT(WEEKDAY(DATE(AnnéeCalendrier,3,23),1),"jjj")</f>
        <v>sam</v>
      </c>
      <c r="Z5" s="1" t="str">
        <f>TEXT(WEEKDAY(DATE(AnnéeCalendrier,3,24),1),"jjj")</f>
        <v>dim</v>
      </c>
      <c r="AA5" s="1" t="str">
        <f>TEXT(WEEKDAY(DATE(AnnéeCalendrier,3,25),1),"jjj")</f>
        <v>lun</v>
      </c>
      <c r="AB5" s="1" t="str">
        <f>TEXT(WEEKDAY(DATE(AnnéeCalendrier,3,26),1),"jjj")</f>
        <v>mar</v>
      </c>
      <c r="AC5" s="1" t="str">
        <f>TEXT(WEEKDAY(DATE(AnnéeCalendrier,3,27),1),"jjj")</f>
        <v>mer</v>
      </c>
      <c r="AD5" s="1" t="str">
        <f>TEXT(WEEKDAY(DATE(AnnéeCalendrier,3,28),1),"jjj")</f>
        <v>jeu</v>
      </c>
      <c r="AE5" s="1" t="str">
        <f>TEXT(WEEKDAY(DATE(AnnéeCalendrier,3,29),1),"jjj")</f>
        <v>ven</v>
      </c>
      <c r="AF5" s="1" t="str">
        <f>TEXT(WEEKDAY(DATE(AnnéeCalendrier,3,30),1),"jjj")</f>
        <v>sam</v>
      </c>
      <c r="AG5" s="1" t="str">
        <f>TEXT(WEEKDAY(DATE(AnnéeCalendrier,3,31),1),"jjj")</f>
        <v>dim</v>
      </c>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SUMPRODUCT(--(Mars[[#This Row],[1]:[31]]=LEFT(Mars[[#Headers],[Travaillé]],1)))</f>
        <v>0</v>
      </c>
      <c r="AI7" s="24">
        <f>SUMPRODUCT(--(Mars[[#This Row],[1]:[31]]=LEFT(Mars[[#Headers],[Congés]],1)))</f>
        <v>0</v>
      </c>
      <c r="AJ7" s="24">
        <f>SUMPRODUCT(--(Mars[[#This Row],[1]:[31]]=LEFT(Mars[[#Headers],[Maladie]],1)))</f>
        <v>0</v>
      </c>
      <c r="AK7" s="24">
        <f>SUMPRODUCT(--(Mars[[#This Row],[1]:[31]]=LEFT(Mars[[#Headers],[Repas]],1)))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SUMPRODUCT(--(Mars[[#This Row],[1]:[31]]=LEFT(Mars[[#Headers],[Travaillé]],1)))</f>
        <v>0</v>
      </c>
      <c r="AI8" s="24">
        <f>SUMPRODUCT(--(Mars[[#This Row],[1]:[31]]=LEFT(Mars[[#Headers],[Congés]],1)))</f>
        <v>0</v>
      </c>
      <c r="AJ8" s="24">
        <f>SUMPRODUCT(--(Mars[[#This Row],[1]:[31]]=LEFT(Mars[[#Headers],[Maladie]],1)))</f>
        <v>0</v>
      </c>
      <c r="AK8" s="24">
        <f>SUMPRODUCT(--(Mars[[#This Row],[1]:[31]]=LEFT(Mars[[#Headers],[Repas]],1)))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SUMPRODUCT(--(Mars[[#This Row],[1]:[31]]=LEFT(Mars[[#Headers],[Travaillé]],1)))</f>
        <v>0</v>
      </c>
      <c r="AI9" s="24">
        <f>SUMPRODUCT(--(Mars[[#This Row],[1]:[31]]=LEFT(Mars[[#Headers],[Congés]],1)))</f>
        <v>0</v>
      </c>
      <c r="AJ9" s="24">
        <f>SUMPRODUCT(--(Mars[[#This Row],[1]:[31]]=LEFT(Mars[[#Headers],[Maladie]],1)))</f>
        <v>0</v>
      </c>
      <c r="AK9" s="24">
        <f>SUMPRODUCT(--(Mars[[#This Row],[1]:[31]]=LEFT(Mars[[#Headers],[Repas]],1)))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SUMPRODUCT(--(Mars[[#This Row],[1]:[31]]=LEFT(Mars[[#Headers],[Travaillé]],1)))</f>
        <v>0</v>
      </c>
      <c r="AI10" s="24">
        <f>SUMPRODUCT(--(Mars[[#This Row],[1]:[31]]=LEFT(Mars[[#Headers],[Congés]],1)))</f>
        <v>0</v>
      </c>
      <c r="AJ10" s="24">
        <f>SUMPRODUCT(--(Mars[[#This Row],[1]:[31]]=LEFT(Mars[[#Headers],[Maladie]],1)))</f>
        <v>0</v>
      </c>
      <c r="AK10" s="24">
        <f>SUMPRODUCT(--(Mars[[#This Row],[1]:[31]]=LEFT(Mars[[#Headers],[Repas]],1)))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SUMPRODUCT(--(Mars[[#This Row],[1]:[31]]=LEFT(Mars[[#Headers],[Travaillé]],1)))</f>
        <v>0</v>
      </c>
      <c r="AI11" s="24">
        <f>SUMPRODUCT(--(Mars[[#This Row],[1]:[31]]=LEFT(Mars[[#Headers],[Congés]],1)))</f>
        <v>0</v>
      </c>
      <c r="AJ11" s="24">
        <f>SUMPRODUCT(--(Mars[[#This Row],[1]:[31]]=LEFT(Mars[[#Headers],[Maladie]],1)))</f>
        <v>0</v>
      </c>
      <c r="AK11" s="24">
        <f>SUMPRODUCT(--(Mars[[#This Row],[1]:[31]]=LEFT(Mars[[#Headers],[Repas]],1)))</f>
        <v>0</v>
      </c>
    </row>
    <row r="12" spans="2:37" ht="30" customHeight="1" x14ac:dyDescent="0.3">
      <c r="B12" s="15" t="str">
        <f>Janvier!B12</f>
        <v>Employé 5</v>
      </c>
      <c r="AH12" s="24">
        <f>SUMPRODUCT(--(Mars[[#This Row],[1]:[31]]=LEFT(Mars[[#Headers],[Travaillé]],1)))</f>
        <v>0</v>
      </c>
      <c r="AI12" s="24">
        <f>SUMPRODUCT(--(Mars[[#This Row],[1]:[31]]=LEFT(Mars[[#Headers],[Congés]],1)))</f>
        <v>0</v>
      </c>
      <c r="AJ12" s="24">
        <f>SUMPRODUCT(--(Mars[[#This Row],[1]:[31]]=LEFT(Mars[[#Headers],[Maladie]],1)))</f>
        <v>0</v>
      </c>
      <c r="AK12" s="24">
        <f>SUMPRODUCT(--(Mars[[#This Row],[1]:[31]]=LEFT(Mars[[#Headers],[Repas]],1)))</f>
        <v>0</v>
      </c>
    </row>
    <row r="13" spans="2:37" ht="30" customHeight="1" thickBot="1" x14ac:dyDescent="0.35"/>
    <row r="14" spans="2:37" ht="30" customHeight="1" thickBot="1" x14ac:dyDescent="0.35">
      <c r="AB14" s="48" t="s">
        <v>53</v>
      </c>
      <c r="AC14" s="49"/>
      <c r="AD14" s="49"/>
      <c r="AE14" s="49"/>
      <c r="AF14" s="49"/>
      <c r="AG14" s="50"/>
      <c r="AH14" s="34">
        <f>SUM(AH6:AH13)</f>
        <v>0</v>
      </c>
      <c r="AI14" s="32">
        <f>SUM(AI6:AI13)</f>
        <v>0</v>
      </c>
      <c r="AJ14" s="32">
        <f>SUM(AJ6:AJ13)</f>
        <v>0</v>
      </c>
      <c r="AK14" s="33">
        <f>SUM(AK6:AK13)</f>
        <v>0</v>
      </c>
    </row>
  </sheetData>
  <mergeCells count="7">
    <mergeCell ref="AB14:AG14"/>
    <mergeCell ref="Q2:S2"/>
    <mergeCell ref="C4:AG4"/>
    <mergeCell ref="D2:E2"/>
    <mergeCell ref="K2:L2"/>
    <mergeCell ref="G2:H2"/>
    <mergeCell ref="N2:O2"/>
  </mergeCells>
  <conditionalFormatting sqref="C7:AG12">
    <cfRule type="expression" priority="7" stopIfTrue="1">
      <formula>C7=""</formula>
    </cfRule>
  </conditionalFormatting>
  <conditionalFormatting sqref="C7:AG12">
    <cfRule type="expression" dxfId="799" priority="8" stopIfTrue="1">
      <formula>C7=CléPanier_Repas</formula>
    </cfRule>
    <cfRule type="expression" dxfId="798" priority="9" stopIfTrue="1">
      <formula>C7=CléPersonnalisée1</formula>
    </cfRule>
    <cfRule type="expression" dxfId="797" priority="10" stopIfTrue="1">
      <formula>C7=CléMaladie</formula>
    </cfRule>
    <cfRule type="expression" dxfId="796" priority="11" stopIfTrue="1">
      <formula>C7=CléCongés</formula>
    </cfRule>
    <cfRule type="expression" dxfId="795" priority="12" stopIfTrue="1">
      <formula>C7=CléTravail</formula>
    </cfRule>
  </conditionalFormatting>
  <conditionalFormatting sqref="AI7:AI12">
    <cfRule type="dataBar" priority="3">
      <dataBar>
        <cfvo type="num" val="0"/>
        <cfvo type="num" val="31"/>
        <color theme="2" tint="-0.249977111117893"/>
      </dataBar>
      <extLst>
        <ext xmlns:x14="http://schemas.microsoft.com/office/spreadsheetml/2009/9/main" uri="{B025F937-C7B1-47D3-B67F-A62EFF666E3E}">
          <x14:id>{962F3660-4FAC-473E-B388-4F26D655149A}</x14:id>
        </ext>
      </extLst>
    </cfRule>
  </conditionalFormatting>
  <conditionalFormatting sqref="AJ7:AK12">
    <cfRule type="dataBar" priority="2">
      <dataBar>
        <cfvo type="num" val="0"/>
        <cfvo type="num" val="31"/>
        <color theme="2" tint="-0.249977111117893"/>
      </dataBar>
      <extLst>
        <ext xmlns:x14="http://schemas.microsoft.com/office/spreadsheetml/2009/9/main" uri="{B025F937-C7B1-47D3-B67F-A62EFF666E3E}">
          <x14:id>{C1687EF2-E60E-4572-BE8C-03B2DD3F62A6}</x14:id>
        </ext>
      </extLst>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{4E95DA01-4025-407D-8B8B-B5F1E627CBFF}</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62F3660-4FAC-473E-B388-4F26D655149A}">
            <x14:dataBar minLength="0" maxLength="100">
              <x14:cfvo type="num">
                <xm:f>0</xm:f>
              </x14:cfvo>
              <x14:cfvo type="num">
                <xm:f>31</xm:f>
              </x14:cfvo>
              <x14:negativeFillColor rgb="FFFF0000"/>
              <x14:axisColor rgb="FF000000"/>
            </x14:dataBar>
          </x14:cfRule>
          <xm:sqref>AI7:AI12</xm:sqref>
        </x14:conditionalFormatting>
        <x14:conditionalFormatting xmlns:xm="http://schemas.microsoft.com/office/excel/2006/main">
          <x14:cfRule type="dataBar" id="{C1687EF2-E60E-4572-BE8C-03B2DD3F62A6}">
            <x14:dataBar minLength="0" maxLength="100">
              <x14:cfvo type="num">
                <xm:f>0</xm:f>
              </x14:cfvo>
              <x14:cfvo type="num">
                <xm:f>31</xm:f>
              </x14:cfvo>
              <x14:negativeFillColor rgb="FFFF0000"/>
              <x14:axisColor rgb="FF000000"/>
            </x14:dataBar>
          </x14:cfRule>
          <xm:sqref>AJ7:AK12</xm:sqref>
        </x14:conditionalFormatting>
        <x14:conditionalFormatting xmlns:xm="http://schemas.microsoft.com/office/excel/2006/main">
          <x14:cfRule type="dataBar" id="{4E95DA01-4025-407D-8B8B-B5F1E627CBFF}">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4"/>
  <sheetViews>
    <sheetView showGridLines="0" topLeftCell="D2" workbookViewId="0">
      <selection activeCell="AK7" sqref="AK7"/>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58</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TEXT(WEEKDAY(DATE(AnnéeCalendrier,4,1),1),"jjj")</f>
        <v>lun</v>
      </c>
      <c r="D5" s="1" t="str">
        <f>TEXT(WEEKDAY(DATE(AnnéeCalendrier,4,2),1),"jjj")</f>
        <v>mar</v>
      </c>
      <c r="E5" s="1" t="str">
        <f>TEXT(WEEKDAY(DATE(AnnéeCalendrier,4,3),1),"jjj")</f>
        <v>mer</v>
      </c>
      <c r="F5" s="1" t="str">
        <f>TEXT(WEEKDAY(DATE(AnnéeCalendrier,4,4),1),"jjj")</f>
        <v>jeu</v>
      </c>
      <c r="G5" s="1" t="str">
        <f>TEXT(WEEKDAY(DATE(AnnéeCalendrier,4,5),1),"jjj")</f>
        <v>ven</v>
      </c>
      <c r="H5" s="1" t="str">
        <f>TEXT(WEEKDAY(DATE(AnnéeCalendrier,4,6),1),"jjj")</f>
        <v>sam</v>
      </c>
      <c r="I5" s="1" t="str">
        <f>TEXT(WEEKDAY(DATE(AnnéeCalendrier,4,7),1),"jjj")</f>
        <v>dim</v>
      </c>
      <c r="J5" s="1" t="str">
        <f>TEXT(WEEKDAY(DATE(AnnéeCalendrier,4,8),1),"jjj")</f>
        <v>lun</v>
      </c>
      <c r="K5" s="1" t="str">
        <f>TEXT(WEEKDAY(DATE(AnnéeCalendrier,4,9),1),"jjj")</f>
        <v>mar</v>
      </c>
      <c r="L5" s="1" t="str">
        <f>TEXT(WEEKDAY(DATE(AnnéeCalendrier,4,10),1),"jjj")</f>
        <v>mer</v>
      </c>
      <c r="M5" s="1" t="str">
        <f>TEXT(WEEKDAY(DATE(AnnéeCalendrier,4,11),1),"jjj")</f>
        <v>jeu</v>
      </c>
      <c r="N5" s="1" t="str">
        <f>TEXT(WEEKDAY(DATE(AnnéeCalendrier,4,12),1),"jjj")</f>
        <v>ven</v>
      </c>
      <c r="O5" s="1" t="str">
        <f>TEXT(WEEKDAY(DATE(AnnéeCalendrier,4,13),1),"jjj")</f>
        <v>sam</v>
      </c>
      <c r="P5" s="1" t="str">
        <f>TEXT(WEEKDAY(DATE(AnnéeCalendrier,4,14),1),"jjj")</f>
        <v>dim</v>
      </c>
      <c r="Q5" s="1" t="str">
        <f>TEXT(WEEKDAY(DATE(AnnéeCalendrier,4,15),1),"jjj")</f>
        <v>lun</v>
      </c>
      <c r="R5" s="1" t="str">
        <f>TEXT(WEEKDAY(DATE(AnnéeCalendrier,4,16),1),"jjj")</f>
        <v>mar</v>
      </c>
      <c r="S5" s="1" t="str">
        <f>TEXT(WEEKDAY(DATE(AnnéeCalendrier,4,17),1),"jjj")</f>
        <v>mer</v>
      </c>
      <c r="T5" s="1" t="str">
        <f>TEXT(WEEKDAY(DATE(AnnéeCalendrier,4,18),1),"jjj")</f>
        <v>jeu</v>
      </c>
      <c r="U5" s="1" t="str">
        <f>TEXT(WEEKDAY(DATE(AnnéeCalendrier,4,19),1),"jjj")</f>
        <v>ven</v>
      </c>
      <c r="V5" s="1" t="str">
        <f>TEXT(WEEKDAY(DATE(AnnéeCalendrier,4,20),1),"jjj")</f>
        <v>sam</v>
      </c>
      <c r="W5" s="1" t="str">
        <f>TEXT(WEEKDAY(DATE(AnnéeCalendrier,4,21),1),"jjj")</f>
        <v>dim</v>
      </c>
      <c r="X5" s="1" t="str">
        <f>TEXT(WEEKDAY(DATE(AnnéeCalendrier,4,22),1),"jjj")</f>
        <v>lun</v>
      </c>
      <c r="Y5" s="1" t="str">
        <f>TEXT(WEEKDAY(DATE(AnnéeCalendrier,4,23),1),"jjj")</f>
        <v>mar</v>
      </c>
      <c r="Z5" s="1" t="str">
        <f>TEXT(WEEKDAY(DATE(AnnéeCalendrier,4,24),1),"jjj")</f>
        <v>mer</v>
      </c>
      <c r="AA5" s="1" t="str">
        <f>TEXT(WEEKDAY(DATE(AnnéeCalendrier,4,25),1),"jjj")</f>
        <v>jeu</v>
      </c>
      <c r="AB5" s="1" t="str">
        <f>TEXT(WEEKDAY(DATE(AnnéeCalendrier,4,26),1),"jjj")</f>
        <v>ven</v>
      </c>
      <c r="AC5" s="1" t="str">
        <f>TEXT(WEEKDAY(DATE(AnnéeCalendrier,4,27),1),"jjj")</f>
        <v>sam</v>
      </c>
      <c r="AD5" s="1" t="str">
        <f>TEXT(WEEKDAY(DATE(AnnéeCalendrier,4,28),1),"jjj")</f>
        <v>dim</v>
      </c>
      <c r="AE5" s="1" t="str">
        <f>TEXT(WEEKDAY(DATE(AnnéeCalendrier,4,29),1),"jjj")</f>
        <v>lun</v>
      </c>
      <c r="AF5" s="1" t="str">
        <f>TEXT(WEEKDAY(DATE(AnnéeCalendrier,4,30),1),"jjj")</f>
        <v>mar</v>
      </c>
      <c r="AG5" s="1"/>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14" t="s">
        <v>52</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SUMPRODUCT(--(Avril[[#This Row],[1]:[30]]=LEFT(Avril[[#Headers],[Travaillé]],1)))</f>
        <v>0</v>
      </c>
      <c r="AI7" s="24">
        <f>SUMPRODUCT(--(Avril[[#This Row],[1]:[30]]=LEFT(Avril[[#Headers],[Congés]],1)))</f>
        <v>0</v>
      </c>
      <c r="AJ7" s="24">
        <f>SUMPRODUCT(--(Avril[[#This Row],[1]:[30]]=LEFT(Avril[[#Headers],[Maladie]],1)))</f>
        <v>0</v>
      </c>
      <c r="AK7" s="24">
        <f>SUMPRODUCT(--(Avril[[#This Row],[1]:[30]]=LEFT(Avril[[#Headers],[Repas]],1)))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SUMPRODUCT(--(Avril[[#This Row],[1]:[30]]=LEFT(Avril[[#Headers],[Travaillé]],1)))</f>
        <v>0</v>
      </c>
      <c r="AI8" s="24">
        <f>SUMPRODUCT(--(Avril[[#This Row],[1]:[30]]=LEFT(Avril[[#Headers],[Congés]],1)))</f>
        <v>0</v>
      </c>
      <c r="AJ8" s="24">
        <f>SUMPRODUCT(--(Avril[[#This Row],[1]:[30]]=LEFT(Avril[[#Headers],[Maladie]],1)))</f>
        <v>0</v>
      </c>
      <c r="AK8" s="24">
        <f>SUMPRODUCT(--(Avril[[#This Row],[1]:[30]]=LEFT(Avril[[#Headers],[Repas]],1)))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SUMPRODUCT(--(Avril[[#This Row],[1]:[30]]=LEFT(Avril[[#Headers],[Travaillé]],1)))</f>
        <v>0</v>
      </c>
      <c r="AI9" s="24">
        <f>SUMPRODUCT(--(Avril[[#This Row],[1]:[30]]=LEFT(Avril[[#Headers],[Congés]],1)))</f>
        <v>0</v>
      </c>
      <c r="AJ9" s="24">
        <f>SUMPRODUCT(--(Avril[[#This Row],[1]:[30]]=LEFT(Avril[[#Headers],[Maladie]],1)))</f>
        <v>0</v>
      </c>
      <c r="AK9" s="24">
        <f>SUMPRODUCT(--(Avril[[#This Row],[1]:[30]]=LEFT(Avril[[#Headers],[Repas]],1)))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SUMPRODUCT(--(Avril[[#This Row],[1]:[30]]=LEFT(Avril[[#Headers],[Travaillé]],1)))</f>
        <v>0</v>
      </c>
      <c r="AI10" s="24">
        <f>SUMPRODUCT(--(Avril[[#This Row],[1]:[30]]=LEFT(Avril[[#Headers],[Congés]],1)))</f>
        <v>0</v>
      </c>
      <c r="AJ10" s="24">
        <f>SUMPRODUCT(--(Avril[[#This Row],[1]:[30]]=LEFT(Avril[[#Headers],[Maladie]],1)))</f>
        <v>0</v>
      </c>
      <c r="AK10" s="24">
        <f>SUMPRODUCT(--(Avril[[#This Row],[1]:[30]]=LEFT(Avril[[#Headers],[Repas]],1)))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SUMPRODUCT(--(Avril[[#This Row],[1]:[30]]=LEFT(Avril[[#Headers],[Travaillé]],1)))</f>
        <v>0</v>
      </c>
      <c r="AI11" s="24">
        <f>SUMPRODUCT(--(Avril[[#This Row],[1]:[30]]=LEFT(Avril[[#Headers],[Congés]],1)))</f>
        <v>0</v>
      </c>
      <c r="AJ11" s="24">
        <f>SUMPRODUCT(--(Avril[[#This Row],[1]:[30]]=LEFT(Avril[[#Headers],[Maladie]],1)))</f>
        <v>0</v>
      </c>
      <c r="AK11" s="24">
        <f>SUMPRODUCT(--(Avril[[#This Row],[1]:[30]]=LEFT(Avril[[#Headers],[Repas]],1)))</f>
        <v>0</v>
      </c>
    </row>
    <row r="12" spans="2:37" ht="30" customHeight="1" x14ac:dyDescent="0.3">
      <c r="B12" s="15" t="str">
        <f>Janvier!B12</f>
        <v>Employé 5</v>
      </c>
      <c r="AH12" s="24">
        <f>SUMPRODUCT(--(Avril[[#This Row],[1]:[30]]=LEFT(Avril[[#Headers],[Travaillé]],1)))</f>
        <v>0</v>
      </c>
      <c r="AI12" s="24">
        <f>SUMPRODUCT(--(Avril[[#This Row],[1]:[30]]=LEFT(Avril[[#Headers],[Congés]],1)))</f>
        <v>0</v>
      </c>
      <c r="AJ12" s="24">
        <f>SUMPRODUCT(--(Avril[[#This Row],[1]:[30]]=LEFT(Avril[[#Headers],[Maladie]],1)))</f>
        <v>0</v>
      </c>
      <c r="AK12" s="24">
        <f>SUMPRODUCT(--(Avril[[#This Row],[1]:[30]]=LEFT(Avril[[#Headers],[Repas]],1)))</f>
        <v>0</v>
      </c>
    </row>
    <row r="13" spans="2:37" ht="30" customHeight="1" thickBot="1" x14ac:dyDescent="0.35"/>
    <row r="14" spans="2:37" ht="30" customHeight="1" thickBot="1" x14ac:dyDescent="0.35">
      <c r="AB14" s="48" t="s">
        <v>53</v>
      </c>
      <c r="AC14" s="49"/>
      <c r="AD14" s="49"/>
      <c r="AE14" s="49"/>
      <c r="AF14" s="49"/>
      <c r="AG14" s="50"/>
      <c r="AH14" s="34">
        <f>SUM(AH6:AH13)</f>
        <v>0</v>
      </c>
      <c r="AI14" s="32">
        <f>SUM(AI6:AI13)</f>
        <v>0</v>
      </c>
      <c r="AJ14" s="32">
        <f>SUM(AJ6:AJ13)</f>
        <v>0</v>
      </c>
      <c r="AK14" s="33">
        <f>SUM(AK6:AK13)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719" priority="6" stopIfTrue="1">
      <formula>C7=CléPanier_Repas</formula>
    </cfRule>
    <cfRule type="expression" dxfId="718" priority="7" stopIfTrue="1">
      <formula>C7=CléPersonnalisée1</formula>
    </cfRule>
    <cfRule type="expression" dxfId="717" priority="8" stopIfTrue="1">
      <formula>C7=CléMaladie</formula>
    </cfRule>
    <cfRule type="expression" dxfId="716" priority="9" stopIfTrue="1">
      <formula>C7=CléCongés</formula>
    </cfRule>
    <cfRule type="expression" dxfId="71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{4A4AFBE4-F989-4F09-9E5B-6A6A19B43E80}</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A4AFBE4-F989-4F09-9E5B-6A6A19B43E80}">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K14"/>
  <sheetViews>
    <sheetView showGridLines="0" workbookViewId="0">
      <selection activeCell="X14" sqref="X14"/>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59</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TEXT(WEEKDAY(DATE(AnnéeCalendrier,5,1),1),"jjj")</f>
        <v>mer</v>
      </c>
      <c r="D5" s="1" t="str">
        <f>TEXT(WEEKDAY(DATE(AnnéeCalendrier,5,2),1),"jjj")</f>
        <v>jeu</v>
      </c>
      <c r="E5" s="1" t="str">
        <f>TEXT(WEEKDAY(DATE(AnnéeCalendrier,5,3),1),"jjj")</f>
        <v>ven</v>
      </c>
      <c r="F5" s="1" t="str">
        <f>TEXT(WEEKDAY(DATE(AnnéeCalendrier,5,4),1),"jjj")</f>
        <v>sam</v>
      </c>
      <c r="G5" s="1" t="str">
        <f>TEXT(WEEKDAY(DATE(AnnéeCalendrier,5,5),1),"jjj")</f>
        <v>dim</v>
      </c>
      <c r="H5" s="1" t="str">
        <f>TEXT(WEEKDAY(DATE(AnnéeCalendrier,5,6),1),"jjj")</f>
        <v>lun</v>
      </c>
      <c r="I5" s="1" t="str">
        <f>TEXT(WEEKDAY(DATE(AnnéeCalendrier,5,7),1),"jjj")</f>
        <v>mar</v>
      </c>
      <c r="J5" s="1" t="str">
        <f>TEXT(WEEKDAY(DATE(AnnéeCalendrier,5,8),1),"jjj")</f>
        <v>mer</v>
      </c>
      <c r="K5" s="1" t="str">
        <f>TEXT(WEEKDAY(DATE(AnnéeCalendrier,5,9),1),"jjj")</f>
        <v>jeu</v>
      </c>
      <c r="L5" s="1" t="str">
        <f>TEXT(WEEKDAY(DATE(AnnéeCalendrier,5,10),1),"jjj")</f>
        <v>ven</v>
      </c>
      <c r="M5" s="1" t="str">
        <f>TEXT(WEEKDAY(DATE(AnnéeCalendrier,5,11),1),"jjj")</f>
        <v>sam</v>
      </c>
      <c r="N5" s="1" t="str">
        <f>TEXT(WEEKDAY(DATE(AnnéeCalendrier,5,12),1),"jjj")</f>
        <v>dim</v>
      </c>
      <c r="O5" s="1" t="str">
        <f>TEXT(WEEKDAY(DATE(AnnéeCalendrier,5,13),1),"jjj")</f>
        <v>lun</v>
      </c>
      <c r="P5" s="1" t="str">
        <f>TEXT(WEEKDAY(DATE(AnnéeCalendrier,5,14),1),"jjj")</f>
        <v>mar</v>
      </c>
      <c r="Q5" s="1" t="str">
        <f>TEXT(WEEKDAY(DATE(AnnéeCalendrier,5,15),1),"jjj")</f>
        <v>mer</v>
      </c>
      <c r="R5" s="1" t="str">
        <f>TEXT(WEEKDAY(DATE(AnnéeCalendrier,5,16),1),"jjj")</f>
        <v>jeu</v>
      </c>
      <c r="S5" s="1" t="str">
        <f>TEXT(WEEKDAY(DATE(AnnéeCalendrier,5,17),1),"jjj")</f>
        <v>ven</v>
      </c>
      <c r="T5" s="1" t="str">
        <f>TEXT(WEEKDAY(DATE(AnnéeCalendrier,5,18),1),"jjj")</f>
        <v>sam</v>
      </c>
      <c r="U5" s="1" t="str">
        <f>TEXT(WEEKDAY(DATE(AnnéeCalendrier,5,19),1),"jjj")</f>
        <v>dim</v>
      </c>
      <c r="V5" s="1" t="str">
        <f>TEXT(WEEKDAY(DATE(AnnéeCalendrier,5,20),1),"jjj")</f>
        <v>lun</v>
      </c>
      <c r="W5" s="1" t="str">
        <f>TEXT(WEEKDAY(DATE(AnnéeCalendrier,5,21),1),"jjj")</f>
        <v>mar</v>
      </c>
      <c r="X5" s="1" t="str">
        <f>TEXT(WEEKDAY(DATE(AnnéeCalendrier,5,22),1),"jjj")</f>
        <v>mer</v>
      </c>
      <c r="Y5" s="1" t="str">
        <f>TEXT(WEEKDAY(DATE(AnnéeCalendrier,5,23),1),"jjj")</f>
        <v>jeu</v>
      </c>
      <c r="Z5" s="1" t="str">
        <f>TEXT(WEEKDAY(DATE(AnnéeCalendrier,5,24),1),"jjj")</f>
        <v>ven</v>
      </c>
      <c r="AA5" s="1" t="str">
        <f>TEXT(WEEKDAY(DATE(AnnéeCalendrier,5,25),1),"jjj")</f>
        <v>sam</v>
      </c>
      <c r="AB5" s="1" t="str">
        <f>TEXT(WEEKDAY(DATE(AnnéeCalendrier,5,26),1),"jjj")</f>
        <v>dim</v>
      </c>
      <c r="AC5" s="1" t="str">
        <f>TEXT(WEEKDAY(DATE(AnnéeCalendrier,5,27),1),"jjj")</f>
        <v>lun</v>
      </c>
      <c r="AD5" s="1" t="str">
        <f>TEXT(WEEKDAY(DATE(AnnéeCalendrier,5,28),1),"jjj")</f>
        <v>mar</v>
      </c>
      <c r="AE5" s="1" t="str">
        <f>TEXT(WEEKDAY(DATE(AnnéeCalendrier,5,29),1),"jjj")</f>
        <v>mer</v>
      </c>
      <c r="AF5" s="1" t="str">
        <f>TEXT(WEEKDAY(DATE(AnnéeCalendrier,5,30),1),"jjj")</f>
        <v>jeu</v>
      </c>
      <c r="AG5" s="1" t="str">
        <f>TEXT(WEEKDAY(DATE(AnnéeCalendrier,5,31),1),"jjj")</f>
        <v>ven</v>
      </c>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SUMPRODUCT(--(Mai[[#This Row],[1]:[31]]=LEFT(Mai[[#Headers],[Travaillé]],1)))</f>
        <v>0</v>
      </c>
      <c r="AI7" s="24">
        <f>SUMPRODUCT(--(Mai[[#This Row],[1]:[31]]=LEFT(Mai[[#Headers],[Congés]],1)))</f>
        <v>0</v>
      </c>
      <c r="AJ7" s="24">
        <f>SUMPRODUCT(--(Mai[[#This Row],[1]:[31]]=LEFT(Mai[[#Headers],[Maladie]],1)))</f>
        <v>0</v>
      </c>
      <c r="AK7" s="24">
        <f>SUMPRODUCT(--(Mai[[#This Row],[1]:[31]]=LEFT(Mai[[#Headers],[Repas]],1)))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SUMPRODUCT(--(Mai[[#This Row],[1]:[31]]=LEFT(Mai[[#Headers],[Travaillé]],1)))</f>
        <v>0</v>
      </c>
      <c r="AI8" s="24">
        <f>SUMPRODUCT(--(Mai[[#This Row],[1]:[31]]=LEFT(Mai[[#Headers],[Congés]],1)))</f>
        <v>0</v>
      </c>
      <c r="AJ8" s="24">
        <f>SUMPRODUCT(--(Mai[[#This Row],[1]:[31]]=LEFT(Mai[[#Headers],[Maladie]],1)))</f>
        <v>0</v>
      </c>
      <c r="AK8" s="24">
        <f>SUMPRODUCT(--(Mai[[#This Row],[1]:[31]]=LEFT(Mai[[#Headers],[Repas]],1)))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SUMPRODUCT(--(Mai[[#This Row],[1]:[31]]=LEFT(Mai[[#Headers],[Travaillé]],1)))</f>
        <v>0</v>
      </c>
      <c r="AI9" s="24">
        <f>SUMPRODUCT(--(Mai[[#This Row],[1]:[31]]=LEFT(Mai[[#Headers],[Congés]],1)))</f>
        <v>0</v>
      </c>
      <c r="AJ9" s="24">
        <f>SUMPRODUCT(--(Mai[[#This Row],[1]:[31]]=LEFT(Mai[[#Headers],[Maladie]],1)))</f>
        <v>0</v>
      </c>
      <c r="AK9" s="24">
        <f>SUMPRODUCT(--(Mai[[#This Row],[1]:[31]]=LEFT(Mai[[#Headers],[Repas]],1)))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SUMPRODUCT(--(Mai[[#This Row],[1]:[31]]=LEFT(Mai[[#Headers],[Travaillé]],1)))</f>
        <v>0</v>
      </c>
      <c r="AI10" s="24">
        <f>SUMPRODUCT(--(Mai[[#This Row],[1]:[31]]=LEFT(Mai[[#Headers],[Congés]],1)))</f>
        <v>0</v>
      </c>
      <c r="AJ10" s="24">
        <f>SUMPRODUCT(--(Mai[[#This Row],[1]:[31]]=LEFT(Mai[[#Headers],[Maladie]],1)))</f>
        <v>0</v>
      </c>
      <c r="AK10" s="24">
        <f>SUMPRODUCT(--(Mai[[#This Row],[1]:[31]]=LEFT(Mai[[#Headers],[Repas]],1)))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SUMPRODUCT(--(Mai[[#This Row],[1]:[31]]=LEFT(Mai[[#Headers],[Travaillé]],1)))</f>
        <v>0</v>
      </c>
      <c r="AI11" s="24">
        <f>SUMPRODUCT(--(Mai[[#This Row],[1]:[31]]=LEFT(Mai[[#Headers],[Congés]],1)))</f>
        <v>0</v>
      </c>
      <c r="AJ11" s="24">
        <f>SUMPRODUCT(--(Mai[[#This Row],[1]:[31]]=LEFT(Mai[[#Headers],[Maladie]],1)))</f>
        <v>0</v>
      </c>
      <c r="AK11" s="24">
        <f>SUMPRODUCT(--(Mai[[#This Row],[1]:[31]]=LEFT(Mai[[#Headers],[Repas]],1)))</f>
        <v>0</v>
      </c>
    </row>
    <row r="12" spans="2:37" ht="30" customHeight="1" x14ac:dyDescent="0.3">
      <c r="B12" s="15" t="str">
        <f>Janvier!B12</f>
        <v>Employé 5</v>
      </c>
      <c r="AH12" s="24">
        <f>SUMPRODUCT(--(Mai[[#This Row],[1]:[31]]=LEFT(Mai[[#Headers],[Travaillé]],1)))</f>
        <v>0</v>
      </c>
      <c r="AI12" s="24">
        <f>SUMPRODUCT(--(Mai[[#This Row],[1]:[31]]=LEFT(Mai[[#Headers],[Congés]],1)))</f>
        <v>0</v>
      </c>
      <c r="AJ12" s="24">
        <f>SUMPRODUCT(--(Mai[[#This Row],[1]:[31]]=LEFT(Mai[[#Headers],[Maladie]],1)))</f>
        <v>0</v>
      </c>
      <c r="AK12" s="24">
        <f>SUMPRODUCT(--(Mai[[#This Row],[1]:[31]]=LEFT(Mai[[#Headers],[Repas]],1)))</f>
        <v>0</v>
      </c>
    </row>
    <row r="13" spans="2:37" ht="30" customHeight="1" thickBot="1" x14ac:dyDescent="0.35"/>
    <row r="14" spans="2:37" ht="30" customHeight="1" thickBot="1" x14ac:dyDescent="0.35">
      <c r="AB14" s="48" t="s">
        <v>53</v>
      </c>
      <c r="AC14" s="49"/>
      <c r="AD14" s="49"/>
      <c r="AE14" s="49"/>
      <c r="AF14" s="49"/>
      <c r="AG14" s="50"/>
      <c r="AH14" s="34">
        <f>SUM(AH7:AH13)</f>
        <v>0</v>
      </c>
      <c r="AI14" s="32">
        <f>SUM(AI7:AI13)</f>
        <v>0</v>
      </c>
      <c r="AJ14" s="32">
        <f>SUM(AJ7:AJ13)</f>
        <v>0</v>
      </c>
      <c r="AK14" s="33">
        <f>SUM(AK7:AK13)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639" priority="6" stopIfTrue="1">
      <formula>C7=CléPanier_Repas</formula>
    </cfRule>
    <cfRule type="expression" dxfId="638" priority="7" stopIfTrue="1">
      <formula>C7=CléPersonnalisée1</formula>
    </cfRule>
    <cfRule type="expression" dxfId="637" priority="8" stopIfTrue="1">
      <formula>C7=CléMaladie</formula>
    </cfRule>
    <cfRule type="expression" dxfId="636" priority="9" stopIfTrue="1">
      <formula>C7=CléCongés</formula>
    </cfRule>
    <cfRule type="expression" dxfId="63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{9FC23B1E-DC8C-4C16-959E-87048B632E9E}</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FC23B1E-DC8C-4C16-959E-87048B632E9E}">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K14"/>
  <sheetViews>
    <sheetView showGridLines="0" topLeftCell="C1" workbookViewId="0">
      <selection activeCell="W9" sqref="W9"/>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60</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TEXT(WEEKDAY(DATE(AnnéeCalendrier,6,1),1),"jjj")</f>
        <v>sam</v>
      </c>
      <c r="D5" s="1" t="str">
        <f>TEXT(WEEKDAY(DATE(AnnéeCalendrier,6,2),1),"jjj")</f>
        <v>dim</v>
      </c>
      <c r="E5" s="1" t="str">
        <f>TEXT(WEEKDAY(DATE(AnnéeCalendrier,6,3),1),"jjj")</f>
        <v>lun</v>
      </c>
      <c r="F5" s="1" t="str">
        <f>TEXT(WEEKDAY(DATE(AnnéeCalendrier,6,4),1),"jjj")</f>
        <v>mar</v>
      </c>
      <c r="G5" s="1" t="str">
        <f>TEXT(WEEKDAY(DATE(AnnéeCalendrier,6,5),1),"jjj")</f>
        <v>mer</v>
      </c>
      <c r="H5" s="1" t="str">
        <f>TEXT(WEEKDAY(DATE(AnnéeCalendrier,6,6),1),"jjj")</f>
        <v>jeu</v>
      </c>
      <c r="I5" s="1" t="str">
        <f>TEXT(WEEKDAY(DATE(AnnéeCalendrier,6,7),1),"jjj")</f>
        <v>ven</v>
      </c>
      <c r="J5" s="1" t="str">
        <f>TEXT(WEEKDAY(DATE(AnnéeCalendrier,6,8),1),"jjj")</f>
        <v>sam</v>
      </c>
      <c r="K5" s="1" t="str">
        <f>TEXT(WEEKDAY(DATE(AnnéeCalendrier,6,9),1),"jjj")</f>
        <v>dim</v>
      </c>
      <c r="L5" s="1" t="str">
        <f>TEXT(WEEKDAY(DATE(AnnéeCalendrier,6,10),1),"jjj")</f>
        <v>lun</v>
      </c>
      <c r="M5" s="1" t="str">
        <f>TEXT(WEEKDAY(DATE(AnnéeCalendrier,6,11),1),"jjj")</f>
        <v>mar</v>
      </c>
      <c r="N5" s="1" t="str">
        <f>TEXT(WEEKDAY(DATE(AnnéeCalendrier,6,12),1),"jjj")</f>
        <v>mer</v>
      </c>
      <c r="O5" s="1" t="str">
        <f>TEXT(WEEKDAY(DATE(AnnéeCalendrier,6,13),1),"jjj")</f>
        <v>jeu</v>
      </c>
      <c r="P5" s="1" t="str">
        <f>TEXT(WEEKDAY(DATE(AnnéeCalendrier,6,14),1),"jjj")</f>
        <v>ven</v>
      </c>
      <c r="Q5" s="1" t="str">
        <f>TEXT(WEEKDAY(DATE(AnnéeCalendrier,6,15),1),"jjj")</f>
        <v>sam</v>
      </c>
      <c r="R5" s="1" t="str">
        <f>TEXT(WEEKDAY(DATE(AnnéeCalendrier,6,16),1),"jjj")</f>
        <v>dim</v>
      </c>
      <c r="S5" s="1" t="str">
        <f>TEXT(WEEKDAY(DATE(AnnéeCalendrier,6,17),1),"jjj")</f>
        <v>lun</v>
      </c>
      <c r="T5" s="1" t="str">
        <f>TEXT(WEEKDAY(DATE(AnnéeCalendrier,6,18),1),"jjj")</f>
        <v>mar</v>
      </c>
      <c r="U5" s="1" t="str">
        <f>TEXT(WEEKDAY(DATE(AnnéeCalendrier,6,19),1),"jjj")</f>
        <v>mer</v>
      </c>
      <c r="V5" s="1" t="str">
        <f>TEXT(WEEKDAY(DATE(AnnéeCalendrier,6,20),1),"jjj")</f>
        <v>jeu</v>
      </c>
      <c r="W5" s="1" t="str">
        <f>TEXT(WEEKDAY(DATE(AnnéeCalendrier,6,21),1),"jjj")</f>
        <v>ven</v>
      </c>
      <c r="X5" s="1" t="str">
        <f>TEXT(WEEKDAY(DATE(AnnéeCalendrier,6,22),1),"jjj")</f>
        <v>sam</v>
      </c>
      <c r="Y5" s="1" t="str">
        <f>TEXT(WEEKDAY(DATE(AnnéeCalendrier,6,23),1),"jjj")</f>
        <v>dim</v>
      </c>
      <c r="Z5" s="1" t="str">
        <f>TEXT(WEEKDAY(DATE(AnnéeCalendrier,6,24),1),"jjj")</f>
        <v>lun</v>
      </c>
      <c r="AA5" s="1" t="str">
        <f>TEXT(WEEKDAY(DATE(AnnéeCalendrier,6,25),1),"jjj")</f>
        <v>mar</v>
      </c>
      <c r="AB5" s="1" t="str">
        <f>TEXT(WEEKDAY(DATE(AnnéeCalendrier,6,26),1),"jjj")</f>
        <v>mer</v>
      </c>
      <c r="AC5" s="1" t="str">
        <f>TEXT(WEEKDAY(DATE(AnnéeCalendrier,6,27),1),"jjj")</f>
        <v>jeu</v>
      </c>
      <c r="AD5" s="1" t="str">
        <f>TEXT(WEEKDAY(DATE(AnnéeCalendrier,6,28),1),"jjj")</f>
        <v>ven</v>
      </c>
      <c r="AE5" s="1" t="str">
        <f>TEXT(WEEKDAY(DATE(AnnéeCalendrier,6,29),1),"jjj")</f>
        <v>sam</v>
      </c>
      <c r="AF5" s="1" t="str">
        <f>TEXT(WEEKDAY(DATE(AnnéeCalendrier,6,30),1),"jjj")</f>
        <v>dim</v>
      </c>
      <c r="AG5" s="1"/>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52</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SUMPRODUCT(--(Juin[[#This Row],[1]:[30]]=LEFT(Juin[[#Headers],[Travaillé]],1)))</f>
        <v>0</v>
      </c>
      <c r="AI7" s="24">
        <f>SUMPRODUCT(--(Juin[[#This Row],[1]:[30]]=LEFT(Juin[[#Headers],[Congés]],1)))</f>
        <v>0</v>
      </c>
      <c r="AJ7" s="24">
        <f>SUMPRODUCT(--(Juin[[#This Row],[1]:[30]]=LEFT(Juin[[#Headers],[Maladie]],1)))</f>
        <v>0</v>
      </c>
      <c r="AK7" s="24">
        <f>SUMPRODUCT(--(Juin[[#This Row],[1]:[30]]=LEFT(Juin[[#Headers],[Repas]],1)))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SUMPRODUCT(--(Juin[[#This Row],[1]:[30]]=LEFT(Juin[[#Headers],[Travaillé]],1)))</f>
        <v>0</v>
      </c>
      <c r="AI8" s="24">
        <f>SUMPRODUCT(--(Juin[[#This Row],[1]:[30]]=LEFT(Juin[[#Headers],[Congés]],1)))</f>
        <v>0</v>
      </c>
      <c r="AJ8" s="24">
        <f>SUMPRODUCT(--(Juin[[#This Row],[1]:[30]]=LEFT(Juin[[#Headers],[Maladie]],1)))</f>
        <v>0</v>
      </c>
      <c r="AK8" s="24">
        <f>SUMPRODUCT(--(Juin[[#This Row],[1]:[30]]=LEFT(Juin[[#Headers],[Repas]],1)))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SUMPRODUCT(--(Juin[[#This Row],[1]:[30]]=LEFT(Juin[[#Headers],[Travaillé]],1)))</f>
        <v>0</v>
      </c>
      <c r="AI9" s="24">
        <f>SUMPRODUCT(--(Juin[[#This Row],[1]:[30]]=LEFT(Juin[[#Headers],[Congés]],1)))</f>
        <v>0</v>
      </c>
      <c r="AJ9" s="24">
        <f>SUMPRODUCT(--(Juin[[#This Row],[1]:[30]]=LEFT(Juin[[#Headers],[Maladie]],1)))</f>
        <v>0</v>
      </c>
      <c r="AK9" s="24">
        <f>SUMPRODUCT(--(Juin[[#This Row],[1]:[30]]=LEFT(Juin[[#Headers],[Repas]],1)))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SUMPRODUCT(--(Juin[[#This Row],[1]:[30]]=LEFT(Juin[[#Headers],[Travaillé]],1)))</f>
        <v>0</v>
      </c>
      <c r="AI10" s="24">
        <f>SUMPRODUCT(--(Juin[[#This Row],[1]:[30]]=LEFT(Juin[[#Headers],[Congés]],1)))</f>
        <v>0</v>
      </c>
      <c r="AJ10" s="24">
        <f>SUMPRODUCT(--(Juin[[#This Row],[1]:[30]]=LEFT(Juin[[#Headers],[Maladie]],1)))</f>
        <v>0</v>
      </c>
      <c r="AK10" s="24">
        <f>SUMPRODUCT(--(Juin[[#This Row],[1]:[30]]=LEFT(Juin[[#Headers],[Repas]],1)))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SUMPRODUCT(--(Juin[[#This Row],[1]:[30]]=LEFT(Juin[[#Headers],[Travaillé]],1)))</f>
        <v>0</v>
      </c>
      <c r="AI11" s="24">
        <f>SUMPRODUCT(--(Juin[[#This Row],[1]:[30]]=LEFT(Juin[[#Headers],[Congés]],1)))</f>
        <v>0</v>
      </c>
      <c r="AJ11" s="24">
        <f>SUMPRODUCT(--(Juin[[#This Row],[1]:[30]]=LEFT(Juin[[#Headers],[Maladie]],1)))</f>
        <v>0</v>
      </c>
      <c r="AK11" s="24">
        <f>SUMPRODUCT(--(Juin[[#This Row],[1]:[30]]=LEFT(Juin[[#Headers],[Repas]],1)))</f>
        <v>0</v>
      </c>
    </row>
    <row r="12" spans="2:37" ht="30" customHeight="1" x14ac:dyDescent="0.3">
      <c r="B12" s="15" t="str">
        <f>Janvier!B12</f>
        <v>Employé 5</v>
      </c>
      <c r="AH12" s="24">
        <f>SUMPRODUCT(--(Juin[[#This Row],[1]:[30]]=LEFT(Juin[[#Headers],[Travaillé]],1)))</f>
        <v>0</v>
      </c>
      <c r="AI12" s="24">
        <f>SUMPRODUCT(--(Juin[[#This Row],[1]:[30]]=LEFT(Juin[[#Headers],[Congés]],1)))</f>
        <v>0</v>
      </c>
      <c r="AJ12" s="24">
        <f>SUMPRODUCT(--(Juin[[#This Row],[1]:[30]]=LEFT(Juin[[#Headers],[Maladie]],1)))</f>
        <v>0</v>
      </c>
      <c r="AK12" s="24">
        <f>SUMPRODUCT(--(Juin[[#This Row],[1]:[30]]=LEFT(Juin[[#Headers],[Repas]],1)))</f>
        <v>0</v>
      </c>
    </row>
    <row r="13" spans="2:37" ht="30" customHeight="1" thickBot="1" x14ac:dyDescent="0.35"/>
    <row r="14" spans="2:37" ht="30" customHeight="1" thickBot="1" x14ac:dyDescent="0.35">
      <c r="AB14" s="57" t="s">
        <v>53</v>
      </c>
      <c r="AC14" s="58"/>
      <c r="AD14" s="58"/>
      <c r="AE14" s="58"/>
      <c r="AF14" s="58"/>
      <c r="AG14" s="59"/>
      <c r="AH14" s="34">
        <f>SUM(AH6:AH13)</f>
        <v>0</v>
      </c>
      <c r="AI14" s="32">
        <f>SUM(AI6:AI13)</f>
        <v>0</v>
      </c>
      <c r="AJ14" s="32">
        <f>SUM(AJ6:AJ13)</f>
        <v>0</v>
      </c>
      <c r="AK14" s="33">
        <f>SUM(AK6:AK13)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559" priority="6" stopIfTrue="1">
      <formula>C7=CléPanier_Repas</formula>
    </cfRule>
    <cfRule type="expression" dxfId="558" priority="7" stopIfTrue="1">
      <formula>C7=CléPersonnalisée1</formula>
    </cfRule>
    <cfRule type="expression" dxfId="557" priority="8" stopIfTrue="1">
      <formula>C7=CléMaladie</formula>
    </cfRule>
    <cfRule type="expression" dxfId="556" priority="9" stopIfTrue="1">
      <formula>C7=CléCongés</formula>
    </cfRule>
    <cfRule type="expression" dxfId="55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{4FFD64DD-FBD9-48FC-9D1F-D631E8A74598}</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FFD64DD-FBD9-48FC-9D1F-D631E8A74598}">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K15"/>
  <sheetViews>
    <sheetView showGridLines="0" topLeftCell="D1" workbookViewId="0">
      <selection activeCell="Z14" sqref="Z14"/>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61</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TEXT(WEEKDAY(DATE(AnnéeCalendrier,7,1),1),"jjj")</f>
        <v>lun</v>
      </c>
      <c r="D5" s="1" t="str">
        <f>TEXT(WEEKDAY(DATE(AnnéeCalendrier,7,2),1),"jjj")</f>
        <v>mar</v>
      </c>
      <c r="E5" s="1" t="str">
        <f>TEXT(WEEKDAY(DATE(AnnéeCalendrier,7,3),1),"jjj")</f>
        <v>mer</v>
      </c>
      <c r="F5" s="1" t="str">
        <f>TEXT(WEEKDAY(DATE(AnnéeCalendrier,7,4),1),"jjj")</f>
        <v>jeu</v>
      </c>
      <c r="G5" s="1" t="str">
        <f>TEXT(WEEKDAY(DATE(AnnéeCalendrier,7,5),1),"jjj")</f>
        <v>ven</v>
      </c>
      <c r="H5" s="1" t="str">
        <f>TEXT(WEEKDAY(DATE(AnnéeCalendrier,7,6),1),"jjj")</f>
        <v>sam</v>
      </c>
      <c r="I5" s="1" t="str">
        <f>TEXT(WEEKDAY(DATE(AnnéeCalendrier,7,7),1),"jjj")</f>
        <v>dim</v>
      </c>
      <c r="J5" s="1" t="str">
        <f>TEXT(WEEKDAY(DATE(AnnéeCalendrier,7,8),1),"jjj")</f>
        <v>lun</v>
      </c>
      <c r="K5" s="1" t="str">
        <f>TEXT(WEEKDAY(DATE(AnnéeCalendrier,7,9),1),"jjj")</f>
        <v>mar</v>
      </c>
      <c r="L5" s="1" t="str">
        <f>TEXT(WEEKDAY(DATE(AnnéeCalendrier,7,10),1),"jjj")</f>
        <v>mer</v>
      </c>
      <c r="M5" s="1" t="str">
        <f>TEXT(WEEKDAY(DATE(AnnéeCalendrier,7,11),1),"jjj")</f>
        <v>jeu</v>
      </c>
      <c r="N5" s="1" t="str">
        <f>TEXT(WEEKDAY(DATE(AnnéeCalendrier,7,12),1),"jjj")</f>
        <v>ven</v>
      </c>
      <c r="O5" s="1" t="str">
        <f>TEXT(WEEKDAY(DATE(AnnéeCalendrier,7,13),1),"jjj")</f>
        <v>sam</v>
      </c>
      <c r="P5" s="1" t="str">
        <f>TEXT(WEEKDAY(DATE(AnnéeCalendrier,7,14),1),"jjj")</f>
        <v>dim</v>
      </c>
      <c r="Q5" s="1" t="str">
        <f>TEXT(WEEKDAY(DATE(AnnéeCalendrier,7,15),1),"jjj")</f>
        <v>lun</v>
      </c>
      <c r="R5" s="1" t="str">
        <f>TEXT(WEEKDAY(DATE(AnnéeCalendrier,7,16),1),"jjj")</f>
        <v>mar</v>
      </c>
      <c r="S5" s="1" t="str">
        <f>TEXT(WEEKDAY(DATE(AnnéeCalendrier,7,17),1),"jjj")</f>
        <v>mer</v>
      </c>
      <c r="T5" s="1" t="str">
        <f>TEXT(WEEKDAY(DATE(AnnéeCalendrier,7,18),1),"jjj")</f>
        <v>jeu</v>
      </c>
      <c r="U5" s="1" t="str">
        <f>TEXT(WEEKDAY(DATE(AnnéeCalendrier,7,19),1),"jjj")</f>
        <v>ven</v>
      </c>
      <c r="V5" s="1" t="str">
        <f>TEXT(WEEKDAY(DATE(AnnéeCalendrier,7,20),1),"jjj")</f>
        <v>sam</v>
      </c>
      <c r="W5" s="1" t="str">
        <f>TEXT(WEEKDAY(DATE(AnnéeCalendrier,7,21),1),"jjj")</f>
        <v>dim</v>
      </c>
      <c r="X5" s="1" t="str">
        <f>TEXT(WEEKDAY(DATE(AnnéeCalendrier,7,22),1),"jjj")</f>
        <v>lun</v>
      </c>
      <c r="Y5" s="1" t="str">
        <f>TEXT(WEEKDAY(DATE(AnnéeCalendrier,7,23),1),"jjj")</f>
        <v>mar</v>
      </c>
      <c r="Z5" s="1" t="str">
        <f>TEXT(WEEKDAY(DATE(AnnéeCalendrier,7,24),1),"jjj")</f>
        <v>mer</v>
      </c>
      <c r="AA5" s="1" t="str">
        <f>TEXT(WEEKDAY(DATE(AnnéeCalendrier,7,25),1),"jjj")</f>
        <v>jeu</v>
      </c>
      <c r="AB5" s="1" t="str">
        <f>TEXT(WEEKDAY(DATE(AnnéeCalendrier,7,26),1),"jjj")</f>
        <v>ven</v>
      </c>
      <c r="AC5" s="1" t="str">
        <f>TEXT(WEEKDAY(DATE(AnnéeCalendrier,7,27),1),"jjj")</f>
        <v>sam</v>
      </c>
      <c r="AD5" s="1" t="str">
        <f>TEXT(WEEKDAY(DATE(AnnéeCalendrier,7,28),1),"jjj")</f>
        <v>dim</v>
      </c>
      <c r="AE5" s="1" t="str">
        <f>TEXT(WEEKDAY(DATE(AnnéeCalendrier,7,29),1),"jjj")</f>
        <v>lun</v>
      </c>
      <c r="AF5" s="1" t="str">
        <f>TEXT(WEEKDAY(DATE(AnnéeCalendrier,7,30),1),"jjj")</f>
        <v>mar</v>
      </c>
      <c r="AG5" s="1" t="str">
        <f>TEXT(WEEKDAY(DATE(AnnéeCalendrier,7,31),1),"jjj")</f>
        <v>mer</v>
      </c>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SUMPRODUCT(--(Juillet[[#This Row],[1]:[31]]=LEFT(Juillet[[#Headers],[Travaillé]],1)))</f>
        <v>0</v>
      </c>
      <c r="AI7" s="24">
        <f>SUMPRODUCT(--(Juillet[[#This Row],[1]:[31]]=LEFT(Juillet[[#Headers],[Congés]],1)))</f>
        <v>0</v>
      </c>
      <c r="AJ7" s="24">
        <f>SUMPRODUCT(--(Juillet[[#This Row],[1]:[31]]=LEFT(Juillet[[#Headers],[Maladie]],1)))</f>
        <v>0</v>
      </c>
      <c r="AK7" s="24">
        <f>SUMPRODUCT(--(Juillet[[#This Row],[1]:[31]]=LEFT(Juillet[[#Headers],[Repas]],1)))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SUMPRODUCT(--(Juillet[[#This Row],[1]:[31]]=LEFT(Juillet[[#Headers],[Travaillé]],1)))</f>
        <v>0</v>
      </c>
      <c r="AI8" s="24">
        <f>SUMPRODUCT(--(Juillet[[#This Row],[1]:[31]]=LEFT(Juillet[[#Headers],[Congés]],1)))</f>
        <v>0</v>
      </c>
      <c r="AJ8" s="24">
        <f>SUMPRODUCT(--(Juillet[[#This Row],[1]:[31]]=LEFT(Juillet[[#Headers],[Maladie]],1)))</f>
        <v>0</v>
      </c>
      <c r="AK8" s="24">
        <f>SUMPRODUCT(--(Juillet[[#This Row],[1]:[31]]=LEFT(Juillet[[#Headers],[Repas]],1)))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SUMPRODUCT(--(Juillet[[#This Row],[1]:[31]]=LEFT(Juillet[[#Headers],[Travaillé]],1)))</f>
        <v>0</v>
      </c>
      <c r="AI9" s="24">
        <f>SUMPRODUCT(--(Juillet[[#This Row],[1]:[31]]=LEFT(Juillet[[#Headers],[Congés]],1)))</f>
        <v>0</v>
      </c>
      <c r="AJ9" s="24">
        <f>SUMPRODUCT(--(Juillet[[#This Row],[1]:[31]]=LEFT(Juillet[[#Headers],[Maladie]],1)))</f>
        <v>0</v>
      </c>
      <c r="AK9" s="24">
        <f>SUMPRODUCT(--(Juillet[[#This Row],[1]:[31]]=LEFT(Juillet[[#Headers],[Repas]],1)))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SUMPRODUCT(--(Juillet[[#This Row],[1]:[31]]=LEFT(Juillet[[#Headers],[Travaillé]],1)))</f>
        <v>0</v>
      </c>
      <c r="AI10" s="24">
        <f>SUMPRODUCT(--(Juillet[[#This Row],[1]:[31]]=LEFT(Juillet[[#Headers],[Congés]],1)))</f>
        <v>0</v>
      </c>
      <c r="AJ10" s="24">
        <f>SUMPRODUCT(--(Juillet[[#This Row],[1]:[31]]=LEFT(Juillet[[#Headers],[Maladie]],1)))</f>
        <v>0</v>
      </c>
      <c r="AK10" s="24">
        <f>SUMPRODUCT(--(Juillet[[#This Row],[1]:[31]]=LEFT(Juillet[[#Headers],[Repas]],1)))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SUMPRODUCT(--(Juillet[[#This Row],[1]:[31]]=LEFT(Juillet[[#Headers],[Travaillé]],1)))</f>
        <v>0</v>
      </c>
      <c r="AI11" s="24">
        <f>SUMPRODUCT(--(Juillet[[#This Row],[1]:[31]]=LEFT(Juillet[[#Headers],[Congés]],1)))</f>
        <v>0</v>
      </c>
      <c r="AJ11" s="24">
        <f>SUMPRODUCT(--(Juillet[[#This Row],[1]:[31]]=LEFT(Juillet[[#Headers],[Maladie]],1)))</f>
        <v>0</v>
      </c>
      <c r="AK11" s="24">
        <f>SUMPRODUCT(--(Juillet[[#This Row],[1]:[31]]=LEFT(Juillet[[#Headers],[Repas]],1)))</f>
        <v>0</v>
      </c>
    </row>
    <row r="12" spans="2:37" ht="30" customHeight="1" x14ac:dyDescent="0.3">
      <c r="B12" s="15" t="str">
        <f>Janvier!B12</f>
        <v>Employé 5</v>
      </c>
      <c r="AH12" s="24">
        <f>SUMPRODUCT(--(Juillet[[#This Row],[1]:[31]]=LEFT(Juillet[[#Headers],[Travaillé]],1)))</f>
        <v>0</v>
      </c>
      <c r="AI12" s="24">
        <f>SUMPRODUCT(--(Juillet[[#This Row],[1]:[31]]=LEFT(Juillet[[#Headers],[Congés]],1)))</f>
        <v>0</v>
      </c>
      <c r="AJ12" s="24">
        <f>SUMPRODUCT(--(Juillet[[#This Row],[1]:[31]]=LEFT(Juillet[[#Headers],[Maladie]],1)))</f>
        <v>0</v>
      </c>
      <c r="AK12" s="24">
        <f>SUMPRODUCT(--(Juillet[[#This Row],[1]:[31]]=LEFT(Juillet[[#Headers],[Repas]],1)))</f>
        <v>0</v>
      </c>
    </row>
    <row r="13" spans="2:37" ht="30" customHeight="1" x14ac:dyDescent="0.3">
      <c r="B13" s="15" t="str">
        <f>Janvier!B13</f>
        <v>Employé 6</v>
      </c>
      <c r="AH13" s="24">
        <f>SUMPRODUCT(--(Juillet[[#This Row],[1]:[31]]=LEFT(Juillet[[#Headers],[Travaillé]],1)))</f>
        <v>0</v>
      </c>
      <c r="AI13" s="24">
        <f>SUMPRODUCT(--(Juillet[[#This Row],[1]:[31]]=LEFT(Juillet[[#Headers],[Congés]],1)))</f>
        <v>0</v>
      </c>
      <c r="AJ13" s="24">
        <f>SUMPRODUCT(--(Juillet[[#This Row],[1]:[31]]=LEFT(Juillet[[#Headers],[Maladie]],1)))</f>
        <v>0</v>
      </c>
      <c r="AK13" s="24">
        <f>SUMPRODUCT(--(Juillet[[#This Row],[1]:[31]]=LEFT(Juillet[[#Headers],[Repas]],1)))</f>
        <v>0</v>
      </c>
    </row>
    <row r="14" spans="2:37" ht="30" customHeight="1" thickBot="1" x14ac:dyDescent="0.35"/>
    <row r="15" spans="2:37" ht="30" customHeight="1" thickBot="1" x14ac:dyDescent="0.35">
      <c r="AB15" s="57" t="s">
        <v>53</v>
      </c>
      <c r="AC15" s="58"/>
      <c r="AD15" s="58"/>
      <c r="AE15" s="58"/>
      <c r="AF15" s="58"/>
      <c r="AG15" s="59"/>
      <c r="AH15" s="34">
        <f>SUM(AH7:AH14)</f>
        <v>0</v>
      </c>
      <c r="AI15" s="32">
        <f>SUM(AI7:AI14)</f>
        <v>0</v>
      </c>
      <c r="AJ15" s="32">
        <f>SUM(AJ7:AJ14)</f>
        <v>0</v>
      </c>
      <c r="AK15" s="33">
        <f>SUM(AK7:AK14)</f>
        <v>0</v>
      </c>
    </row>
  </sheetData>
  <mergeCells count="7">
    <mergeCell ref="AB15:AG15"/>
    <mergeCell ref="Q2:S2"/>
    <mergeCell ref="C4:AG4"/>
    <mergeCell ref="D2:E2"/>
    <mergeCell ref="K2:L2"/>
    <mergeCell ref="G2:H2"/>
    <mergeCell ref="N2:O2"/>
  </mergeCells>
  <conditionalFormatting sqref="C7:AG13">
    <cfRule type="expression" priority="5" stopIfTrue="1">
      <formula>C7=""</formula>
    </cfRule>
  </conditionalFormatting>
  <conditionalFormatting sqref="C7:AG13">
    <cfRule type="expression" dxfId="479" priority="6" stopIfTrue="1">
      <formula>C7=CléPanier_Repas</formula>
    </cfRule>
    <cfRule type="expression" dxfId="478" priority="7" stopIfTrue="1">
      <formula>C7=CléPersonnalisée1</formula>
    </cfRule>
    <cfRule type="expression" dxfId="477" priority="8" stopIfTrue="1">
      <formula>C7=CléMaladie</formula>
    </cfRule>
    <cfRule type="expression" dxfId="476" priority="9" stopIfTrue="1">
      <formula>C7=CléCongés</formula>
    </cfRule>
    <cfRule type="expression" dxfId="475" priority="10" stopIfTrue="1">
      <formula>C7=CléTravail</formula>
    </cfRule>
  </conditionalFormatting>
  <conditionalFormatting sqref="AH7:AK13">
    <cfRule type="dataBar" priority="1">
      <dataBar>
        <cfvo type="num" val="0"/>
        <cfvo type="num" val="31"/>
        <color theme="2" tint="-0.249977111117893"/>
      </dataBar>
      <extLst>
        <ext xmlns:x14="http://schemas.microsoft.com/office/spreadsheetml/2009/9/main" uri="{B025F937-C7B1-47D3-B67F-A62EFF666E3E}">
          <x14:id>{4F815EC5-870B-4923-9933-BD683D476BBB}</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F815EC5-870B-4923-9933-BD683D476BBB}">
            <x14:dataBar minLength="0" maxLength="100">
              <x14:cfvo type="num">
                <xm:f>0</xm:f>
              </x14:cfvo>
              <x14:cfvo type="num">
                <xm:f>31</xm:f>
              </x14:cfvo>
              <x14:negativeFillColor rgb="FFFF0000"/>
              <x14:axisColor rgb="FF000000"/>
            </x14:dataBar>
          </x14:cfRule>
          <xm:sqref>AH7:AK13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K14"/>
  <sheetViews>
    <sheetView showGridLines="0" topLeftCell="D1" workbookViewId="0">
      <selection activeCell="V8" sqref="V8"/>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62</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TEXT(WEEKDAY(DATE(AnnéeCalendrier,8,1),1),"jjj")</f>
        <v>jeu</v>
      </c>
      <c r="D5" s="1" t="str">
        <f>TEXT(WEEKDAY(DATE(AnnéeCalendrier,8,2),1),"jjj")</f>
        <v>ven</v>
      </c>
      <c r="E5" s="1" t="str">
        <f>TEXT(WEEKDAY(DATE(AnnéeCalendrier,8,3),1),"jjj")</f>
        <v>sam</v>
      </c>
      <c r="F5" s="1" t="str">
        <f>TEXT(WEEKDAY(DATE(AnnéeCalendrier,8,4),1),"jjj")</f>
        <v>dim</v>
      </c>
      <c r="G5" s="1" t="str">
        <f>TEXT(WEEKDAY(DATE(AnnéeCalendrier,8,5),1),"jjj")</f>
        <v>lun</v>
      </c>
      <c r="H5" s="1" t="str">
        <f>TEXT(WEEKDAY(DATE(AnnéeCalendrier,8,6),1),"jjj")</f>
        <v>mar</v>
      </c>
      <c r="I5" s="1" t="str">
        <f>TEXT(WEEKDAY(DATE(AnnéeCalendrier,8,7),1),"jjj")</f>
        <v>mer</v>
      </c>
      <c r="J5" s="1" t="str">
        <f>TEXT(WEEKDAY(DATE(AnnéeCalendrier,8,8),1),"jjj")</f>
        <v>jeu</v>
      </c>
      <c r="K5" s="1" t="str">
        <f>TEXT(WEEKDAY(DATE(AnnéeCalendrier,8,9),1),"jjj")</f>
        <v>ven</v>
      </c>
      <c r="L5" s="1" t="str">
        <f>TEXT(WEEKDAY(DATE(AnnéeCalendrier,8,10),1),"jjj")</f>
        <v>sam</v>
      </c>
      <c r="M5" s="1" t="str">
        <f>TEXT(WEEKDAY(DATE(AnnéeCalendrier,8,11),1),"jjj")</f>
        <v>dim</v>
      </c>
      <c r="N5" s="1" t="str">
        <f>TEXT(WEEKDAY(DATE(AnnéeCalendrier,8,12),1),"jjj")</f>
        <v>lun</v>
      </c>
      <c r="O5" s="1" t="str">
        <f>TEXT(WEEKDAY(DATE(AnnéeCalendrier,8,13),1),"jjj")</f>
        <v>mar</v>
      </c>
      <c r="P5" s="1" t="str">
        <f>TEXT(WEEKDAY(DATE(AnnéeCalendrier,8,14),1),"jjj")</f>
        <v>mer</v>
      </c>
      <c r="Q5" s="1" t="str">
        <f>TEXT(WEEKDAY(DATE(AnnéeCalendrier,8,15),1),"jjj")</f>
        <v>jeu</v>
      </c>
      <c r="R5" s="1" t="str">
        <f>TEXT(WEEKDAY(DATE(AnnéeCalendrier,8,16),1),"jjj")</f>
        <v>ven</v>
      </c>
      <c r="S5" s="1" t="str">
        <f>TEXT(WEEKDAY(DATE(AnnéeCalendrier,8,17),1),"jjj")</f>
        <v>sam</v>
      </c>
      <c r="T5" s="1" t="str">
        <f>TEXT(WEEKDAY(DATE(AnnéeCalendrier,8,18),1),"jjj")</f>
        <v>dim</v>
      </c>
      <c r="U5" s="1" t="str">
        <f>TEXT(WEEKDAY(DATE(AnnéeCalendrier,8,19),1),"jjj")</f>
        <v>lun</v>
      </c>
      <c r="V5" s="1" t="str">
        <f>TEXT(WEEKDAY(DATE(AnnéeCalendrier,8,20),1),"jjj")</f>
        <v>mar</v>
      </c>
      <c r="W5" s="1" t="str">
        <f>TEXT(WEEKDAY(DATE(AnnéeCalendrier,8,21),1),"jjj")</f>
        <v>mer</v>
      </c>
      <c r="X5" s="1" t="str">
        <f>TEXT(WEEKDAY(DATE(AnnéeCalendrier,8,22),1),"jjj")</f>
        <v>jeu</v>
      </c>
      <c r="Y5" s="1" t="str">
        <f>TEXT(WEEKDAY(DATE(AnnéeCalendrier,8,23),1),"jjj")</f>
        <v>ven</v>
      </c>
      <c r="Z5" s="1" t="str">
        <f>TEXT(WEEKDAY(DATE(AnnéeCalendrier,8,24),1),"jjj")</f>
        <v>sam</v>
      </c>
      <c r="AA5" s="1" t="str">
        <f>TEXT(WEEKDAY(DATE(AnnéeCalendrier,8,25),1),"jjj")</f>
        <v>dim</v>
      </c>
      <c r="AB5" s="1" t="str">
        <f>TEXT(WEEKDAY(DATE(AnnéeCalendrier,8,26),1),"jjj")</f>
        <v>lun</v>
      </c>
      <c r="AC5" s="1" t="str">
        <f>TEXT(WEEKDAY(DATE(AnnéeCalendrier,8,27),1),"jjj")</f>
        <v>mar</v>
      </c>
      <c r="AD5" s="1" t="str">
        <f>TEXT(WEEKDAY(DATE(AnnéeCalendrier,8,28),1),"jjj")</f>
        <v>mer</v>
      </c>
      <c r="AE5" s="1" t="str">
        <f>TEXT(WEEKDAY(DATE(AnnéeCalendrier,8,29),1),"jjj")</f>
        <v>jeu</v>
      </c>
      <c r="AF5" s="1" t="str">
        <f>TEXT(WEEKDAY(DATE(AnnéeCalendrier,8,30),1),"jjj")</f>
        <v>ven</v>
      </c>
      <c r="AG5" s="1" t="str">
        <f>TEXT(WEEKDAY(DATE(AnnéeCalendrier,8,31),1),"jjj")</f>
        <v>sam</v>
      </c>
      <c r="AH5" s="35"/>
      <c r="AI5" s="35"/>
      <c r="AJ5" s="35"/>
      <c r="AK5" s="35"/>
    </row>
    <row r="6" spans="2:37" ht="15" customHeight="1" thickBot="1" x14ac:dyDescent="0.3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thickBot="1" x14ac:dyDescent="0.3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SUMPRODUCT(--(Août[[#This Row],[1]:[31]]=LEFT(Août[[#Headers],[Travaillé]],1)))</f>
        <v>0</v>
      </c>
      <c r="AI7" s="24">
        <f>SUMPRODUCT(--(Août[[#This Row],[1]:[31]]=LEFT(Août[[#Headers],[Congés]],1)))</f>
        <v>0</v>
      </c>
      <c r="AJ7" s="24">
        <f>SUMPRODUCT(--(Août[[#This Row],[1]:[31]]=LEFT(Août[[#Headers],[Maladie]],1)))</f>
        <v>0</v>
      </c>
      <c r="AK7" s="24">
        <f>SUMPRODUCT(--(Août[[#This Row],[1]:[31]]=LEFT(Août[[#Headers],[Repas]],1)))</f>
        <v>0</v>
      </c>
    </row>
    <row r="8" spans="2:37" ht="30" customHeight="1" thickBot="1" x14ac:dyDescent="0.3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SUMPRODUCT(--(Août[[#This Row],[1]:[31]]=LEFT(Août[[#Headers],[Travaillé]],1)))</f>
        <v>0</v>
      </c>
      <c r="AI8" s="24">
        <f>SUMPRODUCT(--(Août[[#This Row],[1]:[31]]=LEFT(Août[[#Headers],[Congés]],1)))</f>
        <v>0</v>
      </c>
      <c r="AJ8" s="24">
        <f>SUMPRODUCT(--(Août[[#This Row],[1]:[31]]=LEFT(Août[[#Headers],[Maladie]],1)))</f>
        <v>0</v>
      </c>
      <c r="AK8" s="24">
        <f>SUMPRODUCT(--(Août[[#This Row],[1]:[31]]=LEFT(Août[[#Headers],[Repas]],1)))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SUMPRODUCT(--(Août[[#This Row],[1]:[31]]=LEFT(Août[[#Headers],[Travaillé]],1)))</f>
        <v>0</v>
      </c>
      <c r="AI9" s="24">
        <f>SUMPRODUCT(--(Août[[#This Row],[1]:[31]]=LEFT(Août[[#Headers],[Congés]],1)))</f>
        <v>0</v>
      </c>
      <c r="AJ9" s="24">
        <f>SUMPRODUCT(--(Août[[#This Row],[1]:[31]]=LEFT(Août[[#Headers],[Maladie]],1)))</f>
        <v>0</v>
      </c>
      <c r="AK9" s="24">
        <f>SUMPRODUCT(--(Août[[#This Row],[1]:[31]]=LEFT(Août[[#Headers],[Repas]],1)))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SUMPRODUCT(--(Août[[#This Row],[1]:[31]]=LEFT(Août[[#Headers],[Travaillé]],1)))</f>
        <v>0</v>
      </c>
      <c r="AI10" s="24">
        <f>SUMPRODUCT(--(Août[[#This Row],[1]:[31]]=LEFT(Août[[#Headers],[Congés]],1)))</f>
        <v>0</v>
      </c>
      <c r="AJ10" s="24">
        <f>SUMPRODUCT(--(Août[[#This Row],[1]:[31]]=LEFT(Août[[#Headers],[Maladie]],1)))</f>
        <v>0</v>
      </c>
      <c r="AK10" s="24">
        <f>SUMPRODUCT(--(Août[[#This Row],[1]:[31]]=LEFT(Août[[#Headers],[Repas]],1)))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SUMPRODUCT(--(Août[[#This Row],[1]:[31]]=LEFT(Août[[#Headers],[Travaillé]],1)))</f>
        <v>0</v>
      </c>
      <c r="AI11" s="24">
        <f>SUMPRODUCT(--(Août[[#This Row],[1]:[31]]=LEFT(Août[[#Headers],[Congés]],1)))</f>
        <v>0</v>
      </c>
      <c r="AJ11" s="24">
        <f>SUMPRODUCT(--(Août[[#This Row],[1]:[31]]=LEFT(Août[[#Headers],[Maladie]],1)))</f>
        <v>0</v>
      </c>
      <c r="AK11" s="24">
        <f>SUMPRODUCT(--(Août[[#This Row],[1]:[31]]=LEFT(Août[[#Headers],[Repas]],1)))</f>
        <v>0</v>
      </c>
    </row>
    <row r="12" spans="2:37" ht="30" customHeight="1" x14ac:dyDescent="0.3">
      <c r="B12" s="15" t="str">
        <f>Janvier!B12</f>
        <v>Employé 5</v>
      </c>
      <c r="AH12" s="24">
        <f>SUMPRODUCT(--(Août[[#This Row],[1]:[31]]=LEFT(Août[[#Headers],[Travaillé]],1)))</f>
        <v>0</v>
      </c>
      <c r="AI12" s="24">
        <f>SUMPRODUCT(--(Août[[#This Row],[1]:[31]]=LEFT(Août[[#Headers],[Congés]],1)))</f>
        <v>0</v>
      </c>
      <c r="AJ12" s="24">
        <f>SUMPRODUCT(--(Août[[#This Row],[1]:[31]]=LEFT(Août[[#Headers],[Maladie]],1)))</f>
        <v>0</v>
      </c>
      <c r="AK12" s="24">
        <f>SUMPRODUCT(--(Août[[#This Row],[1]:[31]]=LEFT(Août[[#Headers],[Repas]],1)))</f>
        <v>0</v>
      </c>
    </row>
    <row r="13" spans="2:37" ht="30" customHeight="1" thickBot="1" x14ac:dyDescent="0.35"/>
    <row r="14" spans="2:37" ht="30" customHeight="1" thickBot="1" x14ac:dyDescent="0.35">
      <c r="AB14" s="57" t="s">
        <v>53</v>
      </c>
      <c r="AC14" s="58"/>
      <c r="AD14" s="58"/>
      <c r="AE14" s="58"/>
      <c r="AF14" s="58"/>
      <c r="AG14" s="59"/>
      <c r="AH14" s="34">
        <f>SUM(AH7:AH13)</f>
        <v>0</v>
      </c>
      <c r="AI14" s="32">
        <f>SUM(AI7:AI13)</f>
        <v>0</v>
      </c>
      <c r="AJ14" s="32">
        <f>SUM(AJ7:AJ13)</f>
        <v>0</v>
      </c>
      <c r="AK14" s="33">
        <f>SUM(AK7:AK13)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399" priority="6" stopIfTrue="1">
      <formula>C7=CléPanier_Repas</formula>
    </cfRule>
    <cfRule type="expression" dxfId="398" priority="7" stopIfTrue="1">
      <formula>C7=CléPersonnalisée1</formula>
    </cfRule>
    <cfRule type="expression" dxfId="397" priority="8" stopIfTrue="1">
      <formula>C7=CléMaladie</formula>
    </cfRule>
    <cfRule type="expression" dxfId="396" priority="9" stopIfTrue="1">
      <formula>C7=CléCongés</formula>
    </cfRule>
    <cfRule type="expression" dxfId="39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{C638B298-D8F1-4C7F-ACB1-07D912E44042}</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638B298-D8F1-4C7F-ACB1-07D912E44042}">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4"/>
  <sheetViews>
    <sheetView showGridLines="0" topLeftCell="C1" workbookViewId="0">
      <selection activeCell="AK7" sqref="AK7:AK12"/>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63</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TEXT(WEEKDAY(DATE(AnnéeCalendrier,9,1),1),"jjj")</f>
        <v>dim</v>
      </c>
      <c r="D5" s="1" t="str">
        <f>TEXT(WEEKDAY(DATE(AnnéeCalendrier,9,2),1),"jjj")</f>
        <v>lun</v>
      </c>
      <c r="E5" s="1" t="str">
        <f>TEXT(WEEKDAY(DATE(AnnéeCalendrier,9,3),1),"jjj")</f>
        <v>mar</v>
      </c>
      <c r="F5" s="1" t="str">
        <f>TEXT(WEEKDAY(DATE(AnnéeCalendrier,9,4),1),"jjj")</f>
        <v>mer</v>
      </c>
      <c r="G5" s="1" t="str">
        <f>TEXT(WEEKDAY(DATE(AnnéeCalendrier,9,5),1),"jjj")</f>
        <v>jeu</v>
      </c>
      <c r="H5" s="1" t="str">
        <f>TEXT(WEEKDAY(DATE(AnnéeCalendrier,9,6),1),"jjj")</f>
        <v>ven</v>
      </c>
      <c r="I5" s="1" t="str">
        <f>TEXT(WEEKDAY(DATE(AnnéeCalendrier,9,7),1),"jjj")</f>
        <v>sam</v>
      </c>
      <c r="J5" s="1" t="str">
        <f>TEXT(WEEKDAY(DATE(AnnéeCalendrier,9,8),1),"jjj")</f>
        <v>dim</v>
      </c>
      <c r="K5" s="1" t="str">
        <f>TEXT(WEEKDAY(DATE(AnnéeCalendrier,9,9),1),"jjj")</f>
        <v>lun</v>
      </c>
      <c r="L5" s="1" t="str">
        <f>TEXT(WEEKDAY(DATE(AnnéeCalendrier,9,10),1),"jjj")</f>
        <v>mar</v>
      </c>
      <c r="M5" s="1" t="str">
        <f>TEXT(WEEKDAY(DATE(AnnéeCalendrier,9,11),1),"jjj")</f>
        <v>mer</v>
      </c>
      <c r="N5" s="1" t="str">
        <f>TEXT(WEEKDAY(DATE(AnnéeCalendrier,9,12),1),"jjj")</f>
        <v>jeu</v>
      </c>
      <c r="O5" s="1" t="str">
        <f>TEXT(WEEKDAY(DATE(AnnéeCalendrier,9,13),1),"jjj")</f>
        <v>ven</v>
      </c>
      <c r="P5" s="1" t="str">
        <f>TEXT(WEEKDAY(DATE(AnnéeCalendrier,9,14),1),"jjj")</f>
        <v>sam</v>
      </c>
      <c r="Q5" s="1" t="str">
        <f>TEXT(WEEKDAY(DATE(AnnéeCalendrier,9,15),1),"jjj")</f>
        <v>dim</v>
      </c>
      <c r="R5" s="1" t="str">
        <f>TEXT(WEEKDAY(DATE(AnnéeCalendrier,9,16),1),"jjj")</f>
        <v>lun</v>
      </c>
      <c r="S5" s="1" t="str">
        <f>TEXT(WEEKDAY(DATE(AnnéeCalendrier,9,17),1),"jjj")</f>
        <v>mar</v>
      </c>
      <c r="T5" s="1" t="str">
        <f>TEXT(WEEKDAY(DATE(AnnéeCalendrier,9,18),1),"jjj")</f>
        <v>mer</v>
      </c>
      <c r="U5" s="1" t="str">
        <f>TEXT(WEEKDAY(DATE(AnnéeCalendrier,9,19),1),"jjj")</f>
        <v>jeu</v>
      </c>
      <c r="V5" s="1" t="str">
        <f>TEXT(WEEKDAY(DATE(AnnéeCalendrier,9,20),1),"jjj")</f>
        <v>ven</v>
      </c>
      <c r="W5" s="1" t="str">
        <f>TEXT(WEEKDAY(DATE(AnnéeCalendrier,9,21),1),"jjj")</f>
        <v>sam</v>
      </c>
      <c r="X5" s="1" t="str">
        <f>TEXT(WEEKDAY(DATE(AnnéeCalendrier,9,22),1),"jjj")</f>
        <v>dim</v>
      </c>
      <c r="Y5" s="1" t="str">
        <f>TEXT(WEEKDAY(DATE(AnnéeCalendrier,9,23),1),"jjj")</f>
        <v>lun</v>
      </c>
      <c r="Z5" s="1" t="str">
        <f>TEXT(WEEKDAY(DATE(AnnéeCalendrier,9,24),1),"jjj")</f>
        <v>mar</v>
      </c>
      <c r="AA5" s="1" t="str">
        <f>TEXT(WEEKDAY(DATE(AnnéeCalendrier,9,25),1),"jjj")</f>
        <v>mer</v>
      </c>
      <c r="AB5" s="1" t="str">
        <f>TEXT(WEEKDAY(DATE(AnnéeCalendrier,9,26),1),"jjj")</f>
        <v>jeu</v>
      </c>
      <c r="AC5" s="1" t="str">
        <f>TEXT(WEEKDAY(DATE(AnnéeCalendrier,9,27),1),"jjj")</f>
        <v>ven</v>
      </c>
      <c r="AD5" s="1" t="str">
        <f>TEXT(WEEKDAY(DATE(AnnéeCalendrier,9,28),1),"jjj")</f>
        <v>sam</v>
      </c>
      <c r="AE5" s="1" t="str">
        <f>TEXT(WEEKDAY(DATE(AnnéeCalendrier,9,29),1),"jjj")</f>
        <v>dim</v>
      </c>
      <c r="AF5" s="1" t="str">
        <f>TEXT(WEEKDAY(DATE(AnnéeCalendrier,9,30),1),"jjj")</f>
        <v>lun</v>
      </c>
      <c r="AG5" s="1"/>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52</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SUMPRODUCT(--(Septembre[[#This Row],[1]:[30]]=LEFT(Septembre[[#Headers],[Travaillé]],1)))</f>
        <v>0</v>
      </c>
      <c r="AI7" s="24">
        <f>SUMPRODUCT(--(Septembre[[#This Row],[1]:[30]]=LEFT(Septembre[[#Headers],[Congés]],1)))</f>
        <v>0</v>
      </c>
      <c r="AJ7" s="24">
        <f>SUMPRODUCT(--(Septembre[[#This Row],[1]:[30]]=LEFT(Septembre[[#Headers],[Maladie]],1)))</f>
        <v>0</v>
      </c>
      <c r="AK7" s="24">
        <f>SUMPRODUCT(--(Septembre[[#This Row],[1]:[30]]=LEFT(Septembre[[#Headers],[Repas]],1)))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SUMPRODUCT(--(Septembre[[#This Row],[1]:[30]]=LEFT(Septembre[[#Headers],[Travaillé]],1)))</f>
        <v>0</v>
      </c>
      <c r="AI8" s="24">
        <f>SUMPRODUCT(--(Septembre[[#This Row],[1]:[30]]=LEFT(Septembre[[#Headers],[Congés]],1)))</f>
        <v>0</v>
      </c>
      <c r="AJ8" s="24">
        <f>SUMPRODUCT(--(Septembre[[#This Row],[1]:[30]]=LEFT(Septembre[[#Headers],[Maladie]],1)))</f>
        <v>0</v>
      </c>
      <c r="AK8" s="24">
        <f>SUMPRODUCT(--(Septembre[[#This Row],[1]:[30]]=LEFT(Septembre[[#Headers],[Repas]],1)))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SUMPRODUCT(--(Septembre[[#This Row],[1]:[30]]=LEFT(Septembre[[#Headers],[Travaillé]],1)))</f>
        <v>0</v>
      </c>
      <c r="AI9" s="24">
        <f>SUMPRODUCT(--(Septembre[[#This Row],[1]:[30]]=LEFT(Septembre[[#Headers],[Congés]],1)))</f>
        <v>0</v>
      </c>
      <c r="AJ9" s="24">
        <f>SUMPRODUCT(--(Septembre[[#This Row],[1]:[30]]=LEFT(Septembre[[#Headers],[Maladie]],1)))</f>
        <v>0</v>
      </c>
      <c r="AK9" s="24">
        <f>SUMPRODUCT(--(Septembre[[#This Row],[1]:[30]]=LEFT(Septembre[[#Headers],[Repas]],1)))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SUMPRODUCT(--(Septembre[[#This Row],[1]:[30]]=LEFT(Septembre[[#Headers],[Travaillé]],1)))</f>
        <v>0</v>
      </c>
      <c r="AI10" s="24">
        <f>SUMPRODUCT(--(Septembre[[#This Row],[1]:[30]]=LEFT(Septembre[[#Headers],[Congés]],1)))</f>
        <v>0</v>
      </c>
      <c r="AJ10" s="24">
        <f>SUMPRODUCT(--(Septembre[[#This Row],[1]:[30]]=LEFT(Septembre[[#Headers],[Maladie]],1)))</f>
        <v>0</v>
      </c>
      <c r="AK10" s="24">
        <f>SUMPRODUCT(--(Septembre[[#This Row],[1]:[30]]=LEFT(Septembre[[#Headers],[Repas]],1)))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SUMPRODUCT(--(Septembre[[#This Row],[1]:[30]]=LEFT(Septembre[[#Headers],[Travaillé]],1)))</f>
        <v>0</v>
      </c>
      <c r="AI11" s="24">
        <f>SUMPRODUCT(--(Septembre[[#This Row],[1]:[30]]=LEFT(Septembre[[#Headers],[Congés]],1)))</f>
        <v>0</v>
      </c>
      <c r="AJ11" s="24">
        <f>SUMPRODUCT(--(Septembre[[#This Row],[1]:[30]]=LEFT(Septembre[[#Headers],[Maladie]],1)))</f>
        <v>0</v>
      </c>
      <c r="AK11" s="24">
        <f>SUMPRODUCT(--(Septembre[[#This Row],[1]:[30]]=LEFT(Septembre[[#Headers],[Repas]],1)))</f>
        <v>0</v>
      </c>
    </row>
    <row r="12" spans="2:37" ht="30" customHeight="1" x14ac:dyDescent="0.3">
      <c r="B12" s="15" t="str">
        <f>Janvier!B12</f>
        <v>Employé 5</v>
      </c>
      <c r="AH12" s="24">
        <f>SUMPRODUCT(--(Septembre[[#This Row],[1]:[30]]=LEFT(Septembre[[#Headers],[Travaillé]],1)))</f>
        <v>0</v>
      </c>
      <c r="AI12" s="24">
        <f>SUMPRODUCT(--(Septembre[[#This Row],[1]:[30]]=LEFT(Septembre[[#Headers],[Congés]],1)))</f>
        <v>0</v>
      </c>
      <c r="AJ12" s="24">
        <f>SUMPRODUCT(--(Septembre[[#This Row],[1]:[30]]=LEFT(Septembre[[#Headers],[Maladie]],1)))</f>
        <v>0</v>
      </c>
      <c r="AK12" s="24">
        <f>SUMPRODUCT(--(Septembre[[#This Row],[1]:[30]]=LEFT(Septembre[[#Headers],[Repas]],1)))</f>
        <v>0</v>
      </c>
    </row>
    <row r="13" spans="2:37" ht="30" customHeight="1" thickBot="1" x14ac:dyDescent="0.35"/>
    <row r="14" spans="2:37" ht="30" customHeight="1" thickBot="1" x14ac:dyDescent="0.35">
      <c r="AB14" s="57" t="s">
        <v>53</v>
      </c>
      <c r="AC14" s="58"/>
      <c r="AD14" s="58"/>
      <c r="AE14" s="58"/>
      <c r="AF14" s="58"/>
      <c r="AG14" s="59"/>
      <c r="AH14" s="34">
        <f>SUM(AH8:AH13)</f>
        <v>0</v>
      </c>
      <c r="AI14" s="32">
        <f>SUM(AI8:AI13)</f>
        <v>0</v>
      </c>
      <c r="AJ14" s="32">
        <f>SUM(AJ8:AJ13)</f>
        <v>0</v>
      </c>
      <c r="AK14" s="33">
        <f>SUM(AK8:AK13)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319" priority="6" stopIfTrue="1">
      <formula>C7=CléPanier_Repas</formula>
    </cfRule>
    <cfRule type="expression" dxfId="318" priority="7" stopIfTrue="1">
      <formula>C7=CléPersonnalisée1</formula>
    </cfRule>
    <cfRule type="expression" dxfId="317" priority="8" stopIfTrue="1">
      <formula>C7=CléMaladie</formula>
    </cfRule>
    <cfRule type="expression" dxfId="316" priority="9" stopIfTrue="1">
      <formula>C7=CléCongés</formula>
    </cfRule>
    <cfRule type="expression" dxfId="31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{DC04EEE4-361C-42FF-979B-5F1021E93E5B}</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DC04EEE4-361C-42FF-979B-5F1021E93E5B}">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4"/>
  <sheetViews>
    <sheetView showGridLines="0" topLeftCell="D1" workbookViewId="0">
      <selection activeCell="AK7" sqref="AK7:AK12"/>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64</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TEXT(WEEKDAY(DATE(AnnéeCalendrier,10,1),1),"jjj")</f>
        <v>mar</v>
      </c>
      <c r="D5" s="1" t="str">
        <f>TEXT(WEEKDAY(DATE(AnnéeCalendrier,10,2),1),"jjj")</f>
        <v>mer</v>
      </c>
      <c r="E5" s="1" t="str">
        <f>TEXT(WEEKDAY(DATE(AnnéeCalendrier,10,3),1),"jjj")</f>
        <v>jeu</v>
      </c>
      <c r="F5" s="1" t="str">
        <f>TEXT(WEEKDAY(DATE(AnnéeCalendrier,10,4),1),"jjj")</f>
        <v>ven</v>
      </c>
      <c r="G5" s="1" t="str">
        <f>TEXT(WEEKDAY(DATE(AnnéeCalendrier,10,5),1),"jjj")</f>
        <v>sam</v>
      </c>
      <c r="H5" s="1" t="str">
        <f>TEXT(WEEKDAY(DATE(AnnéeCalendrier,10,6),1),"jjj")</f>
        <v>dim</v>
      </c>
      <c r="I5" s="1" t="str">
        <f>TEXT(WEEKDAY(DATE(AnnéeCalendrier,10,7),1),"jjj")</f>
        <v>lun</v>
      </c>
      <c r="J5" s="1" t="str">
        <f>TEXT(WEEKDAY(DATE(AnnéeCalendrier,10,8),1),"jjj")</f>
        <v>mar</v>
      </c>
      <c r="K5" s="1" t="str">
        <f>TEXT(WEEKDAY(DATE(AnnéeCalendrier,10,9),1),"jjj")</f>
        <v>mer</v>
      </c>
      <c r="L5" s="1" t="str">
        <f>TEXT(WEEKDAY(DATE(AnnéeCalendrier,10,10),1),"jjj")</f>
        <v>jeu</v>
      </c>
      <c r="M5" s="1" t="str">
        <f>TEXT(WEEKDAY(DATE(AnnéeCalendrier,10,11),1),"jjj")</f>
        <v>ven</v>
      </c>
      <c r="N5" s="1" t="str">
        <f>TEXT(WEEKDAY(DATE(AnnéeCalendrier,10,12),1),"jjj")</f>
        <v>sam</v>
      </c>
      <c r="O5" s="1" t="str">
        <f>TEXT(WEEKDAY(DATE(AnnéeCalendrier,10,13),1),"jjj")</f>
        <v>dim</v>
      </c>
      <c r="P5" s="1" t="str">
        <f>TEXT(WEEKDAY(DATE(AnnéeCalendrier,10,14),1),"jjj")</f>
        <v>lun</v>
      </c>
      <c r="Q5" s="1" t="str">
        <f>TEXT(WEEKDAY(DATE(AnnéeCalendrier,10,15),1),"jjj")</f>
        <v>mar</v>
      </c>
      <c r="R5" s="1" t="str">
        <f>TEXT(WEEKDAY(DATE(AnnéeCalendrier,10,16),1),"jjj")</f>
        <v>mer</v>
      </c>
      <c r="S5" s="1" t="str">
        <f>TEXT(WEEKDAY(DATE(AnnéeCalendrier,10,17),1),"jjj")</f>
        <v>jeu</v>
      </c>
      <c r="T5" s="1" t="str">
        <f>TEXT(WEEKDAY(DATE(AnnéeCalendrier,10,18),1),"jjj")</f>
        <v>ven</v>
      </c>
      <c r="U5" s="1" t="str">
        <f>TEXT(WEEKDAY(DATE(AnnéeCalendrier,10,19),1),"jjj")</f>
        <v>sam</v>
      </c>
      <c r="V5" s="1" t="str">
        <f>TEXT(WEEKDAY(DATE(AnnéeCalendrier,10,20),1),"jjj")</f>
        <v>dim</v>
      </c>
      <c r="W5" s="1" t="str">
        <f>TEXT(WEEKDAY(DATE(AnnéeCalendrier,10,21),1),"jjj")</f>
        <v>lun</v>
      </c>
      <c r="X5" s="1" t="str">
        <f>TEXT(WEEKDAY(DATE(AnnéeCalendrier,10,22),1),"jjj")</f>
        <v>mar</v>
      </c>
      <c r="Y5" s="1" t="str">
        <f>TEXT(WEEKDAY(DATE(AnnéeCalendrier,10,23),1),"jjj")</f>
        <v>mer</v>
      </c>
      <c r="Z5" s="1" t="str">
        <f>TEXT(WEEKDAY(DATE(AnnéeCalendrier,10,24),1),"jjj")</f>
        <v>jeu</v>
      </c>
      <c r="AA5" s="1" t="str">
        <f>TEXT(WEEKDAY(DATE(AnnéeCalendrier,10,25),1),"jjj")</f>
        <v>ven</v>
      </c>
      <c r="AB5" s="1" t="str">
        <f>TEXT(WEEKDAY(DATE(AnnéeCalendrier,10,26),1),"jjj")</f>
        <v>sam</v>
      </c>
      <c r="AC5" s="1" t="str">
        <f>TEXT(WEEKDAY(DATE(AnnéeCalendrier,10,27),1),"jjj")</f>
        <v>dim</v>
      </c>
      <c r="AD5" s="1" t="str">
        <f>TEXT(WEEKDAY(DATE(AnnéeCalendrier,10,28),1),"jjj")</f>
        <v>lun</v>
      </c>
      <c r="AE5" s="1" t="str">
        <f>TEXT(WEEKDAY(DATE(AnnéeCalendrier,10,29),1),"jjj")</f>
        <v>mar</v>
      </c>
      <c r="AF5" s="1" t="str">
        <f>TEXT(WEEKDAY(DATE(AnnéeCalendrier,10,30),1),"jjj")</f>
        <v>mer</v>
      </c>
      <c r="AG5" s="1" t="str">
        <f>TEXT(WEEKDAY(DATE(AnnéeCalendrier,10,31),1),"jjj")</f>
        <v>jeu</v>
      </c>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SUMPRODUCT(--(Octobre[[#This Row],[1]:[31]]=LEFT(Octobre[[#Headers],[Travaillé]],1)))</f>
        <v>0</v>
      </c>
      <c r="AI7" s="24">
        <f>SUMPRODUCT(--(Octobre[[#This Row],[1]:[31]]=LEFT(Octobre[[#Headers],[Congés]],1)))</f>
        <v>0</v>
      </c>
      <c r="AJ7" s="24">
        <f>SUMPRODUCT(--(Octobre[[#This Row],[1]:[31]]=LEFT(Octobre[[#Headers],[Maladie]],1)))</f>
        <v>0</v>
      </c>
      <c r="AK7" s="24">
        <f>SUMPRODUCT(--(Octobre[[#This Row],[1]:[31]]=LEFT(Octobre[[#Headers],[Repas]],1)))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SUMPRODUCT(--(Octobre[[#This Row],[1]:[31]]=LEFT(Octobre[[#Headers],[Travaillé]],1)))</f>
        <v>0</v>
      </c>
      <c r="AI8" s="24">
        <f>SUMPRODUCT(--(Octobre[[#This Row],[1]:[31]]=LEFT(Octobre[[#Headers],[Congés]],1)))</f>
        <v>0</v>
      </c>
      <c r="AJ8" s="24">
        <f>SUMPRODUCT(--(Octobre[[#This Row],[1]:[31]]=LEFT(Octobre[[#Headers],[Maladie]],1)))</f>
        <v>0</v>
      </c>
      <c r="AK8" s="24">
        <f>SUMPRODUCT(--(Octobre[[#This Row],[1]:[31]]=LEFT(Octobre[[#Headers],[Repas]],1)))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SUMPRODUCT(--(Octobre[[#This Row],[1]:[31]]=LEFT(Octobre[[#Headers],[Travaillé]],1)))</f>
        <v>0</v>
      </c>
      <c r="AI9" s="24">
        <f>SUMPRODUCT(--(Octobre[[#This Row],[1]:[31]]=LEFT(Octobre[[#Headers],[Congés]],1)))</f>
        <v>0</v>
      </c>
      <c r="AJ9" s="24">
        <f>SUMPRODUCT(--(Octobre[[#This Row],[1]:[31]]=LEFT(Octobre[[#Headers],[Maladie]],1)))</f>
        <v>0</v>
      </c>
      <c r="AK9" s="24">
        <f>SUMPRODUCT(--(Octobre[[#This Row],[1]:[31]]=LEFT(Octobre[[#Headers],[Repas]],1)))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SUMPRODUCT(--(Octobre[[#This Row],[1]:[31]]=LEFT(Octobre[[#Headers],[Travaillé]],1)))</f>
        <v>0</v>
      </c>
      <c r="AI10" s="24">
        <f>SUMPRODUCT(--(Octobre[[#This Row],[1]:[31]]=LEFT(Octobre[[#Headers],[Congés]],1)))</f>
        <v>0</v>
      </c>
      <c r="AJ10" s="24">
        <f>SUMPRODUCT(--(Octobre[[#This Row],[1]:[31]]=LEFT(Octobre[[#Headers],[Maladie]],1)))</f>
        <v>0</v>
      </c>
      <c r="AK10" s="24">
        <f>SUMPRODUCT(--(Octobre[[#This Row],[1]:[31]]=LEFT(Octobre[[#Headers],[Repas]],1)))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SUMPRODUCT(--(Octobre[[#This Row],[1]:[31]]=LEFT(Octobre[[#Headers],[Travaillé]],1)))</f>
        <v>0</v>
      </c>
      <c r="AI11" s="24">
        <f>SUMPRODUCT(--(Octobre[[#This Row],[1]:[31]]=LEFT(Octobre[[#Headers],[Congés]],1)))</f>
        <v>0</v>
      </c>
      <c r="AJ11" s="24">
        <f>SUMPRODUCT(--(Octobre[[#This Row],[1]:[31]]=LEFT(Octobre[[#Headers],[Maladie]],1)))</f>
        <v>0</v>
      </c>
      <c r="AK11" s="24">
        <f>SUMPRODUCT(--(Octobre[[#This Row],[1]:[31]]=LEFT(Octobre[[#Headers],[Repas]],1)))</f>
        <v>0</v>
      </c>
    </row>
    <row r="12" spans="2:37" ht="30" customHeight="1" x14ac:dyDescent="0.3">
      <c r="B12" s="15" t="str">
        <f>Janvier!B12</f>
        <v>Employé 5</v>
      </c>
      <c r="AH12" s="24">
        <f>SUMPRODUCT(--(Octobre[[#This Row],[1]:[31]]=LEFT(Octobre[[#Headers],[Travaillé]],1)))</f>
        <v>0</v>
      </c>
      <c r="AI12" s="24">
        <f>SUMPRODUCT(--(Octobre[[#This Row],[1]:[31]]=LEFT(Octobre[[#Headers],[Congés]],1)))</f>
        <v>0</v>
      </c>
      <c r="AJ12" s="24">
        <f>SUMPRODUCT(--(Octobre[[#This Row],[1]:[31]]=LEFT(Octobre[[#Headers],[Maladie]],1)))</f>
        <v>0</v>
      </c>
      <c r="AK12" s="24">
        <f>SUMPRODUCT(--(Octobre[[#This Row],[1]:[31]]=LEFT(Octobre[[#Headers],[Repas]],1)))</f>
        <v>0</v>
      </c>
    </row>
    <row r="13" spans="2:37" ht="30" customHeight="1" thickBot="1" x14ac:dyDescent="0.35"/>
    <row r="14" spans="2:37" ht="30" customHeight="1" thickBot="1" x14ac:dyDescent="0.35">
      <c r="AB14" s="57" t="s">
        <v>53</v>
      </c>
      <c r="AC14" s="58"/>
      <c r="AD14" s="58"/>
      <c r="AE14" s="58"/>
      <c r="AF14" s="58"/>
      <c r="AG14" s="59"/>
      <c r="AH14" s="34">
        <f>SUM(AH9:AH13)</f>
        <v>0</v>
      </c>
      <c r="AI14" s="32">
        <f>SUM(AI9:AI13)</f>
        <v>0</v>
      </c>
      <c r="AJ14" s="32">
        <f>SUM(AJ9:AJ13)</f>
        <v>0</v>
      </c>
      <c r="AK14" s="33">
        <f>SUM(AK9:AK13)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239" priority="6" stopIfTrue="1">
      <formula>C7=CléPanier_Repas</formula>
    </cfRule>
    <cfRule type="expression" dxfId="238" priority="7" stopIfTrue="1">
      <formula>C7=CléPersonnalisée1</formula>
    </cfRule>
    <cfRule type="expression" dxfId="237" priority="8" stopIfTrue="1">
      <formula>C7=CléMaladie</formula>
    </cfRule>
    <cfRule type="expression" dxfId="236" priority="9" stopIfTrue="1">
      <formula>C7=CléCongés</formula>
    </cfRule>
    <cfRule type="expression" dxfId="23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{DF4A5C31-AB35-4164-BABD-CA7E5CF09851}</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DF4A5C31-AB35-4164-BABD-CA7E5CF09851}">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4"/>
  <sheetViews>
    <sheetView showGridLines="0" topLeftCell="D1" workbookViewId="0">
      <selection activeCell="AK7" sqref="AK7:AK12"/>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65</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TEXT(WEEKDAY(DATE(AnnéeCalendrier,11,1),1),"jjj")</f>
        <v>ven</v>
      </c>
      <c r="D5" s="1" t="str">
        <f>TEXT(WEEKDAY(DATE(AnnéeCalendrier,11,2),1),"jjj")</f>
        <v>sam</v>
      </c>
      <c r="E5" s="1" t="str">
        <f>TEXT(WEEKDAY(DATE(AnnéeCalendrier,11,3),1),"jjj")</f>
        <v>dim</v>
      </c>
      <c r="F5" s="1" t="str">
        <f>TEXT(WEEKDAY(DATE(AnnéeCalendrier,11,4),1),"jjj")</f>
        <v>lun</v>
      </c>
      <c r="G5" s="1" t="str">
        <f>TEXT(WEEKDAY(DATE(AnnéeCalendrier,11,5),1),"jjj")</f>
        <v>mar</v>
      </c>
      <c r="H5" s="1" t="str">
        <f>TEXT(WEEKDAY(DATE(AnnéeCalendrier,11,6),1),"jjj")</f>
        <v>mer</v>
      </c>
      <c r="I5" s="1" t="str">
        <f>TEXT(WEEKDAY(DATE(AnnéeCalendrier,11,7),1),"jjj")</f>
        <v>jeu</v>
      </c>
      <c r="J5" s="1" t="str">
        <f>TEXT(WEEKDAY(DATE(AnnéeCalendrier,11,8),1),"jjj")</f>
        <v>ven</v>
      </c>
      <c r="K5" s="1" t="str">
        <f>TEXT(WEEKDAY(DATE(AnnéeCalendrier,11,9),1),"jjj")</f>
        <v>sam</v>
      </c>
      <c r="L5" s="1" t="str">
        <f>TEXT(WEEKDAY(DATE(AnnéeCalendrier,11,10),1),"jjj")</f>
        <v>dim</v>
      </c>
      <c r="M5" s="1" t="str">
        <f>TEXT(WEEKDAY(DATE(AnnéeCalendrier,11,11),1),"jjj")</f>
        <v>lun</v>
      </c>
      <c r="N5" s="1" t="str">
        <f>TEXT(WEEKDAY(DATE(AnnéeCalendrier,11,12),1),"jjj")</f>
        <v>mar</v>
      </c>
      <c r="O5" s="1" t="str">
        <f>TEXT(WEEKDAY(DATE(AnnéeCalendrier,11,13),1),"jjj")</f>
        <v>mer</v>
      </c>
      <c r="P5" s="1" t="str">
        <f>TEXT(WEEKDAY(DATE(AnnéeCalendrier,11,14),1),"jjj")</f>
        <v>jeu</v>
      </c>
      <c r="Q5" s="1" t="str">
        <f>TEXT(WEEKDAY(DATE(AnnéeCalendrier,11,15),1),"jjj")</f>
        <v>ven</v>
      </c>
      <c r="R5" s="1" t="str">
        <f>TEXT(WEEKDAY(DATE(AnnéeCalendrier,11,16),1),"jjj")</f>
        <v>sam</v>
      </c>
      <c r="S5" s="1" t="str">
        <f>TEXT(WEEKDAY(DATE(AnnéeCalendrier,11,17),1),"jjj")</f>
        <v>dim</v>
      </c>
      <c r="T5" s="1" t="str">
        <f>TEXT(WEEKDAY(DATE(AnnéeCalendrier,11,18),1),"jjj")</f>
        <v>lun</v>
      </c>
      <c r="U5" s="1" t="str">
        <f>TEXT(WEEKDAY(DATE(AnnéeCalendrier,11,19),1),"jjj")</f>
        <v>mar</v>
      </c>
      <c r="V5" s="1" t="str">
        <f>TEXT(WEEKDAY(DATE(AnnéeCalendrier,11,20),1),"jjj")</f>
        <v>mer</v>
      </c>
      <c r="W5" s="1" t="str">
        <f>TEXT(WEEKDAY(DATE(AnnéeCalendrier,11,21),1),"jjj")</f>
        <v>jeu</v>
      </c>
      <c r="X5" s="1" t="str">
        <f>TEXT(WEEKDAY(DATE(AnnéeCalendrier,11,22),1),"jjj")</f>
        <v>ven</v>
      </c>
      <c r="Y5" s="1" t="str">
        <f>TEXT(WEEKDAY(DATE(AnnéeCalendrier,11,23),1),"jjj")</f>
        <v>sam</v>
      </c>
      <c r="Z5" s="1" t="str">
        <f>TEXT(WEEKDAY(DATE(AnnéeCalendrier,11,24),1),"jjj")</f>
        <v>dim</v>
      </c>
      <c r="AA5" s="1" t="str">
        <f>TEXT(WEEKDAY(DATE(AnnéeCalendrier,11,25),1),"jjj")</f>
        <v>lun</v>
      </c>
      <c r="AB5" s="1" t="str">
        <f>TEXT(WEEKDAY(DATE(AnnéeCalendrier,11,26),1),"jjj")</f>
        <v>mar</v>
      </c>
      <c r="AC5" s="1" t="str">
        <f>TEXT(WEEKDAY(DATE(AnnéeCalendrier,11,27),1),"jjj")</f>
        <v>mer</v>
      </c>
      <c r="AD5" s="1" t="str">
        <f>TEXT(WEEKDAY(DATE(AnnéeCalendrier,11,28),1),"jjj")</f>
        <v>jeu</v>
      </c>
      <c r="AE5" s="1" t="str">
        <f>TEXT(WEEKDAY(DATE(AnnéeCalendrier,11,29),1),"jjj")</f>
        <v>ven</v>
      </c>
      <c r="AF5" s="1" t="str">
        <f>TEXT(WEEKDAY(DATE(AnnéeCalendrier,11,30),1),"jjj")</f>
        <v>sam</v>
      </c>
      <c r="AG5" s="1"/>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52</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4">
        <f>SUMPRODUCT(--(Novembre[[#This Row],[1]:[30]]=LEFT(Novembre[[#Headers],[Travaillé]],1)))</f>
        <v>0</v>
      </c>
      <c r="AI7" s="24">
        <f>SUMPRODUCT(--(Novembre[[#This Row],[1]:[30]]=LEFT(Novembre[[#Headers],[Congés]],1)))</f>
        <v>0</v>
      </c>
      <c r="AJ7" s="24">
        <f>SUMPRODUCT(--(Novembre[[#This Row],[1]:[30]]=LEFT(Novembre[[#Headers],[Maladie]],1)))</f>
        <v>0</v>
      </c>
      <c r="AK7" s="24">
        <f>SUMPRODUCT(--(Novembre[[#This Row],[1]:[30]]=LEFT(Novembre[[#Headers],[Repas]],1)))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4">
        <f>SUMPRODUCT(--(Novembre[[#This Row],[1]:[30]]=LEFT(Novembre[[#Headers],[Travaillé]],1)))</f>
        <v>0</v>
      </c>
      <c r="AI8" s="24">
        <f>SUMPRODUCT(--(Novembre[[#This Row],[1]:[30]]=LEFT(Novembre[[#Headers],[Congés]],1)))</f>
        <v>0</v>
      </c>
      <c r="AJ8" s="24">
        <f>SUMPRODUCT(--(Novembre[[#This Row],[1]:[30]]=LEFT(Novembre[[#Headers],[Maladie]],1)))</f>
        <v>0</v>
      </c>
      <c r="AK8" s="24">
        <f>SUMPRODUCT(--(Novembre[[#This Row],[1]:[30]]=LEFT(Novembre[[#Headers],[Repas]],1)))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4">
        <f>SUMPRODUCT(--(Novembre[[#This Row],[1]:[30]]=LEFT(Novembre[[#Headers],[Travaillé]],1)))</f>
        <v>0</v>
      </c>
      <c r="AI9" s="24">
        <f>SUMPRODUCT(--(Novembre[[#This Row],[1]:[30]]=LEFT(Novembre[[#Headers],[Congés]],1)))</f>
        <v>0</v>
      </c>
      <c r="AJ9" s="24">
        <f>SUMPRODUCT(--(Novembre[[#This Row],[1]:[30]]=LEFT(Novembre[[#Headers],[Maladie]],1)))</f>
        <v>0</v>
      </c>
      <c r="AK9" s="24">
        <f>SUMPRODUCT(--(Novembre[[#This Row],[1]:[30]]=LEFT(Novembre[[#Headers],[Repas]],1)))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4">
        <f>SUMPRODUCT(--(Novembre[[#This Row],[1]:[30]]=LEFT(Novembre[[#Headers],[Travaillé]],1)))</f>
        <v>0</v>
      </c>
      <c r="AI10" s="24">
        <f>SUMPRODUCT(--(Novembre[[#This Row],[1]:[30]]=LEFT(Novembre[[#Headers],[Congés]],1)))</f>
        <v>0</v>
      </c>
      <c r="AJ10" s="24">
        <f>SUMPRODUCT(--(Novembre[[#This Row],[1]:[30]]=LEFT(Novembre[[#Headers],[Maladie]],1)))</f>
        <v>0</v>
      </c>
      <c r="AK10" s="24">
        <f>SUMPRODUCT(--(Novembre[[#This Row],[1]:[30]]=LEFT(Novembre[[#Headers],[Repas]],1)))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4">
        <f>SUMPRODUCT(--(Novembre[[#This Row],[1]:[30]]=LEFT(Novembre[[#Headers],[Travaillé]],1)))</f>
        <v>0</v>
      </c>
      <c r="AI11" s="24">
        <f>SUMPRODUCT(--(Novembre[[#This Row],[1]:[30]]=LEFT(Novembre[[#Headers],[Congés]],1)))</f>
        <v>0</v>
      </c>
      <c r="AJ11" s="24">
        <f>SUMPRODUCT(--(Novembre[[#This Row],[1]:[30]]=LEFT(Novembre[[#Headers],[Maladie]],1)))</f>
        <v>0</v>
      </c>
      <c r="AK11" s="24">
        <f>SUMPRODUCT(--(Novembre[[#This Row],[1]:[30]]=LEFT(Novembre[[#Headers],[Repas]],1)))</f>
        <v>0</v>
      </c>
    </row>
    <row r="12" spans="2:37" ht="30" customHeight="1" x14ac:dyDescent="0.3">
      <c r="B12" s="15" t="str">
        <f>Janvier!B12</f>
        <v>Employé 5</v>
      </c>
      <c r="AH12" s="24">
        <f>SUMPRODUCT(--(Novembre[[#This Row],[1]:[30]]=LEFT(Novembre[[#Headers],[Travaillé]],1)))</f>
        <v>0</v>
      </c>
      <c r="AI12" s="24">
        <f>SUMPRODUCT(--(Novembre[[#This Row],[1]:[30]]=LEFT(Novembre[[#Headers],[Congés]],1)))</f>
        <v>0</v>
      </c>
      <c r="AJ12" s="24">
        <f>SUMPRODUCT(--(Novembre[[#This Row],[1]:[30]]=LEFT(Novembre[[#Headers],[Maladie]],1)))</f>
        <v>0</v>
      </c>
      <c r="AK12" s="24">
        <f>SUMPRODUCT(--(Novembre[[#This Row],[1]:[30]]=LEFT(Novembre[[#Headers],[Repas]],1)))</f>
        <v>0</v>
      </c>
    </row>
    <row r="13" spans="2:37" ht="30" customHeight="1" thickBot="1" x14ac:dyDescent="0.35"/>
    <row r="14" spans="2:37" ht="30" customHeight="1" thickBot="1" x14ac:dyDescent="0.35">
      <c r="AB14" s="57" t="s">
        <v>53</v>
      </c>
      <c r="AC14" s="58"/>
      <c r="AD14" s="58"/>
      <c r="AE14" s="58"/>
      <c r="AF14" s="58"/>
      <c r="AG14" s="59"/>
      <c r="AH14" s="34">
        <f>SUM(AH10:AH13)</f>
        <v>0</v>
      </c>
      <c r="AI14" s="32">
        <f>SUM(AI10:AI13)</f>
        <v>0</v>
      </c>
      <c r="AJ14" s="32">
        <f>SUM(AJ10:AJ13)</f>
        <v>0</v>
      </c>
      <c r="AK14" s="33">
        <f>SUM(AK10:AK13)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159" priority="6" stopIfTrue="1">
      <formula>C7=CléPanier_Repas</formula>
    </cfRule>
    <cfRule type="expression" dxfId="158" priority="7" stopIfTrue="1">
      <formula>C7=CléPersonnalisée1</formula>
    </cfRule>
    <cfRule type="expression" dxfId="157" priority="8" stopIfTrue="1">
      <formula>C7=CléMaladie</formula>
    </cfRule>
    <cfRule type="expression" dxfId="156" priority="9" stopIfTrue="1">
      <formula>C7=CléCongés</formula>
    </cfRule>
    <cfRule type="expression" dxfId="155"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{0E088E80-3379-45E2-A0E8-9968317C0D74}</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E088E80-3379-45E2-A0E8-9968317C0D74}">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K14"/>
  <sheetViews>
    <sheetView showGridLines="0" topLeftCell="C1" workbookViewId="0">
      <selection activeCell="Z15" sqref="Z15"/>
    </sheetView>
  </sheetViews>
  <sheetFormatPr baseColWidth="10" defaultColWidth="9.109375" defaultRowHeight="30" customHeight="1" x14ac:dyDescent="0.3"/>
  <cols>
    <col min="1" max="1" width="2.6640625" style="9" customWidth="1"/>
    <col min="2" max="2" width="25.6640625" style="9" customWidth="1"/>
    <col min="3" max="33" width="4.6640625" style="9" customWidth="1"/>
    <col min="34" max="34" width="9.5546875" style="9" customWidth="1"/>
    <col min="35" max="37" width="9.5546875" customWidth="1"/>
  </cols>
  <sheetData>
    <row r="1" spans="2:37" ht="50.1" customHeight="1" x14ac:dyDescent="0.3">
      <c r="B1" s="10" t="str">
        <f>Titre_Absence_Employé</f>
        <v>Calendrier  des employés</v>
      </c>
    </row>
    <row r="2" spans="2:37" ht="15" customHeight="1" x14ac:dyDescent="0.3">
      <c r="B2" s="13" t="s">
        <v>1</v>
      </c>
      <c r="C2" s="3" t="s">
        <v>2</v>
      </c>
      <c r="D2" s="53" t="s">
        <v>3</v>
      </c>
      <c r="E2" s="54"/>
      <c r="F2" s="4" t="s">
        <v>4</v>
      </c>
      <c r="G2" s="56" t="s">
        <v>5</v>
      </c>
      <c r="H2" s="56"/>
      <c r="I2" s="19"/>
      <c r="J2" s="5" t="s">
        <v>6</v>
      </c>
      <c r="K2" s="54" t="s">
        <v>7</v>
      </c>
      <c r="L2" s="54"/>
      <c r="M2" s="6" t="s">
        <v>8</v>
      </c>
      <c r="N2" s="55" t="s">
        <v>9</v>
      </c>
      <c r="O2" s="55"/>
      <c r="P2" s="7" t="s">
        <v>67</v>
      </c>
      <c r="Q2" s="55" t="s">
        <v>68</v>
      </c>
      <c r="R2" s="55"/>
      <c r="S2" s="55"/>
      <c r="T2" s="19"/>
      <c r="AI2" s="9"/>
    </row>
    <row r="3" spans="2:37" ht="15" customHeight="1" x14ac:dyDescent="0.3">
      <c r="B3" s="10"/>
    </row>
    <row r="4" spans="2:37" ht="30" customHeight="1" x14ac:dyDescent="0.3">
      <c r="B4" s="35" t="s">
        <v>66</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5">
        <f>AnnéeCalendrier</f>
        <v>2019</v>
      </c>
      <c r="AI4" s="35"/>
      <c r="AJ4" s="35"/>
      <c r="AK4" s="35"/>
    </row>
    <row r="5" spans="2:37" ht="15" customHeight="1" x14ac:dyDescent="0.3">
      <c r="B5" s="35"/>
      <c r="C5" s="1" t="str">
        <f>TEXT(WEEKDAY(DATE(AnnéeCalendrier,12,1),1),"jjj")</f>
        <v>dim</v>
      </c>
      <c r="D5" s="1" t="str">
        <f>TEXT(WEEKDAY(DATE(AnnéeCalendrier,12,2),1),"jjj")</f>
        <v>lun</v>
      </c>
      <c r="E5" s="1" t="str">
        <f>TEXT(WEEKDAY(DATE(AnnéeCalendrier,12,3),1),"jjj")</f>
        <v>mar</v>
      </c>
      <c r="F5" s="1" t="str">
        <f>TEXT(WEEKDAY(DATE(AnnéeCalendrier,12,4),1),"jjj")</f>
        <v>mer</v>
      </c>
      <c r="G5" s="1" t="str">
        <f>TEXT(WEEKDAY(DATE(AnnéeCalendrier,12,5),1),"jjj")</f>
        <v>jeu</v>
      </c>
      <c r="H5" s="1" t="str">
        <f>TEXT(WEEKDAY(DATE(AnnéeCalendrier,12,6),1),"jjj")</f>
        <v>ven</v>
      </c>
      <c r="I5" s="1" t="str">
        <f>TEXT(WEEKDAY(DATE(AnnéeCalendrier,12,7),1),"jjj")</f>
        <v>sam</v>
      </c>
      <c r="J5" s="1" t="str">
        <f>TEXT(WEEKDAY(DATE(AnnéeCalendrier,12,8),1),"jjj")</f>
        <v>dim</v>
      </c>
      <c r="K5" s="1" t="str">
        <f>TEXT(WEEKDAY(DATE(AnnéeCalendrier,12,9),1),"jjj")</f>
        <v>lun</v>
      </c>
      <c r="L5" s="1" t="str">
        <f>TEXT(WEEKDAY(DATE(AnnéeCalendrier,12,10),1),"jjj")</f>
        <v>mar</v>
      </c>
      <c r="M5" s="1" t="str">
        <f>TEXT(WEEKDAY(DATE(AnnéeCalendrier,12,11),1),"jjj")</f>
        <v>mer</v>
      </c>
      <c r="N5" s="1" t="str">
        <f>TEXT(WEEKDAY(DATE(AnnéeCalendrier,12,12),1),"jjj")</f>
        <v>jeu</v>
      </c>
      <c r="O5" s="1" t="str">
        <f>TEXT(WEEKDAY(DATE(AnnéeCalendrier,12,13),1),"jjj")</f>
        <v>ven</v>
      </c>
      <c r="P5" s="1" t="str">
        <f>TEXT(WEEKDAY(DATE(AnnéeCalendrier,12,14),1),"jjj")</f>
        <v>sam</v>
      </c>
      <c r="Q5" s="1" t="str">
        <f>TEXT(WEEKDAY(DATE(AnnéeCalendrier,12,15),1),"jjj")</f>
        <v>dim</v>
      </c>
      <c r="R5" s="1" t="str">
        <f>TEXT(WEEKDAY(DATE(AnnéeCalendrier,12,16),1),"jjj")</f>
        <v>lun</v>
      </c>
      <c r="S5" s="1" t="str">
        <f>TEXT(WEEKDAY(DATE(AnnéeCalendrier,12,17),1),"jjj")</f>
        <v>mar</v>
      </c>
      <c r="T5" s="1" t="str">
        <f>TEXT(WEEKDAY(DATE(AnnéeCalendrier,12,18),1),"jjj")</f>
        <v>mer</v>
      </c>
      <c r="U5" s="1" t="str">
        <f>TEXT(WEEKDAY(DATE(AnnéeCalendrier,12,19),1),"jjj")</f>
        <v>jeu</v>
      </c>
      <c r="V5" s="1" t="str">
        <f>TEXT(WEEKDAY(DATE(AnnéeCalendrier,12,20),1),"jjj")</f>
        <v>ven</v>
      </c>
      <c r="W5" s="1" t="str">
        <f>TEXT(WEEKDAY(DATE(AnnéeCalendrier,12,21),1),"jjj")</f>
        <v>sam</v>
      </c>
      <c r="X5" s="1" t="str">
        <f>TEXT(WEEKDAY(DATE(AnnéeCalendrier,12,22),1),"jjj")</f>
        <v>dim</v>
      </c>
      <c r="Y5" s="1" t="str">
        <f>TEXT(WEEKDAY(DATE(AnnéeCalendrier,12,23),1),"jjj")</f>
        <v>lun</v>
      </c>
      <c r="Z5" s="1" t="str">
        <f>TEXT(WEEKDAY(DATE(AnnéeCalendrier,12,24),1),"jjj")</f>
        <v>mar</v>
      </c>
      <c r="AA5" s="1" t="str">
        <f>TEXT(WEEKDAY(DATE(AnnéeCalendrier,12,25),1),"jjj")</f>
        <v>mer</v>
      </c>
      <c r="AB5" s="1" t="str">
        <f>TEXT(WEEKDAY(DATE(AnnéeCalendrier,12,26),1),"jjj")</f>
        <v>jeu</v>
      </c>
      <c r="AC5" s="1" t="str">
        <f>TEXT(WEEKDAY(DATE(AnnéeCalendrier,12,27),1),"jjj")</f>
        <v>ven</v>
      </c>
      <c r="AD5" s="1" t="str">
        <f>TEXT(WEEKDAY(DATE(AnnéeCalendrier,12,28),1),"jjj")</f>
        <v>sam</v>
      </c>
      <c r="AE5" s="1" t="str">
        <f>TEXT(WEEKDAY(DATE(AnnéeCalendrier,12,29),1),"jjj")</f>
        <v>dim</v>
      </c>
      <c r="AF5" s="1" t="str">
        <f>TEXT(WEEKDAY(DATE(AnnéeCalendrier,12,30),1),"jjj")</f>
        <v>lun</v>
      </c>
      <c r="AG5" s="1" t="str">
        <f>TEXT(WEEKDAY(DATE(AnnéeCalendrier,12,31),1),"jjj")</f>
        <v>mar</v>
      </c>
      <c r="AH5" s="35"/>
      <c r="AI5" s="35"/>
      <c r="AJ5" s="35"/>
      <c r="AK5" s="35"/>
    </row>
    <row r="6" spans="2:37" ht="15" customHeigh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SUMPRODUCT(--(Décembre[[#This Row],[1]:[31]]=LEFT(Décembre[[#Headers],[Travaillé]],1)))</f>
        <v>0</v>
      </c>
      <c r="AI7" s="8">
        <f>SUMPRODUCT(--(Décembre[[#This Row],[1]:[31]]=LEFT(Décembre[[#Headers],[Congés]],1)))</f>
        <v>0</v>
      </c>
      <c r="AJ7" s="8">
        <f>SUMPRODUCT(--(Décembre[[#This Row],[1]:[31]]=LEFT(Décembre[[#Headers],[Maladie]],1)))</f>
        <v>0</v>
      </c>
      <c r="AK7" s="8">
        <f>SUMPRODUCT(--(Décembre[[#This Row],[1]:[31]]=LEFT(Décembre[[#Headers],[Repas]],1)))</f>
        <v>0</v>
      </c>
    </row>
    <row r="8" spans="2:37" ht="30" customHeigh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SUMPRODUCT(--(Décembre[[#This Row],[1]:[31]]=LEFT(Décembre[[#Headers],[Travaillé]],1)))</f>
        <v>0</v>
      </c>
      <c r="AI8" s="8">
        <f>SUMPRODUCT(--(Décembre[[#This Row],[1]:[31]]=LEFT(Décembre[[#Headers],[Congés]],1)))</f>
        <v>0</v>
      </c>
      <c r="AJ8" s="8">
        <f>SUMPRODUCT(--(Décembre[[#This Row],[1]:[31]]=LEFT(Décembre[[#Headers],[Maladie]],1)))</f>
        <v>0</v>
      </c>
      <c r="AK8" s="8">
        <f>SUMPRODUCT(--(Décembre[[#This Row],[1]:[31]]=LEFT(Décembre[[#Headers],[Repas]],1)))</f>
        <v>0</v>
      </c>
    </row>
    <row r="9" spans="2:37" ht="30" customHeight="1" x14ac:dyDescent="0.3">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SUMPRODUCT(--(Décembre[[#This Row],[1]:[31]]=LEFT(Décembre[[#Headers],[Travaillé]],1)))</f>
        <v>0</v>
      </c>
      <c r="AI9" s="8">
        <f>SUMPRODUCT(--(Décembre[[#This Row],[1]:[31]]=LEFT(Décembre[[#Headers],[Congés]],1)))</f>
        <v>0</v>
      </c>
      <c r="AJ9" s="8">
        <f>SUMPRODUCT(--(Décembre[[#This Row],[1]:[31]]=LEFT(Décembre[[#Headers],[Maladie]],1)))</f>
        <v>0</v>
      </c>
      <c r="AK9" s="8">
        <f>SUMPRODUCT(--(Décembre[[#This Row],[1]:[31]]=LEFT(Décembre[[#Headers],[Repas]],1)))</f>
        <v>0</v>
      </c>
    </row>
    <row r="10" spans="2:37" ht="30" customHeight="1" x14ac:dyDescent="0.3">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SUMPRODUCT(--(Décembre[[#This Row],[1]:[31]]=LEFT(Décembre[[#Headers],[Travaillé]],1)))</f>
        <v>0</v>
      </c>
      <c r="AI10" s="8">
        <f>SUMPRODUCT(--(Décembre[[#This Row],[1]:[31]]=LEFT(Décembre[[#Headers],[Congés]],1)))</f>
        <v>0</v>
      </c>
      <c r="AJ10" s="8">
        <f>SUMPRODUCT(--(Décembre[[#This Row],[1]:[31]]=LEFT(Décembre[[#Headers],[Maladie]],1)))</f>
        <v>0</v>
      </c>
      <c r="AK10" s="8">
        <f>SUMPRODUCT(--(Décembre[[#This Row],[1]:[31]]=LEFT(Décembre[[#Headers],[Repas]],1)))</f>
        <v>0</v>
      </c>
    </row>
    <row r="11" spans="2:37" ht="30" customHeight="1" x14ac:dyDescent="0.3">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SUMPRODUCT(--(Décembre[[#This Row],[1]:[31]]=LEFT(Décembre[[#Headers],[Travaillé]],1)))</f>
        <v>0</v>
      </c>
      <c r="AI11" s="8">
        <f>SUMPRODUCT(--(Décembre[[#This Row],[1]:[31]]=LEFT(Décembre[[#Headers],[Congés]],1)))</f>
        <v>0</v>
      </c>
      <c r="AJ11" s="8">
        <f>SUMPRODUCT(--(Décembre[[#This Row],[1]:[31]]=LEFT(Décembre[[#Headers],[Maladie]],1)))</f>
        <v>0</v>
      </c>
      <c r="AK11" s="8">
        <f>SUMPRODUCT(--(Décembre[[#This Row],[1]:[31]]=LEFT(Décembre[[#Headers],[Repas]],1)))</f>
        <v>0</v>
      </c>
    </row>
    <row r="12" spans="2:37" ht="30" customHeight="1" x14ac:dyDescent="0.3">
      <c r="B12" s="15" t="str">
        <f>Janvier!B12</f>
        <v>Employé 5</v>
      </c>
      <c r="AH12" s="8">
        <f>SUMPRODUCT(--(Décembre[[#This Row],[1]:[31]]=LEFT(Décembre[[#Headers],[Travaillé]],1)))</f>
        <v>0</v>
      </c>
      <c r="AI12" s="8">
        <f>SUMPRODUCT(--(Décembre[[#This Row],[1]:[31]]=LEFT(Décembre[[#Headers],[Congés]],1)))</f>
        <v>0</v>
      </c>
      <c r="AJ12" s="8">
        <f>SUMPRODUCT(--(Décembre[[#This Row],[1]:[31]]=LEFT(Décembre[[#Headers],[Maladie]],1)))</f>
        <v>0</v>
      </c>
      <c r="AK12" s="8">
        <f>SUMPRODUCT(--(Décembre[[#This Row],[1]:[31]]=LEFT(Décembre[[#Headers],[Repas]],1)))</f>
        <v>0</v>
      </c>
    </row>
    <row r="13" spans="2:37" ht="30" customHeight="1" thickBot="1" x14ac:dyDescent="0.35"/>
    <row r="14" spans="2:37" ht="30" customHeight="1" thickBot="1" x14ac:dyDescent="0.35">
      <c r="AB14" s="57" t="s">
        <v>53</v>
      </c>
      <c r="AC14" s="58"/>
      <c r="AD14" s="58"/>
      <c r="AE14" s="58"/>
      <c r="AF14" s="58"/>
      <c r="AG14" s="59"/>
      <c r="AH14" s="34">
        <f>SUM(AH11:AH13)</f>
        <v>0</v>
      </c>
      <c r="AI14" s="32">
        <f>SUM(AI11:AI13)</f>
        <v>0</v>
      </c>
      <c r="AJ14" s="32">
        <f>SUM(AJ11:AJ13)</f>
        <v>0</v>
      </c>
      <c r="AK14" s="33">
        <f>SUM(AK11:AK13)</f>
        <v>0</v>
      </c>
    </row>
  </sheetData>
  <mergeCells count="7">
    <mergeCell ref="AB14:AG14"/>
    <mergeCell ref="Q2:S2"/>
    <mergeCell ref="C4:AG4"/>
    <mergeCell ref="D2:E2"/>
    <mergeCell ref="K2:L2"/>
    <mergeCell ref="G2:H2"/>
    <mergeCell ref="N2:O2"/>
  </mergeCells>
  <conditionalFormatting sqref="C7:AG12">
    <cfRule type="expression" priority="4" stopIfTrue="1">
      <formula>C7=""</formula>
    </cfRule>
  </conditionalFormatting>
  <conditionalFormatting sqref="C7:AG12">
    <cfRule type="expression" dxfId="79" priority="5" stopIfTrue="1">
      <formula>C7=CléPanier_Repas</formula>
    </cfRule>
    <cfRule type="expression" dxfId="78" priority="6" stopIfTrue="1">
      <formula>C7=CléPersonnalisée1</formula>
    </cfRule>
    <cfRule type="expression" dxfId="77" priority="7" stopIfTrue="1">
      <formula>C7=CléMaladie</formula>
    </cfRule>
    <cfRule type="expression" dxfId="76" priority="8" stopIfTrue="1">
      <formula>C7=CléCongés</formula>
    </cfRule>
    <cfRule type="expression" dxfId="75" priority="9" stopIfTrue="1">
      <formula>C7=CléTravail</formula>
    </cfRule>
  </conditionalFormatting>
  <conditionalFormatting sqref="AH7:AK12">
    <cfRule type="dataBar" priority="3">
      <dataBar>
        <cfvo type="num" val="0"/>
        <cfvo type="num" val="31"/>
        <color theme="2" tint="-0.249977111117893"/>
      </dataBar>
      <extLst>
        <ext xmlns:x14="http://schemas.microsoft.com/office/spreadsheetml/2009/9/main" uri="{B025F937-C7B1-47D3-B67F-A62EFF666E3E}">
          <x14:id>{75AEC24A-02FB-47CC-822A-120B27AAD102}</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AEC24A-02FB-47CC-822A-120B27AAD102}">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1"/>
  <sheetViews>
    <sheetView topLeftCell="A7" workbookViewId="0">
      <selection activeCell="A9" sqref="A9"/>
    </sheetView>
  </sheetViews>
  <sheetFormatPr baseColWidth="10" defaultColWidth="11.44140625" defaultRowHeight="14.4" x14ac:dyDescent="0.3"/>
  <cols>
    <col min="1" max="1" width="24.109375" customWidth="1"/>
  </cols>
  <sheetData>
    <row r="1" spans="1:5" ht="33.6" x14ac:dyDescent="0.3">
      <c r="A1" s="10" t="str">
        <f>Titre_Absence_Employé</f>
        <v>Calendrier  des employés</v>
      </c>
    </row>
    <row r="2" spans="1:5" x14ac:dyDescent="0.3">
      <c r="A2" s="60"/>
      <c r="B2" s="60"/>
      <c r="C2" s="60"/>
    </row>
    <row r="3" spans="1:5" x14ac:dyDescent="0.3">
      <c r="A3" s="60"/>
      <c r="B3" s="60"/>
      <c r="C3" s="60"/>
    </row>
    <row r="4" spans="1:5" x14ac:dyDescent="0.3">
      <c r="A4" s="60"/>
      <c r="B4" s="60"/>
      <c r="C4" s="60"/>
    </row>
    <row r="5" spans="1:5" x14ac:dyDescent="0.3">
      <c r="A5" s="60"/>
      <c r="B5" s="60"/>
      <c r="C5" s="60"/>
    </row>
    <row r="6" spans="1:5" x14ac:dyDescent="0.3">
      <c r="A6" s="38"/>
      <c r="B6" s="38"/>
      <c r="C6" s="38"/>
    </row>
    <row r="7" spans="1:5" x14ac:dyDescent="0.3">
      <c r="A7" s="25" t="s">
        <v>13</v>
      </c>
      <c r="B7" s="16" t="s">
        <v>3</v>
      </c>
      <c r="C7" s="17" t="s">
        <v>9</v>
      </c>
      <c r="D7" s="18" t="s">
        <v>7</v>
      </c>
      <c r="E7" s="26" t="s">
        <v>5</v>
      </c>
    </row>
    <row r="8" spans="1:5" x14ac:dyDescent="0.3">
      <c r="A8" s="39" t="str">
        <f>Janvier!B7</f>
        <v>Amandine KRUSE</v>
      </c>
      <c r="B8" s="40">
        <f>Janvier!AH7+Février!AH7+Mars!AH7+Avril!AH7+Mai!AH7+Juin!AH7+Juillet!AH7+Août!AH7+Septembre!AH7+Octobre!AH7+Novembre!AH7+Décembre!AH7</f>
        <v>0</v>
      </c>
      <c r="C8" s="40">
        <f>Janvier!AI7+Février!AI7+Mars!AI7+Avril!AI7+Mai!AI7+Juin!AI7+Juillet!AI7+Août!AI7+Septembre!AI7+Octobre!AI7+Novembre!AI7+Décembre!AI7</f>
        <v>0</v>
      </c>
      <c r="D8" s="40">
        <f>Janvier!AJ7+Février!AJ7+Mars!AJ7+Avril!AJ7+Mai!AJ7+Juin!AJ7+Juillet!AJ7+Août!AJ7+Septembre!AJ7+Octobre!AJ7+Novembre!AJ7+Décembre!AJ7</f>
        <v>0</v>
      </c>
      <c r="E8" s="40">
        <f>Janvier!AK7+Février!AK7+Mars!AK7+Avril!AK7+Mai!AK7+Juin!AK7+Juillet!AK7+Août!AK7+Septembre!AK7+Octobre!AK7+Novembre!AK7+Décembre!AK7</f>
        <v>0</v>
      </c>
    </row>
    <row r="9" spans="1:5" x14ac:dyDescent="0.3">
      <c r="A9" s="39" t="str">
        <f>Janvier!B8</f>
        <v>Nakani KANTE</v>
      </c>
      <c r="B9" s="40">
        <f>Janvier!AH8+Février!AH8+Mars!AH8+Avril!AH8+Mai!AH8+Juin!AH8+Juillet!AH8+Août!AH8+Septembre!AH8+Octobre!AH8+Novembre!AH8+Décembre!AH8</f>
        <v>0</v>
      </c>
      <c r="C9" s="40">
        <f>Janvier!AI8+Février!AI8+Mars!AI8+Avril!AI8+Mai!AI8+Juin!AI8+Juillet!AI8+Août!AI8+Septembre!AI8+Octobre!AI8+Novembre!AI8+Décembre!AI8</f>
        <v>0</v>
      </c>
      <c r="D9" s="40">
        <f>Janvier!AJ8+Février!AJ8+Mars!AJ8+Avril!AJ8+Mai!AJ8+Juin!AJ8+Juillet!AJ8+Août!AJ8+Septembre!AJ8+Octobre!AJ8+Novembre!AJ8+Décembre!AJ8</f>
        <v>0</v>
      </c>
      <c r="E9" s="40">
        <f>Janvier!AK8+Février!AK8+Mars!AK8+Avril!AK8+Mai!AK8+Juin!AK8+Juillet!AK8+Août!AK8+Septembre!AK8+Octobre!AK8+Novembre!AK8+Décembre!AK8</f>
        <v>0</v>
      </c>
    </row>
    <row r="10" spans="1:5" x14ac:dyDescent="0.3">
      <c r="A10" s="39" t="str">
        <f>Janvier!B9</f>
        <v>Jérémie THORIN</v>
      </c>
      <c r="B10" s="40">
        <f>Janvier!AH9+Février!AH9+Mars!AH9+Avril!AH9+Mai!AH9+Juin!AH9+Juillet!AH9+Août!AH9+Septembre!AH9+Octobre!AH9+Novembre!AH9+Décembre!AH9</f>
        <v>0</v>
      </c>
      <c r="C10" s="40">
        <f>Janvier!AI9+Février!AI9+Mars!AI9+Avril!AI9+Mai!AI9+Juin!AI9+Juillet!AI9+Août!AI9+Septembre!AI9+Octobre!AI9+Novembre!AI9+Décembre!AI9</f>
        <v>0</v>
      </c>
      <c r="D10" s="40">
        <f>Janvier!AJ9+Février!AJ9+Mars!AJ9+Avril!AJ9+Mai!AJ9+Juin!AJ9+Juillet!AJ9+Août!AJ9+Septembre!AJ9+Octobre!AJ9+Novembre!AJ9+Décembre!AJ9</f>
        <v>0</v>
      </c>
      <c r="E10" s="40">
        <f>Janvier!AK9+Février!AK9+Mars!AK9+Avril!AK9+Mai!AK9+Juin!AK9+Juillet!AK9+Août!AK9+Septembre!AK9+Octobre!AK9+Novembre!AK9+Décembre!AK9</f>
        <v>0</v>
      </c>
    </row>
    <row r="11" spans="1:5" x14ac:dyDescent="0.3">
      <c r="A11" s="39" t="str">
        <f>Janvier!B10</f>
        <v>Employé 4</v>
      </c>
      <c r="B11" s="40">
        <f>Janvier!AH10+Février!AH10+Mars!AH10+Avril!AH10+Mai!AH10+Juin!AH10+Juillet!AH10+Août!AH10+Septembre!AH10+Octobre!AH10+Novembre!AH10+Décembre!AH10</f>
        <v>0</v>
      </c>
      <c r="C11" s="40">
        <f>Janvier!AI10+Février!AI10+Mars!AI10+Avril!AI10+Mai!AI10+Juin!AI10+Juillet!AI10+Août!AI10+Septembre!AI10+Octobre!AI10+Novembre!AI10+Décembre!AI10</f>
        <v>0</v>
      </c>
      <c r="D11" s="40">
        <f>Janvier!AJ10+Février!AJ10+Mars!AJ10+Avril!AJ10+Mai!AJ10+Juin!AJ10+Juillet!AJ10+Août!AJ10+Septembre!AJ10+Octobre!AJ10+Novembre!AJ10+Décembre!AJ10</f>
        <v>0</v>
      </c>
      <c r="E11" s="40">
        <f>Janvier!AK10+Février!AK10+Mars!AK10+Avril!AK10+Mai!AK10+Juin!AK10+Juillet!AK10+Août!AK10+Septembre!AK10+Octobre!AK10+Novembre!AK10+Décembre!AK10</f>
        <v>0</v>
      </c>
    </row>
    <row r="12" spans="1:5" x14ac:dyDescent="0.3">
      <c r="A12" s="39" t="str">
        <f>Janvier!B11</f>
        <v xml:space="preserve">Remplacement </v>
      </c>
      <c r="B12" s="40">
        <f>Janvier!AH11+Février!AH11+Mars!AH11+Avril!AH11+Mai!AH11+Juin!AH11+Juillet!AH11+Août!AH11+Septembre!AH11+Octobre!AH11+Novembre!AH11+Décembre!AH11</f>
        <v>0</v>
      </c>
      <c r="C12" s="40">
        <f>Janvier!AI11+Février!AI11+Mars!AI11+Avril!AI11+Mai!AI11+Juin!AI11+Juillet!AI11+Août!AI11+Septembre!AI11+Octobre!AI11+Novembre!AI11+Décembre!AI11</f>
        <v>0</v>
      </c>
      <c r="D12" s="40">
        <f>Janvier!AJ11+Février!AJ11+Mars!AJ11+Avril!AJ11+Mai!AJ11+Juin!AJ11+Juillet!AJ11+Août!AJ11+Septembre!AJ11+Octobre!AJ11+Novembre!AJ11+Décembre!AJ11</f>
        <v>0</v>
      </c>
      <c r="E12" s="40">
        <f>Janvier!AK11+Février!AK11+Mars!AK11+Avril!AK11+Mai!AK11+Juin!AK11+Juillet!AK11+Août!AK11+Septembre!AK11+Octobre!AK11+Novembre!AK11+Décembre!AK11</f>
        <v>0</v>
      </c>
    </row>
    <row r="13" spans="1:5" x14ac:dyDescent="0.3">
      <c r="A13" s="39" t="str">
        <f>Janvier!B12</f>
        <v>Employé 5</v>
      </c>
      <c r="B13" s="40">
        <f>Janvier!AH12+Février!AH12+Mars!AH12+Avril!AH12+Mai!AH12+Juin!AH12+Juillet!AH12+Août!AH12+Septembre!AH12+Octobre!AH12+Novembre!AH12+Décembre!AH12</f>
        <v>0</v>
      </c>
      <c r="C13" s="40">
        <f>Janvier!AI12+Février!AI12+Mars!AI12+Avril!AI12+Mai!AI12+Juin!AI12+Juillet!AI12+Août!AI12+Septembre!AI12+Octobre!AI12+Novembre!AI12+Décembre!AI12</f>
        <v>0</v>
      </c>
      <c r="D13" s="40">
        <f>Janvier!AJ12+Février!AJ12+Mars!AJ12+Avril!AJ12+Mai!AJ12+Juin!AJ12+Juillet!AJ12+Août!AJ12+Septembre!AJ12+Octobre!AJ12+Novembre!AJ12+Décembre!AJ12</f>
        <v>0</v>
      </c>
      <c r="E13" s="40">
        <f>Janvier!AK12+Février!AK12+Mars!AK12+Avril!AK12+Mai!AK12+Juin!AK12+Juillet!AK12+Août!AK12+Septembre!AK12+Octobre!AK12+Novembre!AK12+Décembre!AK12</f>
        <v>0</v>
      </c>
    </row>
    <row r="14" spans="1:5" x14ac:dyDescent="0.3">
      <c r="A14" s="39" t="str">
        <f>Janvier!B13</f>
        <v>Employé 6</v>
      </c>
      <c r="B14" s="40">
        <f>Janvier!AH13+Février!AH13+Mars!AH13+Avril!AH13+Mai!AH13+Juin!AH13+Juillet!AH13+Août!AH13+Septembre!AH13+Octobre!AH13+Novembre!AH13+Décembre!AH13</f>
        <v>0</v>
      </c>
      <c r="C14" s="40">
        <f>Janvier!AI13+Février!AI13+Mars!AI13+Avril!AI13+Mai!AI13+Juin!AI13+Juillet!AI13+Août!AI13+Septembre!AI13+Octobre!AI13+Novembre!AI13+Décembre!AI13</f>
        <v>0</v>
      </c>
      <c r="D14" s="40">
        <f>Janvier!AJ13+Février!AJ13+Mars!AJ13+Avril!AJ13+Mai!AJ13+Juin!AJ13+Juillet!AJ13+Août!AJ13+Septembre!AJ13+Octobre!AJ13+Novembre!AJ13+Décembre!AJ13</f>
        <v>0</v>
      </c>
      <c r="E14" s="40">
        <f>Janvier!AK13+Février!AK13+Mars!AK13+Avril!AK13+Mai!AK13+Juin!AK13+Juillet!AK13+Août!AK13+Septembre!AK13+Octobre!AK13+Novembre!AK13+Décembre!AK13</f>
        <v>0</v>
      </c>
    </row>
    <row r="15" spans="1:5" x14ac:dyDescent="0.3">
      <c r="A15" s="39"/>
      <c r="B15" s="40"/>
      <c r="C15" s="40"/>
      <c r="D15" s="40"/>
      <c r="E15" s="40"/>
    </row>
    <row r="16" spans="1:5" x14ac:dyDescent="0.3">
      <c r="A16" s="39"/>
      <c r="B16" s="40"/>
      <c r="C16" s="40"/>
      <c r="D16" s="40"/>
      <c r="E16" s="40"/>
    </row>
    <row r="17" spans="1:5" x14ac:dyDescent="0.3">
      <c r="A17" s="39"/>
      <c r="B17" s="40"/>
      <c r="C17" s="40"/>
      <c r="D17" s="40"/>
      <c r="E17" s="40"/>
    </row>
    <row r="18" spans="1:5" x14ac:dyDescent="0.3">
      <c r="A18" s="39"/>
      <c r="B18" s="40"/>
      <c r="C18" s="40"/>
      <c r="D18" s="40"/>
      <c r="E18" s="40"/>
    </row>
    <row r="19" spans="1:5" x14ac:dyDescent="0.3">
      <c r="A19" s="39"/>
      <c r="B19" s="40"/>
      <c r="C19" s="40"/>
      <c r="D19" s="40"/>
      <c r="E19" s="40"/>
    </row>
    <row r="20" spans="1:5" x14ac:dyDescent="0.3">
      <c r="A20" s="39"/>
      <c r="B20" s="40"/>
      <c r="C20" s="40"/>
      <c r="D20" s="40"/>
      <c r="E20" s="40"/>
    </row>
    <row r="21" spans="1:5" x14ac:dyDescent="0.3">
      <c r="A21" s="39"/>
      <c r="B21" s="40"/>
      <c r="C21" s="40"/>
      <c r="D21" s="40"/>
      <c r="E21" s="40"/>
    </row>
  </sheetData>
  <mergeCells count="1">
    <mergeCell ref="A2:C5"/>
  </mergeCells>
  <dataValidations count="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7"/>
    <dataValidation allowBlank="1" showInputMessage="1" showErrorMessage="1" prompt="Le titre mis à jour automatiquement figure dans cette cellule. Pour modifier le titre, mettez à jour la cellule B1 de la feuille de calcul Janvier" sqref="A1"/>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49</vt:i4>
      </vt:variant>
    </vt:vector>
  </HeadingPairs>
  <TitlesOfParts>
    <vt:vector size="62" baseType="lpstr">
      <vt:lpstr>Janvier</vt:lpstr>
      <vt:lpstr>Février</vt:lpstr>
      <vt:lpstr>Mars</vt:lpstr>
      <vt:lpstr>Avril</vt:lpstr>
      <vt:lpstr>Mai</vt:lpstr>
      <vt:lpstr>Juin</vt:lpstr>
      <vt:lpstr>Juillet</vt:lpstr>
      <vt:lpstr>Août</vt:lpstr>
      <vt:lpstr>Septembre</vt:lpstr>
      <vt:lpstr>Octobre</vt:lpstr>
      <vt:lpstr>Novembre</vt:lpstr>
      <vt:lpstr>Décembre</vt:lpstr>
      <vt:lpstr>Total Annuel</vt:lpstr>
      <vt:lpstr>AnnéeCalendrier</vt:lpstr>
      <vt:lpstr>CléCongés</vt:lpstr>
      <vt:lpstr>CléMaladie</vt:lpstr>
      <vt:lpstr>CléPanier_Repas</vt:lpstr>
      <vt:lpstr>CléPersonnalisée1</vt:lpstr>
      <vt:lpstr>CléTravail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Alexandre</dc:creator>
  <cp:keywords/>
  <dc:description/>
  <cp:lastModifiedBy>Utilisateur</cp:lastModifiedBy>
  <cp:revision/>
  <dcterms:created xsi:type="dcterms:W3CDTF">2016-12-06T04:52:27Z</dcterms:created>
  <dcterms:modified xsi:type="dcterms:W3CDTF">2019-09-15T19:04:18Z</dcterms:modified>
  <cp:category/>
  <cp:contentStatus/>
</cp:coreProperties>
</file>