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omments1.xml" ContentType="application/vnd.openxmlformats-officedocument.spreadsheetml.comments+xml"/>
  <Override PartName="/xl/threadedComments/threadedComment1.xml" ContentType="application/vnd.ms-excel.threadedcomments+xml"/>
  <Override PartName="/xl/tables/table4.xml" ContentType="application/vnd.openxmlformats-officedocument.spreadsheetml.table+xml"/>
  <Override PartName="/xl/persons/person.xml" ContentType="application/vnd.ms-excel.person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62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ropbox\YGGD\13. MEDIATHEQUE\FORMATION\EXCEL\EXCEL PRATIQUE - QUESTIONS SUR PB\EXCEL PRATIQUE - INCREMENTATION LISTE DRLTE - 2020 0425\"/>
    </mc:Choice>
  </mc:AlternateContent>
  <xr:revisionPtr revIDLastSave="0" documentId="8_{E380A6C5-9BDD-484F-8C30-893FEA407C40}" xr6:coauthVersionLast="45" xr6:coauthVersionMax="45" xr10:uidLastSave="{00000000-0000-0000-0000-000000000000}"/>
  <bookViews>
    <workbookView xWindow="-120" yWindow="-120" windowWidth="20730" windowHeight="11160" activeTab="2" xr2:uid="{00000000-000D-0000-FFFF-FFFF00000000}"/>
  </bookViews>
  <sheets>
    <sheet name="MJGES01_00028_2" sheetId="6" r:id="rId1"/>
    <sheet name="Grille_Tarifs_Modulable" sheetId="4" r:id="rId2"/>
    <sheet name="Facture" sheetId="1" r:id="rId3"/>
    <sheet name="Listes  déroulantes" sheetId="7" r:id="rId4"/>
  </sheets>
  <externalReferences>
    <externalReference r:id="rId5"/>
    <externalReference r:id="rId6"/>
  </externalReferences>
  <definedNames>
    <definedName name="_xlnm._FilterDatabase" localSheetId="0" hidden="1">MJGES01_00028_2!$J$2:$J$1979</definedName>
    <definedName name="CL_liste">Grille_Tarifs_Modulable!$AN$10:$AN$114</definedName>
    <definedName name="CL_Liste_Filtrée">Grille_Tarifs_Modulable!$BM$10:$BM$26</definedName>
    <definedName name="CL_selon_Cat_Stxt">Grille_Tarifs_Modulable!$AG$10:$AG$114</definedName>
    <definedName name="Désign_selon_Cat_Stxt">Grille_Tarifs_Modulable!$AB$10:$AB$114</definedName>
    <definedName name="Désignation_liste">Grille_Tarifs_Modulable!$AJ$10:$AJ$114</definedName>
    <definedName name="Designation_Liste_Alpha">Grille_Tarifs_Modulable!$AR$10:$AR$114</definedName>
    <definedName name="Désignation_selon_Catégorie">Grille_Tarifs_Modulable!$BD$10:$BD$114</definedName>
    <definedName name="Facture_Cont">'Listes  déroulantes'!$E$3:$E$17</definedName>
    <definedName name="Facture_Designation">'Listes  déroulantes'!$B$3:$B$101</definedName>
    <definedName name="Liste_CL_Conditionnement">[1]Grille_Tarifs_Modulable!$AA$10:$AA$104</definedName>
    <definedName name="Liste_Refs">[1]Grille_Tarifs_Modulable!$T$10:$T$114</definedName>
    <definedName name="Noms_Ebt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4" i="7" l="1" a="1"/>
  <c r="B4" i="7" s="1"/>
  <c r="B5" i="7" a="1"/>
  <c r="B5" i="7" s="1"/>
  <c r="B6" i="7" a="1"/>
  <c r="B6" i="7" s="1"/>
  <c r="B7" i="7" a="1"/>
  <c r="B7" i="7" s="1"/>
  <c r="B8" i="7" a="1"/>
  <c r="B8" i="7" s="1"/>
  <c r="B9" i="7" a="1"/>
  <c r="B9" i="7" s="1"/>
  <c r="B10" i="7" a="1"/>
  <c r="B10" i="7" s="1"/>
  <c r="B11" i="7" a="1"/>
  <c r="B11" i="7" s="1"/>
  <c r="B12" i="7" a="1"/>
  <c r="B12" i="7" s="1"/>
  <c r="B13" i="7" a="1"/>
  <c r="B13" i="7" s="1"/>
  <c r="B14" i="7" a="1"/>
  <c r="B14" i="7" s="1"/>
  <c r="B15" i="7" a="1"/>
  <c r="B15" i="7" s="1"/>
  <c r="B16" i="7" a="1"/>
  <c r="B16" i="7" s="1"/>
  <c r="B17" i="7" a="1"/>
  <c r="B17" i="7" s="1"/>
  <c r="B18" i="7" a="1"/>
  <c r="B18" i="7" s="1"/>
  <c r="B19" i="7" a="1"/>
  <c r="B19" i="7" s="1"/>
  <c r="B20" i="7" a="1"/>
  <c r="B20" i="7" s="1"/>
  <c r="B21" i="7" a="1"/>
  <c r="B21" i="7" s="1"/>
  <c r="B22" i="7" a="1"/>
  <c r="B22" i="7" s="1"/>
  <c r="B23" i="7" a="1"/>
  <c r="B23" i="7" s="1"/>
  <c r="B24" i="7" a="1"/>
  <c r="B24" i="7" s="1"/>
  <c r="B25" i="7" a="1"/>
  <c r="B25" i="7" s="1"/>
  <c r="B26" i="7" a="1"/>
  <c r="B26" i="7" s="1"/>
  <c r="B27" i="7" a="1"/>
  <c r="B27" i="7" s="1"/>
  <c r="B28" i="7" a="1"/>
  <c r="B28" i="7" s="1"/>
  <c r="B29" i="7" a="1"/>
  <c r="B29" i="7" s="1"/>
  <c r="B30" i="7" a="1"/>
  <c r="B30" i="7" s="1"/>
  <c r="B31" i="7" a="1"/>
  <c r="B31" i="7" s="1"/>
  <c r="B32" i="7" a="1"/>
  <c r="B32" i="7" s="1"/>
  <c r="B33" i="7" a="1"/>
  <c r="B33" i="7" s="1"/>
  <c r="B34" i="7" a="1"/>
  <c r="B34" i="7" s="1"/>
  <c r="B35" i="7" a="1"/>
  <c r="B35" i="7" s="1"/>
  <c r="B36" i="7" a="1"/>
  <c r="B36" i="7" s="1"/>
  <c r="B37" i="7" a="1"/>
  <c r="B37" i="7" s="1"/>
  <c r="B38" i="7" a="1"/>
  <c r="B38" i="7" s="1"/>
  <c r="B39" i="7" a="1"/>
  <c r="B39" i="7" s="1"/>
  <c r="B40" i="7" a="1"/>
  <c r="B40" i="7" s="1"/>
  <c r="B41" i="7" a="1"/>
  <c r="B41" i="7" s="1"/>
  <c r="B42" i="7" a="1"/>
  <c r="B42" i="7" s="1"/>
  <c r="B43" i="7" a="1"/>
  <c r="B43" i="7" s="1"/>
  <c r="B44" i="7" a="1"/>
  <c r="B44" i="7" s="1"/>
  <c r="B45" i="7" a="1"/>
  <c r="B45" i="7" s="1"/>
  <c r="B46" i="7" a="1"/>
  <c r="B46" i="7" s="1"/>
  <c r="B47" i="7" a="1"/>
  <c r="B47" i="7" s="1"/>
  <c r="B48" i="7" a="1"/>
  <c r="B48" i="7" s="1"/>
  <c r="B49" i="7" a="1"/>
  <c r="B49" i="7" s="1"/>
  <c r="B50" i="7" a="1"/>
  <c r="B50" i="7" s="1"/>
  <c r="B51" i="7" a="1"/>
  <c r="B51" i="7" s="1"/>
  <c r="B52" i="7" a="1"/>
  <c r="B52" i="7" s="1"/>
  <c r="B53" i="7" a="1"/>
  <c r="B53" i="7" s="1"/>
  <c r="B54" i="7" a="1"/>
  <c r="B54" i="7" s="1"/>
  <c r="B55" i="7" a="1"/>
  <c r="B55" i="7" s="1"/>
  <c r="B56" i="7" a="1"/>
  <c r="B56" i="7" s="1"/>
  <c r="B57" i="7" a="1"/>
  <c r="B57" i="7" s="1"/>
  <c r="B58" i="7" a="1"/>
  <c r="B58" i="7" s="1"/>
  <c r="B59" i="7" a="1"/>
  <c r="B59" i="7" s="1"/>
  <c r="B60" i="7" a="1"/>
  <c r="B60" i="7" s="1"/>
  <c r="B61" i="7" a="1"/>
  <c r="B61" i="7" s="1"/>
  <c r="B62" i="7" a="1"/>
  <c r="B62" i="7" s="1"/>
  <c r="B63" i="7" a="1"/>
  <c r="B63" i="7" s="1"/>
  <c r="B64" i="7" a="1"/>
  <c r="B64" i="7" s="1"/>
  <c r="B65" i="7" a="1"/>
  <c r="B65" i="7" s="1"/>
  <c r="B66" i="7" a="1"/>
  <c r="B66" i="7" s="1"/>
  <c r="B67" i="7" a="1"/>
  <c r="B67" i="7" s="1"/>
  <c r="B68" i="7" a="1"/>
  <c r="B68" i="7" s="1"/>
  <c r="B69" i="7" a="1"/>
  <c r="B69" i="7" s="1"/>
  <c r="B70" i="7" a="1"/>
  <c r="B70" i="7" s="1"/>
  <c r="B71" i="7" a="1"/>
  <c r="B71" i="7" s="1"/>
  <c r="B72" i="7" a="1"/>
  <c r="B72" i="7" s="1"/>
  <c r="B73" i="7" a="1"/>
  <c r="B73" i="7" s="1"/>
  <c r="B74" i="7" a="1"/>
  <c r="B74" i="7" s="1"/>
  <c r="B75" i="7" a="1"/>
  <c r="B75" i="7" s="1"/>
  <c r="B76" i="7" a="1"/>
  <c r="B76" i="7" s="1"/>
  <c r="B77" i="7" a="1"/>
  <c r="B77" i="7" s="1"/>
  <c r="B78" i="7" a="1"/>
  <c r="B78" i="7" s="1"/>
  <c r="B79" i="7" a="1"/>
  <c r="B79" i="7" s="1"/>
  <c r="B80" i="7" a="1"/>
  <c r="B80" i="7" s="1"/>
  <c r="B81" i="7" a="1"/>
  <c r="B81" i="7" s="1"/>
  <c r="B82" i="7" a="1"/>
  <c r="B82" i="7" s="1"/>
  <c r="B83" i="7" a="1"/>
  <c r="B83" i="7" s="1"/>
  <c r="B84" i="7" a="1"/>
  <c r="B84" i="7" s="1"/>
  <c r="B85" i="7" a="1"/>
  <c r="B85" i="7" s="1"/>
  <c r="B86" i="7" a="1"/>
  <c r="B86" i="7" s="1"/>
  <c r="B87" i="7" a="1"/>
  <c r="B87" i="7" s="1"/>
  <c r="B88" i="7" a="1"/>
  <c r="B88" i="7" s="1"/>
  <c r="B89" i="7" a="1"/>
  <c r="B89" i="7" s="1"/>
  <c r="B90" i="7" a="1"/>
  <c r="B90" i="7" s="1"/>
  <c r="B91" i="7" a="1"/>
  <c r="B91" i="7" s="1"/>
  <c r="B92" i="7" a="1"/>
  <c r="B92" i="7" s="1"/>
  <c r="B93" i="7" a="1"/>
  <c r="B93" i="7" s="1"/>
  <c r="B94" i="7" a="1"/>
  <c r="B94" i="7" s="1"/>
  <c r="B95" i="7" a="1"/>
  <c r="B95" i="7" s="1"/>
  <c r="B96" i="7" a="1"/>
  <c r="B96" i="7" s="1"/>
  <c r="B97" i="7" a="1"/>
  <c r="B97" i="7" s="1"/>
  <c r="B98" i="7" a="1"/>
  <c r="B98" i="7" s="1"/>
  <c r="B99" i="7" a="1"/>
  <c r="B99" i="7" s="1"/>
  <c r="B100" i="7" a="1"/>
  <c r="B100" i="7" s="1"/>
  <c r="B101" i="7" a="1"/>
  <c r="B101" i="7" s="1"/>
  <c r="B3" i="7" a="1"/>
  <c r="B3" i="7" s="1"/>
  <c r="P19" i="1"/>
  <c r="I6" i="7" a="1"/>
  <c r="I6" i="7" s="1"/>
  <c r="E4" i="7" a="1"/>
  <c r="E4" i="7" s="1"/>
  <c r="E5" i="7" a="1"/>
  <c r="E5" i="7" s="1"/>
  <c r="E6" i="7" a="1"/>
  <c r="E6" i="7" s="1"/>
  <c r="E7" i="7" a="1"/>
  <c r="E7" i="7" s="1"/>
  <c r="E8" i="7" a="1"/>
  <c r="E8" i="7" s="1"/>
  <c r="E9" i="7" a="1"/>
  <c r="E9" i="7" s="1"/>
  <c r="E10" i="7" a="1"/>
  <c r="E10" i="7" s="1"/>
  <c r="E11" i="7" a="1"/>
  <c r="E11" i="7" s="1"/>
  <c r="E12" i="7" a="1"/>
  <c r="E12" i="7" s="1"/>
  <c r="E13" i="7" a="1"/>
  <c r="E13" i="7" s="1"/>
  <c r="E14" i="7" a="1"/>
  <c r="E14" i="7" s="1"/>
  <c r="E15" i="7" a="1"/>
  <c r="E15" i="7" s="1"/>
  <c r="E16" i="7" a="1"/>
  <c r="E16" i="7" s="1"/>
  <c r="E17" i="7" a="1"/>
  <c r="E17" i="7" s="1"/>
  <c r="E3" i="7" a="1"/>
  <c r="E3" i="7" s="1"/>
  <c r="AG10" i="4" a="1"/>
  <c r="AG10" i="4" s="1"/>
  <c r="K2" i="6" a="1"/>
  <c r="K2" i="6" s="1"/>
  <c r="L2" i="6" s="1"/>
  <c r="R3" i="6"/>
  <c r="R4" i="6"/>
  <c r="R5" i="6"/>
  <c r="R6" i="6"/>
  <c r="R7" i="6"/>
  <c r="R8" i="6"/>
  <c r="R9" i="6"/>
  <c r="R10" i="6"/>
  <c r="R11" i="6"/>
  <c r="R12" i="6"/>
  <c r="R13" i="6"/>
  <c r="R14" i="6"/>
  <c r="R15" i="6"/>
  <c r="R16" i="6"/>
  <c r="R17" i="6"/>
  <c r="R18" i="6"/>
  <c r="R19" i="6"/>
  <c r="R20" i="6"/>
  <c r="R21" i="6"/>
  <c r="R22" i="6"/>
  <c r="R23" i="6"/>
  <c r="R24" i="6"/>
  <c r="R25" i="6"/>
  <c r="R26" i="6"/>
  <c r="R27" i="6"/>
  <c r="R28" i="6"/>
  <c r="R29" i="6"/>
  <c r="R30" i="6"/>
  <c r="R31" i="6"/>
  <c r="R32" i="6"/>
  <c r="R33" i="6"/>
  <c r="R34" i="6"/>
  <c r="R35" i="6"/>
  <c r="R36" i="6"/>
  <c r="R37" i="6"/>
  <c r="R38" i="6"/>
  <c r="R39" i="6"/>
  <c r="R40" i="6"/>
  <c r="R41" i="6"/>
  <c r="R42" i="6"/>
  <c r="R43" i="6"/>
  <c r="R44" i="6"/>
  <c r="R45" i="6"/>
  <c r="R46" i="6"/>
  <c r="R47" i="6"/>
  <c r="R48" i="6"/>
  <c r="R49" i="6"/>
  <c r="R50" i="6"/>
  <c r="R51" i="6"/>
  <c r="R52" i="6"/>
  <c r="R53" i="6"/>
  <c r="R54" i="6"/>
  <c r="R55" i="6"/>
  <c r="R56" i="6"/>
  <c r="R57" i="6"/>
  <c r="R58" i="6"/>
  <c r="R59" i="6"/>
  <c r="R60" i="6"/>
  <c r="R61" i="6"/>
  <c r="R62" i="6"/>
  <c r="R63" i="6"/>
  <c r="R64" i="6"/>
  <c r="R65" i="6"/>
  <c r="R66" i="6"/>
  <c r="R67" i="6"/>
  <c r="R68" i="6"/>
  <c r="R69" i="6"/>
  <c r="R70" i="6"/>
  <c r="R71" i="6"/>
  <c r="R72" i="6"/>
  <c r="R73" i="6"/>
  <c r="R74" i="6"/>
  <c r="R75" i="6"/>
  <c r="R76" i="6"/>
  <c r="R77" i="6"/>
  <c r="R78" i="6"/>
  <c r="R79" i="6"/>
  <c r="R80" i="6"/>
  <c r="R81" i="6"/>
  <c r="R82" i="6"/>
  <c r="R83" i="6"/>
  <c r="R84" i="6"/>
  <c r="R85" i="6"/>
  <c r="R86" i="6"/>
  <c r="R87" i="6"/>
  <c r="R88" i="6"/>
  <c r="R89" i="6"/>
  <c r="R90" i="6"/>
  <c r="R91" i="6"/>
  <c r="R92" i="6"/>
  <c r="R93" i="6"/>
  <c r="R94" i="6"/>
  <c r="R95" i="6"/>
  <c r="R96" i="6"/>
  <c r="R97" i="6"/>
  <c r="R98" i="6"/>
  <c r="R99" i="6"/>
  <c r="R100" i="6"/>
  <c r="R101" i="6"/>
  <c r="R102" i="6"/>
  <c r="R103" i="6"/>
  <c r="R104" i="6"/>
  <c r="R105" i="6"/>
  <c r="R106" i="6"/>
  <c r="R107" i="6"/>
  <c r="R108" i="6"/>
  <c r="R109" i="6"/>
  <c r="R110" i="6"/>
  <c r="R111" i="6"/>
  <c r="R112" i="6"/>
  <c r="R113" i="6"/>
  <c r="R114" i="6"/>
  <c r="R115" i="6"/>
  <c r="R116" i="6"/>
  <c r="R117" i="6"/>
  <c r="R118" i="6"/>
  <c r="R119" i="6"/>
  <c r="R120" i="6"/>
  <c r="R121" i="6"/>
  <c r="R122" i="6"/>
  <c r="R123" i="6"/>
  <c r="R124" i="6"/>
  <c r="R125" i="6"/>
  <c r="R126" i="6"/>
  <c r="R127" i="6"/>
  <c r="R128" i="6"/>
  <c r="R129" i="6"/>
  <c r="R130" i="6"/>
  <c r="R131" i="6"/>
  <c r="R132" i="6"/>
  <c r="R133" i="6"/>
  <c r="R134" i="6"/>
  <c r="R135" i="6"/>
  <c r="R136" i="6"/>
  <c r="R137" i="6"/>
  <c r="R138" i="6"/>
  <c r="R139" i="6"/>
  <c r="R140" i="6"/>
  <c r="R141" i="6"/>
  <c r="R142" i="6"/>
  <c r="R143" i="6"/>
  <c r="R144" i="6"/>
  <c r="R145" i="6"/>
  <c r="R146" i="6"/>
  <c r="R147" i="6"/>
  <c r="R148" i="6"/>
  <c r="R149" i="6"/>
  <c r="R150" i="6"/>
  <c r="R151" i="6"/>
  <c r="R152" i="6"/>
  <c r="R153" i="6"/>
  <c r="R154" i="6"/>
  <c r="R155" i="6"/>
  <c r="R156" i="6"/>
  <c r="R157" i="6"/>
  <c r="R158" i="6"/>
  <c r="R159" i="6"/>
  <c r="R160" i="6"/>
  <c r="R161" i="6"/>
  <c r="R162" i="6"/>
  <c r="R163" i="6"/>
  <c r="R164" i="6"/>
  <c r="R165" i="6"/>
  <c r="R166" i="6"/>
  <c r="R167" i="6"/>
  <c r="R168" i="6"/>
  <c r="R169" i="6"/>
  <c r="R170" i="6"/>
  <c r="R171" i="6"/>
  <c r="R172" i="6"/>
  <c r="R173" i="6"/>
  <c r="R174" i="6"/>
  <c r="R175" i="6"/>
  <c r="R176" i="6"/>
  <c r="R177" i="6"/>
  <c r="R178" i="6"/>
  <c r="R179" i="6"/>
  <c r="R180" i="6"/>
  <c r="R181" i="6"/>
  <c r="R182" i="6"/>
  <c r="R183" i="6"/>
  <c r="R184" i="6"/>
  <c r="R185" i="6"/>
  <c r="R186" i="6"/>
  <c r="R187" i="6"/>
  <c r="R188" i="6"/>
  <c r="R189" i="6"/>
  <c r="R190" i="6"/>
  <c r="R191" i="6"/>
  <c r="R192" i="6"/>
  <c r="R193" i="6"/>
  <c r="R194" i="6"/>
  <c r="R195" i="6"/>
  <c r="R196" i="6"/>
  <c r="R197" i="6"/>
  <c r="R198" i="6"/>
  <c r="R199" i="6"/>
  <c r="R200" i="6"/>
  <c r="R201" i="6"/>
  <c r="R202" i="6"/>
  <c r="R203" i="6"/>
  <c r="R204" i="6"/>
  <c r="R205" i="6"/>
  <c r="R206" i="6"/>
  <c r="R207" i="6"/>
  <c r="R208" i="6"/>
  <c r="R209" i="6"/>
  <c r="R210" i="6"/>
  <c r="R211" i="6"/>
  <c r="R212" i="6"/>
  <c r="R213" i="6"/>
  <c r="R214" i="6"/>
  <c r="R215" i="6"/>
  <c r="R216" i="6"/>
  <c r="R217" i="6"/>
  <c r="R218" i="6"/>
  <c r="R219" i="6"/>
  <c r="R220" i="6"/>
  <c r="R221" i="6"/>
  <c r="R222" i="6"/>
  <c r="R223" i="6"/>
  <c r="R224" i="6"/>
  <c r="R225" i="6"/>
  <c r="R226" i="6"/>
  <c r="R227" i="6"/>
  <c r="R228" i="6"/>
  <c r="R229" i="6"/>
  <c r="R230" i="6"/>
  <c r="R231" i="6"/>
  <c r="R232" i="6"/>
  <c r="R233" i="6"/>
  <c r="R234" i="6"/>
  <c r="R235" i="6"/>
  <c r="R236" i="6"/>
  <c r="R237" i="6"/>
  <c r="R238" i="6"/>
  <c r="R239" i="6"/>
  <c r="R240" i="6"/>
  <c r="R241" i="6"/>
  <c r="R242" i="6"/>
  <c r="R243" i="6"/>
  <c r="R244" i="6"/>
  <c r="R245" i="6"/>
  <c r="R246" i="6"/>
  <c r="R247" i="6"/>
  <c r="R248" i="6"/>
  <c r="R249" i="6"/>
  <c r="R250" i="6"/>
  <c r="R251" i="6"/>
  <c r="R252" i="6"/>
  <c r="R253" i="6"/>
  <c r="R254" i="6"/>
  <c r="R255" i="6"/>
  <c r="R256" i="6"/>
  <c r="R257" i="6"/>
  <c r="R258" i="6"/>
  <c r="R259" i="6"/>
  <c r="R260" i="6"/>
  <c r="R261" i="6"/>
  <c r="R262" i="6"/>
  <c r="R263" i="6"/>
  <c r="R264" i="6"/>
  <c r="R265" i="6"/>
  <c r="R266" i="6"/>
  <c r="R267" i="6"/>
  <c r="R268" i="6"/>
  <c r="R269" i="6"/>
  <c r="R270" i="6"/>
  <c r="R271" i="6"/>
  <c r="R272" i="6"/>
  <c r="R273" i="6"/>
  <c r="R274" i="6"/>
  <c r="R275" i="6"/>
  <c r="R276" i="6"/>
  <c r="R277" i="6"/>
  <c r="R278" i="6"/>
  <c r="R279" i="6"/>
  <c r="R280" i="6"/>
  <c r="R281" i="6"/>
  <c r="R282" i="6"/>
  <c r="R283" i="6"/>
  <c r="R284" i="6"/>
  <c r="R285" i="6"/>
  <c r="R286" i="6"/>
  <c r="R287" i="6"/>
  <c r="R288" i="6"/>
  <c r="R289" i="6"/>
  <c r="R290" i="6"/>
  <c r="R291" i="6"/>
  <c r="R292" i="6"/>
  <c r="R293" i="6"/>
  <c r="R294" i="6"/>
  <c r="R295" i="6"/>
  <c r="R296" i="6"/>
  <c r="R297" i="6"/>
  <c r="R298" i="6"/>
  <c r="R299" i="6"/>
  <c r="R300" i="6"/>
  <c r="R301" i="6"/>
  <c r="R302" i="6"/>
  <c r="R303" i="6"/>
  <c r="R304" i="6"/>
  <c r="R305" i="6"/>
  <c r="R306" i="6"/>
  <c r="R307" i="6"/>
  <c r="R308" i="6"/>
  <c r="R309" i="6"/>
  <c r="R310" i="6"/>
  <c r="R311" i="6"/>
  <c r="R312" i="6"/>
  <c r="R313" i="6"/>
  <c r="R314" i="6"/>
  <c r="R315" i="6"/>
  <c r="R316" i="6"/>
  <c r="R317" i="6"/>
  <c r="R318" i="6"/>
  <c r="R319" i="6"/>
  <c r="R320" i="6"/>
  <c r="R321" i="6"/>
  <c r="R322" i="6"/>
  <c r="R323" i="6"/>
  <c r="R324" i="6"/>
  <c r="R325" i="6"/>
  <c r="R326" i="6"/>
  <c r="R327" i="6"/>
  <c r="R328" i="6"/>
  <c r="R329" i="6"/>
  <c r="R330" i="6"/>
  <c r="R331" i="6"/>
  <c r="R332" i="6"/>
  <c r="R333" i="6"/>
  <c r="R334" i="6"/>
  <c r="R335" i="6"/>
  <c r="R336" i="6"/>
  <c r="R337" i="6"/>
  <c r="R338" i="6"/>
  <c r="R339" i="6"/>
  <c r="R340" i="6"/>
  <c r="R341" i="6"/>
  <c r="R342" i="6"/>
  <c r="R343" i="6"/>
  <c r="R344" i="6"/>
  <c r="R345" i="6"/>
  <c r="R346" i="6"/>
  <c r="R347" i="6"/>
  <c r="R348" i="6"/>
  <c r="R349" i="6"/>
  <c r="R350" i="6"/>
  <c r="R351" i="6"/>
  <c r="R352" i="6"/>
  <c r="R353" i="6"/>
  <c r="R354" i="6"/>
  <c r="R355" i="6"/>
  <c r="R356" i="6"/>
  <c r="R357" i="6"/>
  <c r="R358" i="6"/>
  <c r="R359" i="6"/>
  <c r="R360" i="6"/>
  <c r="R361" i="6"/>
  <c r="R362" i="6"/>
  <c r="R363" i="6"/>
  <c r="R364" i="6"/>
  <c r="R365" i="6"/>
  <c r="R366" i="6"/>
  <c r="R367" i="6"/>
  <c r="R368" i="6"/>
  <c r="R369" i="6"/>
  <c r="R370" i="6"/>
  <c r="R371" i="6"/>
  <c r="R372" i="6"/>
  <c r="R373" i="6"/>
  <c r="R374" i="6"/>
  <c r="R375" i="6"/>
  <c r="R376" i="6"/>
  <c r="R377" i="6"/>
  <c r="R378" i="6"/>
  <c r="R379" i="6"/>
  <c r="R380" i="6"/>
  <c r="R381" i="6"/>
  <c r="R382" i="6"/>
  <c r="R383" i="6"/>
  <c r="R384" i="6"/>
  <c r="R385" i="6"/>
  <c r="R386" i="6"/>
  <c r="R387" i="6"/>
  <c r="R388" i="6"/>
  <c r="R389" i="6"/>
  <c r="R390" i="6"/>
  <c r="R391" i="6"/>
  <c r="R392" i="6"/>
  <c r="R393" i="6"/>
  <c r="R394" i="6"/>
  <c r="R395" i="6"/>
  <c r="R396" i="6"/>
  <c r="R397" i="6"/>
  <c r="R398" i="6"/>
  <c r="R399" i="6"/>
  <c r="R400" i="6"/>
  <c r="R401" i="6"/>
  <c r="R402" i="6"/>
  <c r="R403" i="6"/>
  <c r="R404" i="6"/>
  <c r="R405" i="6"/>
  <c r="R406" i="6"/>
  <c r="R407" i="6"/>
  <c r="R408" i="6"/>
  <c r="R409" i="6"/>
  <c r="R410" i="6"/>
  <c r="R411" i="6"/>
  <c r="R412" i="6"/>
  <c r="R413" i="6"/>
  <c r="R414" i="6"/>
  <c r="R415" i="6"/>
  <c r="R416" i="6"/>
  <c r="R417" i="6"/>
  <c r="R418" i="6"/>
  <c r="R419" i="6"/>
  <c r="R420" i="6"/>
  <c r="R421" i="6"/>
  <c r="R422" i="6"/>
  <c r="R423" i="6"/>
  <c r="R424" i="6"/>
  <c r="R425" i="6"/>
  <c r="R426" i="6"/>
  <c r="R427" i="6"/>
  <c r="R428" i="6"/>
  <c r="R429" i="6"/>
  <c r="R430" i="6"/>
  <c r="R431" i="6"/>
  <c r="R432" i="6"/>
  <c r="R433" i="6"/>
  <c r="R434" i="6"/>
  <c r="R435" i="6"/>
  <c r="R436" i="6"/>
  <c r="R437" i="6"/>
  <c r="R438" i="6"/>
  <c r="R439" i="6"/>
  <c r="R440" i="6"/>
  <c r="R441" i="6"/>
  <c r="R442" i="6"/>
  <c r="R443" i="6"/>
  <c r="R444" i="6"/>
  <c r="R445" i="6"/>
  <c r="R446" i="6"/>
  <c r="R447" i="6"/>
  <c r="R448" i="6"/>
  <c r="R449" i="6"/>
  <c r="R450" i="6"/>
  <c r="R451" i="6"/>
  <c r="R452" i="6"/>
  <c r="R453" i="6"/>
  <c r="R454" i="6"/>
  <c r="R455" i="6"/>
  <c r="R456" i="6"/>
  <c r="R457" i="6"/>
  <c r="R458" i="6"/>
  <c r="R459" i="6"/>
  <c r="R460" i="6"/>
  <c r="R461" i="6"/>
  <c r="R462" i="6"/>
  <c r="R463" i="6"/>
  <c r="R464" i="6"/>
  <c r="R465" i="6"/>
  <c r="R466" i="6"/>
  <c r="R467" i="6"/>
  <c r="R468" i="6"/>
  <c r="R469" i="6"/>
  <c r="R470" i="6"/>
  <c r="R471" i="6"/>
  <c r="R472" i="6"/>
  <c r="R473" i="6"/>
  <c r="R474" i="6"/>
  <c r="R475" i="6"/>
  <c r="R476" i="6"/>
  <c r="R477" i="6"/>
  <c r="R478" i="6"/>
  <c r="R479" i="6"/>
  <c r="R480" i="6"/>
  <c r="R481" i="6"/>
  <c r="R482" i="6"/>
  <c r="R483" i="6"/>
  <c r="R484" i="6"/>
  <c r="R485" i="6"/>
  <c r="R486" i="6"/>
  <c r="R487" i="6"/>
  <c r="R488" i="6"/>
  <c r="R489" i="6"/>
  <c r="R490" i="6"/>
  <c r="R491" i="6"/>
  <c r="R492" i="6"/>
  <c r="R493" i="6"/>
  <c r="R494" i="6"/>
  <c r="R495" i="6"/>
  <c r="R496" i="6"/>
  <c r="R497" i="6"/>
  <c r="R498" i="6"/>
  <c r="R499" i="6"/>
  <c r="R500" i="6"/>
  <c r="R501" i="6"/>
  <c r="R502" i="6"/>
  <c r="R503" i="6"/>
  <c r="R504" i="6"/>
  <c r="R505" i="6"/>
  <c r="R506" i="6"/>
  <c r="R507" i="6"/>
  <c r="R508" i="6"/>
  <c r="R509" i="6"/>
  <c r="R510" i="6"/>
  <c r="R511" i="6"/>
  <c r="R512" i="6"/>
  <c r="R513" i="6"/>
  <c r="R514" i="6"/>
  <c r="R515" i="6"/>
  <c r="R516" i="6"/>
  <c r="R517" i="6"/>
  <c r="R518" i="6"/>
  <c r="R519" i="6"/>
  <c r="R520" i="6"/>
  <c r="R521" i="6"/>
  <c r="R522" i="6"/>
  <c r="R523" i="6"/>
  <c r="R524" i="6"/>
  <c r="R525" i="6"/>
  <c r="R526" i="6"/>
  <c r="R527" i="6"/>
  <c r="R528" i="6"/>
  <c r="R529" i="6"/>
  <c r="R530" i="6"/>
  <c r="R531" i="6"/>
  <c r="R532" i="6"/>
  <c r="R533" i="6"/>
  <c r="R534" i="6"/>
  <c r="R535" i="6"/>
  <c r="R536" i="6"/>
  <c r="R537" i="6"/>
  <c r="R538" i="6"/>
  <c r="R539" i="6"/>
  <c r="R540" i="6"/>
  <c r="R541" i="6"/>
  <c r="R542" i="6"/>
  <c r="R543" i="6"/>
  <c r="R544" i="6"/>
  <c r="R545" i="6"/>
  <c r="R546" i="6"/>
  <c r="R547" i="6"/>
  <c r="R548" i="6"/>
  <c r="R549" i="6"/>
  <c r="R550" i="6"/>
  <c r="R551" i="6"/>
  <c r="R552" i="6"/>
  <c r="R553" i="6"/>
  <c r="R554" i="6"/>
  <c r="R555" i="6"/>
  <c r="R556" i="6"/>
  <c r="R557" i="6"/>
  <c r="R558" i="6"/>
  <c r="R559" i="6"/>
  <c r="R560" i="6"/>
  <c r="R561" i="6"/>
  <c r="R562" i="6"/>
  <c r="R563" i="6"/>
  <c r="R564" i="6"/>
  <c r="R565" i="6"/>
  <c r="R566" i="6"/>
  <c r="R567" i="6"/>
  <c r="R568" i="6"/>
  <c r="R569" i="6"/>
  <c r="R570" i="6"/>
  <c r="R571" i="6"/>
  <c r="R572" i="6"/>
  <c r="R573" i="6"/>
  <c r="R574" i="6"/>
  <c r="R575" i="6"/>
  <c r="R576" i="6"/>
  <c r="R577" i="6"/>
  <c r="R578" i="6"/>
  <c r="R579" i="6"/>
  <c r="R580" i="6"/>
  <c r="R581" i="6"/>
  <c r="R582" i="6"/>
  <c r="R583" i="6"/>
  <c r="R584" i="6"/>
  <c r="R585" i="6"/>
  <c r="R586" i="6"/>
  <c r="R587" i="6"/>
  <c r="R588" i="6"/>
  <c r="R589" i="6"/>
  <c r="R590" i="6"/>
  <c r="R591" i="6"/>
  <c r="R592" i="6"/>
  <c r="R593" i="6"/>
  <c r="R594" i="6"/>
  <c r="R595" i="6"/>
  <c r="R596" i="6"/>
  <c r="R597" i="6"/>
  <c r="R598" i="6"/>
  <c r="R599" i="6"/>
  <c r="R600" i="6"/>
  <c r="R601" i="6"/>
  <c r="R602" i="6"/>
  <c r="R603" i="6"/>
  <c r="R604" i="6"/>
  <c r="R605" i="6"/>
  <c r="R606" i="6"/>
  <c r="R607" i="6"/>
  <c r="R608" i="6"/>
  <c r="R609" i="6"/>
  <c r="R610" i="6"/>
  <c r="R611" i="6"/>
  <c r="R612" i="6"/>
  <c r="R613" i="6"/>
  <c r="R614" i="6"/>
  <c r="R615" i="6"/>
  <c r="R616" i="6"/>
  <c r="R617" i="6"/>
  <c r="R618" i="6"/>
  <c r="R619" i="6"/>
  <c r="R620" i="6"/>
  <c r="R621" i="6"/>
  <c r="R622" i="6"/>
  <c r="R623" i="6"/>
  <c r="R624" i="6"/>
  <c r="R625" i="6"/>
  <c r="R626" i="6"/>
  <c r="R627" i="6"/>
  <c r="R628" i="6"/>
  <c r="R629" i="6"/>
  <c r="R630" i="6"/>
  <c r="R631" i="6"/>
  <c r="R632" i="6"/>
  <c r="R633" i="6"/>
  <c r="R634" i="6"/>
  <c r="R635" i="6"/>
  <c r="R636" i="6"/>
  <c r="R637" i="6"/>
  <c r="R638" i="6"/>
  <c r="R639" i="6"/>
  <c r="R640" i="6"/>
  <c r="R641" i="6"/>
  <c r="R642" i="6"/>
  <c r="R643" i="6"/>
  <c r="R644" i="6"/>
  <c r="R645" i="6"/>
  <c r="R646" i="6"/>
  <c r="R647" i="6"/>
  <c r="R648" i="6"/>
  <c r="R649" i="6"/>
  <c r="R650" i="6"/>
  <c r="R651" i="6"/>
  <c r="R652" i="6"/>
  <c r="R653" i="6"/>
  <c r="R654" i="6"/>
  <c r="R655" i="6"/>
  <c r="R656" i="6"/>
  <c r="R657" i="6"/>
  <c r="R658" i="6"/>
  <c r="R659" i="6"/>
  <c r="R660" i="6"/>
  <c r="R661" i="6"/>
  <c r="R662" i="6"/>
  <c r="R663" i="6"/>
  <c r="R664" i="6"/>
  <c r="R665" i="6"/>
  <c r="R666" i="6"/>
  <c r="R667" i="6"/>
  <c r="R668" i="6"/>
  <c r="R669" i="6"/>
  <c r="R670" i="6"/>
  <c r="R671" i="6"/>
  <c r="R672" i="6"/>
  <c r="R673" i="6"/>
  <c r="R674" i="6"/>
  <c r="R675" i="6"/>
  <c r="R676" i="6"/>
  <c r="R677" i="6"/>
  <c r="R678" i="6"/>
  <c r="R679" i="6"/>
  <c r="R680" i="6"/>
  <c r="R681" i="6"/>
  <c r="R682" i="6"/>
  <c r="R683" i="6"/>
  <c r="R684" i="6"/>
  <c r="R685" i="6"/>
  <c r="R686" i="6"/>
  <c r="R687" i="6"/>
  <c r="R688" i="6"/>
  <c r="R689" i="6"/>
  <c r="R690" i="6"/>
  <c r="R691" i="6"/>
  <c r="R692" i="6"/>
  <c r="R693" i="6"/>
  <c r="R694" i="6"/>
  <c r="R695" i="6"/>
  <c r="R696" i="6"/>
  <c r="R697" i="6"/>
  <c r="R698" i="6"/>
  <c r="R699" i="6"/>
  <c r="R700" i="6"/>
  <c r="R701" i="6"/>
  <c r="R702" i="6"/>
  <c r="R703" i="6"/>
  <c r="R704" i="6"/>
  <c r="R705" i="6"/>
  <c r="R706" i="6"/>
  <c r="R707" i="6"/>
  <c r="R708" i="6"/>
  <c r="R709" i="6"/>
  <c r="R710" i="6"/>
  <c r="R711" i="6"/>
  <c r="R712" i="6"/>
  <c r="R713" i="6"/>
  <c r="R714" i="6"/>
  <c r="R715" i="6"/>
  <c r="R716" i="6"/>
  <c r="R717" i="6"/>
  <c r="R718" i="6"/>
  <c r="R719" i="6"/>
  <c r="R720" i="6"/>
  <c r="R721" i="6"/>
  <c r="R722" i="6"/>
  <c r="R723" i="6"/>
  <c r="R724" i="6"/>
  <c r="R725" i="6"/>
  <c r="R726" i="6"/>
  <c r="R727" i="6"/>
  <c r="R728" i="6"/>
  <c r="R729" i="6"/>
  <c r="R730" i="6"/>
  <c r="R731" i="6"/>
  <c r="R732" i="6"/>
  <c r="R733" i="6"/>
  <c r="R734" i="6"/>
  <c r="R735" i="6"/>
  <c r="R736" i="6"/>
  <c r="R737" i="6"/>
  <c r="R738" i="6"/>
  <c r="R739" i="6"/>
  <c r="R740" i="6"/>
  <c r="R741" i="6"/>
  <c r="R742" i="6"/>
  <c r="R743" i="6"/>
  <c r="R744" i="6"/>
  <c r="R745" i="6"/>
  <c r="R746" i="6"/>
  <c r="R747" i="6"/>
  <c r="R748" i="6"/>
  <c r="R749" i="6"/>
  <c r="R750" i="6"/>
  <c r="R751" i="6"/>
  <c r="R752" i="6"/>
  <c r="R753" i="6"/>
  <c r="R754" i="6"/>
  <c r="R755" i="6"/>
  <c r="R756" i="6"/>
  <c r="R757" i="6"/>
  <c r="R758" i="6"/>
  <c r="R759" i="6"/>
  <c r="R760" i="6"/>
  <c r="R761" i="6"/>
  <c r="R762" i="6"/>
  <c r="R763" i="6"/>
  <c r="R764" i="6"/>
  <c r="R765" i="6"/>
  <c r="R766" i="6"/>
  <c r="R767" i="6"/>
  <c r="R768" i="6"/>
  <c r="R769" i="6"/>
  <c r="R770" i="6"/>
  <c r="R771" i="6"/>
  <c r="R772" i="6"/>
  <c r="R773" i="6"/>
  <c r="R774" i="6"/>
  <c r="R775" i="6"/>
  <c r="R776" i="6"/>
  <c r="R777" i="6"/>
  <c r="R778" i="6"/>
  <c r="R779" i="6"/>
  <c r="R780" i="6"/>
  <c r="R781" i="6"/>
  <c r="R782" i="6"/>
  <c r="R783" i="6"/>
  <c r="R784" i="6"/>
  <c r="R785" i="6"/>
  <c r="R786" i="6"/>
  <c r="R787" i="6"/>
  <c r="R788" i="6"/>
  <c r="R789" i="6"/>
  <c r="R790" i="6"/>
  <c r="R791" i="6"/>
  <c r="R792" i="6"/>
  <c r="R793" i="6"/>
  <c r="R794" i="6"/>
  <c r="R795" i="6"/>
  <c r="R796" i="6"/>
  <c r="R797" i="6"/>
  <c r="R798" i="6"/>
  <c r="R799" i="6"/>
  <c r="R800" i="6"/>
  <c r="R801" i="6"/>
  <c r="R802" i="6"/>
  <c r="R803" i="6"/>
  <c r="R804" i="6"/>
  <c r="R805" i="6"/>
  <c r="R806" i="6"/>
  <c r="R807" i="6"/>
  <c r="R808" i="6"/>
  <c r="R809" i="6"/>
  <c r="R810" i="6"/>
  <c r="R811" i="6"/>
  <c r="R812" i="6"/>
  <c r="R813" i="6"/>
  <c r="R814" i="6"/>
  <c r="R815" i="6"/>
  <c r="R816" i="6"/>
  <c r="R817" i="6"/>
  <c r="R818" i="6"/>
  <c r="R819" i="6"/>
  <c r="R820" i="6"/>
  <c r="R821" i="6"/>
  <c r="R822" i="6"/>
  <c r="R823" i="6"/>
  <c r="R824" i="6"/>
  <c r="R825" i="6"/>
  <c r="R826" i="6"/>
  <c r="R827" i="6"/>
  <c r="R828" i="6"/>
  <c r="R829" i="6"/>
  <c r="R830" i="6"/>
  <c r="R831" i="6"/>
  <c r="R832" i="6"/>
  <c r="R833" i="6"/>
  <c r="R834" i="6"/>
  <c r="R835" i="6"/>
  <c r="R836" i="6"/>
  <c r="R837" i="6"/>
  <c r="R838" i="6"/>
  <c r="R839" i="6"/>
  <c r="R840" i="6"/>
  <c r="R841" i="6"/>
  <c r="R842" i="6"/>
  <c r="R843" i="6"/>
  <c r="R844" i="6"/>
  <c r="R845" i="6"/>
  <c r="R846" i="6"/>
  <c r="R847" i="6"/>
  <c r="R848" i="6"/>
  <c r="R849" i="6"/>
  <c r="R850" i="6"/>
  <c r="R851" i="6"/>
  <c r="R852" i="6"/>
  <c r="R853" i="6"/>
  <c r="R854" i="6"/>
  <c r="R855" i="6"/>
  <c r="R856" i="6"/>
  <c r="R857" i="6"/>
  <c r="R858" i="6"/>
  <c r="R859" i="6"/>
  <c r="R860" i="6"/>
  <c r="R861" i="6"/>
  <c r="R862" i="6"/>
  <c r="R863" i="6"/>
  <c r="R864" i="6"/>
  <c r="R865" i="6"/>
  <c r="R866" i="6"/>
  <c r="R867" i="6"/>
  <c r="R868" i="6"/>
  <c r="R869" i="6"/>
  <c r="R870" i="6"/>
  <c r="R871" i="6"/>
  <c r="R872" i="6"/>
  <c r="R873" i="6"/>
  <c r="R874" i="6"/>
  <c r="R875" i="6"/>
  <c r="R876" i="6"/>
  <c r="R877" i="6"/>
  <c r="R878" i="6"/>
  <c r="R879" i="6"/>
  <c r="R880" i="6"/>
  <c r="R881" i="6"/>
  <c r="R882" i="6"/>
  <c r="R883" i="6"/>
  <c r="R884" i="6"/>
  <c r="R885" i="6"/>
  <c r="R886" i="6"/>
  <c r="R887" i="6"/>
  <c r="R888" i="6"/>
  <c r="R889" i="6"/>
  <c r="R890" i="6"/>
  <c r="R891" i="6"/>
  <c r="R892" i="6"/>
  <c r="R893" i="6"/>
  <c r="R894" i="6"/>
  <c r="R895" i="6"/>
  <c r="R896" i="6"/>
  <c r="R897" i="6"/>
  <c r="R898" i="6"/>
  <c r="R899" i="6"/>
  <c r="R900" i="6"/>
  <c r="R901" i="6"/>
  <c r="R902" i="6"/>
  <c r="R903" i="6"/>
  <c r="R904" i="6"/>
  <c r="R905" i="6"/>
  <c r="R906" i="6"/>
  <c r="R907" i="6"/>
  <c r="R908" i="6"/>
  <c r="R909" i="6"/>
  <c r="R910" i="6"/>
  <c r="R911" i="6"/>
  <c r="R912" i="6"/>
  <c r="R913" i="6"/>
  <c r="R914" i="6"/>
  <c r="R915" i="6"/>
  <c r="R916" i="6"/>
  <c r="R917" i="6"/>
  <c r="R918" i="6"/>
  <c r="R919" i="6"/>
  <c r="R920" i="6"/>
  <c r="R921" i="6"/>
  <c r="R922" i="6"/>
  <c r="R923" i="6"/>
  <c r="R924" i="6"/>
  <c r="R925" i="6"/>
  <c r="R926" i="6"/>
  <c r="R927" i="6"/>
  <c r="R928" i="6"/>
  <c r="R929" i="6"/>
  <c r="R930" i="6"/>
  <c r="R931" i="6"/>
  <c r="R932" i="6"/>
  <c r="R933" i="6"/>
  <c r="R934" i="6"/>
  <c r="R935" i="6"/>
  <c r="R936" i="6"/>
  <c r="R937" i="6"/>
  <c r="R938" i="6"/>
  <c r="R939" i="6"/>
  <c r="R940" i="6"/>
  <c r="R941" i="6"/>
  <c r="R942" i="6"/>
  <c r="R943" i="6"/>
  <c r="R944" i="6"/>
  <c r="R945" i="6"/>
  <c r="R946" i="6"/>
  <c r="R947" i="6"/>
  <c r="R948" i="6"/>
  <c r="R949" i="6"/>
  <c r="R950" i="6"/>
  <c r="R951" i="6"/>
  <c r="R952" i="6"/>
  <c r="R953" i="6"/>
  <c r="R954" i="6"/>
  <c r="R955" i="6"/>
  <c r="R956" i="6"/>
  <c r="R957" i="6"/>
  <c r="R958" i="6"/>
  <c r="R959" i="6"/>
  <c r="R960" i="6"/>
  <c r="R961" i="6"/>
  <c r="R962" i="6"/>
  <c r="R963" i="6"/>
  <c r="R964" i="6"/>
  <c r="R965" i="6"/>
  <c r="R966" i="6"/>
  <c r="R967" i="6"/>
  <c r="R968" i="6"/>
  <c r="R969" i="6"/>
  <c r="R970" i="6"/>
  <c r="R971" i="6"/>
  <c r="R972" i="6"/>
  <c r="R973" i="6"/>
  <c r="R974" i="6"/>
  <c r="R975" i="6"/>
  <c r="R976" i="6"/>
  <c r="R977" i="6"/>
  <c r="R978" i="6"/>
  <c r="R979" i="6"/>
  <c r="R980" i="6"/>
  <c r="R981" i="6"/>
  <c r="R982" i="6"/>
  <c r="R983" i="6"/>
  <c r="R984" i="6"/>
  <c r="R985" i="6"/>
  <c r="R986" i="6"/>
  <c r="R987" i="6"/>
  <c r="R988" i="6"/>
  <c r="R989" i="6"/>
  <c r="R990" i="6"/>
  <c r="R991" i="6"/>
  <c r="R992" i="6"/>
  <c r="R993" i="6"/>
  <c r="R994" i="6"/>
  <c r="R995" i="6"/>
  <c r="R996" i="6"/>
  <c r="R997" i="6"/>
  <c r="R998" i="6"/>
  <c r="R999" i="6"/>
  <c r="R1000" i="6"/>
  <c r="R1001" i="6"/>
  <c r="R1002" i="6"/>
  <c r="R1003" i="6"/>
  <c r="R1004" i="6"/>
  <c r="R1005" i="6"/>
  <c r="R1006" i="6"/>
  <c r="R1007" i="6"/>
  <c r="R1008" i="6"/>
  <c r="R1009" i="6"/>
  <c r="R1010" i="6"/>
  <c r="R1011" i="6"/>
  <c r="R1012" i="6"/>
  <c r="R1013" i="6"/>
  <c r="R1014" i="6"/>
  <c r="R1015" i="6"/>
  <c r="R1016" i="6"/>
  <c r="R1017" i="6"/>
  <c r="R1018" i="6"/>
  <c r="R1019" i="6"/>
  <c r="R1020" i="6"/>
  <c r="R1021" i="6"/>
  <c r="R1022" i="6"/>
  <c r="R1023" i="6"/>
  <c r="R1024" i="6"/>
  <c r="R1025" i="6"/>
  <c r="R1026" i="6"/>
  <c r="R1027" i="6"/>
  <c r="R1028" i="6"/>
  <c r="R1029" i="6"/>
  <c r="R1030" i="6"/>
  <c r="R1031" i="6"/>
  <c r="R1032" i="6"/>
  <c r="R1033" i="6"/>
  <c r="R1034" i="6"/>
  <c r="R1035" i="6"/>
  <c r="R1036" i="6"/>
  <c r="R1037" i="6"/>
  <c r="R1038" i="6"/>
  <c r="R1039" i="6"/>
  <c r="R1040" i="6"/>
  <c r="R1041" i="6"/>
  <c r="R1042" i="6"/>
  <c r="R1043" i="6"/>
  <c r="R1044" i="6"/>
  <c r="R1045" i="6"/>
  <c r="R1046" i="6"/>
  <c r="R1047" i="6"/>
  <c r="R1048" i="6"/>
  <c r="R1049" i="6"/>
  <c r="R1050" i="6"/>
  <c r="R1051" i="6"/>
  <c r="R1052" i="6"/>
  <c r="R1053" i="6"/>
  <c r="R1054" i="6"/>
  <c r="R1055" i="6"/>
  <c r="R1056" i="6"/>
  <c r="R1057" i="6"/>
  <c r="R1058" i="6"/>
  <c r="R1059" i="6"/>
  <c r="R1060" i="6"/>
  <c r="R1061" i="6"/>
  <c r="R1062" i="6"/>
  <c r="R1063" i="6"/>
  <c r="R1064" i="6"/>
  <c r="R1065" i="6"/>
  <c r="R1066" i="6"/>
  <c r="R1067" i="6"/>
  <c r="R1068" i="6"/>
  <c r="R1069" i="6"/>
  <c r="R1070" i="6"/>
  <c r="R1071" i="6"/>
  <c r="R1072" i="6"/>
  <c r="R1073" i="6"/>
  <c r="R1074" i="6"/>
  <c r="R1075" i="6"/>
  <c r="R1076" i="6"/>
  <c r="R1077" i="6"/>
  <c r="R1078" i="6"/>
  <c r="R1079" i="6"/>
  <c r="R1080" i="6"/>
  <c r="R1081" i="6"/>
  <c r="R1082" i="6"/>
  <c r="R1083" i="6"/>
  <c r="R1084" i="6"/>
  <c r="R1085" i="6"/>
  <c r="R1086" i="6"/>
  <c r="R1087" i="6"/>
  <c r="R1088" i="6"/>
  <c r="R1089" i="6"/>
  <c r="R1090" i="6"/>
  <c r="R1091" i="6"/>
  <c r="R1092" i="6"/>
  <c r="R1093" i="6"/>
  <c r="R1094" i="6"/>
  <c r="R1095" i="6"/>
  <c r="R1096" i="6"/>
  <c r="R1097" i="6"/>
  <c r="R1098" i="6"/>
  <c r="R1099" i="6"/>
  <c r="R1100" i="6"/>
  <c r="R1101" i="6"/>
  <c r="R1102" i="6"/>
  <c r="R1103" i="6"/>
  <c r="R1104" i="6"/>
  <c r="R1105" i="6"/>
  <c r="R1106" i="6"/>
  <c r="R1107" i="6"/>
  <c r="R1108" i="6"/>
  <c r="R1109" i="6"/>
  <c r="R1110" i="6"/>
  <c r="R1111" i="6"/>
  <c r="R1112" i="6"/>
  <c r="R1113" i="6"/>
  <c r="R1114" i="6"/>
  <c r="R1115" i="6"/>
  <c r="R1116" i="6"/>
  <c r="R1117" i="6"/>
  <c r="R1118" i="6"/>
  <c r="R1119" i="6"/>
  <c r="R1120" i="6"/>
  <c r="R1121" i="6"/>
  <c r="R1122" i="6"/>
  <c r="R1123" i="6"/>
  <c r="R1124" i="6"/>
  <c r="R1125" i="6"/>
  <c r="R1126" i="6"/>
  <c r="R1127" i="6"/>
  <c r="R1128" i="6"/>
  <c r="R1129" i="6"/>
  <c r="R1130" i="6"/>
  <c r="R1131" i="6"/>
  <c r="R1132" i="6"/>
  <c r="R1133" i="6"/>
  <c r="R1134" i="6"/>
  <c r="R1135" i="6"/>
  <c r="R1136" i="6"/>
  <c r="R1137" i="6"/>
  <c r="R1138" i="6"/>
  <c r="R1139" i="6"/>
  <c r="R1140" i="6"/>
  <c r="R1141" i="6"/>
  <c r="R1142" i="6"/>
  <c r="R1143" i="6"/>
  <c r="R1144" i="6"/>
  <c r="R1145" i="6"/>
  <c r="R1146" i="6"/>
  <c r="R1147" i="6"/>
  <c r="R1148" i="6"/>
  <c r="R1149" i="6"/>
  <c r="R1150" i="6"/>
  <c r="R1151" i="6"/>
  <c r="R1152" i="6"/>
  <c r="R1153" i="6"/>
  <c r="R1154" i="6"/>
  <c r="R1155" i="6"/>
  <c r="R1156" i="6"/>
  <c r="R1157" i="6"/>
  <c r="R1158" i="6"/>
  <c r="R1159" i="6"/>
  <c r="R1160" i="6"/>
  <c r="R1161" i="6"/>
  <c r="R1162" i="6"/>
  <c r="R1163" i="6"/>
  <c r="R1164" i="6"/>
  <c r="R1165" i="6"/>
  <c r="R1166" i="6"/>
  <c r="R1167" i="6"/>
  <c r="R1168" i="6"/>
  <c r="R1169" i="6"/>
  <c r="R1170" i="6"/>
  <c r="R1171" i="6"/>
  <c r="R1172" i="6"/>
  <c r="R1173" i="6"/>
  <c r="R1174" i="6"/>
  <c r="R1175" i="6"/>
  <c r="R1176" i="6"/>
  <c r="R1177" i="6"/>
  <c r="R1178" i="6"/>
  <c r="R1179" i="6"/>
  <c r="R1180" i="6"/>
  <c r="R1181" i="6"/>
  <c r="R1182" i="6"/>
  <c r="R1183" i="6"/>
  <c r="R1184" i="6"/>
  <c r="R1185" i="6"/>
  <c r="R1186" i="6"/>
  <c r="R1187" i="6"/>
  <c r="R1188" i="6"/>
  <c r="R1189" i="6"/>
  <c r="R1190" i="6"/>
  <c r="R1191" i="6"/>
  <c r="R1192" i="6"/>
  <c r="R1193" i="6"/>
  <c r="R1194" i="6"/>
  <c r="R1195" i="6"/>
  <c r="R1196" i="6"/>
  <c r="R1197" i="6"/>
  <c r="R1198" i="6"/>
  <c r="R1199" i="6"/>
  <c r="R1200" i="6"/>
  <c r="R1201" i="6"/>
  <c r="R1202" i="6"/>
  <c r="R1203" i="6"/>
  <c r="R1204" i="6"/>
  <c r="R1205" i="6"/>
  <c r="R1206" i="6"/>
  <c r="R1207" i="6"/>
  <c r="R1208" i="6"/>
  <c r="R1209" i="6"/>
  <c r="R1210" i="6"/>
  <c r="R1211" i="6"/>
  <c r="R1212" i="6"/>
  <c r="R1213" i="6"/>
  <c r="R1214" i="6"/>
  <c r="R1215" i="6"/>
  <c r="R1216" i="6"/>
  <c r="R1217" i="6"/>
  <c r="R1218" i="6"/>
  <c r="R1219" i="6"/>
  <c r="R1220" i="6"/>
  <c r="R1221" i="6"/>
  <c r="R1222" i="6"/>
  <c r="R1223" i="6"/>
  <c r="R1224" i="6"/>
  <c r="R1225" i="6"/>
  <c r="R1226" i="6"/>
  <c r="R1227" i="6"/>
  <c r="R1228" i="6"/>
  <c r="R1229" i="6"/>
  <c r="R1230" i="6"/>
  <c r="R1231" i="6"/>
  <c r="R1232" i="6"/>
  <c r="R1233" i="6"/>
  <c r="R1234" i="6"/>
  <c r="R1235" i="6"/>
  <c r="R1236" i="6"/>
  <c r="R1237" i="6"/>
  <c r="R1238" i="6"/>
  <c r="R1239" i="6"/>
  <c r="R1240" i="6"/>
  <c r="R1241" i="6"/>
  <c r="R1242" i="6"/>
  <c r="R1243" i="6"/>
  <c r="R1244" i="6"/>
  <c r="R1245" i="6"/>
  <c r="R1246" i="6"/>
  <c r="R1247" i="6"/>
  <c r="R1248" i="6"/>
  <c r="R1249" i="6"/>
  <c r="R1250" i="6"/>
  <c r="R1251" i="6"/>
  <c r="R1252" i="6"/>
  <c r="R1253" i="6"/>
  <c r="R1254" i="6"/>
  <c r="R1255" i="6"/>
  <c r="R1256" i="6"/>
  <c r="R1257" i="6"/>
  <c r="R1258" i="6"/>
  <c r="R1259" i="6"/>
  <c r="R1260" i="6"/>
  <c r="R1261" i="6"/>
  <c r="R1262" i="6"/>
  <c r="R1263" i="6"/>
  <c r="R1264" i="6"/>
  <c r="R1265" i="6"/>
  <c r="R1266" i="6"/>
  <c r="R1267" i="6"/>
  <c r="R1268" i="6"/>
  <c r="R1269" i="6"/>
  <c r="R1270" i="6"/>
  <c r="R1271" i="6"/>
  <c r="R1272" i="6"/>
  <c r="R1273" i="6"/>
  <c r="R1274" i="6"/>
  <c r="R1275" i="6"/>
  <c r="R1276" i="6"/>
  <c r="R1277" i="6"/>
  <c r="R1278" i="6"/>
  <c r="R1279" i="6"/>
  <c r="R1280" i="6"/>
  <c r="R1281" i="6"/>
  <c r="R1282" i="6"/>
  <c r="R1283" i="6"/>
  <c r="R1284" i="6"/>
  <c r="R1285" i="6"/>
  <c r="R1286" i="6"/>
  <c r="R1287" i="6"/>
  <c r="R1288" i="6"/>
  <c r="R1289" i="6"/>
  <c r="R1290" i="6"/>
  <c r="R1291" i="6"/>
  <c r="R1292" i="6"/>
  <c r="R1293" i="6"/>
  <c r="R1294" i="6"/>
  <c r="R1295" i="6"/>
  <c r="R1296" i="6"/>
  <c r="R1297" i="6"/>
  <c r="R1298" i="6"/>
  <c r="R1299" i="6"/>
  <c r="R1300" i="6"/>
  <c r="R1301" i="6"/>
  <c r="R1302" i="6"/>
  <c r="R1303" i="6"/>
  <c r="R1304" i="6"/>
  <c r="R1305" i="6"/>
  <c r="R1306" i="6"/>
  <c r="R1307" i="6"/>
  <c r="R1308" i="6"/>
  <c r="R1309" i="6"/>
  <c r="R1310" i="6"/>
  <c r="R1311" i="6"/>
  <c r="R1312" i="6"/>
  <c r="R1313" i="6"/>
  <c r="R1314" i="6"/>
  <c r="R1315" i="6"/>
  <c r="R1316" i="6"/>
  <c r="R1317" i="6"/>
  <c r="R1318" i="6"/>
  <c r="R1319" i="6"/>
  <c r="R1320" i="6"/>
  <c r="R1321" i="6"/>
  <c r="R1322" i="6"/>
  <c r="R1323" i="6"/>
  <c r="R1324" i="6"/>
  <c r="R1325" i="6"/>
  <c r="R1326" i="6"/>
  <c r="R1327" i="6"/>
  <c r="R1328" i="6"/>
  <c r="R1329" i="6"/>
  <c r="R1330" i="6"/>
  <c r="R1331" i="6"/>
  <c r="R1332" i="6"/>
  <c r="R1333" i="6"/>
  <c r="R1334" i="6"/>
  <c r="R1335" i="6"/>
  <c r="R1336" i="6"/>
  <c r="R1337" i="6"/>
  <c r="R1338" i="6"/>
  <c r="R1339" i="6"/>
  <c r="R1340" i="6"/>
  <c r="R1341" i="6"/>
  <c r="R1342" i="6"/>
  <c r="R1343" i="6"/>
  <c r="R1344" i="6"/>
  <c r="R1345" i="6"/>
  <c r="R1346" i="6"/>
  <c r="R1347" i="6"/>
  <c r="R1348" i="6"/>
  <c r="R1349" i="6"/>
  <c r="R1350" i="6"/>
  <c r="R1351" i="6"/>
  <c r="R1352" i="6"/>
  <c r="R1353" i="6"/>
  <c r="R1354" i="6"/>
  <c r="R1355" i="6"/>
  <c r="R1356" i="6"/>
  <c r="R1357" i="6"/>
  <c r="R1358" i="6"/>
  <c r="R1359" i="6"/>
  <c r="R1360" i="6"/>
  <c r="R1361" i="6"/>
  <c r="R1362" i="6"/>
  <c r="R1363" i="6"/>
  <c r="R1364" i="6"/>
  <c r="R1365" i="6"/>
  <c r="R1366" i="6"/>
  <c r="R1367" i="6"/>
  <c r="R1368" i="6"/>
  <c r="R1369" i="6"/>
  <c r="R1370" i="6"/>
  <c r="R1371" i="6"/>
  <c r="R1372" i="6"/>
  <c r="R1373" i="6"/>
  <c r="R1374" i="6"/>
  <c r="R1375" i="6"/>
  <c r="R1376" i="6"/>
  <c r="R1377" i="6"/>
  <c r="R1378" i="6"/>
  <c r="R1379" i="6"/>
  <c r="R1380" i="6"/>
  <c r="R1381" i="6"/>
  <c r="R1382" i="6"/>
  <c r="R1383" i="6"/>
  <c r="R1384" i="6"/>
  <c r="R1385" i="6"/>
  <c r="R1386" i="6"/>
  <c r="R1387" i="6"/>
  <c r="R1388" i="6"/>
  <c r="R1389" i="6"/>
  <c r="R1390" i="6"/>
  <c r="R1391" i="6"/>
  <c r="R1392" i="6"/>
  <c r="R1393" i="6"/>
  <c r="R1394" i="6"/>
  <c r="R1395" i="6"/>
  <c r="R1396" i="6"/>
  <c r="R1397" i="6"/>
  <c r="R1398" i="6"/>
  <c r="R1399" i="6"/>
  <c r="R1400" i="6"/>
  <c r="R1401" i="6"/>
  <c r="R1402" i="6"/>
  <c r="R1403" i="6"/>
  <c r="R1404" i="6"/>
  <c r="R1405" i="6"/>
  <c r="R1406" i="6"/>
  <c r="R1407" i="6"/>
  <c r="R1408" i="6"/>
  <c r="R1409" i="6"/>
  <c r="R1410" i="6"/>
  <c r="R1411" i="6"/>
  <c r="R1412" i="6"/>
  <c r="R1413" i="6"/>
  <c r="R1414" i="6"/>
  <c r="R1415" i="6"/>
  <c r="R1416" i="6"/>
  <c r="R1417" i="6"/>
  <c r="R1418" i="6"/>
  <c r="R1419" i="6"/>
  <c r="R1420" i="6"/>
  <c r="R1421" i="6"/>
  <c r="R1422" i="6"/>
  <c r="R1423" i="6"/>
  <c r="R1424" i="6"/>
  <c r="R1425" i="6"/>
  <c r="R1426" i="6"/>
  <c r="R1427" i="6"/>
  <c r="R1428" i="6"/>
  <c r="R1429" i="6"/>
  <c r="R1430" i="6"/>
  <c r="R1431" i="6"/>
  <c r="R1432" i="6"/>
  <c r="R1433" i="6"/>
  <c r="R1434" i="6"/>
  <c r="R1435" i="6"/>
  <c r="R1436" i="6"/>
  <c r="R1437" i="6"/>
  <c r="R1438" i="6"/>
  <c r="R1439" i="6"/>
  <c r="R1440" i="6"/>
  <c r="R1441" i="6"/>
  <c r="R1442" i="6"/>
  <c r="R1443" i="6"/>
  <c r="R1444" i="6"/>
  <c r="R1445" i="6"/>
  <c r="R1446" i="6"/>
  <c r="R1447" i="6"/>
  <c r="R1448" i="6"/>
  <c r="R1449" i="6"/>
  <c r="R1450" i="6"/>
  <c r="R1451" i="6"/>
  <c r="R1452" i="6"/>
  <c r="R1453" i="6"/>
  <c r="R1454" i="6"/>
  <c r="R1455" i="6"/>
  <c r="R1456" i="6"/>
  <c r="R1457" i="6"/>
  <c r="R1458" i="6"/>
  <c r="R1459" i="6"/>
  <c r="R1460" i="6"/>
  <c r="R1461" i="6"/>
  <c r="R1462" i="6"/>
  <c r="R1463" i="6"/>
  <c r="R1464" i="6"/>
  <c r="R1465" i="6"/>
  <c r="R1466" i="6"/>
  <c r="R1467" i="6"/>
  <c r="R1468" i="6"/>
  <c r="R1469" i="6"/>
  <c r="R1470" i="6"/>
  <c r="R1471" i="6"/>
  <c r="R1472" i="6"/>
  <c r="R1473" i="6"/>
  <c r="R1474" i="6"/>
  <c r="R1475" i="6"/>
  <c r="R1476" i="6"/>
  <c r="R1477" i="6"/>
  <c r="R1478" i="6"/>
  <c r="R1479" i="6"/>
  <c r="R1480" i="6"/>
  <c r="R1481" i="6"/>
  <c r="R1482" i="6"/>
  <c r="R1483" i="6"/>
  <c r="R1484" i="6"/>
  <c r="R1485" i="6"/>
  <c r="R1486" i="6"/>
  <c r="R1487" i="6"/>
  <c r="R1488" i="6"/>
  <c r="R1489" i="6"/>
  <c r="R1490" i="6"/>
  <c r="R1491" i="6"/>
  <c r="R1492" i="6"/>
  <c r="R1493" i="6"/>
  <c r="R1494" i="6"/>
  <c r="R1495" i="6"/>
  <c r="R1496" i="6"/>
  <c r="R1497" i="6"/>
  <c r="R1498" i="6"/>
  <c r="R1499" i="6"/>
  <c r="R1500" i="6"/>
  <c r="R1501" i="6"/>
  <c r="R1502" i="6"/>
  <c r="R1503" i="6"/>
  <c r="R1504" i="6"/>
  <c r="R1505" i="6"/>
  <c r="R1506" i="6"/>
  <c r="R1507" i="6"/>
  <c r="R1508" i="6"/>
  <c r="R1509" i="6"/>
  <c r="R1510" i="6"/>
  <c r="R1511" i="6"/>
  <c r="R1512" i="6"/>
  <c r="R1513" i="6"/>
  <c r="R1514" i="6"/>
  <c r="R1515" i="6"/>
  <c r="R1516" i="6"/>
  <c r="R1517" i="6"/>
  <c r="R1518" i="6"/>
  <c r="R1519" i="6"/>
  <c r="R1520" i="6"/>
  <c r="R1521" i="6"/>
  <c r="R1522" i="6"/>
  <c r="R1523" i="6"/>
  <c r="R1524" i="6"/>
  <c r="R1525" i="6"/>
  <c r="R1526" i="6"/>
  <c r="R1527" i="6"/>
  <c r="R1528" i="6"/>
  <c r="R1529" i="6"/>
  <c r="R1530" i="6"/>
  <c r="R1531" i="6"/>
  <c r="R1532" i="6"/>
  <c r="R1533" i="6"/>
  <c r="R1534" i="6"/>
  <c r="R1535" i="6"/>
  <c r="R1536" i="6"/>
  <c r="R1537" i="6"/>
  <c r="R1538" i="6"/>
  <c r="R1539" i="6"/>
  <c r="R1540" i="6"/>
  <c r="R1541" i="6"/>
  <c r="R1542" i="6"/>
  <c r="R1543" i="6"/>
  <c r="R1544" i="6"/>
  <c r="R1545" i="6"/>
  <c r="R1546" i="6"/>
  <c r="R1547" i="6"/>
  <c r="R1548" i="6"/>
  <c r="R1549" i="6"/>
  <c r="R1550" i="6"/>
  <c r="R1551" i="6"/>
  <c r="R1552" i="6"/>
  <c r="R1553" i="6"/>
  <c r="R1554" i="6"/>
  <c r="R1555" i="6"/>
  <c r="R1556" i="6"/>
  <c r="R1557" i="6"/>
  <c r="R1558" i="6"/>
  <c r="R1559" i="6"/>
  <c r="R1560" i="6"/>
  <c r="R1561" i="6"/>
  <c r="R1562" i="6"/>
  <c r="R1563" i="6"/>
  <c r="R1564" i="6"/>
  <c r="R1565" i="6"/>
  <c r="R1566" i="6"/>
  <c r="R1567" i="6"/>
  <c r="R1568" i="6"/>
  <c r="R1569" i="6"/>
  <c r="R1570" i="6"/>
  <c r="R1571" i="6"/>
  <c r="R1572" i="6"/>
  <c r="R1573" i="6"/>
  <c r="R1574" i="6"/>
  <c r="R1575" i="6"/>
  <c r="R1576" i="6"/>
  <c r="R1577" i="6"/>
  <c r="R1578" i="6"/>
  <c r="R1579" i="6"/>
  <c r="R1580" i="6"/>
  <c r="R1581" i="6"/>
  <c r="R1582" i="6"/>
  <c r="R1583" i="6"/>
  <c r="R1584" i="6"/>
  <c r="R1585" i="6"/>
  <c r="R1586" i="6"/>
  <c r="R1587" i="6"/>
  <c r="R1588" i="6"/>
  <c r="R1589" i="6"/>
  <c r="R1590" i="6"/>
  <c r="R1591" i="6"/>
  <c r="R1592" i="6"/>
  <c r="R1593" i="6"/>
  <c r="R1594" i="6"/>
  <c r="R1595" i="6"/>
  <c r="R1596" i="6"/>
  <c r="R1597" i="6"/>
  <c r="R1598" i="6"/>
  <c r="R1599" i="6"/>
  <c r="R1600" i="6"/>
  <c r="R1601" i="6"/>
  <c r="R1602" i="6"/>
  <c r="R1603" i="6"/>
  <c r="R1604" i="6"/>
  <c r="R1605" i="6"/>
  <c r="R1606" i="6"/>
  <c r="R1607" i="6"/>
  <c r="R1608" i="6"/>
  <c r="R1609" i="6"/>
  <c r="R1610" i="6"/>
  <c r="R1611" i="6"/>
  <c r="R1612" i="6"/>
  <c r="R1613" i="6"/>
  <c r="R1614" i="6"/>
  <c r="R1615" i="6"/>
  <c r="R1616" i="6"/>
  <c r="R1617" i="6"/>
  <c r="R1618" i="6"/>
  <c r="R1619" i="6"/>
  <c r="R1620" i="6"/>
  <c r="R1621" i="6"/>
  <c r="R1622" i="6"/>
  <c r="R1623" i="6"/>
  <c r="R1624" i="6"/>
  <c r="R1625" i="6"/>
  <c r="R1626" i="6"/>
  <c r="R1627" i="6"/>
  <c r="R1628" i="6"/>
  <c r="R1629" i="6"/>
  <c r="R1630" i="6"/>
  <c r="R1631" i="6"/>
  <c r="R1632" i="6"/>
  <c r="R1633" i="6"/>
  <c r="R1634" i="6"/>
  <c r="R1635" i="6"/>
  <c r="R1636" i="6"/>
  <c r="R1637" i="6"/>
  <c r="R1638" i="6"/>
  <c r="R1639" i="6"/>
  <c r="R1640" i="6"/>
  <c r="R1641" i="6"/>
  <c r="R1642" i="6"/>
  <c r="R1643" i="6"/>
  <c r="R1644" i="6"/>
  <c r="R1645" i="6"/>
  <c r="R1646" i="6"/>
  <c r="R1647" i="6"/>
  <c r="R1648" i="6"/>
  <c r="R1649" i="6"/>
  <c r="R1650" i="6"/>
  <c r="R1651" i="6"/>
  <c r="R1652" i="6"/>
  <c r="R1653" i="6"/>
  <c r="R1654" i="6"/>
  <c r="R1655" i="6"/>
  <c r="R1656" i="6"/>
  <c r="R1657" i="6"/>
  <c r="R1658" i="6"/>
  <c r="R1659" i="6"/>
  <c r="R1660" i="6"/>
  <c r="R1661" i="6"/>
  <c r="R1662" i="6"/>
  <c r="R1663" i="6"/>
  <c r="R1664" i="6"/>
  <c r="R1665" i="6"/>
  <c r="R1666" i="6"/>
  <c r="R1667" i="6"/>
  <c r="R1668" i="6"/>
  <c r="R1669" i="6"/>
  <c r="R1670" i="6"/>
  <c r="R1671" i="6"/>
  <c r="R1672" i="6"/>
  <c r="R1673" i="6"/>
  <c r="R1674" i="6"/>
  <c r="R1675" i="6"/>
  <c r="R1676" i="6"/>
  <c r="R1677" i="6"/>
  <c r="R1678" i="6"/>
  <c r="R1679" i="6"/>
  <c r="R1680" i="6"/>
  <c r="R1681" i="6"/>
  <c r="R1682" i="6"/>
  <c r="R1683" i="6"/>
  <c r="R1684" i="6"/>
  <c r="R1685" i="6"/>
  <c r="R1686" i="6"/>
  <c r="R1687" i="6"/>
  <c r="R1688" i="6"/>
  <c r="R1689" i="6"/>
  <c r="R1690" i="6"/>
  <c r="R1691" i="6"/>
  <c r="R1692" i="6"/>
  <c r="R1693" i="6"/>
  <c r="R1694" i="6"/>
  <c r="R1695" i="6"/>
  <c r="R1696" i="6"/>
  <c r="R1697" i="6"/>
  <c r="R1698" i="6"/>
  <c r="R1699" i="6"/>
  <c r="R1700" i="6"/>
  <c r="R1701" i="6"/>
  <c r="R1702" i="6"/>
  <c r="R1703" i="6"/>
  <c r="R1704" i="6"/>
  <c r="R1705" i="6"/>
  <c r="R1706" i="6"/>
  <c r="R1707" i="6"/>
  <c r="R1708" i="6"/>
  <c r="R1709" i="6"/>
  <c r="R1710" i="6"/>
  <c r="R1711" i="6"/>
  <c r="R1712" i="6"/>
  <c r="R1713" i="6"/>
  <c r="R1714" i="6"/>
  <c r="R1715" i="6"/>
  <c r="R1716" i="6"/>
  <c r="R1717" i="6"/>
  <c r="R1718" i="6"/>
  <c r="R1719" i="6"/>
  <c r="R1720" i="6"/>
  <c r="R1721" i="6"/>
  <c r="R1722" i="6"/>
  <c r="R1723" i="6"/>
  <c r="R1724" i="6"/>
  <c r="R1725" i="6"/>
  <c r="R1726" i="6"/>
  <c r="R1727" i="6"/>
  <c r="R1728" i="6"/>
  <c r="R1729" i="6"/>
  <c r="R1730" i="6"/>
  <c r="R1731" i="6"/>
  <c r="R1732" i="6"/>
  <c r="R1733" i="6"/>
  <c r="R1734" i="6"/>
  <c r="R1735" i="6"/>
  <c r="R1736" i="6"/>
  <c r="R1737" i="6"/>
  <c r="R1738" i="6"/>
  <c r="R1739" i="6"/>
  <c r="R1740" i="6"/>
  <c r="R1741" i="6"/>
  <c r="R1742" i="6"/>
  <c r="R1743" i="6"/>
  <c r="R1744" i="6"/>
  <c r="R1745" i="6"/>
  <c r="R1746" i="6"/>
  <c r="R1747" i="6"/>
  <c r="R1748" i="6"/>
  <c r="R1749" i="6"/>
  <c r="R1750" i="6"/>
  <c r="R1751" i="6"/>
  <c r="R1752" i="6"/>
  <c r="R1753" i="6"/>
  <c r="R1754" i="6"/>
  <c r="R1755" i="6"/>
  <c r="R1756" i="6"/>
  <c r="R1757" i="6"/>
  <c r="R1758" i="6"/>
  <c r="R1759" i="6"/>
  <c r="R1760" i="6"/>
  <c r="R1761" i="6"/>
  <c r="R1762" i="6"/>
  <c r="R1763" i="6"/>
  <c r="R1764" i="6"/>
  <c r="R1765" i="6"/>
  <c r="R1766" i="6"/>
  <c r="R1767" i="6"/>
  <c r="R1768" i="6"/>
  <c r="R1769" i="6"/>
  <c r="R1770" i="6"/>
  <c r="R1771" i="6"/>
  <c r="R1772" i="6"/>
  <c r="R1773" i="6"/>
  <c r="R1774" i="6"/>
  <c r="R1775" i="6"/>
  <c r="R1776" i="6"/>
  <c r="R1777" i="6"/>
  <c r="R1778" i="6"/>
  <c r="R1779" i="6"/>
  <c r="R1780" i="6"/>
  <c r="R1781" i="6"/>
  <c r="R1782" i="6"/>
  <c r="R1783" i="6"/>
  <c r="R1784" i="6"/>
  <c r="R1785" i="6"/>
  <c r="R1786" i="6"/>
  <c r="R1787" i="6"/>
  <c r="R1788" i="6"/>
  <c r="R1789" i="6"/>
  <c r="R1790" i="6"/>
  <c r="R1791" i="6"/>
  <c r="R1792" i="6"/>
  <c r="R1793" i="6"/>
  <c r="R1794" i="6"/>
  <c r="R1795" i="6"/>
  <c r="R1796" i="6"/>
  <c r="R1797" i="6"/>
  <c r="R1798" i="6"/>
  <c r="R1799" i="6"/>
  <c r="R1800" i="6"/>
  <c r="R1801" i="6"/>
  <c r="R1802" i="6"/>
  <c r="R1803" i="6"/>
  <c r="R1804" i="6"/>
  <c r="R1805" i="6"/>
  <c r="R1806" i="6"/>
  <c r="R1807" i="6"/>
  <c r="R1808" i="6"/>
  <c r="R1809" i="6"/>
  <c r="R1810" i="6"/>
  <c r="R1811" i="6"/>
  <c r="R1812" i="6"/>
  <c r="R1813" i="6"/>
  <c r="R1814" i="6"/>
  <c r="R1815" i="6"/>
  <c r="R1816" i="6"/>
  <c r="R1817" i="6"/>
  <c r="R1818" i="6"/>
  <c r="R1819" i="6"/>
  <c r="R1820" i="6"/>
  <c r="R1821" i="6"/>
  <c r="R1822" i="6"/>
  <c r="R1823" i="6"/>
  <c r="R1824" i="6"/>
  <c r="R1825" i="6"/>
  <c r="R1826" i="6"/>
  <c r="R1827" i="6"/>
  <c r="R1828" i="6"/>
  <c r="R1829" i="6"/>
  <c r="R1830" i="6"/>
  <c r="R1831" i="6"/>
  <c r="R1832" i="6"/>
  <c r="R1833" i="6"/>
  <c r="R1834" i="6"/>
  <c r="R1835" i="6"/>
  <c r="R1836" i="6"/>
  <c r="R1837" i="6"/>
  <c r="R1838" i="6"/>
  <c r="R1839" i="6"/>
  <c r="R1840" i="6"/>
  <c r="R1841" i="6"/>
  <c r="R1842" i="6"/>
  <c r="R1843" i="6"/>
  <c r="R1844" i="6"/>
  <c r="R1845" i="6"/>
  <c r="R1846" i="6"/>
  <c r="R1847" i="6"/>
  <c r="R1848" i="6"/>
  <c r="R1849" i="6"/>
  <c r="R1850" i="6"/>
  <c r="R1851" i="6"/>
  <c r="R1852" i="6"/>
  <c r="R1853" i="6"/>
  <c r="R1854" i="6"/>
  <c r="R1855" i="6"/>
  <c r="R1856" i="6"/>
  <c r="R1857" i="6"/>
  <c r="R1858" i="6"/>
  <c r="R1859" i="6"/>
  <c r="R1860" i="6"/>
  <c r="R1861" i="6"/>
  <c r="R1862" i="6"/>
  <c r="R1863" i="6"/>
  <c r="R1864" i="6"/>
  <c r="R1865" i="6"/>
  <c r="R1866" i="6"/>
  <c r="R1867" i="6"/>
  <c r="R1868" i="6"/>
  <c r="R1869" i="6"/>
  <c r="R1870" i="6"/>
  <c r="R1871" i="6"/>
  <c r="R1872" i="6"/>
  <c r="R1873" i="6"/>
  <c r="R1874" i="6"/>
  <c r="R1875" i="6"/>
  <c r="R1876" i="6"/>
  <c r="R1877" i="6"/>
  <c r="R1878" i="6"/>
  <c r="R1879" i="6"/>
  <c r="R1880" i="6"/>
  <c r="R1881" i="6"/>
  <c r="R1882" i="6"/>
  <c r="R1883" i="6"/>
  <c r="R1884" i="6"/>
  <c r="R1885" i="6"/>
  <c r="R1886" i="6"/>
  <c r="R1887" i="6"/>
  <c r="R1888" i="6"/>
  <c r="R1889" i="6"/>
  <c r="R1890" i="6"/>
  <c r="R1891" i="6"/>
  <c r="R1892" i="6"/>
  <c r="R1893" i="6"/>
  <c r="R1894" i="6"/>
  <c r="R1895" i="6"/>
  <c r="R1896" i="6"/>
  <c r="R1897" i="6"/>
  <c r="R1898" i="6"/>
  <c r="R1899" i="6"/>
  <c r="R1900" i="6"/>
  <c r="R1901" i="6"/>
  <c r="R1902" i="6"/>
  <c r="R1903" i="6"/>
  <c r="R1904" i="6"/>
  <c r="R1905" i="6"/>
  <c r="R1906" i="6"/>
  <c r="R1907" i="6"/>
  <c r="R1908" i="6"/>
  <c r="R1909" i="6"/>
  <c r="R1910" i="6"/>
  <c r="R1911" i="6"/>
  <c r="R1912" i="6"/>
  <c r="R1913" i="6"/>
  <c r="R1914" i="6"/>
  <c r="R1915" i="6"/>
  <c r="R1916" i="6"/>
  <c r="R1917" i="6"/>
  <c r="R1918" i="6"/>
  <c r="R1919" i="6"/>
  <c r="R1920" i="6"/>
  <c r="R1921" i="6"/>
  <c r="R1922" i="6"/>
  <c r="R1923" i="6"/>
  <c r="R1924" i="6"/>
  <c r="R1925" i="6"/>
  <c r="R1926" i="6"/>
  <c r="R1927" i="6"/>
  <c r="R1928" i="6"/>
  <c r="R1929" i="6"/>
  <c r="R1930" i="6"/>
  <c r="R1931" i="6"/>
  <c r="R1932" i="6"/>
  <c r="R1933" i="6"/>
  <c r="R1934" i="6"/>
  <c r="R1935" i="6"/>
  <c r="R1936" i="6"/>
  <c r="R1937" i="6"/>
  <c r="R1938" i="6"/>
  <c r="R1939" i="6"/>
  <c r="R1940" i="6"/>
  <c r="R1941" i="6"/>
  <c r="R1942" i="6"/>
  <c r="R1943" i="6"/>
  <c r="R1944" i="6"/>
  <c r="R1945" i="6"/>
  <c r="R1946" i="6"/>
  <c r="R1947" i="6"/>
  <c r="R1948" i="6"/>
  <c r="R1949" i="6"/>
  <c r="R1950" i="6"/>
  <c r="R1951" i="6"/>
  <c r="R1952" i="6"/>
  <c r="R1953" i="6"/>
  <c r="R1954" i="6"/>
  <c r="R1955" i="6"/>
  <c r="R1956" i="6"/>
  <c r="R1957" i="6"/>
  <c r="R1958" i="6"/>
  <c r="R1959" i="6"/>
  <c r="R1960" i="6"/>
  <c r="R1961" i="6"/>
  <c r="R1962" i="6"/>
  <c r="R1963" i="6"/>
  <c r="R1964" i="6"/>
  <c r="R1965" i="6"/>
  <c r="R1966" i="6"/>
  <c r="R1967" i="6"/>
  <c r="R1968" i="6"/>
  <c r="R1969" i="6"/>
  <c r="R1970" i="6"/>
  <c r="R1971" i="6"/>
  <c r="R1972" i="6"/>
  <c r="R1973" i="6"/>
  <c r="R1974" i="6"/>
  <c r="R1975" i="6"/>
  <c r="R1976" i="6"/>
  <c r="R1977" i="6"/>
  <c r="R1978" i="6"/>
  <c r="R1979" i="6"/>
  <c r="R2" i="6"/>
  <c r="AG11" i="4" a="1"/>
  <c r="AG11" i="4" s="1"/>
  <c r="AG12" i="4" a="1"/>
  <c r="AG12" i="4" s="1"/>
  <c r="AG13" i="4" a="1"/>
  <c r="AG13" i="4" s="1"/>
  <c r="AG14" i="4" a="1"/>
  <c r="AG14" i="4" s="1"/>
  <c r="AG15" i="4" a="1"/>
  <c r="AG15" i="4" s="1"/>
  <c r="AG16" i="4" a="1"/>
  <c r="AG16" i="4" s="1"/>
  <c r="AG17" i="4" a="1"/>
  <c r="AG17" i="4" s="1"/>
  <c r="AG18" i="4" a="1"/>
  <c r="AG18" i="4" s="1"/>
  <c r="AG19" i="4" a="1"/>
  <c r="AG19" i="4" s="1"/>
  <c r="AG20" i="4" a="1"/>
  <c r="AG20" i="4" s="1"/>
  <c r="AG21" i="4" a="1"/>
  <c r="AG21" i="4" s="1"/>
  <c r="AG22" i="4" a="1"/>
  <c r="AG22" i="4" s="1"/>
  <c r="AG23" i="4" a="1"/>
  <c r="AG23" i="4" s="1"/>
  <c r="AG24" i="4" a="1"/>
  <c r="AG24" i="4" s="1"/>
  <c r="AG25" i="4" a="1"/>
  <c r="AG25" i="4" s="1"/>
  <c r="AG26" i="4" a="1"/>
  <c r="AG26" i="4" s="1"/>
  <c r="AG27" i="4" a="1"/>
  <c r="AG27" i="4" s="1"/>
  <c r="AG28" i="4" a="1"/>
  <c r="AG28" i="4" s="1"/>
  <c r="AG29" i="4" a="1"/>
  <c r="AG29" i="4" s="1"/>
  <c r="AG30" i="4" a="1"/>
  <c r="AG30" i="4" s="1"/>
  <c r="AG31" i="4" a="1"/>
  <c r="AG31" i="4" s="1"/>
  <c r="AG32" i="4" a="1"/>
  <c r="AG32" i="4" s="1"/>
  <c r="AG33" i="4" a="1"/>
  <c r="AG33" i="4" s="1"/>
  <c r="AG34" i="4" a="1"/>
  <c r="AG34" i="4" s="1"/>
  <c r="AG35" i="4" a="1"/>
  <c r="AG35" i="4" s="1"/>
  <c r="AG36" i="4" a="1"/>
  <c r="AG36" i="4" s="1"/>
  <c r="AG37" i="4" a="1"/>
  <c r="AG37" i="4" s="1"/>
  <c r="AG38" i="4" a="1"/>
  <c r="AG38" i="4" s="1"/>
  <c r="AG39" i="4" a="1"/>
  <c r="AG39" i="4" s="1"/>
  <c r="AG40" i="4" a="1"/>
  <c r="AG40" i="4" s="1"/>
  <c r="AG41" i="4" a="1"/>
  <c r="AG41" i="4" s="1"/>
  <c r="AG42" i="4" a="1"/>
  <c r="AG42" i="4" s="1"/>
  <c r="AG43" i="4" a="1"/>
  <c r="AG43" i="4" s="1"/>
  <c r="AG44" i="4" a="1"/>
  <c r="AG44" i="4" s="1"/>
  <c r="AG45" i="4" a="1"/>
  <c r="AG45" i="4" s="1"/>
  <c r="AG46" i="4" a="1"/>
  <c r="AG46" i="4" s="1"/>
  <c r="AG47" i="4" a="1"/>
  <c r="AG47" i="4" s="1"/>
  <c r="AG48" i="4" a="1"/>
  <c r="AG48" i="4" s="1"/>
  <c r="AG49" i="4" a="1"/>
  <c r="AG49" i="4" s="1"/>
  <c r="AG50" i="4" a="1"/>
  <c r="AG50" i="4" s="1"/>
  <c r="AG51" i="4" a="1"/>
  <c r="AG51" i="4" s="1"/>
  <c r="AG52" i="4" a="1"/>
  <c r="AG52" i="4" s="1"/>
  <c r="AG53" i="4" a="1"/>
  <c r="AG53" i="4" s="1"/>
  <c r="AG54" i="4" a="1"/>
  <c r="AG54" i="4" s="1"/>
  <c r="AG55" i="4" a="1"/>
  <c r="AG55" i="4" s="1"/>
  <c r="AG56" i="4" a="1"/>
  <c r="AG56" i="4" s="1"/>
  <c r="AG57" i="4" a="1"/>
  <c r="AG57" i="4" s="1"/>
  <c r="AG58" i="4" a="1"/>
  <c r="AG58" i="4" s="1"/>
  <c r="AG59" i="4" a="1"/>
  <c r="AG59" i="4" s="1"/>
  <c r="AG60" i="4" a="1"/>
  <c r="AG60" i="4" s="1"/>
  <c r="AG61" i="4" a="1"/>
  <c r="AG61" i="4" s="1"/>
  <c r="AG62" i="4" a="1"/>
  <c r="AG62" i="4" s="1"/>
  <c r="AG63" i="4" a="1"/>
  <c r="AG63" i="4" s="1"/>
  <c r="AG64" i="4" a="1"/>
  <c r="AG64" i="4" s="1"/>
  <c r="AG65" i="4" a="1"/>
  <c r="AG65" i="4" s="1"/>
  <c r="AG66" i="4" a="1"/>
  <c r="AG66" i="4" s="1"/>
  <c r="AG67" i="4" a="1"/>
  <c r="AG67" i="4" s="1"/>
  <c r="AG68" i="4" a="1"/>
  <c r="AG68" i="4" s="1"/>
  <c r="AG69" i="4" a="1"/>
  <c r="AG69" i="4" s="1"/>
  <c r="AG70" i="4" a="1"/>
  <c r="AG70" i="4" s="1"/>
  <c r="AG71" i="4" a="1"/>
  <c r="AG71" i="4" s="1"/>
  <c r="AG72" i="4" a="1"/>
  <c r="AG72" i="4" s="1"/>
  <c r="AG73" i="4" a="1"/>
  <c r="AG73" i="4" s="1"/>
  <c r="AG74" i="4" a="1"/>
  <c r="AG74" i="4" s="1"/>
  <c r="AG75" i="4" a="1"/>
  <c r="AG75" i="4" s="1"/>
  <c r="AB11" i="4" a="1"/>
  <c r="AB11" i="4" s="1"/>
  <c r="AB12" i="4" a="1"/>
  <c r="AB12" i="4" s="1"/>
  <c r="AB13" i="4" a="1"/>
  <c r="AB13" i="4" s="1"/>
  <c r="AB14" i="4" a="1"/>
  <c r="AB14" i="4" s="1"/>
  <c r="AB15" i="4" a="1"/>
  <c r="AB15" i="4" s="1"/>
  <c r="AB16" i="4" a="1"/>
  <c r="AB16" i="4" s="1"/>
  <c r="AB17" i="4" a="1"/>
  <c r="AB17" i="4" s="1"/>
  <c r="AB18" i="4" a="1"/>
  <c r="AB18" i="4" s="1"/>
  <c r="AB19" i="4" a="1"/>
  <c r="AB19" i="4" s="1"/>
  <c r="AB20" i="4" a="1"/>
  <c r="AB20" i="4" s="1"/>
  <c r="AB21" i="4" a="1"/>
  <c r="AB21" i="4" s="1"/>
  <c r="AB22" i="4" a="1"/>
  <c r="AB22" i="4" s="1"/>
  <c r="AB23" i="4" a="1"/>
  <c r="AB23" i="4" s="1"/>
  <c r="AB24" i="4" a="1"/>
  <c r="AB24" i="4" s="1"/>
  <c r="AB25" i="4" a="1"/>
  <c r="AB25" i="4" s="1"/>
  <c r="AB26" i="4" a="1"/>
  <c r="AB26" i="4" s="1"/>
  <c r="AB27" i="4" a="1"/>
  <c r="AB27" i="4" s="1"/>
  <c r="AB28" i="4" a="1"/>
  <c r="AB28" i="4" s="1"/>
  <c r="AB29" i="4" a="1"/>
  <c r="AB29" i="4" s="1"/>
  <c r="AB30" i="4" a="1"/>
  <c r="AB30" i="4" s="1"/>
  <c r="AB31" i="4" a="1"/>
  <c r="AB31" i="4" s="1"/>
  <c r="AB32" i="4" a="1"/>
  <c r="AB32" i="4" s="1"/>
  <c r="AB33" i="4" a="1"/>
  <c r="AB33" i="4" s="1"/>
  <c r="AB34" i="4" a="1"/>
  <c r="AB34" i="4" s="1"/>
  <c r="AB35" i="4" a="1"/>
  <c r="AB35" i="4" s="1"/>
  <c r="AB36" i="4" a="1"/>
  <c r="AB36" i="4" s="1"/>
  <c r="AB37" i="4" a="1"/>
  <c r="AB37" i="4" s="1"/>
  <c r="AB38" i="4" a="1"/>
  <c r="AB38" i="4" s="1"/>
  <c r="AB39" i="4" a="1"/>
  <c r="AB39" i="4" s="1"/>
  <c r="AB40" i="4" a="1"/>
  <c r="AB40" i="4" s="1"/>
  <c r="AB41" i="4" a="1"/>
  <c r="AB41" i="4" s="1"/>
  <c r="AB42" i="4" a="1"/>
  <c r="AB42" i="4" s="1"/>
  <c r="AB43" i="4" a="1"/>
  <c r="AB43" i="4" s="1"/>
  <c r="AB44" i="4" a="1"/>
  <c r="AB44" i="4" s="1"/>
  <c r="AB45" i="4" a="1"/>
  <c r="AB45" i="4" s="1"/>
  <c r="AB46" i="4" a="1"/>
  <c r="AB46" i="4" s="1"/>
  <c r="AB47" i="4" a="1"/>
  <c r="AB47" i="4" s="1"/>
  <c r="AB48" i="4" a="1"/>
  <c r="AB48" i="4" s="1"/>
  <c r="AB49" i="4" a="1"/>
  <c r="AB49" i="4" s="1"/>
  <c r="AB50" i="4" a="1"/>
  <c r="AB50" i="4" s="1"/>
  <c r="AB51" i="4" a="1"/>
  <c r="AB51" i="4" s="1"/>
  <c r="AB52" i="4" a="1"/>
  <c r="AB52" i="4" s="1"/>
  <c r="AB53" i="4" a="1"/>
  <c r="AB53" i="4" s="1"/>
  <c r="AB54" i="4" a="1"/>
  <c r="AB54" i="4" s="1"/>
  <c r="AB55" i="4" a="1"/>
  <c r="AB55" i="4" s="1"/>
  <c r="AB56" i="4" a="1"/>
  <c r="AB56" i="4" s="1"/>
  <c r="AB57" i="4" a="1"/>
  <c r="AB57" i="4" s="1"/>
  <c r="AB58" i="4" a="1"/>
  <c r="AB58" i="4" s="1"/>
  <c r="AB59" i="4" a="1"/>
  <c r="AB59" i="4" s="1"/>
  <c r="AB60" i="4" a="1"/>
  <c r="AB60" i="4" s="1"/>
  <c r="AB61" i="4" a="1"/>
  <c r="AB61" i="4" s="1"/>
  <c r="AB62" i="4" a="1"/>
  <c r="AB62" i="4" s="1"/>
  <c r="AB63" i="4" a="1"/>
  <c r="AB63" i="4" s="1"/>
  <c r="AB64" i="4" a="1"/>
  <c r="AB64" i="4" s="1"/>
  <c r="AB65" i="4" a="1"/>
  <c r="AB65" i="4" s="1"/>
  <c r="AB66" i="4" a="1"/>
  <c r="AB66" i="4" s="1"/>
  <c r="AB67" i="4" a="1"/>
  <c r="AB67" i="4" s="1"/>
  <c r="AB68" i="4" a="1"/>
  <c r="AB68" i="4" s="1"/>
  <c r="AB69" i="4" a="1"/>
  <c r="AB69" i="4" s="1"/>
  <c r="AB70" i="4" a="1"/>
  <c r="AB70" i="4" s="1"/>
  <c r="AB71" i="4" a="1"/>
  <c r="AB71" i="4" s="1"/>
  <c r="AB72" i="4" a="1"/>
  <c r="AB72" i="4" s="1"/>
  <c r="AB73" i="4" a="1"/>
  <c r="AB73" i="4" s="1"/>
  <c r="AB74" i="4" a="1"/>
  <c r="AB74" i="4" s="1"/>
  <c r="AB75" i="4" a="1"/>
  <c r="AB75" i="4" s="1"/>
  <c r="AB10" i="4" a="1"/>
  <c r="AB10" i="4" s="1"/>
  <c r="AR10" i="4" a="1"/>
  <c r="AR10" i="4" s="1"/>
  <c r="F3" i="7" l="1" a="1"/>
  <c r="F3" i="7" s="1"/>
  <c r="C3" i="7" a="1"/>
  <c r="C3" i="7" s="1"/>
  <c r="AH10" i="4" a="1"/>
  <c r="AH10" i="4" s="1"/>
  <c r="AE10" i="4" a="1"/>
  <c r="AE10" i="4" s="1"/>
  <c r="BD11" i="4" a="1"/>
  <c r="BD11" i="4" s="1"/>
  <c r="BD12" i="4" a="1"/>
  <c r="BD12" i="4" s="1"/>
  <c r="BD13" i="4" a="1"/>
  <c r="BD13" i="4" s="1"/>
  <c r="BD14" i="4" a="1"/>
  <c r="BD14" i="4" s="1"/>
  <c r="BD15" i="4" a="1"/>
  <c r="BD15" i="4" s="1"/>
  <c r="BD16" i="4" a="1"/>
  <c r="BD16" i="4" s="1"/>
  <c r="BD17" i="4" a="1"/>
  <c r="BD17" i="4" s="1"/>
  <c r="BD18" i="4" a="1"/>
  <c r="BD18" i="4" s="1"/>
  <c r="BD19" i="4" a="1"/>
  <c r="BD19" i="4" s="1"/>
  <c r="BD20" i="4" a="1"/>
  <c r="BD20" i="4" s="1"/>
  <c r="BD21" i="4" a="1"/>
  <c r="BD21" i="4" s="1"/>
  <c r="BD22" i="4" a="1"/>
  <c r="BD22" i="4" s="1"/>
  <c r="BD23" i="4" a="1"/>
  <c r="BD23" i="4" s="1"/>
  <c r="BD24" i="4" a="1"/>
  <c r="BD24" i="4" s="1"/>
  <c r="BD25" i="4" a="1"/>
  <c r="BD25" i="4" s="1"/>
  <c r="BD26" i="4" a="1"/>
  <c r="BD26" i="4" s="1"/>
  <c r="BD27" i="4" a="1"/>
  <c r="BD27" i="4" s="1"/>
  <c r="BD28" i="4" a="1"/>
  <c r="BD28" i="4" s="1"/>
  <c r="BD29" i="4" a="1"/>
  <c r="BD29" i="4" s="1"/>
  <c r="BD30" i="4" a="1"/>
  <c r="BD30" i="4" s="1"/>
  <c r="BD31" i="4" a="1"/>
  <c r="BD31" i="4" s="1"/>
  <c r="BD32" i="4" a="1"/>
  <c r="BD32" i="4" s="1"/>
  <c r="BD33" i="4" a="1"/>
  <c r="BD33" i="4" s="1"/>
  <c r="BD34" i="4" a="1"/>
  <c r="BD34" i="4" s="1"/>
  <c r="BD35" i="4" a="1"/>
  <c r="BD35" i="4" s="1"/>
  <c r="BD36" i="4" a="1"/>
  <c r="BD36" i="4" s="1"/>
  <c r="BD37" i="4" a="1"/>
  <c r="BD37" i="4" s="1"/>
  <c r="BD38" i="4" a="1"/>
  <c r="BD38" i="4" s="1"/>
  <c r="BD39" i="4" a="1"/>
  <c r="BD39" i="4" s="1"/>
  <c r="BD40" i="4" a="1"/>
  <c r="BD40" i="4" s="1"/>
  <c r="BD41" i="4" a="1"/>
  <c r="BD41" i="4" s="1"/>
  <c r="BD42" i="4" a="1"/>
  <c r="BD42" i="4" s="1"/>
  <c r="BD43" i="4" a="1"/>
  <c r="BD43" i="4" s="1"/>
  <c r="BD44" i="4" a="1"/>
  <c r="BD44" i="4" s="1"/>
  <c r="BD45" i="4" a="1"/>
  <c r="BD45" i="4" s="1"/>
  <c r="BD46" i="4" a="1"/>
  <c r="BD46" i="4" s="1"/>
  <c r="BD47" i="4" a="1"/>
  <c r="BD47" i="4" s="1"/>
  <c r="BD48" i="4" a="1"/>
  <c r="BD48" i="4" s="1"/>
  <c r="BD49" i="4" a="1"/>
  <c r="BD49" i="4" s="1"/>
  <c r="BD50" i="4" a="1"/>
  <c r="BD50" i="4" s="1"/>
  <c r="BD51" i="4" a="1"/>
  <c r="BD51" i="4" s="1"/>
  <c r="BD52" i="4" a="1"/>
  <c r="BD52" i="4" s="1"/>
  <c r="BD53" i="4" a="1"/>
  <c r="BD53" i="4" s="1"/>
  <c r="BD54" i="4" a="1"/>
  <c r="BD54" i="4" s="1"/>
  <c r="BD55" i="4" a="1"/>
  <c r="BD55" i="4" s="1"/>
  <c r="BD56" i="4" a="1"/>
  <c r="BD56" i="4" s="1"/>
  <c r="BD57" i="4" a="1"/>
  <c r="BD57" i="4" s="1"/>
  <c r="BD58" i="4" a="1"/>
  <c r="BD58" i="4" s="1"/>
  <c r="BD59" i="4" a="1"/>
  <c r="BD59" i="4" s="1"/>
  <c r="BD60" i="4" a="1"/>
  <c r="BD60" i="4" s="1"/>
  <c r="BD61" i="4" a="1"/>
  <c r="BD61" i="4" s="1"/>
  <c r="BD62" i="4" a="1"/>
  <c r="BD62" i="4" s="1"/>
  <c r="BD63" i="4" a="1"/>
  <c r="BD63" i="4" s="1"/>
  <c r="BD64" i="4" a="1"/>
  <c r="BD64" i="4" s="1"/>
  <c r="BD65" i="4" a="1"/>
  <c r="BD65" i="4" s="1"/>
  <c r="BD66" i="4" a="1"/>
  <c r="BD66" i="4" s="1"/>
  <c r="BD67" i="4" a="1"/>
  <c r="BD67" i="4" s="1"/>
  <c r="BD68" i="4" a="1"/>
  <c r="BD68" i="4" s="1"/>
  <c r="BD69" i="4" a="1"/>
  <c r="BD69" i="4" s="1"/>
  <c r="BD70" i="4" a="1"/>
  <c r="BD70" i="4" s="1"/>
  <c r="BD71" i="4" a="1"/>
  <c r="BD71" i="4" s="1"/>
  <c r="BD72" i="4" a="1"/>
  <c r="BD72" i="4" s="1"/>
  <c r="BD73" i="4" a="1"/>
  <c r="BD73" i="4" s="1"/>
  <c r="BD74" i="4" a="1"/>
  <c r="BD74" i="4" s="1"/>
  <c r="BD75" i="4" a="1"/>
  <c r="BD75" i="4" s="1"/>
  <c r="BD76" i="4" a="1"/>
  <c r="BD76" i="4" s="1"/>
  <c r="BD77" i="4" a="1"/>
  <c r="BD77" i="4" s="1"/>
  <c r="BD78" i="4" a="1"/>
  <c r="BD78" i="4" s="1"/>
  <c r="BD79" i="4" a="1"/>
  <c r="BD79" i="4" s="1"/>
  <c r="BD80" i="4" a="1"/>
  <c r="BD80" i="4" s="1"/>
  <c r="BD81" i="4" a="1"/>
  <c r="BD81" i="4" s="1"/>
  <c r="BD82" i="4" a="1"/>
  <c r="BD82" i="4" s="1"/>
  <c r="BD83" i="4" a="1"/>
  <c r="BD83" i="4" s="1"/>
  <c r="BD84" i="4" a="1"/>
  <c r="BD84" i="4" s="1"/>
  <c r="BD85" i="4" a="1"/>
  <c r="BD85" i="4" s="1"/>
  <c r="BD86" i="4" a="1"/>
  <c r="BD86" i="4" s="1"/>
  <c r="BD87" i="4" a="1"/>
  <c r="BD87" i="4" s="1"/>
  <c r="BD88" i="4" a="1"/>
  <c r="BD88" i="4" s="1"/>
  <c r="BD89" i="4" a="1"/>
  <c r="BD89" i="4" s="1"/>
  <c r="BD90" i="4" a="1"/>
  <c r="BD90" i="4" s="1"/>
  <c r="BD91" i="4" a="1"/>
  <c r="BD91" i="4" s="1"/>
  <c r="BD92" i="4" a="1"/>
  <c r="BD92" i="4" s="1"/>
  <c r="BD93" i="4" a="1"/>
  <c r="BD93" i="4" s="1"/>
  <c r="BD94" i="4" a="1"/>
  <c r="BD94" i="4" s="1"/>
  <c r="BD95" i="4" a="1"/>
  <c r="BD95" i="4" s="1"/>
  <c r="BD96" i="4" a="1"/>
  <c r="BD96" i="4" s="1"/>
  <c r="BD97" i="4" a="1"/>
  <c r="BD97" i="4" s="1"/>
  <c r="BD98" i="4" a="1"/>
  <c r="BD98" i="4" s="1"/>
  <c r="BD99" i="4" a="1"/>
  <c r="BD99" i="4" s="1"/>
  <c r="BD100" i="4" a="1"/>
  <c r="BD100" i="4" s="1"/>
  <c r="BD101" i="4" a="1"/>
  <c r="BD101" i="4" s="1"/>
  <c r="BD102" i="4" a="1"/>
  <c r="BD102" i="4" s="1"/>
  <c r="BD103" i="4" a="1"/>
  <c r="BD103" i="4" s="1"/>
  <c r="BD104" i="4" a="1"/>
  <c r="BD104" i="4" s="1"/>
  <c r="BD105" i="4" a="1"/>
  <c r="BD105" i="4" s="1"/>
  <c r="BD106" i="4" a="1"/>
  <c r="BD106" i="4" s="1"/>
  <c r="BD107" i="4" a="1"/>
  <c r="BD107" i="4" s="1"/>
  <c r="BD108" i="4" a="1"/>
  <c r="BD108" i="4" s="1"/>
  <c r="BD109" i="4" a="1"/>
  <c r="BD109" i="4" s="1"/>
  <c r="BD110" i="4" a="1"/>
  <c r="BD110" i="4" s="1"/>
  <c r="BD111" i="4" a="1"/>
  <c r="BD111" i="4" s="1"/>
  <c r="BD112" i="4" a="1"/>
  <c r="BD112" i="4" s="1"/>
  <c r="BD113" i="4" a="1"/>
  <c r="BD113" i="4" s="1"/>
  <c r="BD114" i="4" a="1"/>
  <c r="BD114" i="4" s="1"/>
  <c r="BD10" i="4" a="1"/>
  <c r="BD10" i="4" s="1"/>
  <c r="BM11" i="4" s="1" a="1"/>
  <c r="BM11" i="4" s="1"/>
  <c r="BA27" i="4" a="1"/>
  <c r="BA27" i="4" s="1"/>
  <c r="BA28" i="4" a="1"/>
  <c r="BA28" i="4" s="1"/>
  <c r="BA29" i="4" a="1"/>
  <c r="BA29" i="4" s="1"/>
  <c r="BA30" i="4" a="1"/>
  <c r="BA30" i="4" s="1"/>
  <c r="BA31" i="4" a="1"/>
  <c r="BA31" i="4" s="1"/>
  <c r="BA32" i="4" a="1"/>
  <c r="BA32" i="4" s="1"/>
  <c r="BA33" i="4" a="1"/>
  <c r="BA33" i="4" s="1"/>
  <c r="BA34" i="4" a="1"/>
  <c r="BA34" i="4" s="1"/>
  <c r="BA35" i="4" a="1"/>
  <c r="BA35" i="4" s="1"/>
  <c r="BA36" i="4" a="1"/>
  <c r="BA36" i="4" s="1"/>
  <c r="BA37" i="4" a="1"/>
  <c r="BA37" i="4" s="1"/>
  <c r="BA38" i="4" a="1"/>
  <c r="BA38" i="4" s="1"/>
  <c r="BA39" i="4" a="1"/>
  <c r="BA39" i="4" s="1"/>
  <c r="BA40" i="4" a="1"/>
  <c r="BA40" i="4" s="1"/>
  <c r="BA41" i="4" a="1"/>
  <c r="BA41" i="4" s="1"/>
  <c r="BA42" i="4" a="1"/>
  <c r="BA42" i="4" s="1"/>
  <c r="BA43" i="4" a="1"/>
  <c r="BA43" i="4" s="1"/>
  <c r="BA44" i="4" a="1"/>
  <c r="BA44" i="4" s="1"/>
  <c r="BA45" i="4" a="1"/>
  <c r="BA45" i="4" s="1"/>
  <c r="BA46" i="4" a="1"/>
  <c r="BA46" i="4" s="1"/>
  <c r="BA47" i="4" a="1"/>
  <c r="BA47" i="4" s="1"/>
  <c r="BA48" i="4" a="1"/>
  <c r="BA48" i="4" s="1"/>
  <c r="BA49" i="4" a="1"/>
  <c r="BA49" i="4" s="1"/>
  <c r="BA50" i="4" a="1"/>
  <c r="BA50" i="4" s="1"/>
  <c r="BA51" i="4" a="1"/>
  <c r="BA51" i="4" s="1"/>
  <c r="BA52" i="4" a="1"/>
  <c r="BA52" i="4" s="1"/>
  <c r="BA53" i="4" a="1"/>
  <c r="BA53" i="4" s="1"/>
  <c r="BA54" i="4" a="1"/>
  <c r="BA54" i="4" s="1"/>
  <c r="BA55" i="4" a="1"/>
  <c r="BA55" i="4" s="1"/>
  <c r="BA56" i="4" a="1"/>
  <c r="BA56" i="4" s="1"/>
  <c r="BA57" i="4" a="1"/>
  <c r="BA57" i="4" s="1"/>
  <c r="BA58" i="4" a="1"/>
  <c r="BA58" i="4" s="1"/>
  <c r="BA59" i="4" a="1"/>
  <c r="BA59" i="4" s="1"/>
  <c r="BA60" i="4" a="1"/>
  <c r="BA60" i="4" s="1"/>
  <c r="BA61" i="4" a="1"/>
  <c r="BA61" i="4" s="1"/>
  <c r="BA62" i="4" a="1"/>
  <c r="BA62" i="4" s="1"/>
  <c r="BA63" i="4" a="1"/>
  <c r="BA63" i="4" s="1"/>
  <c r="BA64" i="4" a="1"/>
  <c r="BA64" i="4" s="1"/>
  <c r="BA65" i="4" a="1"/>
  <c r="BA65" i="4" s="1"/>
  <c r="BA66" i="4" a="1"/>
  <c r="BA66" i="4" s="1"/>
  <c r="BA67" i="4" a="1"/>
  <c r="BA67" i="4" s="1"/>
  <c r="BA68" i="4" a="1"/>
  <c r="BA68" i="4" s="1"/>
  <c r="BA69" i="4" a="1"/>
  <c r="BA69" i="4" s="1"/>
  <c r="BA70" i="4" a="1"/>
  <c r="BA70" i="4" s="1"/>
  <c r="BA71" i="4" a="1"/>
  <c r="BA71" i="4" s="1"/>
  <c r="BA72" i="4" a="1"/>
  <c r="BA72" i="4" s="1"/>
  <c r="BA73" i="4" a="1"/>
  <c r="BA73" i="4" s="1"/>
  <c r="BA74" i="4" a="1"/>
  <c r="BA74" i="4" s="1"/>
  <c r="BA75" i="4" a="1"/>
  <c r="BA75" i="4" s="1"/>
  <c r="BA76" i="4" a="1"/>
  <c r="BA76" i="4" s="1"/>
  <c r="BA77" i="4" a="1"/>
  <c r="BA77" i="4" s="1"/>
  <c r="BA78" i="4" a="1"/>
  <c r="BA78" i="4" s="1"/>
  <c r="BA79" i="4" a="1"/>
  <c r="BA79" i="4" s="1"/>
  <c r="BA80" i="4" a="1"/>
  <c r="BA80" i="4" s="1"/>
  <c r="BA81" i="4" a="1"/>
  <c r="BA81" i="4" s="1"/>
  <c r="BA82" i="4" a="1"/>
  <c r="BA82" i="4" s="1"/>
  <c r="BA83" i="4" a="1"/>
  <c r="BA83" i="4" s="1"/>
  <c r="BA84" i="4" a="1"/>
  <c r="BA84" i="4" s="1"/>
  <c r="BA85" i="4" a="1"/>
  <c r="BA85" i="4" s="1"/>
  <c r="BA86" i="4" a="1"/>
  <c r="BA86" i="4" s="1"/>
  <c r="BA87" i="4" a="1"/>
  <c r="BA87" i="4" s="1"/>
  <c r="BA88" i="4" a="1"/>
  <c r="BA88" i="4" s="1"/>
  <c r="BA89" i="4" a="1"/>
  <c r="BA89" i="4" s="1"/>
  <c r="BA90" i="4" a="1"/>
  <c r="BA90" i="4" s="1"/>
  <c r="BA91" i="4" a="1"/>
  <c r="BA91" i="4" s="1"/>
  <c r="BA92" i="4" a="1"/>
  <c r="BA92" i="4" s="1"/>
  <c r="BA93" i="4" a="1"/>
  <c r="BA93" i="4" s="1"/>
  <c r="BA94" i="4" a="1"/>
  <c r="BA94" i="4" s="1"/>
  <c r="BA95" i="4" a="1"/>
  <c r="BA95" i="4" s="1"/>
  <c r="BA96" i="4" a="1"/>
  <c r="BA96" i="4" s="1"/>
  <c r="BA97" i="4" a="1"/>
  <c r="BA97" i="4" s="1"/>
  <c r="BA98" i="4" a="1"/>
  <c r="BA98" i="4" s="1"/>
  <c r="BA99" i="4" a="1"/>
  <c r="BA99" i="4" s="1"/>
  <c r="BA100" i="4" a="1"/>
  <c r="BA100" i="4" s="1"/>
  <c r="BA101" i="4" a="1"/>
  <c r="BA101" i="4" s="1"/>
  <c r="BA102" i="4" a="1"/>
  <c r="BA102" i="4" s="1"/>
  <c r="BA103" i="4" a="1"/>
  <c r="BA103" i="4" s="1"/>
  <c r="BA104" i="4" a="1"/>
  <c r="BA104" i="4" s="1"/>
  <c r="BA105" i="4" a="1"/>
  <c r="BA105" i="4" s="1"/>
  <c r="BA106" i="4" a="1"/>
  <c r="BA106" i="4" s="1"/>
  <c r="BA107" i="4" a="1"/>
  <c r="BA107" i="4" s="1"/>
  <c r="BA108" i="4" a="1"/>
  <c r="BA108" i="4" s="1"/>
  <c r="BA109" i="4" a="1"/>
  <c r="BA109" i="4" s="1"/>
  <c r="BA110" i="4" a="1"/>
  <c r="BA110" i="4" s="1"/>
  <c r="BA111" i="4" a="1"/>
  <c r="BA111" i="4" s="1"/>
  <c r="BA112" i="4" a="1"/>
  <c r="BA112" i="4" s="1"/>
  <c r="BA113" i="4" a="1"/>
  <c r="BA113" i="4" s="1"/>
  <c r="BA114" i="4" a="1"/>
  <c r="BA114" i="4" s="1"/>
  <c r="BA11" i="4" a="1"/>
  <c r="BA11" i="4" s="1"/>
  <c r="BA12" i="4" a="1"/>
  <c r="BA12" i="4" s="1"/>
  <c r="BA13" i="4" a="1"/>
  <c r="BA13" i="4" s="1"/>
  <c r="BA14" i="4" a="1"/>
  <c r="BA14" i="4" s="1"/>
  <c r="BA15" i="4" a="1"/>
  <c r="BA15" i="4" s="1"/>
  <c r="BA16" i="4" a="1"/>
  <c r="BA16" i="4" s="1"/>
  <c r="BA17" i="4" a="1"/>
  <c r="BA17" i="4" s="1"/>
  <c r="BA18" i="4" a="1"/>
  <c r="BA18" i="4" s="1"/>
  <c r="BA19" i="4" a="1"/>
  <c r="BA19" i="4" s="1"/>
  <c r="BA20" i="4" a="1"/>
  <c r="BA20" i="4" s="1"/>
  <c r="BA21" i="4" a="1"/>
  <c r="BA21" i="4" s="1"/>
  <c r="BA22" i="4" a="1"/>
  <c r="BA22" i="4" s="1"/>
  <c r="BA23" i="4" a="1"/>
  <c r="BA23" i="4" s="1"/>
  <c r="BA24" i="4" a="1"/>
  <c r="BA24" i="4" s="1"/>
  <c r="BA25" i="4" a="1"/>
  <c r="BA25" i="4" s="1"/>
  <c r="BA26" i="4" a="1"/>
  <c r="BA26" i="4" s="1"/>
  <c r="BA10" i="4" a="1"/>
  <c r="BA10" i="4" s="1"/>
  <c r="BG10" i="4" l="1" a="1"/>
  <c r="BG10" i="4" s="1"/>
  <c r="BM114" i="4" a="1"/>
  <c r="BM114" i="4" s="1"/>
  <c r="BM106" i="4" a="1"/>
  <c r="BM106" i="4" s="1"/>
  <c r="BM98" i="4" a="1"/>
  <c r="BM98" i="4" s="1"/>
  <c r="BM90" i="4" a="1"/>
  <c r="BM90" i="4" s="1"/>
  <c r="BM82" i="4" a="1"/>
  <c r="BM82" i="4" s="1"/>
  <c r="BM74" i="4" a="1"/>
  <c r="BM74" i="4" s="1"/>
  <c r="BM66" i="4" a="1"/>
  <c r="BM66" i="4" s="1"/>
  <c r="BM58" i="4" a="1"/>
  <c r="BM58" i="4" s="1"/>
  <c r="BM50" i="4" a="1"/>
  <c r="BM50" i="4" s="1"/>
  <c r="BM42" i="4" a="1"/>
  <c r="BM42" i="4" s="1"/>
  <c r="BM34" i="4" a="1"/>
  <c r="BM34" i="4" s="1"/>
  <c r="BM26" i="4" a="1"/>
  <c r="BM26" i="4" s="1"/>
  <c r="BM18" i="4" a="1"/>
  <c r="BM18" i="4" s="1"/>
  <c r="BM113" i="4" a="1"/>
  <c r="BM113" i="4" s="1"/>
  <c r="BM105" i="4" a="1"/>
  <c r="BM105" i="4" s="1"/>
  <c r="BM97" i="4" a="1"/>
  <c r="BM97" i="4" s="1"/>
  <c r="BM89" i="4" a="1"/>
  <c r="BM89" i="4" s="1"/>
  <c r="BM81" i="4" a="1"/>
  <c r="BM81" i="4" s="1"/>
  <c r="BM73" i="4" a="1"/>
  <c r="BM73" i="4" s="1"/>
  <c r="BM65" i="4" a="1"/>
  <c r="BM65" i="4" s="1"/>
  <c r="BM57" i="4" a="1"/>
  <c r="BM57" i="4" s="1"/>
  <c r="BM49" i="4" a="1"/>
  <c r="BM49" i="4" s="1"/>
  <c r="BM41" i="4" a="1"/>
  <c r="BM41" i="4" s="1"/>
  <c r="BM33" i="4" a="1"/>
  <c r="BM33" i="4" s="1"/>
  <c r="BM25" i="4" a="1"/>
  <c r="BM25" i="4" s="1"/>
  <c r="BM17" i="4" a="1"/>
  <c r="BM17" i="4" s="1"/>
  <c r="BM112" i="4" a="1"/>
  <c r="BM112" i="4" s="1"/>
  <c r="BM104" i="4" a="1"/>
  <c r="BM104" i="4" s="1"/>
  <c r="BM96" i="4" a="1"/>
  <c r="BM96" i="4" s="1"/>
  <c r="BM88" i="4" a="1"/>
  <c r="BM88" i="4" s="1"/>
  <c r="BM80" i="4" a="1"/>
  <c r="BM80" i="4" s="1"/>
  <c r="BM72" i="4" a="1"/>
  <c r="BM72" i="4" s="1"/>
  <c r="BM64" i="4" a="1"/>
  <c r="BM64" i="4" s="1"/>
  <c r="BM56" i="4" a="1"/>
  <c r="BM56" i="4" s="1"/>
  <c r="BM48" i="4" a="1"/>
  <c r="BM48" i="4" s="1"/>
  <c r="BM40" i="4" a="1"/>
  <c r="BM40" i="4" s="1"/>
  <c r="BM32" i="4" a="1"/>
  <c r="BM32" i="4" s="1"/>
  <c r="BM24" i="4" a="1"/>
  <c r="BM24" i="4" s="1"/>
  <c r="BM16" i="4" a="1"/>
  <c r="BM16" i="4" s="1"/>
  <c r="BM111" i="4" a="1"/>
  <c r="BM111" i="4" s="1"/>
  <c r="BM103" i="4" a="1"/>
  <c r="BM103" i="4" s="1"/>
  <c r="BM95" i="4" a="1"/>
  <c r="BM95" i="4" s="1"/>
  <c r="BM87" i="4" a="1"/>
  <c r="BM87" i="4" s="1"/>
  <c r="BM79" i="4" a="1"/>
  <c r="BM79" i="4" s="1"/>
  <c r="BM71" i="4" a="1"/>
  <c r="BM71" i="4" s="1"/>
  <c r="BM63" i="4" a="1"/>
  <c r="BM63" i="4" s="1"/>
  <c r="BM55" i="4" a="1"/>
  <c r="BM55" i="4" s="1"/>
  <c r="BM47" i="4" a="1"/>
  <c r="BM47" i="4" s="1"/>
  <c r="BM39" i="4" a="1"/>
  <c r="BM39" i="4" s="1"/>
  <c r="BM31" i="4" a="1"/>
  <c r="BM31" i="4" s="1"/>
  <c r="BM23" i="4" a="1"/>
  <c r="BM23" i="4" s="1"/>
  <c r="BM15" i="4" a="1"/>
  <c r="BM15" i="4" s="1"/>
  <c r="BM110" i="4" a="1"/>
  <c r="BM110" i="4" s="1"/>
  <c r="BM102" i="4" a="1"/>
  <c r="BM102" i="4" s="1"/>
  <c r="BM94" i="4" a="1"/>
  <c r="BM94" i="4" s="1"/>
  <c r="BM86" i="4" a="1"/>
  <c r="BM86" i="4" s="1"/>
  <c r="BM78" i="4" a="1"/>
  <c r="BM78" i="4" s="1"/>
  <c r="BM70" i="4" a="1"/>
  <c r="BM70" i="4" s="1"/>
  <c r="BM62" i="4" a="1"/>
  <c r="BM62" i="4" s="1"/>
  <c r="BM54" i="4" a="1"/>
  <c r="BM54" i="4" s="1"/>
  <c r="BM46" i="4" a="1"/>
  <c r="BM46" i="4" s="1"/>
  <c r="BM38" i="4" a="1"/>
  <c r="BM38" i="4" s="1"/>
  <c r="BM30" i="4" a="1"/>
  <c r="BM30" i="4" s="1"/>
  <c r="BM22" i="4" a="1"/>
  <c r="BM22" i="4" s="1"/>
  <c r="BM14" i="4" a="1"/>
  <c r="BM14" i="4" s="1"/>
  <c r="BM109" i="4" a="1"/>
  <c r="BM109" i="4" s="1"/>
  <c r="BM101" i="4" a="1"/>
  <c r="BM101" i="4" s="1"/>
  <c r="BM93" i="4" a="1"/>
  <c r="BM93" i="4" s="1"/>
  <c r="BM85" i="4" a="1"/>
  <c r="BM85" i="4" s="1"/>
  <c r="BM77" i="4" a="1"/>
  <c r="BM77" i="4" s="1"/>
  <c r="BM69" i="4" a="1"/>
  <c r="BM69" i="4" s="1"/>
  <c r="BM61" i="4" a="1"/>
  <c r="BM61" i="4" s="1"/>
  <c r="BM53" i="4" a="1"/>
  <c r="BM53" i="4" s="1"/>
  <c r="BM45" i="4" a="1"/>
  <c r="BM45" i="4" s="1"/>
  <c r="BM37" i="4" a="1"/>
  <c r="BM37" i="4" s="1"/>
  <c r="BM29" i="4" a="1"/>
  <c r="BM29" i="4" s="1"/>
  <c r="BM21" i="4" a="1"/>
  <c r="BM21" i="4" s="1"/>
  <c r="BM13" i="4" a="1"/>
  <c r="BM13" i="4" s="1"/>
  <c r="BM108" i="4" a="1"/>
  <c r="BM108" i="4" s="1"/>
  <c r="BM100" i="4" a="1"/>
  <c r="BM100" i="4" s="1"/>
  <c r="BM92" i="4" a="1"/>
  <c r="BM92" i="4" s="1"/>
  <c r="BM84" i="4" a="1"/>
  <c r="BM84" i="4" s="1"/>
  <c r="BM76" i="4" a="1"/>
  <c r="BM76" i="4" s="1"/>
  <c r="BM68" i="4" a="1"/>
  <c r="BM68" i="4" s="1"/>
  <c r="BM60" i="4" a="1"/>
  <c r="BM60" i="4" s="1"/>
  <c r="BM52" i="4" a="1"/>
  <c r="BM52" i="4" s="1"/>
  <c r="BM44" i="4" a="1"/>
  <c r="BM44" i="4" s="1"/>
  <c r="BM36" i="4" a="1"/>
  <c r="BM36" i="4" s="1"/>
  <c r="BM28" i="4" a="1"/>
  <c r="BM28" i="4" s="1"/>
  <c r="BM20" i="4" a="1"/>
  <c r="BM20" i="4" s="1"/>
  <c r="BM12" i="4" a="1"/>
  <c r="BM12" i="4" s="1"/>
  <c r="BM10" i="4" a="1"/>
  <c r="BM10" i="4" s="1"/>
  <c r="BM107" i="4" a="1"/>
  <c r="BM107" i="4" s="1"/>
  <c r="BM99" i="4" a="1"/>
  <c r="BM99" i="4" s="1"/>
  <c r="BM91" i="4" a="1"/>
  <c r="BM91" i="4" s="1"/>
  <c r="BM83" i="4" a="1"/>
  <c r="BM83" i="4" s="1"/>
  <c r="BM75" i="4" a="1"/>
  <c r="BM75" i="4" s="1"/>
  <c r="BM67" i="4" a="1"/>
  <c r="BM67" i="4" s="1"/>
  <c r="BM59" i="4" a="1"/>
  <c r="BM59" i="4" s="1"/>
  <c r="BM51" i="4" a="1"/>
  <c r="BM51" i="4" s="1"/>
  <c r="BM43" i="4" a="1"/>
  <c r="BM43" i="4" s="1"/>
  <c r="BM35" i="4" a="1"/>
  <c r="BM35" i="4" s="1"/>
  <c r="BM27" i="4" a="1"/>
  <c r="BM27" i="4" s="1"/>
  <c r="BM19" i="4" a="1"/>
  <c r="BM19" i="4" s="1"/>
  <c r="BI10" i="4" a="1"/>
  <c r="BI10" i="4" s="1"/>
  <c r="BN10" i="4" l="1" a="1"/>
  <c r="BN10" i="4" s="1"/>
  <c r="BL11" i="4" a="1"/>
  <c r="BL11" i="4" s="1"/>
  <c r="BL12" i="4" a="1"/>
  <c r="BL12" i="4" s="1"/>
  <c r="BL13" i="4" a="1"/>
  <c r="BL13" i="4" s="1"/>
  <c r="BL14" i="4" a="1"/>
  <c r="BL14" i="4" s="1"/>
  <c r="BL15" i="4" a="1"/>
  <c r="BL15" i="4" s="1"/>
  <c r="BL16" i="4" a="1"/>
  <c r="BL16" i="4" s="1"/>
  <c r="BL17" i="4" a="1"/>
  <c r="BL17" i="4" s="1"/>
  <c r="BL18" i="4" a="1"/>
  <c r="BL18" i="4" s="1"/>
  <c r="BL19" i="4" a="1"/>
  <c r="BL19" i="4" s="1"/>
  <c r="BL20" i="4" a="1"/>
  <c r="BL20" i="4" s="1"/>
  <c r="BL21" i="4" a="1"/>
  <c r="BL21" i="4" s="1"/>
  <c r="BL22" i="4" a="1"/>
  <c r="BL22" i="4" s="1"/>
  <c r="BL23" i="4" a="1"/>
  <c r="BL23" i="4" s="1"/>
  <c r="BL24" i="4" a="1"/>
  <c r="BL24" i="4" s="1"/>
  <c r="BL25" i="4" a="1"/>
  <c r="BL25" i="4" s="1"/>
  <c r="BL26" i="4" a="1"/>
  <c r="BL26" i="4" s="1"/>
  <c r="BL10" i="4" a="1"/>
  <c r="BL10" i="4" s="1"/>
  <c r="BK10" i="4" a="1"/>
  <c r="BK10" i="4" s="1"/>
  <c r="BJ10" i="4" a="1"/>
  <c r="BJ10" i="4" s="1"/>
  <c r="K1979" i="6" a="1"/>
  <c r="K1979" i="6" s="1"/>
  <c r="L1979" i="6" s="1"/>
  <c r="K941" i="6" a="1"/>
  <c r="K941" i="6" s="1"/>
  <c r="L941" i="6" s="1"/>
  <c r="K367" i="6" a="1"/>
  <c r="K367" i="6" s="1"/>
  <c r="L367" i="6" s="1"/>
  <c r="K609" i="6" a="1"/>
  <c r="K609" i="6" s="1"/>
  <c r="L609" i="6" s="1"/>
  <c r="K574" i="6" a="1"/>
  <c r="K574" i="6" s="1"/>
  <c r="L574" i="6" s="1"/>
  <c r="K343" i="6" a="1"/>
  <c r="K343" i="6" s="1"/>
  <c r="L343" i="6" s="1"/>
  <c r="K310" i="6" a="1"/>
  <c r="K310" i="6" s="1"/>
  <c r="L310" i="6" s="1"/>
  <c r="K309" i="6" a="1"/>
  <c r="K309" i="6" s="1"/>
  <c r="L309" i="6" s="1"/>
  <c r="K279" i="6" a="1"/>
  <c r="K279" i="6" s="1"/>
  <c r="L279" i="6" s="1"/>
  <c r="K198" i="6" a="1"/>
  <c r="K198" i="6" s="1"/>
  <c r="L198" i="6" s="1"/>
  <c r="K166" i="6" a="1"/>
  <c r="K166" i="6" s="1"/>
  <c r="L166" i="6" s="1"/>
  <c r="K130" i="6" a="1"/>
  <c r="K130" i="6" s="1"/>
  <c r="L130" i="6" s="1"/>
  <c r="K124" i="6" a="1"/>
  <c r="K124" i="6" s="1"/>
  <c r="L124" i="6" s="1"/>
  <c r="K112" i="6" a="1"/>
  <c r="K112" i="6" s="1"/>
  <c r="L112" i="6" s="1"/>
  <c r="K107" i="6" a="1"/>
  <c r="K107" i="6" s="1"/>
  <c r="L107" i="6" s="1"/>
  <c r="K106" i="6" a="1"/>
  <c r="K106" i="6" s="1"/>
  <c r="L106" i="6" s="1"/>
  <c r="K60" i="6" a="1"/>
  <c r="K60" i="6" s="1"/>
  <c r="L60" i="6" s="1"/>
  <c r="K59" i="6" a="1"/>
  <c r="K59" i="6" s="1"/>
  <c r="L59" i="6" s="1"/>
  <c r="K15" i="6" a="1"/>
  <c r="K15" i="6" s="1"/>
  <c r="L15" i="6" s="1"/>
  <c r="K940" i="6" a="1"/>
  <c r="K940" i="6" s="1"/>
  <c r="L940" i="6" s="1"/>
  <c r="K608" i="6" a="1"/>
  <c r="K608" i="6" s="1"/>
  <c r="L608" i="6" s="1"/>
  <c r="K308" i="6" a="1"/>
  <c r="K308" i="6" s="1"/>
  <c r="L308" i="6" s="1"/>
  <c r="K278" i="6" a="1"/>
  <c r="K278" i="6" s="1"/>
  <c r="L278" i="6" s="1"/>
  <c r="K197" i="6" a="1"/>
  <c r="K197" i="6" s="1"/>
  <c r="L197" i="6" s="1"/>
  <c r="K129" i="6" a="1"/>
  <c r="K129" i="6" s="1"/>
  <c r="L129" i="6" s="1"/>
  <c r="K123" i="6" a="1"/>
  <c r="K123" i="6" s="1"/>
  <c r="L123" i="6" s="1"/>
  <c r="K119" i="6" a="1"/>
  <c r="K119" i="6" s="1"/>
  <c r="L119" i="6" s="1"/>
  <c r="K111" i="6" a="1"/>
  <c r="K111" i="6" s="1"/>
  <c r="L111" i="6" s="1"/>
  <c r="K105" i="6" a="1"/>
  <c r="K105" i="6" s="1"/>
  <c r="L105" i="6" s="1"/>
  <c r="K104" i="6" a="1"/>
  <c r="K104" i="6" s="1"/>
  <c r="L104" i="6" s="1"/>
  <c r="K89" i="6" a="1"/>
  <c r="K89" i="6" s="1"/>
  <c r="L89" i="6" s="1"/>
  <c r="K58" i="6" a="1"/>
  <c r="K58" i="6" s="1"/>
  <c r="L58" i="6" s="1"/>
  <c r="K44" i="6" a="1"/>
  <c r="K44" i="6" s="1"/>
  <c r="L44" i="6" s="1"/>
  <c r="K14" i="6" a="1"/>
  <c r="K14" i="6" s="1"/>
  <c r="L14" i="6" s="1"/>
  <c r="K1937" i="6" a="1"/>
  <c r="K1937" i="6" s="1"/>
  <c r="L1937" i="6" s="1"/>
  <c r="K1690" i="6" a="1"/>
  <c r="K1690" i="6" s="1"/>
  <c r="L1690" i="6" s="1"/>
  <c r="K698" i="6" a="1"/>
  <c r="K698" i="6" s="1"/>
  <c r="L698" i="6" s="1"/>
  <c r="K526" i="6" a="1"/>
  <c r="K526" i="6" s="1"/>
  <c r="L526" i="6" s="1"/>
  <c r="K456" i="6" a="1"/>
  <c r="K456" i="6" s="1"/>
  <c r="L456" i="6" s="1"/>
  <c r="K455" i="6" a="1"/>
  <c r="K455" i="6" s="1"/>
  <c r="L455" i="6" s="1"/>
  <c r="K452" i="6" a="1"/>
  <c r="K452" i="6" s="1"/>
  <c r="L452" i="6" s="1"/>
  <c r="K416" i="6" a="1"/>
  <c r="K416" i="6" s="1"/>
  <c r="L416" i="6" s="1"/>
  <c r="K363" i="6" a="1"/>
  <c r="K363" i="6" s="1"/>
  <c r="L363" i="6" s="1"/>
  <c r="K345" i="6" a="1"/>
  <c r="K345" i="6" s="1"/>
  <c r="L345" i="6" s="1"/>
  <c r="K344" i="6" a="1"/>
  <c r="K344" i="6" s="1"/>
  <c r="L344" i="6" s="1"/>
  <c r="K342" i="6" a="1"/>
  <c r="K342" i="6" s="1"/>
  <c r="L342" i="6" s="1"/>
  <c r="K300" i="6" a="1"/>
  <c r="K300" i="6" s="1"/>
  <c r="L300" i="6" s="1"/>
  <c r="K290" i="6" a="1"/>
  <c r="K290" i="6" s="1"/>
  <c r="L290" i="6" s="1"/>
  <c r="K277" i="6" a="1"/>
  <c r="K277" i="6" s="1"/>
  <c r="L277" i="6" s="1"/>
  <c r="K253" i="6" a="1"/>
  <c r="K253" i="6" s="1"/>
  <c r="L253" i="6" s="1"/>
  <c r="K242" i="6" a="1"/>
  <c r="K242" i="6" s="1"/>
  <c r="L242" i="6" s="1"/>
  <c r="K165" i="6" a="1"/>
  <c r="K165" i="6" s="1"/>
  <c r="L165" i="6" s="1"/>
  <c r="K160" i="6" a="1"/>
  <c r="K160" i="6" s="1"/>
  <c r="L160" i="6" s="1"/>
  <c r="K103" i="6" a="1"/>
  <c r="K103" i="6" s="1"/>
  <c r="L103" i="6" s="1"/>
  <c r="K102" i="6" a="1"/>
  <c r="K102" i="6" s="1"/>
  <c r="L102" i="6" s="1"/>
  <c r="K57" i="6" a="1"/>
  <c r="K57" i="6" s="1"/>
  <c r="L57" i="6" s="1"/>
  <c r="K56" i="6" a="1"/>
  <c r="K56" i="6" s="1"/>
  <c r="L56" i="6" s="1"/>
  <c r="K28" i="6" a="1"/>
  <c r="K28" i="6" s="1"/>
  <c r="L28" i="6" s="1"/>
  <c r="K27" i="6" a="1"/>
  <c r="K27" i="6" s="1"/>
  <c r="L27" i="6" s="1"/>
  <c r="K26" i="6" a="1"/>
  <c r="K26" i="6" s="1"/>
  <c r="L26" i="6" s="1"/>
  <c r="K20" i="6" a="1"/>
  <c r="K20" i="6" s="1"/>
  <c r="L20" i="6" s="1"/>
  <c r="K19" i="6" a="1"/>
  <c r="K19" i="6" s="1"/>
  <c r="L19" i="6" s="1"/>
  <c r="K18" i="6" a="1"/>
  <c r="K18" i="6" s="1"/>
  <c r="L18" i="6" s="1"/>
  <c r="K578" i="6" a="1"/>
  <c r="K578" i="6" s="1"/>
  <c r="L578" i="6" s="1"/>
  <c r="K1872" i="6" a="1"/>
  <c r="K1872" i="6" s="1"/>
  <c r="L1872" i="6" s="1"/>
  <c r="K1556" i="6" a="1"/>
  <c r="K1556" i="6" s="1"/>
  <c r="L1556" i="6" s="1"/>
  <c r="K1334" i="6" a="1"/>
  <c r="K1334" i="6" s="1"/>
  <c r="L1334" i="6" s="1"/>
  <c r="K694" i="6" a="1"/>
  <c r="K694" i="6" s="1"/>
  <c r="L694" i="6" s="1"/>
  <c r="K678" i="6" a="1"/>
  <c r="K678" i="6" s="1"/>
  <c r="L678" i="6" s="1"/>
  <c r="K666" i="6" a="1"/>
  <c r="K666" i="6" s="1"/>
  <c r="L666" i="6" s="1"/>
  <c r="K252" i="6" a="1"/>
  <c r="K252" i="6" s="1"/>
  <c r="L252" i="6" s="1"/>
  <c r="K237" i="6" a="1"/>
  <c r="K237" i="6" s="1"/>
  <c r="L237" i="6" s="1"/>
  <c r="K1973" i="6" a="1"/>
  <c r="K1973" i="6" s="1"/>
  <c r="L1973" i="6" s="1"/>
  <c r="K1951" i="6" a="1"/>
  <c r="K1951" i="6" s="1"/>
  <c r="L1951" i="6" s="1"/>
  <c r="K1944" i="6" a="1"/>
  <c r="K1944" i="6" s="1"/>
  <c r="L1944" i="6" s="1"/>
  <c r="K1931" i="6" a="1"/>
  <c r="K1931" i="6" s="1"/>
  <c r="L1931" i="6" s="1"/>
  <c r="K1893" i="6" a="1"/>
  <c r="K1893" i="6" s="1"/>
  <c r="L1893" i="6" s="1"/>
  <c r="K1866" i="6" a="1"/>
  <c r="K1866" i="6" s="1"/>
  <c r="L1866" i="6" s="1"/>
  <c r="K1855" i="6" a="1"/>
  <c r="K1855" i="6" s="1"/>
  <c r="L1855" i="6" s="1"/>
  <c r="K1820" i="6" a="1"/>
  <c r="K1820" i="6" s="1"/>
  <c r="L1820" i="6" s="1"/>
  <c r="K1796" i="6" a="1"/>
  <c r="K1796" i="6" s="1"/>
  <c r="L1796" i="6" s="1"/>
  <c r="K1791" i="6" a="1"/>
  <c r="K1791" i="6" s="1"/>
  <c r="L1791" i="6" s="1"/>
  <c r="K1784" i="6" a="1"/>
  <c r="K1784" i="6" s="1"/>
  <c r="L1784" i="6" s="1"/>
  <c r="K1742" i="6" a="1"/>
  <c r="K1742" i="6" s="1"/>
  <c r="L1742" i="6" s="1"/>
  <c r="K1729" i="6" a="1"/>
  <c r="K1729" i="6" s="1"/>
  <c r="L1729" i="6" s="1"/>
  <c r="K1723" i="6" a="1"/>
  <c r="K1723" i="6" s="1"/>
  <c r="L1723" i="6" s="1"/>
  <c r="K1722" i="6" a="1"/>
  <c r="K1722" i="6" s="1"/>
  <c r="L1722" i="6" s="1"/>
  <c r="K1721" i="6" a="1"/>
  <c r="K1721" i="6" s="1"/>
  <c r="L1721" i="6" s="1"/>
  <c r="K1720" i="6" a="1"/>
  <c r="K1720" i="6" s="1"/>
  <c r="L1720" i="6" s="1"/>
  <c r="K1656" i="6" a="1"/>
  <c r="K1656" i="6" s="1"/>
  <c r="L1656" i="6" s="1"/>
  <c r="K1637" i="6" a="1"/>
  <c r="K1637" i="6" s="1"/>
  <c r="L1637" i="6" s="1"/>
  <c r="K1620" i="6" a="1"/>
  <c r="K1620" i="6" s="1"/>
  <c r="L1620" i="6" s="1"/>
  <c r="K1617" i="6" a="1"/>
  <c r="K1617" i="6" s="1"/>
  <c r="L1617" i="6" s="1"/>
  <c r="M1617" i="6" s="1"/>
  <c r="P1617" i="6" s="1"/>
  <c r="K1608" i="6" a="1"/>
  <c r="K1608" i="6" s="1"/>
  <c r="L1608" i="6" s="1"/>
  <c r="K1563" i="6" a="1"/>
  <c r="K1563" i="6" s="1"/>
  <c r="L1563" i="6" s="1"/>
  <c r="K1555" i="6" a="1"/>
  <c r="K1555" i="6" s="1"/>
  <c r="L1555" i="6" s="1"/>
  <c r="K1545" i="6" a="1"/>
  <c r="K1545" i="6" s="1"/>
  <c r="L1545" i="6" s="1"/>
  <c r="K1477" i="6" a="1"/>
  <c r="K1477" i="6" s="1"/>
  <c r="L1477" i="6" s="1"/>
  <c r="K1465" i="6" a="1"/>
  <c r="K1465" i="6" s="1"/>
  <c r="L1465" i="6" s="1"/>
  <c r="K1442" i="6" a="1"/>
  <c r="K1442" i="6" s="1"/>
  <c r="L1442" i="6" s="1"/>
  <c r="K1420" i="6" a="1"/>
  <c r="K1420" i="6" s="1"/>
  <c r="L1420" i="6" s="1"/>
  <c r="M1420" i="6" s="1"/>
  <c r="P1420" i="6" s="1"/>
  <c r="K1408" i="6" a="1"/>
  <c r="K1408" i="6" s="1"/>
  <c r="L1408" i="6" s="1"/>
  <c r="O1408" i="6" s="1"/>
  <c r="K1383" i="6" a="1"/>
  <c r="K1383" i="6" s="1"/>
  <c r="L1383" i="6" s="1"/>
  <c r="K1360" i="6" a="1"/>
  <c r="K1360" i="6" s="1"/>
  <c r="L1360" i="6" s="1"/>
  <c r="K1328" i="6" a="1"/>
  <c r="K1328" i="6" s="1"/>
  <c r="L1328" i="6" s="1"/>
  <c r="K1318" i="6" a="1"/>
  <c r="K1318" i="6" s="1"/>
  <c r="L1318" i="6" s="1"/>
  <c r="K1285" i="6" a="1"/>
  <c r="K1285" i="6" s="1"/>
  <c r="L1285" i="6" s="1"/>
  <c r="K1276" i="6" a="1"/>
  <c r="K1276" i="6" s="1"/>
  <c r="L1276" i="6" s="1"/>
  <c r="K1257" i="6" a="1"/>
  <c r="K1257" i="6" s="1"/>
  <c r="L1257" i="6" s="1"/>
  <c r="M1257" i="6" s="1"/>
  <c r="P1257" i="6" s="1"/>
  <c r="K1242" i="6" a="1"/>
  <c r="K1242" i="6" s="1"/>
  <c r="L1242" i="6" s="1"/>
  <c r="O1242" i="6" s="1"/>
  <c r="K1211" i="6" a="1"/>
  <c r="K1211" i="6" s="1"/>
  <c r="L1211" i="6" s="1"/>
  <c r="K1162" i="6" a="1"/>
  <c r="K1162" i="6" s="1"/>
  <c r="L1162" i="6" s="1"/>
  <c r="K1129" i="6" a="1"/>
  <c r="K1129" i="6" s="1"/>
  <c r="L1129" i="6" s="1"/>
  <c r="K1128" i="6" a="1"/>
  <c r="K1128" i="6" s="1"/>
  <c r="L1128" i="6" s="1"/>
  <c r="K1117" i="6" a="1"/>
  <c r="K1117" i="6" s="1"/>
  <c r="L1117" i="6" s="1"/>
  <c r="K1083" i="6" a="1"/>
  <c r="K1083" i="6" s="1"/>
  <c r="L1083" i="6" s="1"/>
  <c r="K1060" i="6" a="1"/>
  <c r="K1060" i="6" s="1"/>
  <c r="L1060" i="6" s="1"/>
  <c r="M1060" i="6" s="1"/>
  <c r="P1060" i="6" s="1"/>
  <c r="K1049" i="6" a="1"/>
  <c r="K1049" i="6" s="1"/>
  <c r="L1049" i="6" s="1"/>
  <c r="O1049" i="6" s="1"/>
  <c r="K1013" i="6" a="1"/>
  <c r="K1013" i="6" s="1"/>
  <c r="L1013" i="6" s="1"/>
  <c r="K992" i="6" a="1"/>
  <c r="K992" i="6" s="1"/>
  <c r="L992" i="6" s="1"/>
  <c r="K988" i="6" a="1"/>
  <c r="K988" i="6" s="1"/>
  <c r="L988" i="6" s="1"/>
  <c r="K969" i="6" a="1"/>
  <c r="K969" i="6" s="1"/>
  <c r="L969" i="6" s="1"/>
  <c r="K939" i="6" a="1"/>
  <c r="K939" i="6" s="1"/>
  <c r="L939" i="6" s="1"/>
  <c r="K938" i="6" a="1"/>
  <c r="K938" i="6" s="1"/>
  <c r="L938" i="6" s="1"/>
  <c r="K937" i="6" a="1"/>
  <c r="K937" i="6" s="1"/>
  <c r="L937" i="6" s="1"/>
  <c r="M937" i="6" s="1"/>
  <c r="P937" i="6" s="1"/>
  <c r="K914" i="6" a="1"/>
  <c r="K914" i="6" s="1"/>
  <c r="L914" i="6" s="1"/>
  <c r="O914" i="6" s="1"/>
  <c r="K869" i="6" a="1"/>
  <c r="K869" i="6" s="1"/>
  <c r="L869" i="6" s="1"/>
  <c r="K841" i="6" a="1"/>
  <c r="K841" i="6" s="1"/>
  <c r="L841" i="6" s="1"/>
  <c r="K809" i="6" a="1"/>
  <c r="K809" i="6" s="1"/>
  <c r="L809" i="6" s="1"/>
  <c r="K767" i="6" a="1"/>
  <c r="K767" i="6" s="1"/>
  <c r="L767" i="6" s="1"/>
  <c r="O767" i="6" s="1"/>
  <c r="K731" i="6" a="1"/>
  <c r="K731" i="6" s="1"/>
  <c r="L731" i="6" s="1"/>
  <c r="K715" i="6" a="1"/>
  <c r="K715" i="6" s="1"/>
  <c r="L715" i="6" s="1"/>
  <c r="O715" i="6" s="1"/>
  <c r="K677" i="6" a="1"/>
  <c r="K677" i="6" s="1"/>
  <c r="L677" i="6" s="1"/>
  <c r="K620" i="6" a="1"/>
  <c r="K620" i="6" s="1"/>
  <c r="L620" i="6" s="1"/>
  <c r="M620" i="6" s="1"/>
  <c r="P620" i="6" s="1"/>
  <c r="K607" i="6" a="1"/>
  <c r="K607" i="6" s="1"/>
  <c r="L607" i="6" s="1"/>
  <c r="K590" i="6" a="1"/>
  <c r="K590" i="6" s="1"/>
  <c r="L590" i="6" s="1"/>
  <c r="K584" i="6" a="1"/>
  <c r="K584" i="6" s="1"/>
  <c r="L584" i="6" s="1"/>
  <c r="K573" i="6" a="1"/>
  <c r="K573" i="6" s="1"/>
  <c r="L573" i="6" s="1"/>
  <c r="K512" i="6" a="1"/>
  <c r="K512" i="6" s="1"/>
  <c r="L512" i="6" s="1"/>
  <c r="K502" i="6" a="1"/>
  <c r="K502" i="6" s="1"/>
  <c r="L502" i="6" s="1"/>
  <c r="K439" i="6" a="1"/>
  <c r="K439" i="6" s="1"/>
  <c r="L439" i="6" s="1"/>
  <c r="K373" i="6" a="1"/>
  <c r="K373" i="6" s="1"/>
  <c r="L373" i="6" s="1"/>
  <c r="K362" i="6" a="1"/>
  <c r="K362" i="6" s="1"/>
  <c r="L362" i="6" s="1"/>
  <c r="K341" i="6" a="1"/>
  <c r="K341" i="6" s="1"/>
  <c r="L341" i="6" s="1"/>
  <c r="K276" i="6" a="1"/>
  <c r="K276" i="6" s="1"/>
  <c r="L276" i="6" s="1"/>
  <c r="K236" i="6" a="1"/>
  <c r="K236" i="6" s="1"/>
  <c r="L236" i="6" s="1"/>
  <c r="K207" i="6" a="1"/>
  <c r="K207" i="6" s="1"/>
  <c r="L207" i="6" s="1"/>
  <c r="K171" i="6" a="1"/>
  <c r="K171" i="6" s="1"/>
  <c r="L171" i="6" s="1"/>
  <c r="K1914" i="6" a="1"/>
  <c r="K1914" i="6" s="1"/>
  <c r="L1914" i="6" s="1"/>
  <c r="K1913" i="6" a="1"/>
  <c r="K1913" i="6" s="1"/>
  <c r="L1913" i="6" s="1"/>
  <c r="K1882" i="6" a="1"/>
  <c r="K1882" i="6" s="1"/>
  <c r="L1882" i="6" s="1"/>
  <c r="K1881" i="6" a="1"/>
  <c r="K1881" i="6" s="1"/>
  <c r="L1881" i="6" s="1"/>
  <c r="K1880" i="6" a="1"/>
  <c r="K1880" i="6" s="1"/>
  <c r="L1880" i="6" s="1"/>
  <c r="K1879" i="6" a="1"/>
  <c r="K1879" i="6" s="1"/>
  <c r="L1879" i="6" s="1"/>
  <c r="K1878" i="6" a="1"/>
  <c r="K1878" i="6" s="1"/>
  <c r="L1878" i="6" s="1"/>
  <c r="K1871" i="6" a="1"/>
  <c r="K1871" i="6" s="1"/>
  <c r="L1871" i="6" s="1"/>
  <c r="K1819" i="6" a="1"/>
  <c r="K1819" i="6" s="1"/>
  <c r="L1819" i="6" s="1"/>
  <c r="K1818" i="6" a="1"/>
  <c r="K1818" i="6" s="1"/>
  <c r="L1818" i="6" s="1"/>
  <c r="K1817" i="6" a="1"/>
  <c r="K1817" i="6" s="1"/>
  <c r="L1817" i="6" s="1"/>
  <c r="K1816" i="6" a="1"/>
  <c r="K1816" i="6" s="1"/>
  <c r="L1816" i="6" s="1"/>
  <c r="K1786" i="6" a="1"/>
  <c r="K1786" i="6" s="1"/>
  <c r="L1786" i="6" s="1"/>
  <c r="K1759" i="6" a="1"/>
  <c r="K1759" i="6" s="1"/>
  <c r="L1759" i="6" s="1"/>
  <c r="K1758" i="6" a="1"/>
  <c r="K1758" i="6" s="1"/>
  <c r="L1758" i="6" s="1"/>
  <c r="K1757" i="6" a="1"/>
  <c r="K1757" i="6" s="1"/>
  <c r="L1757" i="6" s="1"/>
  <c r="K1756" i="6" a="1"/>
  <c r="K1756" i="6" s="1"/>
  <c r="L1756" i="6" s="1"/>
  <c r="K1755" i="6" a="1"/>
  <c r="K1755" i="6" s="1"/>
  <c r="L1755" i="6" s="1"/>
  <c r="K1754" i="6" a="1"/>
  <c r="K1754" i="6" s="1"/>
  <c r="L1754" i="6" s="1"/>
  <c r="K1730" i="6" a="1"/>
  <c r="K1730" i="6" s="1"/>
  <c r="L1730" i="6" s="1"/>
  <c r="K1725" i="6" a="1"/>
  <c r="K1725" i="6" s="1"/>
  <c r="L1725" i="6" s="1"/>
  <c r="K1719" i="6" a="1"/>
  <c r="K1719" i="6" s="1"/>
  <c r="L1719" i="6" s="1"/>
  <c r="K1718" i="6" a="1"/>
  <c r="K1718" i="6" s="1"/>
  <c r="L1718" i="6" s="1"/>
  <c r="K1717" i="6" a="1"/>
  <c r="K1717" i="6" s="1"/>
  <c r="L1717" i="6" s="1"/>
  <c r="K1716" i="6" a="1"/>
  <c r="K1716" i="6" s="1"/>
  <c r="L1716" i="6" s="1"/>
  <c r="K1715" i="6" a="1"/>
  <c r="K1715" i="6" s="1"/>
  <c r="L1715" i="6" s="1"/>
  <c r="K1714" i="6" a="1"/>
  <c r="K1714" i="6" s="1"/>
  <c r="L1714" i="6" s="1"/>
  <c r="K1713" i="6" a="1"/>
  <c r="K1713" i="6" s="1"/>
  <c r="L1713" i="6" s="1"/>
  <c r="K1683" i="6" a="1"/>
  <c r="K1683" i="6" s="1"/>
  <c r="L1683" i="6" s="1"/>
  <c r="K1682" i="6" a="1"/>
  <c r="K1682" i="6" s="1"/>
  <c r="L1682" i="6" s="1"/>
  <c r="K1681" i="6" a="1"/>
  <c r="K1681" i="6" s="1"/>
  <c r="L1681" i="6" s="1"/>
  <c r="K1680" i="6" a="1"/>
  <c r="K1680" i="6" s="1"/>
  <c r="L1680" i="6" s="1"/>
  <c r="K1664" i="6" a="1"/>
  <c r="K1664" i="6" s="1"/>
  <c r="L1664" i="6" s="1"/>
  <c r="K1663" i="6" a="1"/>
  <c r="K1663" i="6" s="1"/>
  <c r="L1663" i="6" s="1"/>
  <c r="K1658" i="6" a="1"/>
  <c r="K1658" i="6" s="1"/>
  <c r="L1658" i="6" s="1"/>
  <c r="K1625" i="6" a="1"/>
  <c r="K1625" i="6" s="1"/>
  <c r="L1625" i="6" s="1"/>
  <c r="K1624" i="6" a="1"/>
  <c r="K1624" i="6" s="1"/>
  <c r="L1624" i="6" s="1"/>
  <c r="K1607" i="6" a="1"/>
  <c r="K1607" i="6" s="1"/>
  <c r="L1607" i="6" s="1"/>
  <c r="K1606" i="6" a="1"/>
  <c r="K1606" i="6" s="1"/>
  <c r="L1606" i="6" s="1"/>
  <c r="K1605" i="6" a="1"/>
  <c r="K1605" i="6" s="1"/>
  <c r="L1605" i="6" s="1"/>
  <c r="K1604" i="6" a="1"/>
  <c r="K1604" i="6" s="1"/>
  <c r="L1604" i="6" s="1"/>
  <c r="K1603" i="6" a="1"/>
  <c r="K1603" i="6" s="1"/>
  <c r="L1603" i="6" s="1"/>
  <c r="K1585" i="6" a="1"/>
  <c r="K1585" i="6" s="1"/>
  <c r="L1585" i="6" s="1"/>
  <c r="K1584" i="6" a="1"/>
  <c r="K1584" i="6" s="1"/>
  <c r="L1584" i="6" s="1"/>
  <c r="K1583" i="6" a="1"/>
  <c r="K1583" i="6" s="1"/>
  <c r="L1583" i="6" s="1"/>
  <c r="K1582" i="6" a="1"/>
  <c r="K1582" i="6" s="1"/>
  <c r="L1582" i="6" s="1"/>
  <c r="K1581" i="6" a="1"/>
  <c r="K1581" i="6" s="1"/>
  <c r="L1581" i="6" s="1"/>
  <c r="K1580" i="6" a="1"/>
  <c r="K1580" i="6" s="1"/>
  <c r="L1580" i="6" s="1"/>
  <c r="K1579" i="6" a="1"/>
  <c r="K1579" i="6" s="1"/>
  <c r="L1579" i="6" s="1"/>
  <c r="K1569" i="6" a="1"/>
  <c r="K1569" i="6" s="1"/>
  <c r="L1569" i="6" s="1"/>
  <c r="K1535" i="6" a="1"/>
  <c r="K1535" i="6" s="1"/>
  <c r="L1535" i="6" s="1"/>
  <c r="K1534" i="6" a="1"/>
  <c r="K1534" i="6" s="1"/>
  <c r="L1534" i="6" s="1"/>
  <c r="K1533" i="6" a="1"/>
  <c r="K1533" i="6" s="1"/>
  <c r="L1533" i="6" s="1"/>
  <c r="K1532" i="6" a="1"/>
  <c r="K1532" i="6" s="1"/>
  <c r="L1532" i="6" s="1"/>
  <c r="K1531" i="6" a="1"/>
  <c r="K1531" i="6" s="1"/>
  <c r="L1531" i="6" s="1"/>
  <c r="K1529" i="6" a="1"/>
  <c r="K1529" i="6" s="1"/>
  <c r="L1529" i="6" s="1"/>
  <c r="K1528" i="6" a="1"/>
  <c r="K1528" i="6" s="1"/>
  <c r="L1528" i="6" s="1"/>
  <c r="K1527" i="6" a="1"/>
  <c r="K1527" i="6" s="1"/>
  <c r="L1527" i="6" s="1"/>
  <c r="K1526" i="6" a="1"/>
  <c r="K1526" i="6" s="1"/>
  <c r="L1526" i="6" s="1"/>
  <c r="K1525" i="6" a="1"/>
  <c r="K1525" i="6" s="1"/>
  <c r="L1525" i="6" s="1"/>
  <c r="K1524" i="6" a="1"/>
  <c r="K1524" i="6" s="1"/>
  <c r="L1524" i="6" s="1"/>
  <c r="K1500" i="6" a="1"/>
  <c r="K1500" i="6" s="1"/>
  <c r="L1500" i="6" s="1"/>
  <c r="K1499" i="6" a="1"/>
  <c r="K1499" i="6" s="1"/>
  <c r="L1499" i="6" s="1"/>
  <c r="K1498" i="6" a="1"/>
  <c r="K1498" i="6" s="1"/>
  <c r="L1498" i="6" s="1"/>
  <c r="K1456" i="6" a="1"/>
  <c r="K1456" i="6" s="1"/>
  <c r="L1456" i="6" s="1"/>
  <c r="K1453" i="6" a="1"/>
  <c r="K1453" i="6" s="1"/>
  <c r="L1453" i="6" s="1"/>
  <c r="K1424" i="6" a="1"/>
  <c r="K1424" i="6" s="1"/>
  <c r="L1424" i="6" s="1"/>
  <c r="K1976" i="6" a="1"/>
  <c r="K1976" i="6" s="1"/>
  <c r="L1976" i="6" s="1"/>
  <c r="K1975" i="6" a="1"/>
  <c r="K1975" i="6" s="1"/>
  <c r="L1975" i="6" s="1"/>
  <c r="K1974" i="6" a="1"/>
  <c r="K1974" i="6" s="1"/>
  <c r="L1974" i="6" s="1"/>
  <c r="K1950" i="6" a="1"/>
  <c r="K1950" i="6" s="1"/>
  <c r="L1950" i="6" s="1"/>
  <c r="K1945" i="6" a="1"/>
  <c r="K1945" i="6" s="1"/>
  <c r="L1945" i="6" s="1"/>
  <c r="K1912" i="6" a="1"/>
  <c r="K1912" i="6" s="1"/>
  <c r="L1912" i="6" s="1"/>
  <c r="K1911" i="6" a="1"/>
  <c r="K1911" i="6" s="1"/>
  <c r="L1911" i="6" s="1"/>
  <c r="K1910" i="6" a="1"/>
  <c r="K1910" i="6" s="1"/>
  <c r="L1910" i="6" s="1"/>
  <c r="K1602" i="6" a="1"/>
  <c r="K1602" i="6" s="1"/>
  <c r="L1602" i="6" s="1"/>
  <c r="K1530" i="6" a="1"/>
  <c r="K1530" i="6" s="1"/>
  <c r="L1530" i="6" s="1"/>
  <c r="K1523" i="6" a="1"/>
  <c r="K1523" i="6" s="1"/>
  <c r="L1523" i="6" s="1"/>
  <c r="K1497" i="6" a="1"/>
  <c r="K1497" i="6" s="1"/>
  <c r="L1497" i="6" s="1"/>
  <c r="K1496" i="6" a="1"/>
  <c r="K1496" i="6" s="1"/>
  <c r="L1496" i="6" s="1"/>
  <c r="K1423" i="6" a="1"/>
  <c r="K1423" i="6" s="1"/>
  <c r="L1423" i="6" s="1"/>
  <c r="K1422" i="6" a="1"/>
  <c r="K1422" i="6" s="1"/>
  <c r="L1422" i="6" s="1"/>
  <c r="K1421" i="6" a="1"/>
  <c r="K1421" i="6" s="1"/>
  <c r="L1421" i="6" s="1"/>
  <c r="K1343" i="6" a="1"/>
  <c r="K1343" i="6" s="1"/>
  <c r="L1343" i="6" s="1"/>
  <c r="K1337" i="6" a="1"/>
  <c r="K1337" i="6" s="1"/>
  <c r="L1337" i="6" s="1"/>
  <c r="K1336" i="6" a="1"/>
  <c r="K1336" i="6" s="1"/>
  <c r="L1336" i="6" s="1"/>
  <c r="K1335" i="6" a="1"/>
  <c r="K1335" i="6" s="1"/>
  <c r="L1335" i="6" s="1"/>
  <c r="K1287" i="6" a="1"/>
  <c r="K1287" i="6" s="1"/>
  <c r="L1287" i="6" s="1"/>
  <c r="K1284" i="6" a="1"/>
  <c r="K1284" i="6" s="1"/>
  <c r="L1284" i="6" s="1"/>
  <c r="K1248" i="6" a="1"/>
  <c r="K1248" i="6" s="1"/>
  <c r="L1248" i="6" s="1"/>
  <c r="K1232" i="6" a="1"/>
  <c r="K1232" i="6" s="1"/>
  <c r="L1232" i="6" s="1"/>
  <c r="K1230" i="6" a="1"/>
  <c r="K1230" i="6" s="1"/>
  <c r="L1230" i="6" s="1"/>
  <c r="O1230" i="6" s="1"/>
  <c r="K1229" i="6" a="1"/>
  <c r="K1229" i="6" s="1"/>
  <c r="L1229" i="6" s="1"/>
  <c r="K1228" i="6" a="1"/>
  <c r="K1228" i="6" s="1"/>
  <c r="L1228" i="6" s="1"/>
  <c r="K1227" i="6" a="1"/>
  <c r="K1227" i="6" s="1"/>
  <c r="L1227" i="6" s="1"/>
  <c r="K1226" i="6" a="1"/>
  <c r="K1226" i="6" s="1"/>
  <c r="L1226" i="6" s="1"/>
  <c r="K1225" i="6" a="1"/>
  <c r="K1225" i="6" s="1"/>
  <c r="L1225" i="6" s="1"/>
  <c r="M1225" i="6" s="1"/>
  <c r="P1225" i="6" s="1"/>
  <c r="K1203" i="6" a="1"/>
  <c r="K1203" i="6" s="1"/>
  <c r="L1203" i="6" s="1"/>
  <c r="O1203" i="6" s="1"/>
  <c r="K1202" i="6" a="1"/>
  <c r="K1202" i="6" s="1"/>
  <c r="L1202" i="6" s="1"/>
  <c r="M1202" i="6" s="1"/>
  <c r="P1202" i="6" s="1"/>
  <c r="K1201" i="6" a="1"/>
  <c r="K1201" i="6" s="1"/>
  <c r="L1201" i="6" s="1"/>
  <c r="K1200" i="6" a="1"/>
  <c r="K1200" i="6" s="1"/>
  <c r="L1200" i="6" s="1"/>
  <c r="K1199" i="6" a="1"/>
  <c r="K1199" i="6" s="1"/>
  <c r="L1199" i="6" s="1"/>
  <c r="K1198" i="6" a="1"/>
  <c r="K1198" i="6" s="1"/>
  <c r="L1198" i="6" s="1"/>
  <c r="K1197" i="6" a="1"/>
  <c r="K1197" i="6" s="1"/>
  <c r="L1197" i="6" s="1"/>
  <c r="M1197" i="6" s="1"/>
  <c r="P1197" i="6" s="1"/>
  <c r="K1196" i="6" a="1"/>
  <c r="K1196" i="6" s="1"/>
  <c r="L1196" i="6" s="1"/>
  <c r="O1196" i="6" s="1"/>
  <c r="K1195" i="6" a="1"/>
  <c r="K1195" i="6" s="1"/>
  <c r="L1195" i="6" s="1"/>
  <c r="O1195" i="6" s="1"/>
  <c r="K1194" i="6" a="1"/>
  <c r="K1194" i="6" s="1"/>
  <c r="L1194" i="6" s="1"/>
  <c r="K1193" i="6" a="1"/>
  <c r="K1193" i="6" s="1"/>
  <c r="L1193" i="6" s="1"/>
  <c r="K1192" i="6" a="1"/>
  <c r="K1192" i="6" s="1"/>
  <c r="L1192" i="6" s="1"/>
  <c r="K1191" i="6" a="1"/>
  <c r="K1191" i="6" s="1"/>
  <c r="L1191" i="6" s="1"/>
  <c r="K1190" i="6" a="1"/>
  <c r="K1190" i="6" s="1"/>
  <c r="L1190" i="6" s="1"/>
  <c r="K1189" i="6" a="1"/>
  <c r="K1189" i="6" s="1"/>
  <c r="L1189" i="6" s="1"/>
  <c r="K1188" i="6" a="1"/>
  <c r="K1188" i="6" s="1"/>
  <c r="L1188" i="6" s="1"/>
  <c r="K1187" i="6" a="1"/>
  <c r="K1187" i="6" s="1"/>
  <c r="L1187" i="6" s="1"/>
  <c r="K1186" i="6" a="1"/>
  <c r="K1186" i="6" s="1"/>
  <c r="L1186" i="6" s="1"/>
  <c r="K979" i="6" a="1"/>
  <c r="K979" i="6" s="1"/>
  <c r="L979" i="6" s="1"/>
  <c r="K977" i="6" a="1"/>
  <c r="K977" i="6" s="1"/>
  <c r="L977" i="6" s="1"/>
  <c r="K976" i="6" a="1"/>
  <c r="K976" i="6" s="1"/>
  <c r="L976" i="6" s="1"/>
  <c r="K975" i="6" a="1"/>
  <c r="K975" i="6" s="1"/>
  <c r="L975" i="6" s="1"/>
  <c r="K974" i="6" a="1"/>
  <c r="K974" i="6" s="1"/>
  <c r="L974" i="6" s="1"/>
  <c r="K973" i="6" a="1"/>
  <c r="K973" i="6" s="1"/>
  <c r="L973" i="6" s="1"/>
  <c r="K972" i="6" a="1"/>
  <c r="K972" i="6" s="1"/>
  <c r="L972" i="6" s="1"/>
  <c r="K971" i="6" a="1"/>
  <c r="K971" i="6" s="1"/>
  <c r="L971" i="6" s="1"/>
  <c r="K968" i="6" a="1"/>
  <c r="K968" i="6" s="1"/>
  <c r="L968" i="6" s="1"/>
  <c r="K967" i="6" a="1"/>
  <c r="K967" i="6" s="1"/>
  <c r="L967" i="6" s="1"/>
  <c r="K966" i="6" a="1"/>
  <c r="K966" i="6" s="1"/>
  <c r="L966" i="6" s="1"/>
  <c r="K965" i="6" a="1"/>
  <c r="K965" i="6" s="1"/>
  <c r="L965" i="6" s="1"/>
  <c r="K964" i="6" a="1"/>
  <c r="K964" i="6" s="1"/>
  <c r="L964" i="6" s="1"/>
  <c r="K907" i="6" a="1"/>
  <c r="K907" i="6" s="1"/>
  <c r="L907" i="6" s="1"/>
  <c r="K857" i="6" a="1"/>
  <c r="K857" i="6" s="1"/>
  <c r="L857" i="6" s="1"/>
  <c r="K856" i="6" a="1"/>
  <c r="K856" i="6" s="1"/>
  <c r="L856" i="6" s="1"/>
  <c r="K855" i="6" a="1"/>
  <c r="K855" i="6" s="1"/>
  <c r="L855" i="6" s="1"/>
  <c r="K854" i="6" a="1"/>
  <c r="K854" i="6" s="1"/>
  <c r="L854" i="6" s="1"/>
  <c r="K853" i="6" a="1"/>
  <c r="K853" i="6" s="1"/>
  <c r="L853" i="6" s="1"/>
  <c r="K852" i="6" a="1"/>
  <c r="K852" i="6" s="1"/>
  <c r="L852" i="6" s="1"/>
  <c r="K797" i="6" a="1"/>
  <c r="K797" i="6" s="1"/>
  <c r="L797" i="6" s="1"/>
  <c r="K796" i="6" a="1"/>
  <c r="K796" i="6" s="1"/>
  <c r="L796" i="6" s="1"/>
  <c r="K795" i="6" a="1"/>
  <c r="K795" i="6" s="1"/>
  <c r="L795" i="6" s="1"/>
  <c r="K719" i="6" a="1"/>
  <c r="K719" i="6" s="1"/>
  <c r="L719" i="6" s="1"/>
  <c r="M719" i="6" s="1"/>
  <c r="P719" i="6" s="1"/>
  <c r="K667" i="6" a="1"/>
  <c r="K667" i="6" s="1"/>
  <c r="L667" i="6" s="1"/>
  <c r="K651" i="6" a="1"/>
  <c r="K651" i="6" s="1"/>
  <c r="L651" i="6" s="1"/>
  <c r="K647" i="6" a="1"/>
  <c r="K647" i="6" s="1"/>
  <c r="L647" i="6" s="1"/>
  <c r="K646" i="6" a="1"/>
  <c r="K646" i="6" s="1"/>
  <c r="L646" i="6" s="1"/>
  <c r="K645" i="6" a="1"/>
  <c r="K645" i="6" s="1"/>
  <c r="L645" i="6" s="1"/>
  <c r="K644" i="6" a="1"/>
  <c r="K644" i="6" s="1"/>
  <c r="L644" i="6" s="1"/>
  <c r="K643" i="6" a="1"/>
  <c r="K643" i="6" s="1"/>
  <c r="L643" i="6" s="1"/>
  <c r="K642" i="6" a="1"/>
  <c r="K642" i="6" s="1"/>
  <c r="L642" i="6" s="1"/>
  <c r="M642" i="6" s="1"/>
  <c r="P642" i="6" s="1"/>
  <c r="K641" i="6" a="1"/>
  <c r="K641" i="6" s="1"/>
  <c r="L641" i="6" s="1"/>
  <c r="K640" i="6" a="1"/>
  <c r="K640" i="6" s="1"/>
  <c r="L640" i="6" s="1"/>
  <c r="K639" i="6" a="1"/>
  <c r="K639" i="6" s="1"/>
  <c r="L639" i="6" s="1"/>
  <c r="K638" i="6" a="1"/>
  <c r="K638" i="6" s="1"/>
  <c r="L638" i="6" s="1"/>
  <c r="K637" i="6" a="1"/>
  <c r="K637" i="6" s="1"/>
  <c r="L637" i="6" s="1"/>
  <c r="K636" i="6" a="1"/>
  <c r="K636" i="6" s="1"/>
  <c r="L636" i="6" s="1"/>
  <c r="K633" i="6" a="1"/>
  <c r="K633" i="6" s="1"/>
  <c r="L633" i="6" s="1"/>
  <c r="K626" i="6" a="1"/>
  <c r="K626" i="6" s="1"/>
  <c r="L626" i="6" s="1"/>
  <c r="M626" i="6" s="1"/>
  <c r="P626" i="6" s="1"/>
  <c r="K625" i="6" a="1"/>
  <c r="K625" i="6" s="1"/>
  <c r="L625" i="6" s="1"/>
  <c r="K624" i="6" a="1"/>
  <c r="K624" i="6" s="1"/>
  <c r="L624" i="6" s="1"/>
  <c r="K576" i="6" a="1"/>
  <c r="K576" i="6" s="1"/>
  <c r="L576" i="6" s="1"/>
  <c r="K575" i="6" a="1"/>
  <c r="K575" i="6" s="1"/>
  <c r="L575" i="6" s="1"/>
  <c r="K561" i="6" a="1"/>
  <c r="K561" i="6" s="1"/>
  <c r="L561" i="6" s="1"/>
  <c r="K560" i="6" a="1"/>
  <c r="K560" i="6" s="1"/>
  <c r="L560" i="6" s="1"/>
  <c r="K555" i="6" a="1"/>
  <c r="K555" i="6" s="1"/>
  <c r="L555" i="6" s="1"/>
  <c r="K554" i="6" a="1"/>
  <c r="K554" i="6" s="1"/>
  <c r="L554" i="6" s="1"/>
  <c r="M554" i="6" s="1"/>
  <c r="P554" i="6" s="1"/>
  <c r="K553" i="6" a="1"/>
  <c r="K553" i="6" s="1"/>
  <c r="L553" i="6" s="1"/>
  <c r="K552" i="6" a="1"/>
  <c r="K552" i="6" s="1"/>
  <c r="L552" i="6" s="1"/>
  <c r="K551" i="6" a="1"/>
  <c r="K551" i="6" s="1"/>
  <c r="L551" i="6" s="1"/>
  <c r="K550" i="6" a="1"/>
  <c r="K550" i="6" s="1"/>
  <c r="L550" i="6" s="1"/>
  <c r="K549" i="6" a="1"/>
  <c r="K549" i="6" s="1"/>
  <c r="L549" i="6" s="1"/>
  <c r="K548" i="6" a="1"/>
  <c r="K548" i="6" s="1"/>
  <c r="L548" i="6" s="1"/>
  <c r="K547" i="6" a="1"/>
  <c r="K547" i="6" s="1"/>
  <c r="L547" i="6" s="1"/>
  <c r="K546" i="6" a="1"/>
  <c r="K546" i="6" s="1"/>
  <c r="L546" i="6" s="1"/>
  <c r="M546" i="6" s="1"/>
  <c r="P546" i="6" s="1"/>
  <c r="K545" i="6" a="1"/>
  <c r="K545" i="6" s="1"/>
  <c r="L545" i="6" s="1"/>
  <c r="K544" i="6" a="1"/>
  <c r="K544" i="6" s="1"/>
  <c r="L544" i="6" s="1"/>
  <c r="K536" i="6" a="1"/>
  <c r="K536" i="6" s="1"/>
  <c r="L536" i="6" s="1"/>
  <c r="K535" i="6" a="1"/>
  <c r="K535" i="6" s="1"/>
  <c r="L535" i="6" s="1"/>
  <c r="K534" i="6" a="1"/>
  <c r="K534" i="6" s="1"/>
  <c r="L534" i="6" s="1"/>
  <c r="K522" i="6" a="1"/>
  <c r="K522" i="6" s="1"/>
  <c r="L522" i="6" s="1"/>
  <c r="K521" i="6" a="1"/>
  <c r="K521" i="6" s="1"/>
  <c r="L521" i="6" s="1"/>
  <c r="K520" i="6" a="1"/>
  <c r="K520" i="6" s="1"/>
  <c r="L520" i="6" s="1"/>
  <c r="M520" i="6" s="1"/>
  <c r="P520" i="6" s="1"/>
  <c r="K519" i="6" a="1"/>
  <c r="K519" i="6" s="1"/>
  <c r="L519" i="6" s="1"/>
  <c r="K518" i="6" a="1"/>
  <c r="K518" i="6" s="1"/>
  <c r="L518" i="6" s="1"/>
  <c r="K517" i="6" a="1"/>
  <c r="K517" i="6" s="1"/>
  <c r="L517" i="6" s="1"/>
  <c r="K516" i="6" a="1"/>
  <c r="K516" i="6" s="1"/>
  <c r="L516" i="6" s="1"/>
  <c r="K515" i="6" a="1"/>
  <c r="K515" i="6" s="1"/>
  <c r="L515" i="6" s="1"/>
  <c r="K514" i="6" a="1"/>
  <c r="K514" i="6" s="1"/>
  <c r="L514" i="6" s="1"/>
  <c r="K444" i="6" a="1"/>
  <c r="K444" i="6" s="1"/>
  <c r="L444" i="6" s="1"/>
  <c r="K443" i="6" a="1"/>
  <c r="K443" i="6" s="1"/>
  <c r="L443" i="6" s="1"/>
  <c r="M443" i="6" s="1"/>
  <c r="P443" i="6" s="1"/>
  <c r="K440" i="6" a="1"/>
  <c r="K440" i="6" s="1"/>
  <c r="L440" i="6" s="1"/>
  <c r="K431" i="6" a="1"/>
  <c r="K431" i="6" s="1"/>
  <c r="L431" i="6" s="1"/>
  <c r="K417" i="6" a="1"/>
  <c r="K417" i="6" s="1"/>
  <c r="L417" i="6" s="1"/>
  <c r="K413" i="6" a="1"/>
  <c r="K413" i="6" s="1"/>
  <c r="L413" i="6" s="1"/>
  <c r="K411" i="6" a="1"/>
  <c r="K411" i="6" s="1"/>
  <c r="L411" i="6" s="1"/>
  <c r="K410" i="6" a="1"/>
  <c r="K410" i="6" s="1"/>
  <c r="L410" i="6" s="1"/>
  <c r="K409" i="6" a="1"/>
  <c r="K409" i="6" s="1"/>
  <c r="L409" i="6" s="1"/>
  <c r="K408" i="6" a="1"/>
  <c r="K408" i="6" s="1"/>
  <c r="L408" i="6" s="1"/>
  <c r="M408" i="6" s="1"/>
  <c r="P408" i="6" s="1"/>
  <c r="K407" i="6" a="1"/>
  <c r="K407" i="6" s="1"/>
  <c r="L407" i="6" s="1"/>
  <c r="K403" i="6" a="1"/>
  <c r="K403" i="6" s="1"/>
  <c r="L403" i="6" s="1"/>
  <c r="K402" i="6" a="1"/>
  <c r="K402" i="6" s="1"/>
  <c r="L402" i="6" s="1"/>
  <c r="K397" i="6" a="1"/>
  <c r="K397" i="6" s="1"/>
  <c r="L397" i="6" s="1"/>
  <c r="K395" i="6" a="1"/>
  <c r="K395" i="6" s="1"/>
  <c r="L395" i="6" s="1"/>
  <c r="K392" i="6" a="1"/>
  <c r="K392" i="6" s="1"/>
  <c r="L392" i="6" s="1"/>
  <c r="K391" i="6" a="1"/>
  <c r="K391" i="6" s="1"/>
  <c r="L391" i="6" s="1"/>
  <c r="O391" i="6" s="1"/>
  <c r="K390" i="6" a="1"/>
  <c r="K390" i="6" s="1"/>
  <c r="L390" i="6" s="1"/>
  <c r="K389" i="6" a="1"/>
  <c r="K389" i="6" s="1"/>
  <c r="L389" i="6" s="1"/>
  <c r="K388" i="6" a="1"/>
  <c r="K388" i="6" s="1"/>
  <c r="L388" i="6" s="1"/>
  <c r="K387" i="6" a="1"/>
  <c r="K387" i="6" s="1"/>
  <c r="L387" i="6" s="1"/>
  <c r="K386" i="6" a="1"/>
  <c r="K386" i="6" s="1"/>
  <c r="L386" i="6" s="1"/>
  <c r="K385" i="6" a="1"/>
  <c r="K385" i="6" s="1"/>
  <c r="L385" i="6" s="1"/>
  <c r="K384" i="6" a="1"/>
  <c r="K384" i="6" s="1"/>
  <c r="L384" i="6" s="1"/>
  <c r="M384" i="6" s="1"/>
  <c r="P384" i="6" s="1"/>
  <c r="K383" i="6" a="1"/>
  <c r="K383" i="6" s="1"/>
  <c r="L383" i="6" s="1"/>
  <c r="O383" i="6" s="1"/>
  <c r="K382" i="6" a="1"/>
  <c r="K382" i="6" s="1"/>
  <c r="L382" i="6" s="1"/>
  <c r="K365" i="6" a="1"/>
  <c r="K365" i="6" s="1"/>
  <c r="L365" i="6" s="1"/>
  <c r="K268" i="6" a="1"/>
  <c r="K268" i="6" s="1"/>
  <c r="L268" i="6" s="1"/>
  <c r="K267" i="6" a="1"/>
  <c r="K267" i="6" s="1"/>
  <c r="L267" i="6" s="1"/>
  <c r="K248" i="6" a="1"/>
  <c r="K248" i="6" s="1"/>
  <c r="L248" i="6" s="1"/>
  <c r="K247" i="6" a="1"/>
  <c r="K247" i="6" s="1"/>
  <c r="L247" i="6" s="1"/>
  <c r="M247" i="6" s="1"/>
  <c r="P247" i="6" s="1"/>
  <c r="K229" i="6" a="1"/>
  <c r="K229" i="6" s="1"/>
  <c r="L229" i="6" s="1"/>
  <c r="K226" i="6" a="1"/>
  <c r="K226" i="6" s="1"/>
  <c r="L226" i="6" s="1"/>
  <c r="O226" i="6" s="1"/>
  <c r="K225" i="6" a="1"/>
  <c r="K225" i="6" s="1"/>
  <c r="L225" i="6" s="1"/>
  <c r="O225" i="6" s="1"/>
  <c r="K223" i="6" a="1"/>
  <c r="K223" i="6" s="1"/>
  <c r="L223" i="6" s="1"/>
  <c r="K212" i="6" a="1"/>
  <c r="K212" i="6" s="1"/>
  <c r="L212" i="6" s="1"/>
  <c r="K211" i="6" a="1"/>
  <c r="K211" i="6" s="1"/>
  <c r="L211" i="6" s="1"/>
  <c r="M211" i="6" s="1"/>
  <c r="P211" i="6" s="1"/>
  <c r="K206" i="6" a="1"/>
  <c r="K206" i="6" s="1"/>
  <c r="L206" i="6" s="1"/>
  <c r="O206" i="6" s="1"/>
  <c r="K205" i="6" a="1"/>
  <c r="K205" i="6" s="1"/>
  <c r="L205" i="6" s="1"/>
  <c r="K193" i="6" a="1"/>
  <c r="K193" i="6" s="1"/>
  <c r="L193" i="6" s="1"/>
  <c r="O193" i="6" s="1"/>
  <c r="K186" i="6" a="1"/>
  <c r="K186" i="6" s="1"/>
  <c r="L186" i="6" s="1"/>
  <c r="K185" i="6" a="1"/>
  <c r="K185" i="6" s="1"/>
  <c r="L185" i="6" s="1"/>
  <c r="K167" i="6" a="1"/>
  <c r="K167" i="6" s="1"/>
  <c r="L167" i="6" s="1"/>
  <c r="K153" i="6" a="1"/>
  <c r="K153" i="6" s="1"/>
  <c r="L153" i="6" s="1"/>
  <c r="K151" i="6" a="1"/>
  <c r="K151" i="6" s="1"/>
  <c r="L151" i="6" s="1"/>
  <c r="K150" i="6" a="1"/>
  <c r="K150" i="6" s="1"/>
  <c r="L150" i="6" s="1"/>
  <c r="K144" i="6" a="1"/>
  <c r="K144" i="6" s="1"/>
  <c r="L144" i="6" s="1"/>
  <c r="K143" i="6" a="1"/>
  <c r="K143" i="6" s="1"/>
  <c r="L143" i="6" s="1"/>
  <c r="O143" i="6" s="1"/>
  <c r="K137" i="6" a="1"/>
  <c r="K137" i="6" s="1"/>
  <c r="L137" i="6" s="1"/>
  <c r="K79" i="6" a="1"/>
  <c r="K79" i="6" s="1"/>
  <c r="L79" i="6" s="1"/>
  <c r="K78" i="6" a="1"/>
  <c r="K78" i="6" s="1"/>
  <c r="L78" i="6" s="1"/>
  <c r="K77" i="6" a="1"/>
  <c r="K77" i="6" s="1"/>
  <c r="L77" i="6" s="1"/>
  <c r="K74" i="6" a="1"/>
  <c r="K74" i="6" s="1"/>
  <c r="L74" i="6" s="1"/>
  <c r="K46" i="6" a="1"/>
  <c r="K46" i="6" s="1"/>
  <c r="L46" i="6" s="1"/>
  <c r="K45" i="6" a="1"/>
  <c r="K45" i="6" s="1"/>
  <c r="L45" i="6" s="1"/>
  <c r="K40" i="6" a="1"/>
  <c r="K40" i="6" s="1"/>
  <c r="L40" i="6" s="1"/>
  <c r="O40" i="6" s="1"/>
  <c r="K17" i="6" a="1"/>
  <c r="K17" i="6" s="1"/>
  <c r="L17" i="6" s="1"/>
  <c r="K4" i="6" a="1"/>
  <c r="K4" i="6" s="1"/>
  <c r="L4" i="6" s="1"/>
  <c r="K1522" i="6" a="1"/>
  <c r="K1522" i="6" s="1"/>
  <c r="L1522" i="6" s="1"/>
  <c r="K1972" i="6" a="1"/>
  <c r="K1972" i="6" s="1"/>
  <c r="L1972" i="6" s="1"/>
  <c r="K1949" i="6" a="1"/>
  <c r="K1949" i="6" s="1"/>
  <c r="L1949" i="6" s="1"/>
  <c r="K1943" i="6" a="1"/>
  <c r="K1943" i="6" s="1"/>
  <c r="L1943" i="6" s="1"/>
  <c r="K1923" i="6" a="1"/>
  <c r="K1923" i="6" s="1"/>
  <c r="L1923" i="6" s="1"/>
  <c r="O1923" i="6" s="1"/>
  <c r="K1930" i="6" a="1"/>
  <c r="K1930" i="6" s="1"/>
  <c r="L1930" i="6" s="1"/>
  <c r="K1854" i="6" a="1"/>
  <c r="K1854" i="6" s="1"/>
  <c r="L1854" i="6" s="1"/>
  <c r="K1833" i="6" a="1"/>
  <c r="K1833" i="6" s="1"/>
  <c r="L1833" i="6" s="1"/>
  <c r="K1815" i="6" a="1"/>
  <c r="K1815" i="6" s="1"/>
  <c r="L1815" i="6" s="1"/>
  <c r="K1790" i="6" a="1"/>
  <c r="K1790" i="6" s="1"/>
  <c r="L1790" i="6" s="1"/>
  <c r="K1783" i="6" a="1"/>
  <c r="K1783" i="6" s="1"/>
  <c r="L1783" i="6" s="1"/>
  <c r="K1750" i="6" a="1"/>
  <c r="K1750" i="6" s="1"/>
  <c r="L1750" i="6" s="1"/>
  <c r="K1741" i="6" a="1"/>
  <c r="K1741" i="6" s="1"/>
  <c r="L1741" i="6" s="1"/>
  <c r="O1741" i="6" s="1"/>
  <c r="K1728" i="6" a="1"/>
  <c r="K1728" i="6" s="1"/>
  <c r="L1728" i="6" s="1"/>
  <c r="K1712" i="6" a="1"/>
  <c r="K1712" i="6" s="1"/>
  <c r="L1712" i="6" s="1"/>
  <c r="K1711" i="6" a="1"/>
  <c r="K1711" i="6" s="1"/>
  <c r="L1711" i="6" s="1"/>
  <c r="K1710" i="6" a="1"/>
  <c r="K1710" i="6" s="1"/>
  <c r="L1710" i="6" s="1"/>
  <c r="K1679" i="6" a="1"/>
  <c r="K1679" i="6" s="1"/>
  <c r="L1679" i="6" s="1"/>
  <c r="K1678" i="6" a="1"/>
  <c r="K1678" i="6" s="1"/>
  <c r="L1678" i="6" s="1"/>
  <c r="K1636" i="6" a="1"/>
  <c r="K1636" i="6" s="1"/>
  <c r="L1636" i="6" s="1"/>
  <c r="K1601" i="6" a="1"/>
  <c r="K1601" i="6" s="1"/>
  <c r="L1601" i="6" s="1"/>
  <c r="O1601" i="6" s="1"/>
  <c r="K1592" i="6" a="1"/>
  <c r="K1592" i="6" s="1"/>
  <c r="L1592" i="6" s="1"/>
  <c r="K1568" i="6" a="1"/>
  <c r="K1568" i="6" s="1"/>
  <c r="L1568" i="6" s="1"/>
  <c r="K1562" i="6" a="1"/>
  <c r="K1562" i="6" s="1"/>
  <c r="L1562" i="6" s="1"/>
  <c r="K1554" i="6" a="1"/>
  <c r="K1554" i="6" s="1"/>
  <c r="L1554" i="6" s="1"/>
  <c r="K1553" i="6" a="1"/>
  <c r="K1553" i="6" s="1"/>
  <c r="L1553" i="6" s="1"/>
  <c r="K1544" i="6" a="1"/>
  <c r="K1544" i="6" s="1"/>
  <c r="L1544" i="6" s="1"/>
  <c r="K1519" i="6" a="1"/>
  <c r="K1519" i="6" s="1"/>
  <c r="L1519" i="6" s="1"/>
  <c r="K1508" i="6" a="1"/>
  <c r="K1508" i="6" s="1"/>
  <c r="L1508" i="6" s="1"/>
  <c r="O1508" i="6" s="1"/>
  <c r="K1495" i="6" a="1"/>
  <c r="K1495" i="6" s="1"/>
  <c r="L1495" i="6" s="1"/>
  <c r="K1494" i="6" a="1"/>
  <c r="K1494" i="6" s="1"/>
  <c r="L1494" i="6" s="1"/>
  <c r="K1493" i="6" a="1"/>
  <c r="K1493" i="6" s="1"/>
  <c r="L1493" i="6" s="1"/>
  <c r="K1476" i="6" a="1"/>
  <c r="K1476" i="6" s="1"/>
  <c r="L1476" i="6" s="1"/>
  <c r="K1463" i="6" a="1"/>
  <c r="K1463" i="6" s="1"/>
  <c r="L1463" i="6" s="1"/>
  <c r="K1452" i="6" a="1"/>
  <c r="K1452" i="6" s="1"/>
  <c r="L1452" i="6" s="1"/>
  <c r="K1441" i="6" a="1"/>
  <c r="K1441" i="6" s="1"/>
  <c r="L1441" i="6" s="1"/>
  <c r="K1419" i="6" a="1"/>
  <c r="K1419" i="6" s="1"/>
  <c r="L1419" i="6" s="1"/>
  <c r="O1419" i="6" s="1"/>
  <c r="K1407" i="6" a="1"/>
  <c r="K1407" i="6" s="1"/>
  <c r="L1407" i="6" s="1"/>
  <c r="K1399" i="6" a="1"/>
  <c r="K1399" i="6" s="1"/>
  <c r="L1399" i="6" s="1"/>
  <c r="K1382" i="6" a="1"/>
  <c r="K1382" i="6" s="1"/>
  <c r="L1382" i="6" s="1"/>
  <c r="K1359" i="6" a="1"/>
  <c r="K1359" i="6" s="1"/>
  <c r="L1359" i="6" s="1"/>
  <c r="K1350" i="6" a="1"/>
  <c r="K1350" i="6" s="1"/>
  <c r="L1350" i="6" s="1"/>
  <c r="K1327" i="6" a="1"/>
  <c r="K1327" i="6" s="1"/>
  <c r="L1327" i="6" s="1"/>
  <c r="K1317" i="6" a="1"/>
  <c r="K1317" i="6" s="1"/>
  <c r="L1317" i="6" s="1"/>
  <c r="K1316" i="6" a="1"/>
  <c r="K1316" i="6" s="1"/>
  <c r="L1316" i="6" s="1"/>
  <c r="O1316" i="6" s="1"/>
  <c r="K1311" i="6" a="1"/>
  <c r="K1311" i="6" s="1"/>
  <c r="L1311" i="6" s="1"/>
  <c r="K1294" i="6" a="1"/>
  <c r="K1294" i="6" s="1"/>
  <c r="L1294" i="6" s="1"/>
  <c r="K1283" i="6" a="1"/>
  <c r="K1283" i="6" s="1"/>
  <c r="L1283" i="6" s="1"/>
  <c r="K1275" i="6" a="1"/>
  <c r="K1275" i="6" s="1"/>
  <c r="L1275" i="6" s="1"/>
  <c r="K1274" i="6" a="1"/>
  <c r="K1274" i="6" s="1"/>
  <c r="L1274" i="6" s="1"/>
  <c r="K1256" i="6" a="1"/>
  <c r="K1256" i="6" s="1"/>
  <c r="L1256" i="6" s="1"/>
  <c r="K1241" i="6" a="1"/>
  <c r="K1241" i="6" s="1"/>
  <c r="L1241" i="6" s="1"/>
  <c r="O1241" i="6" s="1"/>
  <c r="K1221" i="6" a="1"/>
  <c r="K1221" i="6" s="1"/>
  <c r="L1221" i="6" s="1"/>
  <c r="K1210" i="6" a="1"/>
  <c r="K1210" i="6" s="1"/>
  <c r="L1210" i="6" s="1"/>
  <c r="K1161" i="6" a="1"/>
  <c r="K1161" i="6" s="1"/>
  <c r="L1161" i="6" s="1"/>
  <c r="K1160" i="6" a="1"/>
  <c r="K1160" i="6" s="1"/>
  <c r="L1160" i="6" s="1"/>
  <c r="K1145" i="6" a="1"/>
  <c r="K1145" i="6" s="1"/>
  <c r="L1145" i="6" s="1"/>
  <c r="K1127" i="6" a="1"/>
  <c r="K1127" i="6" s="1"/>
  <c r="L1127" i="6" s="1"/>
  <c r="K1126" i="6" a="1"/>
  <c r="K1126" i="6" s="1"/>
  <c r="L1126" i="6" s="1"/>
  <c r="M1126" i="6" s="1"/>
  <c r="P1126" i="6" s="1"/>
  <c r="K1116" i="6" a="1"/>
  <c r="K1116" i="6" s="1"/>
  <c r="L1116" i="6" s="1"/>
  <c r="O1116" i="6" s="1"/>
  <c r="K1115" i="6" a="1"/>
  <c r="K1115" i="6" s="1"/>
  <c r="L1115" i="6" s="1"/>
  <c r="K1114" i="6" a="1"/>
  <c r="K1114" i="6" s="1"/>
  <c r="L1114" i="6" s="1"/>
  <c r="K1082" i="6" a="1"/>
  <c r="K1082" i="6" s="1"/>
  <c r="L1082" i="6" s="1"/>
  <c r="K1059" i="6" a="1"/>
  <c r="K1059" i="6" s="1"/>
  <c r="L1059" i="6" s="1"/>
  <c r="K1053" i="6" a="1"/>
  <c r="K1053" i="6" s="1"/>
  <c r="L1053" i="6" s="1"/>
  <c r="K1048" i="6" a="1"/>
  <c r="K1048" i="6" s="1"/>
  <c r="L1048" i="6" s="1"/>
  <c r="K1047" i="6" a="1"/>
  <c r="K1047" i="6" s="1"/>
  <c r="L1047" i="6" s="1"/>
  <c r="K1025" i="6" a="1"/>
  <c r="K1025" i="6" s="1"/>
  <c r="L1025" i="6" s="1"/>
  <c r="O1025" i="6" s="1"/>
  <c r="K1012" i="6" a="1"/>
  <c r="K1012" i="6" s="1"/>
  <c r="L1012" i="6" s="1"/>
  <c r="K991" i="6" a="1"/>
  <c r="K991" i="6" s="1"/>
  <c r="L991" i="6" s="1"/>
  <c r="K987" i="6" a="1"/>
  <c r="K987" i="6" s="1"/>
  <c r="L987" i="6" s="1"/>
  <c r="K963" i="6" a="1"/>
  <c r="K963" i="6" s="1"/>
  <c r="L963" i="6" s="1"/>
  <c r="M963" i="6" s="1"/>
  <c r="P963" i="6" s="1"/>
  <c r="K962" i="6" a="1"/>
  <c r="K962" i="6" s="1"/>
  <c r="L962" i="6" s="1"/>
  <c r="K936" i="6" a="1"/>
  <c r="K936" i="6" s="1"/>
  <c r="L936" i="6" s="1"/>
  <c r="K935" i="6" a="1"/>
  <c r="K935" i="6" s="1"/>
  <c r="L935" i="6" s="1"/>
  <c r="K915" i="6" a="1"/>
  <c r="K915" i="6" s="1"/>
  <c r="L915" i="6" s="1"/>
  <c r="O915" i="6" s="1"/>
  <c r="K913" i="6" a="1"/>
  <c r="K913" i="6" s="1"/>
  <c r="L913" i="6" s="1"/>
  <c r="K791" i="6" a="1"/>
  <c r="K791" i="6" s="1"/>
  <c r="L791" i="6" s="1"/>
  <c r="K766" i="6" a="1"/>
  <c r="K766" i="6" s="1"/>
  <c r="L766" i="6" s="1"/>
  <c r="K714" i="6" a="1"/>
  <c r="K714" i="6" s="1"/>
  <c r="L714" i="6" s="1"/>
  <c r="M714" i="6" s="1"/>
  <c r="P714" i="6" s="1"/>
  <c r="K676" i="6" a="1"/>
  <c r="K676" i="6" s="1"/>
  <c r="L676" i="6" s="1"/>
  <c r="O676" i="6" s="1"/>
  <c r="K619" i="6" a="1"/>
  <c r="K619" i="6" s="1"/>
  <c r="L619" i="6" s="1"/>
  <c r="K583" i="6" a="1"/>
  <c r="K583" i="6" s="1"/>
  <c r="L583" i="6" s="1"/>
  <c r="K572" i="6" a="1"/>
  <c r="K572" i="6" s="1"/>
  <c r="L572" i="6" s="1"/>
  <c r="K511" i="6" a="1"/>
  <c r="K511" i="6" s="1"/>
  <c r="L511" i="6" s="1"/>
  <c r="O511" i="6" s="1"/>
  <c r="K501" i="6" a="1"/>
  <c r="K501" i="6" s="1"/>
  <c r="L501" i="6" s="1"/>
  <c r="M501" i="6" s="1"/>
  <c r="P501" i="6" s="1"/>
  <c r="K492" i="6" a="1"/>
  <c r="K492" i="6" s="1"/>
  <c r="L492" i="6" s="1"/>
  <c r="K489" i="6" a="1"/>
  <c r="K489" i="6" s="1"/>
  <c r="L489" i="6" s="1"/>
  <c r="K483" i="6" a="1"/>
  <c r="K483" i="6" s="1"/>
  <c r="L483" i="6" s="1"/>
  <c r="O483" i="6" s="1"/>
  <c r="K474" i="6" a="1"/>
  <c r="K474" i="6" s="1"/>
  <c r="L474" i="6" s="1"/>
  <c r="M474" i="6" s="1"/>
  <c r="P474" i="6" s="1"/>
  <c r="K473" i="6" a="1"/>
  <c r="K473" i="6" s="1"/>
  <c r="L473" i="6" s="1"/>
  <c r="K463" i="6" a="1"/>
  <c r="K463" i="6" s="1"/>
  <c r="L463" i="6" s="1"/>
  <c r="K451" i="6" a="1"/>
  <c r="K451" i="6" s="1"/>
  <c r="L451" i="6" s="1"/>
  <c r="K438" i="6" a="1"/>
  <c r="K438" i="6" s="1"/>
  <c r="L438" i="6" s="1"/>
  <c r="K361" i="6" a="1"/>
  <c r="K361" i="6" s="1"/>
  <c r="L361" i="6" s="1"/>
  <c r="K340" i="6" a="1"/>
  <c r="K340" i="6" s="1"/>
  <c r="L340" i="6" s="1"/>
  <c r="K307" i="6" a="1"/>
  <c r="K307" i="6" s="1"/>
  <c r="L307" i="6" s="1"/>
  <c r="K275" i="6" a="1"/>
  <c r="K275" i="6" s="1"/>
  <c r="L275" i="6" s="1"/>
  <c r="K274" i="6" a="1"/>
  <c r="K274" i="6" s="1"/>
  <c r="L274" i="6" s="1"/>
  <c r="O274" i="6" s="1"/>
  <c r="K264" i="6" a="1"/>
  <c r="K264" i="6" s="1"/>
  <c r="L264" i="6" s="1"/>
  <c r="K263" i="6" a="1"/>
  <c r="K263" i="6" s="1"/>
  <c r="L263" i="6" s="1"/>
  <c r="K196" i="6" a="1"/>
  <c r="K196" i="6" s="1"/>
  <c r="L196" i="6" s="1"/>
  <c r="O196" i="6" s="1"/>
  <c r="K159" i="6" a="1"/>
  <c r="K159" i="6" s="1"/>
  <c r="L159" i="6" s="1"/>
  <c r="K110" i="6" a="1"/>
  <c r="K110" i="6" s="1"/>
  <c r="L110" i="6" s="1"/>
  <c r="K289" i="6" a="1"/>
  <c r="K289" i="6" s="1"/>
  <c r="L289" i="6" s="1"/>
  <c r="K262" i="6" a="1"/>
  <c r="K262" i="6" s="1"/>
  <c r="L262" i="6" s="1"/>
  <c r="K351" i="6" a="1"/>
  <c r="K351" i="6" s="1"/>
  <c r="L351" i="6" s="1"/>
  <c r="K246" i="6" a="1"/>
  <c r="K246" i="6" s="1"/>
  <c r="L246" i="6" s="1"/>
  <c r="K228" i="6" a="1"/>
  <c r="K228" i="6" s="1"/>
  <c r="L228" i="6" s="1"/>
  <c r="K222" i="6" a="1"/>
  <c r="K222" i="6" s="1"/>
  <c r="L222" i="6" s="1"/>
  <c r="K221" i="6" a="1"/>
  <c r="K221" i="6" s="1"/>
  <c r="L221" i="6" s="1"/>
  <c r="K220" i="6" a="1"/>
  <c r="K220" i="6" s="1"/>
  <c r="L220" i="6" s="1"/>
  <c r="K219" i="6" a="1"/>
  <c r="K219" i="6" s="1"/>
  <c r="L219" i="6" s="1"/>
  <c r="K210" i="6" a="1"/>
  <c r="K210" i="6" s="1"/>
  <c r="L210" i="6" s="1"/>
  <c r="K204" i="6" a="1"/>
  <c r="K204" i="6" s="1"/>
  <c r="L204" i="6" s="1"/>
  <c r="K203" i="6" a="1"/>
  <c r="K203" i="6" s="1"/>
  <c r="L203" i="6" s="1"/>
  <c r="K184" i="6" a="1"/>
  <c r="K184" i="6" s="1"/>
  <c r="L184" i="6" s="1"/>
  <c r="K183" i="6" a="1"/>
  <c r="K183" i="6" s="1"/>
  <c r="L183" i="6" s="1"/>
  <c r="K182" i="6" a="1"/>
  <c r="K182" i="6" s="1"/>
  <c r="L182" i="6" s="1"/>
  <c r="K181" i="6" a="1"/>
  <c r="K181" i="6" s="1"/>
  <c r="L181" i="6" s="1"/>
  <c r="K1929" i="6" a="1"/>
  <c r="K1929" i="6" s="1"/>
  <c r="L1929" i="6" s="1"/>
  <c r="K1903" i="6" a="1"/>
  <c r="K1903" i="6" s="1"/>
  <c r="L1903" i="6" s="1"/>
  <c r="K1740" i="6" a="1"/>
  <c r="K1740" i="6" s="1"/>
  <c r="L1740" i="6" s="1"/>
  <c r="K1600" i="6" a="1"/>
  <c r="K1600" i="6" s="1"/>
  <c r="L1600" i="6" s="1"/>
  <c r="K1462" i="6" a="1"/>
  <c r="K1462" i="6" s="1"/>
  <c r="L1462" i="6" s="1"/>
  <c r="K1346" i="6" a="1"/>
  <c r="K1346" i="6" s="1"/>
  <c r="L1346" i="6" s="1"/>
  <c r="K1251" i="6" a="1"/>
  <c r="K1251" i="6" s="1"/>
  <c r="L1251" i="6" s="1"/>
  <c r="K1240" i="6" a="1"/>
  <c r="K1240" i="6" s="1"/>
  <c r="L1240" i="6" s="1"/>
  <c r="K1125" i="6" a="1"/>
  <c r="K1125" i="6" s="1"/>
  <c r="L1125" i="6" s="1"/>
  <c r="K1011" i="6" a="1"/>
  <c r="K1011" i="6" s="1"/>
  <c r="L1011" i="6" s="1"/>
  <c r="K1010" i="6" a="1"/>
  <c r="K1010" i="6" s="1"/>
  <c r="L1010" i="6" s="1"/>
  <c r="K998" i="6" a="1"/>
  <c r="K998" i="6" s="1"/>
  <c r="L998" i="6" s="1"/>
  <c r="K918" i="6" a="1"/>
  <c r="K918" i="6" s="1"/>
  <c r="L918" i="6" s="1"/>
  <c r="K888" i="6" a="1"/>
  <c r="K888" i="6" s="1"/>
  <c r="L888" i="6" s="1"/>
  <c r="K887" i="6" a="1"/>
  <c r="K887" i="6" s="1"/>
  <c r="L887" i="6" s="1"/>
  <c r="K874" i="6" a="1"/>
  <c r="K874" i="6" s="1"/>
  <c r="L874" i="6" s="1"/>
  <c r="K851" i="6" a="1"/>
  <c r="K851" i="6" s="1"/>
  <c r="L851" i="6" s="1"/>
  <c r="K850" i="6" a="1"/>
  <c r="K850" i="6" s="1"/>
  <c r="L850" i="6" s="1"/>
  <c r="K730" i="6" a="1"/>
  <c r="K730" i="6" s="1"/>
  <c r="L730" i="6" s="1"/>
  <c r="K713" i="6" a="1"/>
  <c r="K713" i="6" s="1"/>
  <c r="L713" i="6" s="1"/>
  <c r="K657" i="6" a="1"/>
  <c r="K657" i="6" s="1"/>
  <c r="L657" i="6" s="1"/>
  <c r="K650" i="6" a="1"/>
  <c r="K650" i="6" s="1"/>
  <c r="L650" i="6" s="1"/>
  <c r="K589" i="6" a="1"/>
  <c r="K589" i="6" s="1"/>
  <c r="L589" i="6" s="1"/>
  <c r="O589" i="6" s="1"/>
  <c r="K533" i="6" a="1"/>
  <c r="K533" i="6" s="1"/>
  <c r="L533" i="6" s="1"/>
  <c r="K510" i="6" a="1"/>
  <c r="K510" i="6" s="1"/>
  <c r="L510" i="6" s="1"/>
  <c r="K500" i="6" a="1"/>
  <c r="K500" i="6" s="1"/>
  <c r="L500" i="6" s="1"/>
  <c r="K472" i="6" a="1"/>
  <c r="K472" i="6" s="1"/>
  <c r="L472" i="6" s="1"/>
  <c r="K428" i="6" a="1"/>
  <c r="K428" i="6" s="1"/>
  <c r="L428" i="6" s="1"/>
  <c r="K299" i="6" a="1"/>
  <c r="K299" i="6" s="1"/>
  <c r="L299" i="6" s="1"/>
  <c r="K191" i="6" a="1"/>
  <c r="K191" i="6" s="1"/>
  <c r="L191" i="6" s="1"/>
  <c r="K158" i="6" a="1"/>
  <c r="K158" i="6" s="1"/>
  <c r="L158" i="6" s="1"/>
  <c r="O158" i="6" s="1"/>
  <c r="K149" i="6" a="1"/>
  <c r="K149" i="6" s="1"/>
  <c r="L149" i="6" s="1"/>
  <c r="K142" i="6" a="1"/>
  <c r="K142" i="6" s="1"/>
  <c r="L142" i="6" s="1"/>
  <c r="K88" i="6" a="1"/>
  <c r="K88" i="6" s="1"/>
  <c r="L88" i="6" s="1"/>
  <c r="K43" i="6" a="1"/>
  <c r="K43" i="6" s="1"/>
  <c r="L43" i="6" s="1"/>
  <c r="K6" i="6" a="1"/>
  <c r="K6" i="6" s="1"/>
  <c r="L6" i="6" s="1"/>
  <c r="K1739" i="6" a="1"/>
  <c r="K1739" i="6" s="1"/>
  <c r="L1739" i="6" s="1"/>
  <c r="K1427" i="6" a="1"/>
  <c r="K1427" i="6" s="1"/>
  <c r="L1427" i="6" s="1"/>
  <c r="K1406" i="6" a="1"/>
  <c r="K1406" i="6" s="1"/>
  <c r="L1406" i="6" s="1"/>
  <c r="O1406" i="6" s="1"/>
  <c r="K1282" i="6" a="1"/>
  <c r="K1282" i="6" s="1"/>
  <c r="L1282" i="6" s="1"/>
  <c r="K1168" i="6" a="1"/>
  <c r="K1168" i="6" s="1"/>
  <c r="L1168" i="6" s="1"/>
  <c r="K1144" i="6" a="1"/>
  <c r="K1144" i="6" s="1"/>
  <c r="L1144" i="6" s="1"/>
  <c r="K1143" i="6" a="1"/>
  <c r="K1143" i="6" s="1"/>
  <c r="L1143" i="6" s="1"/>
  <c r="K1113" i="6" a="1"/>
  <c r="K1113" i="6" s="1"/>
  <c r="L1113" i="6" s="1"/>
  <c r="K986" i="6" a="1"/>
  <c r="K986" i="6" s="1"/>
  <c r="L986" i="6" s="1"/>
  <c r="K873" i="6" a="1"/>
  <c r="K873" i="6" s="1"/>
  <c r="L873" i="6" s="1"/>
  <c r="K772" i="6" a="1"/>
  <c r="K772" i="6" s="1"/>
  <c r="L772" i="6" s="1"/>
  <c r="O772" i="6" s="1"/>
  <c r="K765" i="6" a="1"/>
  <c r="K765" i="6" s="1"/>
  <c r="L765" i="6" s="1"/>
  <c r="K753" i="6" a="1"/>
  <c r="K753" i="6" s="1"/>
  <c r="L753" i="6" s="1"/>
  <c r="K623" i="6" a="1"/>
  <c r="K623" i="6" s="1"/>
  <c r="L623" i="6" s="1"/>
  <c r="K525" i="6" a="1"/>
  <c r="K525" i="6" s="1"/>
  <c r="L525" i="6" s="1"/>
  <c r="K462" i="6" a="1"/>
  <c r="K462" i="6" s="1"/>
  <c r="L462" i="6" s="1"/>
  <c r="K461" i="6" a="1"/>
  <c r="K461" i="6" s="1"/>
  <c r="L461" i="6" s="1"/>
  <c r="K454" i="6" a="1"/>
  <c r="K454" i="6" s="1"/>
  <c r="L454" i="6" s="1"/>
  <c r="K453" i="6" a="1"/>
  <c r="K453" i="6" s="1"/>
  <c r="L453" i="6" s="1"/>
  <c r="K442" i="6" a="1"/>
  <c r="K442" i="6" s="1"/>
  <c r="L442" i="6" s="1"/>
  <c r="K406" i="6" a="1"/>
  <c r="K406" i="6" s="1"/>
  <c r="L406" i="6" s="1"/>
  <c r="O406" i="6" s="1"/>
  <c r="K372" i="6" a="1"/>
  <c r="K372" i="6" s="1"/>
  <c r="L372" i="6" s="1"/>
  <c r="K339" i="6" a="1"/>
  <c r="K339" i="6" s="1"/>
  <c r="L339" i="6" s="1"/>
  <c r="K318" i="6" a="1"/>
  <c r="K318" i="6" s="1"/>
  <c r="L318" i="6" s="1"/>
  <c r="O318" i="6" s="1"/>
  <c r="K283" i="6" a="1"/>
  <c r="K283" i="6" s="1"/>
  <c r="L283" i="6" s="1"/>
  <c r="K282" i="6" a="1"/>
  <c r="K282" i="6" s="1"/>
  <c r="L282" i="6" s="1"/>
  <c r="K273" i="6" a="1"/>
  <c r="K273" i="6" s="1"/>
  <c r="L273" i="6" s="1"/>
  <c r="K241" i="6" a="1"/>
  <c r="K241" i="6" s="1"/>
  <c r="L241" i="6" s="1"/>
  <c r="K230" i="6" a="1"/>
  <c r="K230" i="6" s="1"/>
  <c r="L230" i="6" s="1"/>
  <c r="O230" i="6" s="1"/>
  <c r="K118" i="6" a="1"/>
  <c r="K118" i="6" s="1"/>
  <c r="L118" i="6" s="1"/>
  <c r="K22" i="6" a="1"/>
  <c r="K22" i="6" s="1"/>
  <c r="L22" i="6" s="1"/>
  <c r="M22" i="6" s="1"/>
  <c r="P22" i="6" s="1"/>
  <c r="K1971" i="6" a="1"/>
  <c r="K1971" i="6" s="1"/>
  <c r="L1971" i="6" s="1"/>
  <c r="K1936" i="6" a="1"/>
  <c r="K1936" i="6" s="1"/>
  <c r="L1936" i="6" s="1"/>
  <c r="K1795" i="6" a="1"/>
  <c r="K1795" i="6" s="1"/>
  <c r="L1795" i="6" s="1"/>
  <c r="O1795" i="6" s="1"/>
  <c r="K1689" i="6" a="1"/>
  <c r="K1689" i="6" s="1"/>
  <c r="L1689" i="6" s="1"/>
  <c r="K1623" i="6" a="1"/>
  <c r="K1623" i="6" s="1"/>
  <c r="L1623" i="6" s="1"/>
  <c r="M1623" i="6" s="1"/>
  <c r="P1623" i="6" s="1"/>
  <c r="K1616" i="6" a="1"/>
  <c r="K1616" i="6" s="1"/>
  <c r="L1616" i="6" s="1"/>
  <c r="O1616" i="6" s="1"/>
  <c r="K1599" i="6" a="1"/>
  <c r="K1599" i="6" s="1"/>
  <c r="L1599" i="6" s="1"/>
  <c r="K1578" i="6" a="1"/>
  <c r="K1578" i="6" s="1"/>
  <c r="L1578" i="6" s="1"/>
  <c r="K1377" i="6" a="1"/>
  <c r="K1377" i="6" s="1"/>
  <c r="L1377" i="6" s="1"/>
  <c r="O1377" i="6" s="1"/>
  <c r="K1176" i="6" a="1"/>
  <c r="K1176" i="6" s="1"/>
  <c r="L1176" i="6" s="1"/>
  <c r="K1124" i="6" a="1"/>
  <c r="K1124" i="6" s="1"/>
  <c r="L1124" i="6" s="1"/>
  <c r="O1124" i="6" s="1"/>
  <c r="K1058" i="6" a="1"/>
  <c r="K1058" i="6" s="1"/>
  <c r="L1058" i="6" s="1"/>
  <c r="K1009" i="6" a="1"/>
  <c r="K1009" i="6" s="1"/>
  <c r="L1009" i="6" s="1"/>
  <c r="M1009" i="6" s="1"/>
  <c r="P1009" i="6" s="1"/>
  <c r="K868" i="6" a="1"/>
  <c r="K868" i="6" s="1"/>
  <c r="L868" i="6" s="1"/>
  <c r="O868" i="6" s="1"/>
  <c r="K712" i="6" a="1"/>
  <c r="K712" i="6" s="1"/>
  <c r="L712" i="6" s="1"/>
  <c r="K571" i="6" a="1"/>
  <c r="K571" i="6" s="1"/>
  <c r="L571" i="6" s="1"/>
  <c r="K405" i="6" a="1"/>
  <c r="K405" i="6" s="1"/>
  <c r="L405" i="6" s="1"/>
  <c r="O405" i="6" s="1"/>
  <c r="K202" i="6" a="1"/>
  <c r="K202" i="6" s="1"/>
  <c r="L202" i="6" s="1"/>
  <c r="K170" i="6" a="1"/>
  <c r="K170" i="6" s="1"/>
  <c r="L170" i="6" s="1"/>
  <c r="K87" i="6" a="1"/>
  <c r="K87" i="6" s="1"/>
  <c r="L87" i="6" s="1"/>
  <c r="K460" i="6" a="1"/>
  <c r="K460" i="6" s="1"/>
  <c r="L460" i="6" s="1"/>
  <c r="K628" i="6" a="1"/>
  <c r="K628" i="6" s="1"/>
  <c r="L628" i="6" s="1"/>
  <c r="O628" i="6" s="1"/>
  <c r="K622" i="6" a="1"/>
  <c r="K622" i="6" s="1"/>
  <c r="L622" i="6" s="1"/>
  <c r="O622" i="6" s="1"/>
  <c r="K459" i="6" a="1"/>
  <c r="K459" i="6" s="1"/>
  <c r="L459" i="6" s="1"/>
  <c r="K360" i="6" a="1"/>
  <c r="K360" i="6" s="1"/>
  <c r="L360" i="6" s="1"/>
  <c r="K1615" i="6" a="1"/>
  <c r="K1615" i="6" s="1"/>
  <c r="L1615" i="6" s="1"/>
  <c r="K629" i="6" a="1"/>
  <c r="K629" i="6" s="1"/>
  <c r="L629" i="6" s="1"/>
  <c r="K606" i="6" a="1"/>
  <c r="K606" i="6" s="1"/>
  <c r="L606" i="6" s="1"/>
  <c r="K524" i="6" a="1"/>
  <c r="K524" i="6" s="1"/>
  <c r="L524" i="6" s="1"/>
  <c r="K458" i="6" a="1"/>
  <c r="K458" i="6" s="1"/>
  <c r="L458" i="6" s="1"/>
  <c r="O458" i="6" s="1"/>
  <c r="K371" i="6" a="1"/>
  <c r="K371" i="6" s="1"/>
  <c r="L371" i="6" s="1"/>
  <c r="K1942" i="6" a="1"/>
  <c r="K1942" i="6" s="1"/>
  <c r="L1942" i="6" s="1"/>
  <c r="O1942" i="6" s="1"/>
  <c r="K1832" i="6" a="1"/>
  <c r="K1832" i="6" s="1"/>
  <c r="L1832" i="6" s="1"/>
  <c r="K1709" i="6" a="1"/>
  <c r="K1709" i="6" s="1"/>
  <c r="L1709" i="6" s="1"/>
  <c r="O1709" i="6" s="1"/>
  <c r="K1652" i="6" a="1"/>
  <c r="K1652" i="6" s="1"/>
  <c r="L1652" i="6" s="1"/>
  <c r="K1622" i="6" a="1"/>
  <c r="K1622" i="6" s="1"/>
  <c r="L1622" i="6" s="1"/>
  <c r="K1591" i="6" a="1"/>
  <c r="K1591" i="6" s="1"/>
  <c r="L1591" i="6" s="1"/>
  <c r="K1518" i="6" a="1"/>
  <c r="K1518" i="6" s="1"/>
  <c r="L1518" i="6" s="1"/>
  <c r="M1518" i="6" s="1"/>
  <c r="P1518" i="6" s="1"/>
  <c r="K1517" i="6" a="1"/>
  <c r="K1517" i="6" s="1"/>
  <c r="L1517" i="6" s="1"/>
  <c r="K1461" i="6" a="1"/>
  <c r="K1461" i="6" s="1"/>
  <c r="L1461" i="6" s="1"/>
  <c r="K1440" i="6" a="1"/>
  <c r="K1440" i="6" s="1"/>
  <c r="L1440" i="6" s="1"/>
  <c r="K1426" i="6" a="1"/>
  <c r="K1426" i="6" s="1"/>
  <c r="L1426" i="6" s="1"/>
  <c r="K1415" i="6" a="1"/>
  <c r="K1415" i="6" s="1"/>
  <c r="L1415" i="6" s="1"/>
  <c r="K1273" i="6" a="1"/>
  <c r="K1273" i="6" s="1"/>
  <c r="L1273" i="6" s="1"/>
  <c r="K1239" i="6" a="1"/>
  <c r="K1239" i="6" s="1"/>
  <c r="L1239" i="6" s="1"/>
  <c r="M1239" i="6" s="1"/>
  <c r="P1239" i="6" s="1"/>
  <c r="K1175" i="6" a="1"/>
  <c r="K1175" i="6" s="1"/>
  <c r="L1175" i="6" s="1"/>
  <c r="O1175" i="6" s="1"/>
  <c r="K1142" i="6" a="1"/>
  <c r="K1142" i="6" s="1"/>
  <c r="L1142" i="6" s="1"/>
  <c r="K1123" i="6" a="1"/>
  <c r="K1123" i="6" s="1"/>
  <c r="L1123" i="6" s="1"/>
  <c r="K1070" i="6" a="1"/>
  <c r="K1070" i="6" s="1"/>
  <c r="L1070" i="6" s="1"/>
  <c r="K1069" i="6" a="1"/>
  <c r="K1069" i="6" s="1"/>
  <c r="L1069" i="6" s="1"/>
  <c r="K1046" i="6" a="1"/>
  <c r="K1046" i="6" s="1"/>
  <c r="L1046" i="6" s="1"/>
  <c r="K1030" i="6" a="1"/>
  <c r="K1030" i="6" s="1"/>
  <c r="L1030" i="6" s="1"/>
  <c r="K961" i="6" a="1"/>
  <c r="K961" i="6" s="1"/>
  <c r="L961" i="6" s="1"/>
  <c r="M961" i="6" s="1"/>
  <c r="P961" i="6" s="1"/>
  <c r="K906" i="6" a="1"/>
  <c r="K906" i="6" s="1"/>
  <c r="L906" i="6" s="1"/>
  <c r="O906" i="6" s="1"/>
  <c r="K872" i="6" a="1"/>
  <c r="K872" i="6" s="1"/>
  <c r="L872" i="6" s="1"/>
  <c r="K831" i="6" a="1"/>
  <c r="K831" i="6" s="1"/>
  <c r="L831" i="6" s="1"/>
  <c r="K830" i="6" a="1"/>
  <c r="K830" i="6" s="1"/>
  <c r="L830" i="6" s="1"/>
  <c r="K829" i="6" a="1"/>
  <c r="K829" i="6" s="1"/>
  <c r="L829" i="6" s="1"/>
  <c r="K818" i="6" a="1"/>
  <c r="K818" i="6" s="1"/>
  <c r="L818" i="6" s="1"/>
  <c r="K688" i="6" a="1"/>
  <c r="K688" i="6" s="1"/>
  <c r="L688" i="6" s="1"/>
  <c r="K687" i="6" a="1"/>
  <c r="K687" i="6" s="1"/>
  <c r="L687" i="6" s="1"/>
  <c r="M687" i="6" s="1"/>
  <c r="P687" i="6" s="1"/>
  <c r="K659" i="6" a="1"/>
  <c r="K659" i="6" s="1"/>
  <c r="L659" i="6" s="1"/>
  <c r="O659" i="6" s="1"/>
  <c r="K599" i="6" a="1"/>
  <c r="K599" i="6" s="1"/>
  <c r="L599" i="6" s="1"/>
  <c r="K457" i="6" a="1"/>
  <c r="K457" i="6" s="1"/>
  <c r="L457" i="6" s="1"/>
  <c r="K418" i="6" a="1"/>
  <c r="K418" i="6" s="1"/>
  <c r="L418" i="6" s="1"/>
  <c r="K404" i="6" a="1"/>
  <c r="K404" i="6" s="1"/>
  <c r="L404" i="6" s="1"/>
  <c r="K338" i="6" a="1"/>
  <c r="K338" i="6" s="1"/>
  <c r="L338" i="6" s="1"/>
  <c r="K136" i="6" a="1"/>
  <c r="K136" i="6" s="1"/>
  <c r="L136" i="6" s="1"/>
  <c r="K135" i="6" a="1"/>
  <c r="K135" i="6" s="1"/>
  <c r="L135" i="6" s="1"/>
  <c r="M135" i="6" s="1"/>
  <c r="P135" i="6" s="1"/>
  <c r="K101" i="6" a="1"/>
  <c r="K101" i="6" s="1"/>
  <c r="L101" i="6" s="1"/>
  <c r="O101" i="6" s="1"/>
  <c r="K95" i="6" a="1"/>
  <c r="K95" i="6" s="1"/>
  <c r="L95" i="6" s="1"/>
  <c r="K86" i="6" a="1"/>
  <c r="K86" i="6" s="1"/>
  <c r="L86" i="6" s="1"/>
  <c r="K69" i="6" a="1"/>
  <c r="K69" i="6" s="1"/>
  <c r="L69" i="6" s="1"/>
  <c r="K13" i="6" a="1"/>
  <c r="K13" i="6" s="1"/>
  <c r="L13" i="6" s="1"/>
  <c r="K3" i="6" a="1"/>
  <c r="K3" i="6" s="1"/>
  <c r="K1543" i="6" a="1"/>
  <c r="K1543" i="6" s="1"/>
  <c r="L1543" i="6" s="1"/>
  <c r="K828" i="6" a="1"/>
  <c r="K828" i="6" s="1"/>
  <c r="L828" i="6" s="1"/>
  <c r="M828" i="6" s="1"/>
  <c r="P828" i="6" s="1"/>
  <c r="K817" i="6" a="1"/>
  <c r="K817" i="6" s="1"/>
  <c r="L817" i="6" s="1"/>
  <c r="O817" i="6" s="1"/>
  <c r="K777" i="6" a="1"/>
  <c r="K777" i="6" s="1"/>
  <c r="L777" i="6" s="1"/>
  <c r="K618" i="6" a="1"/>
  <c r="K618" i="6" s="1"/>
  <c r="L618" i="6" s="1"/>
  <c r="K542" i="6" a="1"/>
  <c r="K542" i="6" s="1"/>
  <c r="L542" i="6" s="1"/>
  <c r="K541" i="6" a="1"/>
  <c r="K541" i="6" s="1"/>
  <c r="L541" i="6" s="1"/>
  <c r="K306" i="6" a="1"/>
  <c r="K306" i="6" s="1"/>
  <c r="L306" i="6" s="1"/>
  <c r="K141" i="6" a="1"/>
  <c r="K141" i="6" s="1"/>
  <c r="L141" i="6" s="1"/>
  <c r="K55" i="6" a="1"/>
  <c r="K55" i="6" s="1"/>
  <c r="L55" i="6" s="1"/>
  <c r="M55" i="6" s="1"/>
  <c r="P55" i="6" s="1"/>
  <c r="K934" i="6" a="1"/>
  <c r="K934" i="6" s="1"/>
  <c r="L934" i="6" s="1"/>
  <c r="O934" i="6" s="1"/>
  <c r="K933" i="6" a="1"/>
  <c r="K933" i="6" s="1"/>
  <c r="L933" i="6" s="1"/>
  <c r="K747" i="6" a="1"/>
  <c r="K747" i="6" s="1"/>
  <c r="L747" i="6" s="1"/>
  <c r="K305" i="6" a="1"/>
  <c r="K305" i="6" s="1"/>
  <c r="L305" i="6" s="1"/>
  <c r="K1978" i="6" a="1"/>
  <c r="K1978" i="6" s="1"/>
  <c r="L1978" i="6" s="1"/>
  <c r="K1970" i="6" a="1"/>
  <c r="K1970" i="6" s="1"/>
  <c r="L1970" i="6" s="1"/>
  <c r="K1969" i="6" a="1"/>
  <c r="K1969" i="6" s="1"/>
  <c r="L1969" i="6" s="1"/>
  <c r="K1935" i="6" a="1"/>
  <c r="K1935" i="6" s="1"/>
  <c r="L1935" i="6" s="1"/>
  <c r="M1935" i="6" s="1"/>
  <c r="P1935" i="6" s="1"/>
  <c r="K1928" i="6" a="1"/>
  <c r="K1928" i="6" s="1"/>
  <c r="L1928" i="6" s="1"/>
  <c r="O1928" i="6" s="1"/>
  <c r="Q1909" i="6"/>
  <c r="K1909" i="6" a="1"/>
  <c r="K1909" i="6" s="1"/>
  <c r="L1909" i="6" s="1"/>
  <c r="O1909" i="6" s="1"/>
  <c r="K1902" i="6" a="1"/>
  <c r="K1902" i="6" s="1"/>
  <c r="L1902" i="6" s="1"/>
  <c r="K1901" i="6" a="1"/>
  <c r="K1901" i="6" s="1"/>
  <c r="L1901" i="6" s="1"/>
  <c r="K1892" i="6" a="1"/>
  <c r="K1892" i="6" s="1"/>
  <c r="L1892" i="6" s="1"/>
  <c r="K1853" i="6" a="1"/>
  <c r="K1853" i="6" s="1"/>
  <c r="L1853" i="6" s="1"/>
  <c r="K1845" i="6" a="1"/>
  <c r="K1845" i="6" s="1"/>
  <c r="L1845" i="6" s="1"/>
  <c r="K1814" i="6" a="1"/>
  <c r="K1814" i="6" s="1"/>
  <c r="L1814" i="6" s="1"/>
  <c r="K1813" i="6" a="1"/>
  <c r="K1813" i="6" s="1"/>
  <c r="L1813" i="6" s="1"/>
  <c r="M1813" i="6" s="1"/>
  <c r="P1813" i="6" s="1"/>
  <c r="K1812" i="6" a="1"/>
  <c r="K1812" i="6" s="1"/>
  <c r="L1812" i="6" s="1"/>
  <c r="O1812" i="6" s="1"/>
  <c r="K1782" i="6" a="1"/>
  <c r="K1782" i="6" s="1"/>
  <c r="L1782" i="6" s="1"/>
  <c r="K1708" i="6" a="1"/>
  <c r="K1708" i="6" s="1"/>
  <c r="L1708" i="6" s="1"/>
  <c r="K1668" i="6" a="1"/>
  <c r="K1668" i="6" s="1"/>
  <c r="L1668" i="6" s="1"/>
  <c r="K1638" i="6" a="1"/>
  <c r="K1638" i="6" s="1"/>
  <c r="L1638" i="6" s="1"/>
  <c r="K1635" i="6" a="1"/>
  <c r="K1635" i="6" s="1"/>
  <c r="L1635" i="6" s="1"/>
  <c r="K1634" i="6" a="1"/>
  <c r="K1634" i="6" s="1"/>
  <c r="L1634" i="6" s="1"/>
  <c r="K1577" i="6" a="1"/>
  <c r="K1577" i="6" s="1"/>
  <c r="L1577" i="6" s="1"/>
  <c r="M1577" i="6" s="1"/>
  <c r="P1577" i="6" s="1"/>
  <c r="K1567" i="6" a="1"/>
  <c r="K1567" i="6" s="1"/>
  <c r="L1567" i="6" s="1"/>
  <c r="M1567" i="6" s="1"/>
  <c r="P1567" i="6" s="1"/>
  <c r="K1552" i="6" a="1"/>
  <c r="K1552" i="6" s="1"/>
  <c r="L1552" i="6" s="1"/>
  <c r="O1552" i="6" s="1"/>
  <c r="K1542" i="6" a="1"/>
  <c r="K1542" i="6" s="1"/>
  <c r="L1542" i="6" s="1"/>
  <c r="K1492" i="6" a="1"/>
  <c r="K1492" i="6" s="1"/>
  <c r="L1492" i="6" s="1"/>
  <c r="K1491" i="6" a="1"/>
  <c r="K1491" i="6" s="1"/>
  <c r="L1491" i="6" s="1"/>
  <c r="K1475" i="6" a="1"/>
  <c r="K1475" i="6" s="1"/>
  <c r="L1475" i="6" s="1"/>
  <c r="K1439" i="6" a="1"/>
  <c r="K1439" i="6" s="1"/>
  <c r="L1439" i="6" s="1"/>
  <c r="K1372" i="6" a="1"/>
  <c r="K1372" i="6" s="1"/>
  <c r="L1372" i="6" s="1"/>
  <c r="M1372" i="6" s="1"/>
  <c r="P1372" i="6" s="1"/>
  <c r="K1371" i="6" a="1"/>
  <c r="K1371" i="6" s="1"/>
  <c r="L1371" i="6" s="1"/>
  <c r="O1371" i="6" s="1"/>
  <c r="K1366" i="6" a="1"/>
  <c r="K1366" i="6" s="1"/>
  <c r="L1366" i="6" s="1"/>
  <c r="K1354" i="6" a="1"/>
  <c r="K1354" i="6" s="1"/>
  <c r="L1354" i="6" s="1"/>
  <c r="K1324" i="6" a="1"/>
  <c r="K1324" i="6" s="1"/>
  <c r="L1324" i="6" s="1"/>
  <c r="K1303" i="6" a="1"/>
  <c r="K1303" i="6" s="1"/>
  <c r="L1303" i="6" s="1"/>
  <c r="K1281" i="6" a="1"/>
  <c r="K1281" i="6" s="1"/>
  <c r="L1281" i="6" s="1"/>
  <c r="K1272" i="6" a="1"/>
  <c r="K1272" i="6" s="1"/>
  <c r="L1272" i="6" s="1"/>
  <c r="K1271" i="6" a="1"/>
  <c r="K1271" i="6" s="1"/>
  <c r="L1271" i="6" s="1"/>
  <c r="M1271" i="6" s="1"/>
  <c r="P1271" i="6" s="1"/>
  <c r="K1255" i="6" a="1"/>
  <c r="K1255" i="6" s="1"/>
  <c r="L1255" i="6" s="1"/>
  <c r="M1255" i="6" s="1"/>
  <c r="P1255" i="6" s="1"/>
  <c r="K1238" i="6" a="1"/>
  <c r="K1238" i="6" s="1"/>
  <c r="L1238" i="6" s="1"/>
  <c r="K1220" i="6" a="1"/>
  <c r="K1220" i="6" s="1"/>
  <c r="L1220" i="6" s="1"/>
  <c r="K1112" i="6" a="1"/>
  <c r="K1112" i="6" s="1"/>
  <c r="L1112" i="6" s="1"/>
  <c r="K1075" i="6" a="1"/>
  <c r="K1075" i="6" s="1"/>
  <c r="L1075" i="6" s="1"/>
  <c r="K1068" i="6" a="1"/>
  <c r="K1068" i="6" s="1"/>
  <c r="L1068" i="6" s="1"/>
  <c r="K1067" i="6" a="1"/>
  <c r="K1067" i="6" s="1"/>
  <c r="L1067" i="6" s="1"/>
  <c r="K1045" i="6" a="1"/>
  <c r="K1045" i="6" s="1"/>
  <c r="L1045" i="6" s="1"/>
  <c r="M1045" i="6" s="1"/>
  <c r="P1045" i="6" s="1"/>
  <c r="K1029" i="6" a="1"/>
  <c r="K1029" i="6" s="1"/>
  <c r="L1029" i="6" s="1"/>
  <c r="O1029" i="6" s="1"/>
  <c r="K1024" i="6" a="1"/>
  <c r="K1024" i="6" s="1"/>
  <c r="L1024" i="6" s="1"/>
  <c r="K1008" i="6" a="1"/>
  <c r="K1008" i="6" s="1"/>
  <c r="L1008" i="6" s="1"/>
  <c r="K1007" i="6" a="1"/>
  <c r="K1007" i="6" s="1"/>
  <c r="L1007" i="6" s="1"/>
  <c r="K990" i="6" a="1"/>
  <c r="K990" i="6" s="1"/>
  <c r="L990" i="6" s="1"/>
  <c r="K985" i="6" a="1"/>
  <c r="K985" i="6" s="1"/>
  <c r="L985" i="6" s="1"/>
  <c r="K960" i="6" a="1"/>
  <c r="K960" i="6" s="1"/>
  <c r="L960" i="6" s="1"/>
  <c r="M960" i="6" s="1"/>
  <c r="P960" i="6" s="1"/>
  <c r="K948" i="6" a="1"/>
  <c r="K948" i="6" s="1"/>
  <c r="L948" i="6" s="1"/>
  <c r="O948" i="6" s="1"/>
  <c r="K932" i="6" a="1"/>
  <c r="K932" i="6" s="1"/>
  <c r="L932" i="6" s="1"/>
  <c r="K899" i="6" a="1"/>
  <c r="K899" i="6" s="1"/>
  <c r="L899" i="6" s="1"/>
  <c r="K882" i="6" a="1"/>
  <c r="K882" i="6" s="1"/>
  <c r="L882" i="6" s="1"/>
  <c r="K867" i="6" a="1"/>
  <c r="K867" i="6" s="1"/>
  <c r="L867" i="6" s="1"/>
  <c r="K866" i="6" a="1"/>
  <c r="K866" i="6" s="1"/>
  <c r="L866" i="6" s="1"/>
  <c r="K840" i="6" a="1"/>
  <c r="K840" i="6" s="1"/>
  <c r="L840" i="6" s="1"/>
  <c r="K808" i="6" a="1"/>
  <c r="K808" i="6" s="1"/>
  <c r="L808" i="6" s="1"/>
  <c r="M808" i="6" s="1"/>
  <c r="P808" i="6" s="1"/>
  <c r="K790" i="6" a="1"/>
  <c r="K790" i="6" s="1"/>
  <c r="L790" i="6" s="1"/>
  <c r="O790" i="6" s="1"/>
  <c r="K746" i="6" a="1"/>
  <c r="K746" i="6" s="1"/>
  <c r="L746" i="6" s="1"/>
  <c r="K693" i="6" a="1"/>
  <c r="K693" i="6" s="1"/>
  <c r="L693" i="6" s="1"/>
  <c r="O693" i="6" s="1"/>
  <c r="K686" i="6" a="1"/>
  <c r="K686" i="6" s="1"/>
  <c r="L686" i="6" s="1"/>
  <c r="K675" i="6" a="1"/>
  <c r="K675" i="6" s="1"/>
  <c r="L675" i="6" s="1"/>
  <c r="O675" i="6" s="1"/>
  <c r="K665" i="6" a="1"/>
  <c r="K665" i="6" s="1"/>
  <c r="L665" i="6" s="1"/>
  <c r="K656" i="6" a="1"/>
  <c r="K656" i="6" s="1"/>
  <c r="L656" i="6" s="1"/>
  <c r="K617" i="6" a="1"/>
  <c r="K617" i="6" s="1"/>
  <c r="L617" i="6" s="1"/>
  <c r="M617" i="6" s="1"/>
  <c r="P617" i="6" s="1"/>
  <c r="K616" i="6" a="1"/>
  <c r="K616" i="6" s="1"/>
  <c r="L616" i="6" s="1"/>
  <c r="O616" i="6" s="1"/>
  <c r="K605" i="6" a="1"/>
  <c r="K605" i="6" s="1"/>
  <c r="L605" i="6" s="1"/>
  <c r="K582" i="6" a="1"/>
  <c r="K582" i="6" s="1"/>
  <c r="L582" i="6" s="1"/>
  <c r="O582" i="6" s="1"/>
  <c r="K570" i="6" a="1"/>
  <c r="K570" i="6" s="1"/>
  <c r="L570" i="6" s="1"/>
  <c r="K532" i="6" a="1"/>
  <c r="K532" i="6" s="1"/>
  <c r="L532" i="6" s="1"/>
  <c r="M532" i="6" s="1"/>
  <c r="P532" i="6" s="1"/>
  <c r="K488" i="6" a="1"/>
  <c r="K488" i="6" s="1"/>
  <c r="L488" i="6" s="1"/>
  <c r="O488" i="6" s="1"/>
  <c r="K427" i="6" a="1"/>
  <c r="K427" i="6" s="1"/>
  <c r="L427" i="6" s="1"/>
  <c r="K370" i="6" a="1"/>
  <c r="K370" i="6" s="1"/>
  <c r="L370" i="6" s="1"/>
  <c r="M370" i="6" s="1"/>
  <c r="P370" i="6" s="1"/>
  <c r="K359" i="6" a="1"/>
  <c r="K359" i="6" s="1"/>
  <c r="L359" i="6" s="1"/>
  <c r="O359" i="6" s="1"/>
  <c r="K337" i="6" a="1"/>
  <c r="K337" i="6" s="1"/>
  <c r="L337" i="6" s="1"/>
  <c r="K336" i="6" a="1"/>
  <c r="K336" i="6" s="1"/>
  <c r="L336" i="6" s="1"/>
  <c r="K349" i="6" a="1"/>
  <c r="K349" i="6" s="1"/>
  <c r="L349" i="6" s="1"/>
  <c r="K348" i="6" a="1"/>
  <c r="K348" i="6" s="1"/>
  <c r="L348" i="6" s="1"/>
  <c r="K64" i="6" a="1"/>
  <c r="K64" i="6" s="1"/>
  <c r="L64" i="6" s="1"/>
  <c r="K347" i="6" a="1"/>
  <c r="K347" i="6" s="1"/>
  <c r="L347" i="6" s="1"/>
  <c r="K63" i="6" a="1"/>
  <c r="K63" i="6" s="1"/>
  <c r="L63" i="6" s="1"/>
  <c r="K1968" i="6" a="1"/>
  <c r="K1968" i="6" s="1"/>
  <c r="L1968" i="6" s="1"/>
  <c r="K1934" i="6" a="1"/>
  <c r="K1934" i="6" s="1"/>
  <c r="L1934" i="6" s="1"/>
  <c r="O1934" i="6" s="1"/>
  <c r="K1922" i="6" a="1"/>
  <c r="K1922" i="6" s="1"/>
  <c r="L1922" i="6" s="1"/>
  <c r="K1831" i="6" a="1"/>
  <c r="K1831" i="6" s="1"/>
  <c r="L1831" i="6" s="1"/>
  <c r="K1777" i="6" a="1"/>
  <c r="K1777" i="6" s="1"/>
  <c r="L1777" i="6" s="1"/>
  <c r="K1776" i="6" a="1"/>
  <c r="K1776" i="6" s="1"/>
  <c r="L1776" i="6" s="1"/>
  <c r="K1633" i="6" a="1"/>
  <c r="K1633" i="6" s="1"/>
  <c r="L1633" i="6" s="1"/>
  <c r="K1270" i="6" a="1"/>
  <c r="K1270" i="6" s="1"/>
  <c r="L1270" i="6" s="1"/>
  <c r="M1270" i="6" s="1"/>
  <c r="P1270" i="6" s="1"/>
  <c r="K1111" i="6" a="1"/>
  <c r="K1111" i="6" s="1"/>
  <c r="L1111" i="6" s="1"/>
  <c r="K947" i="6" a="1"/>
  <c r="K947" i="6" s="1"/>
  <c r="L947" i="6" s="1"/>
  <c r="K896" i="6" a="1"/>
  <c r="K896" i="6" s="1"/>
  <c r="L896" i="6" s="1"/>
  <c r="K1900" i="6" a="1"/>
  <c r="K1900" i="6" s="1"/>
  <c r="L1900" i="6" s="1"/>
  <c r="K1891" i="6" a="1"/>
  <c r="K1891" i="6" s="1"/>
  <c r="L1891" i="6" s="1"/>
  <c r="K1886" i="6" a="1"/>
  <c r="K1886" i="6" s="1"/>
  <c r="L1886" i="6" s="1"/>
  <c r="K1877" i="6" a="1"/>
  <c r="K1877" i="6" s="1"/>
  <c r="L1877" i="6" s="1"/>
  <c r="K1865" i="6" a="1"/>
  <c r="K1865" i="6" s="1"/>
  <c r="L1865" i="6" s="1"/>
  <c r="K1864" i="6" a="1"/>
  <c r="K1864" i="6" s="1"/>
  <c r="L1864" i="6" s="1"/>
  <c r="K1852" i="6" a="1"/>
  <c r="K1852" i="6" s="1"/>
  <c r="L1852" i="6" s="1"/>
  <c r="K1844" i="6" a="1"/>
  <c r="K1844" i="6" s="1"/>
  <c r="L1844" i="6" s="1"/>
  <c r="K1843" i="6" a="1"/>
  <c r="K1843" i="6" s="1"/>
  <c r="L1843" i="6" s="1"/>
  <c r="K1842" i="6" a="1"/>
  <c r="K1842" i="6" s="1"/>
  <c r="L1842" i="6" s="1"/>
  <c r="K1811" i="6" a="1"/>
  <c r="K1811" i="6" s="1"/>
  <c r="L1811" i="6" s="1"/>
  <c r="K1810" i="6" a="1"/>
  <c r="K1810" i="6" s="1"/>
  <c r="L1810" i="6" s="1"/>
  <c r="K1767" i="6" a="1"/>
  <c r="K1767" i="6" s="1"/>
  <c r="L1767" i="6" s="1"/>
  <c r="M1767" i="6" s="1"/>
  <c r="P1767" i="6" s="1"/>
  <c r="K1766" i="6" a="1"/>
  <c r="K1766" i="6" s="1"/>
  <c r="L1766" i="6" s="1"/>
  <c r="K1749" i="6" a="1"/>
  <c r="K1749" i="6" s="1"/>
  <c r="L1749" i="6" s="1"/>
  <c r="K1707" i="6" a="1"/>
  <c r="K1707" i="6" s="1"/>
  <c r="L1707" i="6" s="1"/>
  <c r="K1706" i="6" a="1"/>
  <c r="K1706" i="6" s="1"/>
  <c r="L1706" i="6" s="1"/>
  <c r="K1688" i="6" a="1"/>
  <c r="K1688" i="6" s="1"/>
  <c r="L1688" i="6" s="1"/>
  <c r="O1688" i="6" s="1"/>
  <c r="K1651" i="6" a="1"/>
  <c r="K1651" i="6" s="1"/>
  <c r="L1651" i="6" s="1"/>
  <c r="K1632" i="6" a="1"/>
  <c r="K1632" i="6" s="1"/>
  <c r="L1632" i="6" s="1"/>
  <c r="K1631" i="6" a="1"/>
  <c r="K1631" i="6" s="1"/>
  <c r="L1631" i="6" s="1"/>
  <c r="K1630" i="6" a="1"/>
  <c r="K1630" i="6" s="1"/>
  <c r="L1630" i="6" s="1"/>
  <c r="K1614" i="6" a="1"/>
  <c r="K1614" i="6" s="1"/>
  <c r="L1614" i="6" s="1"/>
  <c r="K1516" i="6" a="1"/>
  <c r="K1516" i="6" s="1"/>
  <c r="L1516" i="6" s="1"/>
  <c r="K1507" i="6" a="1"/>
  <c r="K1507" i="6" s="1"/>
  <c r="L1507" i="6" s="1"/>
  <c r="K1490" i="6" a="1"/>
  <c r="K1490" i="6" s="1"/>
  <c r="L1490" i="6" s="1"/>
  <c r="O1490" i="6" s="1"/>
  <c r="K1474" i="6" a="1"/>
  <c r="K1474" i="6" s="1"/>
  <c r="L1474" i="6" s="1"/>
  <c r="K1438" i="6" a="1"/>
  <c r="K1438" i="6" s="1"/>
  <c r="L1438" i="6" s="1"/>
  <c r="K1386" i="6" a="1"/>
  <c r="K1386" i="6" s="1"/>
  <c r="L1386" i="6" s="1"/>
  <c r="K1370" i="6" a="1"/>
  <c r="K1370" i="6" s="1"/>
  <c r="L1370" i="6" s="1"/>
  <c r="K1365" i="6" a="1"/>
  <c r="K1365" i="6" s="1"/>
  <c r="L1365" i="6" s="1"/>
  <c r="K1353" i="6" a="1"/>
  <c r="K1353" i="6" s="1"/>
  <c r="L1353" i="6" s="1"/>
  <c r="K1342" i="6" a="1"/>
  <c r="K1342" i="6" s="1"/>
  <c r="L1342" i="6" s="1"/>
  <c r="K1333" i="6" a="1"/>
  <c r="K1333" i="6" s="1"/>
  <c r="L1333" i="6" s="1"/>
  <c r="O1333" i="6" s="1"/>
  <c r="K1329" i="6" a="1"/>
  <c r="K1329" i="6" s="1"/>
  <c r="L1329" i="6" s="1"/>
  <c r="K1323" i="6" a="1"/>
  <c r="K1323" i="6" s="1"/>
  <c r="L1323" i="6" s="1"/>
  <c r="K1320" i="6" a="1"/>
  <c r="K1320" i="6" s="1"/>
  <c r="L1320" i="6" s="1"/>
  <c r="K1310" i="6" a="1"/>
  <c r="K1310" i="6" s="1"/>
  <c r="L1310" i="6" s="1"/>
  <c r="K1306" i="6" a="1"/>
  <c r="K1306" i="6" s="1"/>
  <c r="L1306" i="6" s="1"/>
  <c r="K1302" i="6" a="1"/>
  <c r="K1302" i="6" s="1"/>
  <c r="L1302" i="6" s="1"/>
  <c r="K1301" i="6" a="1"/>
  <c r="K1301" i="6" s="1"/>
  <c r="L1301" i="6" s="1"/>
  <c r="K1297" i="6" a="1"/>
  <c r="K1297" i="6" s="1"/>
  <c r="L1297" i="6" s="1"/>
  <c r="O1297" i="6" s="1"/>
  <c r="K1293" i="6" a="1"/>
  <c r="K1293" i="6" s="1"/>
  <c r="L1293" i="6" s="1"/>
  <c r="K1269" i="6" a="1"/>
  <c r="K1269" i="6" s="1"/>
  <c r="L1269" i="6" s="1"/>
  <c r="K1268" i="6" a="1"/>
  <c r="K1268" i="6" s="1"/>
  <c r="L1268" i="6" s="1"/>
  <c r="M1268" i="6" s="1"/>
  <c r="P1268" i="6" s="1"/>
  <c r="K1247" i="6" a="1"/>
  <c r="K1247" i="6" s="1"/>
  <c r="L1247" i="6" s="1"/>
  <c r="K1219" i="6" a="1"/>
  <c r="K1219" i="6" s="1"/>
  <c r="L1219" i="6" s="1"/>
  <c r="K1206" i="6" a="1"/>
  <c r="K1206" i="6" s="1"/>
  <c r="L1206" i="6" s="1"/>
  <c r="K1185" i="6" a="1"/>
  <c r="K1185" i="6" s="1"/>
  <c r="L1185" i="6" s="1"/>
  <c r="K1183" i="6" a="1"/>
  <c r="K1183" i="6" s="1"/>
  <c r="L1183" i="6" s="1"/>
  <c r="K1174" i="6" a="1"/>
  <c r="K1174" i="6" s="1"/>
  <c r="L1174" i="6" s="1"/>
  <c r="K1159" i="6" a="1"/>
  <c r="K1159" i="6" s="1"/>
  <c r="L1159" i="6" s="1"/>
  <c r="K1158" i="6" a="1"/>
  <c r="K1158" i="6" s="1"/>
  <c r="L1158" i="6" s="1"/>
  <c r="M1158" i="6" s="1"/>
  <c r="P1158" i="6" s="1"/>
  <c r="K1141" i="6" a="1"/>
  <c r="K1141" i="6" s="1"/>
  <c r="L1141" i="6" s="1"/>
  <c r="K1110" i="6" a="1"/>
  <c r="K1110" i="6" s="1"/>
  <c r="L1110" i="6" s="1"/>
  <c r="K1109" i="6" a="1"/>
  <c r="K1109" i="6" s="1"/>
  <c r="L1109" i="6" s="1"/>
  <c r="K1108" i="6" a="1"/>
  <c r="K1108" i="6" s="1"/>
  <c r="L1108" i="6" s="1"/>
  <c r="K1074" i="6" a="1"/>
  <c r="K1074" i="6" s="1"/>
  <c r="L1074" i="6" s="1"/>
  <c r="K1066" i="6" a="1"/>
  <c r="K1066" i="6" s="1"/>
  <c r="L1066" i="6" s="1"/>
  <c r="K1065" i="6" a="1"/>
  <c r="K1065" i="6" s="1"/>
  <c r="L1065" i="6" s="1"/>
  <c r="K1023" i="6" a="1"/>
  <c r="K1023" i="6" s="1"/>
  <c r="L1023" i="6" s="1"/>
  <c r="K1022" i="6" a="1"/>
  <c r="K1022" i="6" s="1"/>
  <c r="L1022" i="6" s="1"/>
  <c r="K1006" i="6" a="1"/>
  <c r="K1006" i="6" s="1"/>
  <c r="L1006" i="6" s="1"/>
  <c r="K959" i="6" a="1"/>
  <c r="K959" i="6" s="1"/>
  <c r="L959" i="6" s="1"/>
  <c r="K958" i="6" a="1"/>
  <c r="K958" i="6" s="1"/>
  <c r="L958" i="6" s="1"/>
  <c r="K946" i="6" a="1"/>
  <c r="K946" i="6" s="1"/>
  <c r="L946" i="6" s="1"/>
  <c r="K945" i="6" a="1"/>
  <c r="K945" i="6" s="1"/>
  <c r="L945" i="6" s="1"/>
  <c r="K931" i="6" a="1"/>
  <c r="K931" i="6" s="1"/>
  <c r="L931" i="6" s="1"/>
  <c r="K930" i="6" a="1"/>
  <c r="K930" i="6" s="1"/>
  <c r="L930" i="6" s="1"/>
  <c r="M930" i="6" s="1"/>
  <c r="P930" i="6" s="1"/>
  <c r="K903" i="6" a="1"/>
  <c r="K903" i="6" s="1"/>
  <c r="L903" i="6" s="1"/>
  <c r="O903" i="6" s="1"/>
  <c r="K898" i="6" a="1"/>
  <c r="K898" i="6" s="1"/>
  <c r="L898" i="6" s="1"/>
  <c r="K895" i="6" a="1"/>
  <c r="K895" i="6" s="1"/>
  <c r="L895" i="6" s="1"/>
  <c r="K894" i="6" a="1"/>
  <c r="K894" i="6" s="1"/>
  <c r="L894" i="6" s="1"/>
  <c r="K881" i="6" a="1"/>
  <c r="K881" i="6" s="1"/>
  <c r="L881" i="6" s="1"/>
  <c r="K865" i="6" a="1"/>
  <c r="K865" i="6" s="1"/>
  <c r="L865" i="6" s="1"/>
  <c r="M865" i="6" s="1"/>
  <c r="P865" i="6" s="1"/>
  <c r="K827" i="6" a="1"/>
  <c r="K827" i="6" s="1"/>
  <c r="L827" i="6" s="1"/>
  <c r="O827" i="6" s="1"/>
  <c r="K816" i="6" a="1"/>
  <c r="K816" i="6" s="1"/>
  <c r="L816" i="6" s="1"/>
  <c r="K807" i="6" a="1"/>
  <c r="K807" i="6" s="1"/>
  <c r="L807" i="6" s="1"/>
  <c r="O807" i="6" s="1"/>
  <c r="K803" i="6" a="1"/>
  <c r="K803" i="6" s="1"/>
  <c r="L803" i="6" s="1"/>
  <c r="K798" i="6" a="1"/>
  <c r="K798" i="6" s="1"/>
  <c r="L798" i="6" s="1"/>
  <c r="K794" i="6" a="1"/>
  <c r="K794" i="6" s="1"/>
  <c r="L794" i="6" s="1"/>
  <c r="K784" i="6" a="1"/>
  <c r="K784" i="6" s="1"/>
  <c r="L784" i="6" s="1"/>
  <c r="K779" i="6" a="1"/>
  <c r="K779" i="6" s="1"/>
  <c r="L779" i="6" s="1"/>
  <c r="M779" i="6" s="1"/>
  <c r="P779" i="6" s="1"/>
  <c r="K776" i="6" a="1"/>
  <c r="K776" i="6" s="1"/>
  <c r="L776" i="6" s="1"/>
  <c r="O776" i="6" s="1"/>
  <c r="K771" i="6" a="1"/>
  <c r="K771" i="6" s="1"/>
  <c r="L771" i="6" s="1"/>
  <c r="M771" i="6" s="1"/>
  <c r="P771" i="6" s="1"/>
  <c r="K764" i="6" a="1"/>
  <c r="K764" i="6" s="1"/>
  <c r="L764" i="6" s="1"/>
  <c r="O764" i="6" s="1"/>
  <c r="K752" i="6" a="1"/>
  <c r="K752" i="6" s="1"/>
  <c r="L752" i="6" s="1"/>
  <c r="K745" i="6" a="1"/>
  <c r="K745" i="6" s="1"/>
  <c r="L745" i="6" s="1"/>
  <c r="K744" i="6" a="1"/>
  <c r="K744" i="6" s="1"/>
  <c r="L744" i="6" s="1"/>
  <c r="K729" i="6" a="1"/>
  <c r="K729" i="6" s="1"/>
  <c r="L729" i="6" s="1"/>
  <c r="K718" i="6" a="1"/>
  <c r="K718" i="6" s="1"/>
  <c r="L718" i="6" s="1"/>
  <c r="M718" i="6" s="1"/>
  <c r="P718" i="6" s="1"/>
  <c r="K704" i="6" a="1"/>
  <c r="K704" i="6" s="1"/>
  <c r="L704" i="6" s="1"/>
  <c r="O704" i="6" s="1"/>
  <c r="K692" i="6" a="1"/>
  <c r="K692" i="6" s="1"/>
  <c r="L692" i="6" s="1"/>
  <c r="K685" i="6" a="1"/>
  <c r="K685" i="6" s="1"/>
  <c r="L685" i="6" s="1"/>
  <c r="O685" i="6" s="1"/>
  <c r="K674" i="6" a="1"/>
  <c r="K674" i="6" s="1"/>
  <c r="L674" i="6" s="1"/>
  <c r="K664" i="6" a="1"/>
  <c r="K664" i="6" s="1"/>
  <c r="L664" i="6" s="1"/>
  <c r="K598" i="6" a="1"/>
  <c r="K598" i="6" s="1"/>
  <c r="L598" i="6" s="1"/>
  <c r="K540" i="6" a="1"/>
  <c r="K540" i="6" s="1"/>
  <c r="L540" i="6" s="1"/>
  <c r="K450" i="6" a="1"/>
  <c r="K450" i="6" s="1"/>
  <c r="L450" i="6" s="1"/>
  <c r="M450" i="6" s="1"/>
  <c r="P450" i="6" s="1"/>
  <c r="K401" i="6" a="1"/>
  <c r="K401" i="6" s="1"/>
  <c r="L401" i="6" s="1"/>
  <c r="O401" i="6" s="1"/>
  <c r="K358" i="6" a="1"/>
  <c r="K358" i="6" s="1"/>
  <c r="L358" i="6" s="1"/>
  <c r="M358" i="6" s="1"/>
  <c r="P358" i="6" s="1"/>
  <c r="K317" i="6" a="1"/>
  <c r="K317" i="6" s="1"/>
  <c r="L317" i="6" s="1"/>
  <c r="O317" i="6" s="1"/>
  <c r="K93" i="6" a="1"/>
  <c r="K93" i="6" s="1"/>
  <c r="L93" i="6" s="1"/>
  <c r="K85" i="6" a="1"/>
  <c r="K85" i="6" s="1"/>
  <c r="L85" i="6" s="1"/>
  <c r="K1967" i="6" a="1"/>
  <c r="K1967" i="6" s="1"/>
  <c r="L1967" i="6" s="1"/>
  <c r="K1899" i="6" a="1"/>
  <c r="K1899" i="6" s="1"/>
  <c r="L1899" i="6" s="1"/>
  <c r="M1899" i="6" s="1"/>
  <c r="P1899" i="6" s="1"/>
  <c r="K1809" i="6" a="1"/>
  <c r="K1809" i="6" s="1"/>
  <c r="L1809" i="6" s="1"/>
  <c r="K1870" i="6" a="1"/>
  <c r="K1870" i="6" s="1"/>
  <c r="L1870" i="6" s="1"/>
  <c r="K1551" i="6" a="1"/>
  <c r="K1551" i="6" s="1"/>
  <c r="L1551" i="6" s="1"/>
  <c r="K1898" i="6" a="1"/>
  <c r="K1898" i="6" s="1"/>
  <c r="L1898" i="6" s="1"/>
  <c r="K1897" i="6" a="1"/>
  <c r="K1897" i="6" s="1"/>
  <c r="L1897" i="6" s="1"/>
  <c r="M1897" i="6" s="1"/>
  <c r="P1897" i="6" s="1"/>
  <c r="K1808" i="6" a="1"/>
  <c r="K1808" i="6" s="1"/>
  <c r="L1808" i="6" s="1"/>
  <c r="K1775" i="6" a="1"/>
  <c r="K1775" i="6" s="1"/>
  <c r="L1775" i="6" s="1"/>
  <c r="O1775" i="6" s="1"/>
  <c r="K1774" i="6" a="1"/>
  <c r="K1774" i="6" s="1"/>
  <c r="L1774" i="6" s="1"/>
  <c r="K1677" i="6" a="1"/>
  <c r="K1677" i="6" s="1"/>
  <c r="L1677" i="6" s="1"/>
  <c r="K1667" i="6" a="1"/>
  <c r="K1667" i="6" s="1"/>
  <c r="L1667" i="6" s="1"/>
  <c r="K1576" i="6" a="1"/>
  <c r="K1576" i="6" s="1"/>
  <c r="L1576" i="6" s="1"/>
  <c r="K1398" i="6" a="1"/>
  <c r="K1398" i="6" s="1"/>
  <c r="L1398" i="6" s="1"/>
  <c r="K1292" i="6" a="1"/>
  <c r="K1292" i="6" s="1"/>
  <c r="L1292" i="6" s="1"/>
  <c r="K1267" i="6" a="1"/>
  <c r="K1267" i="6" s="1"/>
  <c r="L1267" i="6" s="1"/>
  <c r="K1205" i="6" a="1"/>
  <c r="K1205" i="6" s="1"/>
  <c r="L1205" i="6" s="1"/>
  <c r="M1205" i="6" s="1"/>
  <c r="P1205" i="6" s="1"/>
  <c r="K1167" i="6" a="1"/>
  <c r="K1167" i="6" s="1"/>
  <c r="L1167" i="6" s="1"/>
  <c r="O1167" i="6" s="1"/>
  <c r="K1021" i="6" a="1"/>
  <c r="K1021" i="6" s="1"/>
  <c r="L1021" i="6" s="1"/>
  <c r="O1021" i="6" s="1"/>
  <c r="K1005" i="6" a="1"/>
  <c r="K1005" i="6" s="1"/>
  <c r="L1005" i="6" s="1"/>
  <c r="K893" i="6" a="1"/>
  <c r="K893" i="6" s="1"/>
  <c r="L893" i="6" s="1"/>
  <c r="K880" i="6" a="1"/>
  <c r="K880" i="6" s="1"/>
  <c r="L880" i="6" s="1"/>
  <c r="O880" i="6" s="1"/>
  <c r="K864" i="6" a="1"/>
  <c r="K864" i="6" s="1"/>
  <c r="L864" i="6" s="1"/>
  <c r="K802" i="6" a="1"/>
  <c r="K802" i="6" s="1"/>
  <c r="L802" i="6" s="1"/>
  <c r="K728" i="6" a="1"/>
  <c r="K728" i="6" s="1"/>
  <c r="L728" i="6" s="1"/>
  <c r="K469" i="6" a="1"/>
  <c r="K469" i="6" s="1"/>
  <c r="L469" i="6" s="1"/>
  <c r="O469" i="6" s="1"/>
  <c r="K1966" i="6" a="1"/>
  <c r="K1966" i="6" s="1"/>
  <c r="L1966" i="6" s="1"/>
  <c r="M1966" i="6" s="1"/>
  <c r="P1966" i="6" s="1"/>
  <c r="K1905" i="6" a="1"/>
  <c r="K1905" i="6" s="1"/>
  <c r="L1905" i="6" s="1"/>
  <c r="K1876" i="6" a="1"/>
  <c r="K1876" i="6" s="1"/>
  <c r="L1876" i="6" s="1"/>
  <c r="K1851" i="6" a="1"/>
  <c r="K1851" i="6" s="1"/>
  <c r="L1851" i="6" s="1"/>
  <c r="K1841" i="6" a="1"/>
  <c r="K1841" i="6" s="1"/>
  <c r="L1841" i="6" s="1"/>
  <c r="K1840" i="6" a="1"/>
  <c r="K1840" i="6" s="1"/>
  <c r="L1840" i="6" s="1"/>
  <c r="M1840" i="6" s="1"/>
  <c r="P1840" i="6" s="1"/>
  <c r="K1839" i="6" a="1"/>
  <c r="K1839" i="6" s="1"/>
  <c r="L1839" i="6" s="1"/>
  <c r="O1839" i="6" s="1"/>
  <c r="K1807" i="6" a="1"/>
  <c r="K1807" i="6" s="1"/>
  <c r="L1807" i="6" s="1"/>
  <c r="K1748" i="6" a="1"/>
  <c r="K1748" i="6" s="1"/>
  <c r="L1748" i="6" s="1"/>
  <c r="K1575" i="6" a="1"/>
  <c r="K1575" i="6" s="1"/>
  <c r="L1575" i="6" s="1"/>
  <c r="K1364" i="6" a="1"/>
  <c r="K1364" i="6" s="1"/>
  <c r="L1364" i="6" s="1"/>
  <c r="K1352" i="6" a="1"/>
  <c r="K1352" i="6" s="1"/>
  <c r="L1352" i="6" s="1"/>
  <c r="M1352" i="6" s="1"/>
  <c r="P1352" i="6" s="1"/>
  <c r="K1322" i="6" a="1"/>
  <c r="K1322" i="6" s="1"/>
  <c r="L1322" i="6" s="1"/>
  <c r="K1315" i="6" a="1"/>
  <c r="K1315" i="6" s="1"/>
  <c r="L1315" i="6" s="1"/>
  <c r="K1246" i="6" a="1"/>
  <c r="K1246" i="6" s="1"/>
  <c r="L1246" i="6" s="1"/>
  <c r="K1028" i="6" a="1"/>
  <c r="K1028" i="6" s="1"/>
  <c r="L1028" i="6" s="1"/>
  <c r="K335" i="6" a="1"/>
  <c r="K335" i="6" s="1"/>
  <c r="L335" i="6" s="1"/>
  <c r="K84" i="6" a="1"/>
  <c r="K84" i="6" s="1"/>
  <c r="L84" i="6" s="1"/>
  <c r="K1977" i="6" a="1"/>
  <c r="K1977" i="6" s="1"/>
  <c r="L1977" i="6" s="1"/>
  <c r="K1965" i="6" a="1"/>
  <c r="K1965" i="6" s="1"/>
  <c r="L1965" i="6" s="1"/>
  <c r="M1965" i="6" s="1"/>
  <c r="P1965" i="6" s="1"/>
  <c r="K1964" i="6" a="1"/>
  <c r="K1964" i="6" s="1"/>
  <c r="L1964" i="6" s="1"/>
  <c r="K1963" i="6" a="1"/>
  <c r="K1963" i="6" s="1"/>
  <c r="L1963" i="6" s="1"/>
  <c r="K1921" i="6" a="1"/>
  <c r="K1921" i="6" s="1"/>
  <c r="L1921" i="6" s="1"/>
  <c r="K1918" i="6" a="1"/>
  <c r="K1918" i="6" s="1"/>
  <c r="L1918" i="6" s="1"/>
  <c r="K1933" i="6" a="1"/>
  <c r="K1933" i="6" s="1"/>
  <c r="L1933" i="6" s="1"/>
  <c r="K1927" i="6" a="1"/>
  <c r="K1927" i="6" s="1"/>
  <c r="L1927" i="6" s="1"/>
  <c r="K1908" i="6" a="1"/>
  <c r="K1908" i="6" s="1"/>
  <c r="L1908" i="6" s="1"/>
  <c r="K1904" i="6" a="1"/>
  <c r="K1904" i="6" s="1"/>
  <c r="L1904" i="6" s="1"/>
  <c r="M1904" i="6" s="1"/>
  <c r="P1904" i="6" s="1"/>
  <c r="K1890" i="6" a="1"/>
  <c r="K1890" i="6" s="1"/>
  <c r="L1890" i="6" s="1"/>
  <c r="K1875" i="6" a="1"/>
  <c r="K1875" i="6" s="1"/>
  <c r="L1875" i="6" s="1"/>
  <c r="K1850" i="6" a="1"/>
  <c r="K1850" i="6" s="1"/>
  <c r="L1850" i="6" s="1"/>
  <c r="K1838" i="6" a="1"/>
  <c r="K1838" i="6" s="1"/>
  <c r="L1838" i="6" s="1"/>
  <c r="K1830" i="6" a="1"/>
  <c r="K1830" i="6" s="1"/>
  <c r="L1830" i="6" s="1"/>
  <c r="K1806" i="6" a="1"/>
  <c r="K1806" i="6" s="1"/>
  <c r="L1806" i="6" s="1"/>
  <c r="K1805" i="6" a="1"/>
  <c r="K1805" i="6" s="1"/>
  <c r="L1805" i="6" s="1"/>
  <c r="K1773" i="6" a="1"/>
  <c r="K1773" i="6" s="1"/>
  <c r="L1773" i="6" s="1"/>
  <c r="M1773" i="6" s="1"/>
  <c r="P1773" i="6" s="1"/>
  <c r="K1772" i="6" a="1"/>
  <c r="K1772" i="6" s="1"/>
  <c r="L1772" i="6" s="1"/>
  <c r="K1747" i="6" a="1"/>
  <c r="K1747" i="6" s="1"/>
  <c r="L1747" i="6" s="1"/>
  <c r="K1738" i="6" a="1"/>
  <c r="K1738" i="6" s="1"/>
  <c r="L1738" i="6" s="1"/>
  <c r="K1705" i="6" a="1"/>
  <c r="K1705" i="6" s="1"/>
  <c r="L1705" i="6" s="1"/>
  <c r="K1704" i="6" a="1"/>
  <c r="K1704" i="6" s="1"/>
  <c r="L1704" i="6" s="1"/>
  <c r="K1703" i="6" a="1"/>
  <c r="K1703" i="6" s="1"/>
  <c r="L1703" i="6" s="1"/>
  <c r="K1676" i="6" a="1"/>
  <c r="K1676" i="6" s="1"/>
  <c r="L1676" i="6" s="1"/>
  <c r="K1675" i="6" a="1"/>
  <c r="K1675" i="6" s="1"/>
  <c r="L1675" i="6" s="1"/>
  <c r="M1675" i="6" s="1"/>
  <c r="P1675" i="6" s="1"/>
  <c r="K1674" i="6" a="1"/>
  <c r="K1674" i="6" s="1"/>
  <c r="L1674" i="6" s="1"/>
  <c r="K1650" i="6" a="1"/>
  <c r="K1650" i="6" s="1"/>
  <c r="L1650" i="6" s="1"/>
  <c r="K1590" i="6" a="1"/>
  <c r="K1590" i="6" s="1"/>
  <c r="L1590" i="6" s="1"/>
  <c r="K1515" i="6" a="1"/>
  <c r="K1515" i="6" s="1"/>
  <c r="L1515" i="6" s="1"/>
  <c r="K1460" i="6" a="1"/>
  <c r="K1460" i="6" s="1"/>
  <c r="L1460" i="6" s="1"/>
  <c r="K1437" i="6" a="1"/>
  <c r="K1437" i="6" s="1"/>
  <c r="L1437" i="6" s="1"/>
  <c r="K1414" i="6" a="1"/>
  <c r="K1414" i="6" s="1"/>
  <c r="L1414" i="6" s="1"/>
  <c r="K1397" i="6" a="1"/>
  <c r="K1397" i="6" s="1"/>
  <c r="L1397" i="6" s="1"/>
  <c r="M1397" i="6" s="1"/>
  <c r="P1397" i="6" s="1"/>
  <c r="K1332" i="6" a="1"/>
  <c r="K1332" i="6" s="1"/>
  <c r="L1332" i="6" s="1"/>
  <c r="K1314" i="6" a="1"/>
  <c r="K1314" i="6" s="1"/>
  <c r="L1314" i="6" s="1"/>
  <c r="K1291" i="6" a="1"/>
  <c r="K1291" i="6" s="1"/>
  <c r="L1291" i="6" s="1"/>
  <c r="K1280" i="6" a="1"/>
  <c r="K1280" i="6" s="1"/>
  <c r="L1280" i="6" s="1"/>
  <c r="K1266" i="6" a="1"/>
  <c r="K1266" i="6" s="1"/>
  <c r="L1266" i="6" s="1"/>
  <c r="K1245" i="6" a="1"/>
  <c r="K1245" i="6" s="1"/>
  <c r="L1245" i="6" s="1"/>
  <c r="K1218" i="6" a="1"/>
  <c r="K1218" i="6" s="1"/>
  <c r="L1218" i="6" s="1"/>
  <c r="K1107" i="6" a="1"/>
  <c r="K1107" i="6" s="1"/>
  <c r="L1107" i="6" s="1"/>
  <c r="M1107" i="6" s="1"/>
  <c r="P1107" i="6" s="1"/>
  <c r="K1106" i="6" a="1"/>
  <c r="K1106" i="6" s="1"/>
  <c r="L1106" i="6" s="1"/>
  <c r="K1105" i="6" a="1"/>
  <c r="K1105" i="6" s="1"/>
  <c r="L1105" i="6" s="1"/>
  <c r="K1104" i="6" a="1"/>
  <c r="K1104" i="6" s="1"/>
  <c r="L1104" i="6" s="1"/>
  <c r="K1103" i="6" a="1"/>
  <c r="K1103" i="6" s="1"/>
  <c r="L1103" i="6" s="1"/>
  <c r="K1064" i="6" a="1"/>
  <c r="K1064" i="6" s="1"/>
  <c r="L1064" i="6" s="1"/>
  <c r="K1063" i="6" a="1"/>
  <c r="K1063" i="6" s="1"/>
  <c r="L1063" i="6" s="1"/>
  <c r="K929" i="6" a="1"/>
  <c r="K929" i="6" s="1"/>
  <c r="L929" i="6" s="1"/>
  <c r="K879" i="6" a="1"/>
  <c r="K879" i="6" s="1"/>
  <c r="L879" i="6" s="1"/>
  <c r="M879" i="6" s="1"/>
  <c r="P879" i="6" s="1"/>
  <c r="K801" i="6" a="1"/>
  <c r="K801" i="6" s="1"/>
  <c r="L801" i="6" s="1"/>
  <c r="K770" i="6" a="1"/>
  <c r="K770" i="6" s="1"/>
  <c r="L770" i="6" s="1"/>
  <c r="K763" i="6" a="1"/>
  <c r="K763" i="6" s="1"/>
  <c r="L763" i="6" s="1"/>
  <c r="K751" i="6" a="1"/>
  <c r="K751" i="6" s="1"/>
  <c r="L751" i="6" s="1"/>
  <c r="K743" i="6" a="1"/>
  <c r="K743" i="6" s="1"/>
  <c r="L743" i="6" s="1"/>
  <c r="K727" i="6" a="1"/>
  <c r="K727" i="6" s="1"/>
  <c r="L727" i="6" s="1"/>
  <c r="K684" i="6" a="1"/>
  <c r="K684" i="6" s="1"/>
  <c r="L684" i="6" s="1"/>
  <c r="K673" i="6" a="1"/>
  <c r="K673" i="6" s="1"/>
  <c r="L673" i="6" s="1"/>
  <c r="M673" i="6" s="1"/>
  <c r="P673" i="6" s="1"/>
  <c r="K597" i="6" a="1"/>
  <c r="K597" i="6" s="1"/>
  <c r="L597" i="6" s="1"/>
  <c r="K558" i="6" a="1"/>
  <c r="K558" i="6" s="1"/>
  <c r="L558" i="6" s="1"/>
  <c r="K539" i="6" a="1"/>
  <c r="K539" i="6" s="1"/>
  <c r="L539" i="6" s="1"/>
  <c r="K449" i="6" a="1"/>
  <c r="K449" i="6" s="1"/>
  <c r="L449" i="6" s="1"/>
  <c r="K400" i="6" a="1"/>
  <c r="K400" i="6" s="1"/>
  <c r="L400" i="6" s="1"/>
  <c r="K316" i="6" a="1"/>
  <c r="K316" i="6" s="1"/>
  <c r="L316" i="6" s="1"/>
  <c r="K233" i="6" a="1"/>
  <c r="K233" i="6" s="1"/>
  <c r="L233" i="6" s="1"/>
  <c r="K190" i="6" a="1"/>
  <c r="K190" i="6" s="1"/>
  <c r="L190" i="6" s="1"/>
  <c r="M190" i="6" s="1"/>
  <c r="P190" i="6" s="1"/>
  <c r="K164" i="6" a="1"/>
  <c r="K164" i="6" s="1"/>
  <c r="L164" i="6" s="1"/>
  <c r="K92" i="6" a="1"/>
  <c r="K92" i="6" s="1"/>
  <c r="L92" i="6" s="1"/>
  <c r="K1948" i="6" a="1"/>
  <c r="K1948" i="6" s="1"/>
  <c r="L1948" i="6" s="1"/>
  <c r="K1885" i="6" a="1"/>
  <c r="K1885" i="6" s="1"/>
  <c r="L1885" i="6" s="1"/>
  <c r="K1869" i="6" a="1"/>
  <c r="K1869" i="6" s="1"/>
  <c r="L1869" i="6" s="1"/>
  <c r="K1863" i="6" a="1"/>
  <c r="K1863" i="6" s="1"/>
  <c r="L1863" i="6" s="1"/>
  <c r="K1849" i="6" a="1"/>
  <c r="K1849" i="6" s="1"/>
  <c r="L1849" i="6" s="1"/>
  <c r="K1829" i="6" a="1"/>
  <c r="K1829" i="6" s="1"/>
  <c r="L1829" i="6" s="1"/>
  <c r="M1829" i="6" s="1"/>
  <c r="P1829" i="6" s="1"/>
  <c r="K1804" i="6" a="1"/>
  <c r="K1804" i="6" s="1"/>
  <c r="L1804" i="6" s="1"/>
  <c r="K1803" i="6" a="1"/>
  <c r="K1803" i="6" s="1"/>
  <c r="L1803" i="6" s="1"/>
  <c r="K1765" i="6" a="1"/>
  <c r="K1765" i="6" s="1"/>
  <c r="L1765" i="6" s="1"/>
  <c r="K1764" i="6" a="1"/>
  <c r="K1764" i="6" s="1"/>
  <c r="L1764" i="6" s="1"/>
  <c r="K1763" i="6" a="1"/>
  <c r="K1763" i="6" s="1"/>
  <c r="L1763" i="6" s="1"/>
  <c r="K1746" i="6" a="1"/>
  <c r="K1746" i="6" s="1"/>
  <c r="L1746" i="6" s="1"/>
  <c r="K1702" i="6" a="1"/>
  <c r="K1702" i="6" s="1"/>
  <c r="L1702" i="6" s="1"/>
  <c r="K1701" i="6" a="1"/>
  <c r="K1701" i="6" s="1"/>
  <c r="L1701" i="6" s="1"/>
  <c r="M1701" i="6" s="1"/>
  <c r="P1701" i="6" s="1"/>
  <c r="K1687" i="6" a="1"/>
  <c r="K1687" i="6" s="1"/>
  <c r="L1687" i="6" s="1"/>
  <c r="K1673" i="6" a="1"/>
  <c r="K1673" i="6" s="1"/>
  <c r="L1673" i="6" s="1"/>
  <c r="K1672" i="6" a="1"/>
  <c r="K1672" i="6" s="1"/>
  <c r="L1672" i="6" s="1"/>
  <c r="K1662" i="6" a="1"/>
  <c r="K1662" i="6" s="1"/>
  <c r="L1662" i="6" s="1"/>
  <c r="K1649" i="6" a="1"/>
  <c r="K1649" i="6" s="1"/>
  <c r="L1649" i="6" s="1"/>
  <c r="K1613" i="6" a="1"/>
  <c r="K1613" i="6" s="1"/>
  <c r="L1613" i="6" s="1"/>
  <c r="K1506" i="6" a="1"/>
  <c r="K1506" i="6" s="1"/>
  <c r="L1506" i="6" s="1"/>
  <c r="K1489" i="6" a="1"/>
  <c r="K1489" i="6" s="1"/>
  <c r="L1489" i="6" s="1"/>
  <c r="M1489" i="6" s="1"/>
  <c r="P1489" i="6" s="1"/>
  <c r="K1473" i="6" a="1"/>
  <c r="K1473" i="6" s="1"/>
  <c r="L1473" i="6" s="1"/>
  <c r="K1436" i="6" a="1"/>
  <c r="K1436" i="6" s="1"/>
  <c r="L1436" i="6" s="1"/>
  <c r="K1396" i="6" a="1"/>
  <c r="K1396" i="6" s="1"/>
  <c r="L1396" i="6" s="1"/>
  <c r="K1385" i="6" a="1"/>
  <c r="K1385" i="6" s="1"/>
  <c r="L1385" i="6" s="1"/>
  <c r="K1369" i="6" a="1"/>
  <c r="K1369" i="6" s="1"/>
  <c r="L1369" i="6" s="1"/>
  <c r="K1363" i="6" a="1"/>
  <c r="K1363" i="6" s="1"/>
  <c r="L1363" i="6" s="1"/>
  <c r="K1362" i="6" a="1"/>
  <c r="K1362" i="6" s="1"/>
  <c r="L1362" i="6" s="1"/>
  <c r="K1351" i="6" a="1"/>
  <c r="K1351" i="6" s="1"/>
  <c r="L1351" i="6" s="1"/>
  <c r="M1351" i="6" s="1"/>
  <c r="P1351" i="6" s="1"/>
  <c r="K1341" i="6" a="1"/>
  <c r="K1341" i="6" s="1"/>
  <c r="L1341" i="6" s="1"/>
  <c r="K1340" i="6" a="1"/>
  <c r="K1340" i="6" s="1"/>
  <c r="L1340" i="6" s="1"/>
  <c r="K1331" i="6" a="1"/>
  <c r="K1331" i="6" s="1"/>
  <c r="L1331" i="6" s="1"/>
  <c r="K1321" i="6" a="1"/>
  <c r="K1321" i="6" s="1"/>
  <c r="L1321" i="6" s="1"/>
  <c r="K1319" i="6" a="1"/>
  <c r="K1319" i="6" s="1"/>
  <c r="L1319" i="6" s="1"/>
  <c r="K1309" i="6" a="1"/>
  <c r="K1309" i="6" s="1"/>
  <c r="L1309" i="6" s="1"/>
  <c r="M1309" i="6" s="1"/>
  <c r="P1309" i="6" s="1"/>
  <c r="K1305" i="6" a="1"/>
  <c r="K1305" i="6" s="1"/>
  <c r="L1305" i="6" s="1"/>
  <c r="O1305" i="6" s="1"/>
  <c r="K1300" i="6" a="1"/>
  <c r="K1300" i="6" s="1"/>
  <c r="L1300" i="6" s="1"/>
  <c r="K1296" i="6" a="1"/>
  <c r="K1296" i="6" s="1"/>
  <c r="L1296" i="6" s="1"/>
  <c r="K1290" i="6" a="1"/>
  <c r="K1290" i="6" s="1"/>
  <c r="L1290" i="6" s="1"/>
  <c r="K1265" i="6" a="1"/>
  <c r="K1265" i="6" s="1"/>
  <c r="L1265" i="6" s="1"/>
  <c r="K1264" i="6" a="1"/>
  <c r="K1264" i="6" s="1"/>
  <c r="L1264" i="6" s="1"/>
  <c r="K1244" i="6" a="1"/>
  <c r="K1244" i="6" s="1"/>
  <c r="L1244" i="6" s="1"/>
  <c r="K1237" i="6" a="1"/>
  <c r="K1237" i="6" s="1"/>
  <c r="L1237" i="6" s="1"/>
  <c r="M1237" i="6" s="1"/>
  <c r="P1237" i="6" s="1"/>
  <c r="K1217" i="6" a="1"/>
  <c r="K1217" i="6" s="1"/>
  <c r="L1217" i="6" s="1"/>
  <c r="O1217" i="6" s="1"/>
  <c r="K1204" i="6" a="1"/>
  <c r="K1204" i="6" s="1"/>
  <c r="L1204" i="6" s="1"/>
  <c r="K1184" i="6" a="1"/>
  <c r="K1184" i="6" s="1"/>
  <c r="L1184" i="6" s="1"/>
  <c r="O1184" i="6" s="1"/>
  <c r="K1182" i="6" a="1"/>
  <c r="K1182" i="6" s="1"/>
  <c r="L1182" i="6" s="1"/>
  <c r="K1173" i="6" a="1"/>
  <c r="K1173" i="6" s="1"/>
  <c r="L1173" i="6" s="1"/>
  <c r="K1166" i="6" a="1"/>
  <c r="K1166" i="6" s="1"/>
  <c r="L1166" i="6" s="1"/>
  <c r="O1166" i="6" s="1"/>
  <c r="K1165" i="6" a="1"/>
  <c r="K1165" i="6" s="1"/>
  <c r="L1165" i="6" s="1"/>
  <c r="K1157" i="6" a="1"/>
  <c r="K1157" i="6" s="1"/>
  <c r="L1157" i="6" s="1"/>
  <c r="K1156" i="6" a="1"/>
  <c r="K1156" i="6" s="1"/>
  <c r="L1156" i="6" s="1"/>
  <c r="O1156" i="6" s="1"/>
  <c r="K1155" i="6" a="1"/>
  <c r="K1155" i="6" s="1"/>
  <c r="L1155" i="6" s="1"/>
  <c r="K1140" i="6" a="1"/>
  <c r="K1140" i="6" s="1"/>
  <c r="L1140" i="6" s="1"/>
  <c r="K1122" i="6" a="1"/>
  <c r="K1122" i="6" s="1"/>
  <c r="L1122" i="6" s="1"/>
  <c r="K1102" i="6" a="1"/>
  <c r="K1102" i="6" s="1"/>
  <c r="L1102" i="6" s="1"/>
  <c r="M1102" i="6" s="1"/>
  <c r="P1102" i="6" s="1"/>
  <c r="K1101" i="6" a="1"/>
  <c r="K1101" i="6" s="1"/>
  <c r="L1101" i="6" s="1"/>
  <c r="O1101" i="6" s="1"/>
  <c r="K1100" i="6" a="1"/>
  <c r="K1100" i="6" s="1"/>
  <c r="L1100" i="6" s="1"/>
  <c r="K1073" i="6" a="1"/>
  <c r="K1073" i="6" s="1"/>
  <c r="L1073" i="6" s="1"/>
  <c r="K1020" i="6" a="1"/>
  <c r="K1020" i="6" s="1"/>
  <c r="L1020" i="6" s="1"/>
  <c r="O1020" i="6" s="1"/>
  <c r="K1004" i="6" a="1"/>
  <c r="K1004" i="6" s="1"/>
  <c r="L1004" i="6" s="1"/>
  <c r="K944" i="6" a="1"/>
  <c r="K944" i="6" s="1"/>
  <c r="L944" i="6" s="1"/>
  <c r="O944" i="6" s="1"/>
  <c r="K943" i="6" a="1"/>
  <c r="K943" i="6" s="1"/>
  <c r="L943" i="6" s="1"/>
  <c r="K928" i="6" a="1"/>
  <c r="K928" i="6" s="1"/>
  <c r="L928" i="6" s="1"/>
  <c r="M928" i="6" s="1"/>
  <c r="P928" i="6" s="1"/>
  <c r="K927" i="6" a="1"/>
  <c r="K927" i="6" s="1"/>
  <c r="L927" i="6" s="1"/>
  <c r="O927" i="6" s="1"/>
  <c r="K926" i="6" a="1"/>
  <c r="K926" i="6" s="1"/>
  <c r="L926" i="6" s="1"/>
  <c r="K902" i="6" a="1"/>
  <c r="K902" i="6" s="1"/>
  <c r="L902" i="6" s="1"/>
  <c r="M902" i="6" s="1"/>
  <c r="P902" i="6" s="1"/>
  <c r="K892" i="6" a="1"/>
  <c r="K892" i="6" s="1"/>
  <c r="L892" i="6" s="1"/>
  <c r="O892" i="6" s="1"/>
  <c r="K891" i="6" a="1"/>
  <c r="K891" i="6" s="1"/>
  <c r="L891" i="6" s="1"/>
  <c r="M891" i="6" s="1"/>
  <c r="P891" i="6" s="1"/>
  <c r="K878" i="6" a="1"/>
  <c r="K878" i="6" s="1"/>
  <c r="L878" i="6" s="1"/>
  <c r="K863" i="6" a="1"/>
  <c r="K863" i="6" s="1"/>
  <c r="L863" i="6" s="1"/>
  <c r="K826" i="6" a="1"/>
  <c r="K826" i="6" s="1"/>
  <c r="L826" i="6" s="1"/>
  <c r="K825" i="6" a="1"/>
  <c r="K825" i="6" s="1"/>
  <c r="L825" i="6" s="1"/>
  <c r="K815" i="6" a="1"/>
  <c r="K815" i="6" s="1"/>
  <c r="L815" i="6" s="1"/>
  <c r="K800" i="6" a="1"/>
  <c r="K800" i="6" s="1"/>
  <c r="L800" i="6" s="1"/>
  <c r="O800" i="6" s="1"/>
  <c r="K793" i="6" a="1"/>
  <c r="K793" i="6" s="1"/>
  <c r="L793" i="6" s="1"/>
  <c r="K783" i="6" a="1"/>
  <c r="K783" i="6" s="1"/>
  <c r="L783" i="6" s="1"/>
  <c r="O783" i="6" s="1"/>
  <c r="K778" i="6" a="1"/>
  <c r="K778" i="6" s="1"/>
  <c r="L778" i="6" s="1"/>
  <c r="K775" i="6" a="1"/>
  <c r="K775" i="6" s="1"/>
  <c r="L775" i="6" s="1"/>
  <c r="K769" i="6" a="1"/>
  <c r="K769" i="6" s="1"/>
  <c r="L769" i="6" s="1"/>
  <c r="K762" i="6" a="1"/>
  <c r="K762" i="6" s="1"/>
  <c r="L762" i="6" s="1"/>
  <c r="K750" i="6" a="1"/>
  <c r="K750" i="6" s="1"/>
  <c r="L750" i="6" s="1"/>
  <c r="K742" i="6" a="1"/>
  <c r="K742" i="6" s="1"/>
  <c r="L742" i="6" s="1"/>
  <c r="K741" i="6" a="1"/>
  <c r="K741" i="6" s="1"/>
  <c r="L741" i="6" s="1"/>
  <c r="O741" i="6" s="1"/>
  <c r="K740" i="6" a="1"/>
  <c r="K740" i="6" s="1"/>
  <c r="L740" i="6" s="1"/>
  <c r="K726" i="6" a="1"/>
  <c r="K726" i="6" s="1"/>
  <c r="L726" i="6" s="1"/>
  <c r="K725" i="6" a="1"/>
  <c r="K725" i="6" s="1"/>
  <c r="L725" i="6" s="1"/>
  <c r="K717" i="6" a="1"/>
  <c r="K717" i="6" s="1"/>
  <c r="L717" i="6" s="1"/>
  <c r="K703" i="6" a="1"/>
  <c r="K703" i="6" s="1"/>
  <c r="L703" i="6" s="1"/>
  <c r="K691" i="6" a="1"/>
  <c r="K691" i="6" s="1"/>
  <c r="L691" i="6" s="1"/>
  <c r="K672" i="6" a="1"/>
  <c r="K672" i="6" s="1"/>
  <c r="L672" i="6" s="1"/>
  <c r="K663" i="6" a="1"/>
  <c r="K663" i="6" s="1"/>
  <c r="L663" i="6" s="1"/>
  <c r="K596" i="6" a="1"/>
  <c r="K596" i="6" s="1"/>
  <c r="L596" i="6" s="1"/>
  <c r="K538" i="6" a="1"/>
  <c r="K538" i="6" s="1"/>
  <c r="L538" i="6" s="1"/>
  <c r="K448" i="6" a="1"/>
  <c r="K448" i="6" s="1"/>
  <c r="L448" i="6" s="1"/>
  <c r="K399" i="6" a="1"/>
  <c r="K399" i="6" s="1"/>
  <c r="L399" i="6" s="1"/>
  <c r="K357" i="6" a="1"/>
  <c r="K357" i="6" s="1"/>
  <c r="L357" i="6" s="1"/>
  <c r="K315" i="6" a="1"/>
  <c r="K315" i="6" s="1"/>
  <c r="L315" i="6" s="1"/>
  <c r="K91" i="6" a="1"/>
  <c r="K91" i="6" s="1"/>
  <c r="L91" i="6" s="1"/>
  <c r="K83" i="6" a="1"/>
  <c r="K83" i="6" s="1"/>
  <c r="L83" i="6" s="1"/>
  <c r="K1962" i="6" a="1"/>
  <c r="K1962" i="6" s="1"/>
  <c r="L1962" i="6" s="1"/>
  <c r="K531" i="6" a="1"/>
  <c r="K531" i="6" s="1"/>
  <c r="L531" i="6" s="1"/>
  <c r="K487" i="6" a="1"/>
  <c r="K487" i="6" s="1"/>
  <c r="L487" i="6" s="1"/>
  <c r="K468" i="6" a="1"/>
  <c r="K468" i="6" s="1"/>
  <c r="L468" i="6" s="1"/>
  <c r="K530" i="6" a="1"/>
  <c r="K530" i="6" s="1"/>
  <c r="L530" i="6" s="1"/>
  <c r="K486" i="6" a="1"/>
  <c r="K486" i="6" s="1"/>
  <c r="L486" i="6" s="1"/>
  <c r="K467" i="6" a="1"/>
  <c r="K467" i="6" s="1"/>
  <c r="L467" i="6" s="1"/>
  <c r="K1889" i="6" a="1"/>
  <c r="K1889" i="6" s="1"/>
  <c r="L1889" i="6" s="1"/>
  <c r="K1862" i="6" a="1"/>
  <c r="K1862" i="6" s="1"/>
  <c r="L1862" i="6" s="1"/>
  <c r="K1762" i="6" a="1"/>
  <c r="K1762" i="6" s="1"/>
  <c r="L1762" i="6" s="1"/>
  <c r="K1752" i="6" a="1"/>
  <c r="K1752" i="6" s="1"/>
  <c r="L1752" i="6" s="1"/>
  <c r="K1700" i="6" a="1"/>
  <c r="K1700" i="6" s="1"/>
  <c r="L1700" i="6" s="1"/>
  <c r="K1699" i="6" a="1"/>
  <c r="K1699" i="6" s="1"/>
  <c r="L1699" i="6" s="1"/>
  <c r="K1698" i="6" a="1"/>
  <c r="K1698" i="6" s="1"/>
  <c r="L1698" i="6" s="1"/>
  <c r="K1655" i="6" a="1"/>
  <c r="K1655" i="6" s="1"/>
  <c r="L1655" i="6" s="1"/>
  <c r="K1629" i="6" a="1"/>
  <c r="K1629" i="6" s="1"/>
  <c r="L1629" i="6" s="1"/>
  <c r="K1619" i="6" a="1"/>
  <c r="K1619" i="6" s="1"/>
  <c r="L1619" i="6" s="1"/>
  <c r="K1595" i="6" a="1"/>
  <c r="K1595" i="6" s="1"/>
  <c r="L1595" i="6" s="1"/>
  <c r="K1594" i="6" a="1"/>
  <c r="K1594" i="6" s="1"/>
  <c r="L1594" i="6" s="1"/>
  <c r="K1593" i="6" a="1"/>
  <c r="K1593" i="6" s="1"/>
  <c r="L1593" i="6" s="1"/>
  <c r="K1571" i="6" a="1"/>
  <c r="K1571" i="6" s="1"/>
  <c r="L1571" i="6" s="1"/>
  <c r="K1570" i="6" a="1"/>
  <c r="K1570" i="6" s="1"/>
  <c r="L1570" i="6" s="1"/>
  <c r="K1566" i="6" a="1"/>
  <c r="K1566" i="6" s="1"/>
  <c r="L1566" i="6" s="1"/>
  <c r="K1565" i="6" a="1"/>
  <c r="K1565" i="6" s="1"/>
  <c r="L1565" i="6" s="1"/>
  <c r="K1561" i="6" a="1"/>
  <c r="K1561" i="6" s="1"/>
  <c r="L1561" i="6" s="1"/>
  <c r="K1550" i="6" a="1"/>
  <c r="K1550" i="6" s="1"/>
  <c r="L1550" i="6" s="1"/>
  <c r="K1549" i="6" a="1"/>
  <c r="K1549" i="6" s="1"/>
  <c r="L1549" i="6" s="1"/>
  <c r="K1548" i="6" a="1"/>
  <c r="K1548" i="6" s="1"/>
  <c r="L1548" i="6" s="1"/>
  <c r="K1541" i="6" a="1"/>
  <c r="K1541" i="6" s="1"/>
  <c r="L1541" i="6" s="1"/>
  <c r="K1510" i="6" a="1"/>
  <c r="K1510" i="6" s="1"/>
  <c r="L1510" i="6" s="1"/>
  <c r="K1509" i="6" a="1"/>
  <c r="K1509" i="6" s="1"/>
  <c r="L1509" i="6" s="1"/>
  <c r="K1488" i="6" a="1"/>
  <c r="K1488" i="6" s="1"/>
  <c r="L1488" i="6" s="1"/>
  <c r="K1487" i="6" a="1"/>
  <c r="K1487" i="6" s="1"/>
  <c r="L1487" i="6" s="1"/>
  <c r="K1472" i="6" a="1"/>
  <c r="K1472" i="6" s="1"/>
  <c r="L1472" i="6" s="1"/>
  <c r="K1451" i="6" a="1"/>
  <c r="K1451" i="6" s="1"/>
  <c r="L1451" i="6" s="1"/>
  <c r="K1435" i="6" a="1"/>
  <c r="K1435" i="6" s="1"/>
  <c r="L1435" i="6" s="1"/>
  <c r="K1405" i="6" a="1"/>
  <c r="K1405" i="6" s="1"/>
  <c r="L1405" i="6" s="1"/>
  <c r="K1286" i="6" a="1"/>
  <c r="K1286" i="6" s="1"/>
  <c r="L1286" i="6" s="1"/>
  <c r="K1236" i="6" a="1"/>
  <c r="K1236" i="6" s="1"/>
  <c r="L1236" i="6" s="1"/>
  <c r="K1154" i="6" a="1"/>
  <c r="K1154" i="6" s="1"/>
  <c r="L1154" i="6" s="1"/>
  <c r="K1099" i="6" a="1"/>
  <c r="K1099" i="6" s="1"/>
  <c r="L1099" i="6" s="1"/>
  <c r="K1081" i="6" a="1"/>
  <c r="K1081" i="6" s="1"/>
  <c r="L1081" i="6" s="1"/>
  <c r="K1044" i="6" a="1"/>
  <c r="K1044" i="6" s="1"/>
  <c r="L1044" i="6" s="1"/>
  <c r="K1038" i="6" a="1"/>
  <c r="K1038" i="6" s="1"/>
  <c r="L1038" i="6" s="1"/>
  <c r="K1037" i="6" a="1"/>
  <c r="K1037" i="6" s="1"/>
  <c r="L1037" i="6" s="1"/>
  <c r="K1036" i="6" a="1"/>
  <c r="K1036" i="6" s="1"/>
  <c r="L1036" i="6" s="1"/>
  <c r="K1035" i="6" a="1"/>
  <c r="K1035" i="6" s="1"/>
  <c r="L1035" i="6" s="1"/>
  <c r="K1027" i="6" a="1"/>
  <c r="K1027" i="6" s="1"/>
  <c r="L1027" i="6" s="1"/>
  <c r="K1026" i="6" a="1"/>
  <c r="K1026" i="6" s="1"/>
  <c r="L1026" i="6" s="1"/>
  <c r="K1015" i="6" a="1"/>
  <c r="K1015" i="6" s="1"/>
  <c r="L1015" i="6" s="1"/>
  <c r="K1014" i="6" a="1"/>
  <c r="K1014" i="6" s="1"/>
  <c r="L1014" i="6" s="1"/>
  <c r="K997" i="6" a="1"/>
  <c r="K997" i="6" s="1"/>
  <c r="L997" i="6" s="1"/>
  <c r="K996" i="6" a="1"/>
  <c r="K996" i="6" s="1"/>
  <c r="L996" i="6" s="1"/>
  <c r="K995" i="6" a="1"/>
  <c r="K995" i="6" s="1"/>
  <c r="L995" i="6" s="1"/>
  <c r="K994" i="6" a="1"/>
  <c r="K994" i="6" s="1"/>
  <c r="L994" i="6" s="1"/>
  <c r="K953" i="6" a="1"/>
  <c r="K953" i="6" s="1"/>
  <c r="L953" i="6" s="1"/>
  <c r="K952" i="6" a="1"/>
  <c r="K952" i="6" s="1"/>
  <c r="L952" i="6" s="1"/>
  <c r="K925" i="6" a="1"/>
  <c r="K925" i="6" s="1"/>
  <c r="L925" i="6" s="1"/>
  <c r="K912" i="6" a="1"/>
  <c r="K912" i="6" s="1"/>
  <c r="L912" i="6" s="1"/>
  <c r="K886" i="6" a="1"/>
  <c r="K886" i="6" s="1"/>
  <c r="L886" i="6" s="1"/>
  <c r="K885" i="6" a="1"/>
  <c r="K885" i="6" s="1"/>
  <c r="L885" i="6" s="1"/>
  <c r="K862" i="6" a="1"/>
  <c r="K862" i="6" s="1"/>
  <c r="L862" i="6" s="1"/>
  <c r="K849" i="6" a="1"/>
  <c r="K849" i="6" s="1"/>
  <c r="L849" i="6" s="1"/>
  <c r="K789" i="6" a="1"/>
  <c r="K789" i="6" s="1"/>
  <c r="L789" i="6" s="1"/>
  <c r="K782" i="6" a="1"/>
  <c r="K782" i="6" s="1"/>
  <c r="L782" i="6" s="1"/>
  <c r="K761" i="6" a="1"/>
  <c r="K761" i="6" s="1"/>
  <c r="L761" i="6" s="1"/>
  <c r="K724" i="6" a="1"/>
  <c r="K724" i="6" s="1"/>
  <c r="L724" i="6" s="1"/>
  <c r="K697" i="6" a="1"/>
  <c r="K697" i="6" s="1"/>
  <c r="L697" i="6" s="1"/>
  <c r="K683" i="6" a="1"/>
  <c r="K683" i="6" s="1"/>
  <c r="L683" i="6" s="1"/>
  <c r="K655" i="6" a="1"/>
  <c r="K655" i="6" s="1"/>
  <c r="L655" i="6" s="1"/>
  <c r="K632" i="6" a="1"/>
  <c r="K632" i="6" s="1"/>
  <c r="L632" i="6" s="1"/>
  <c r="K615" i="6" a="1"/>
  <c r="K615" i="6" s="1"/>
  <c r="L615" i="6" s="1"/>
  <c r="K595" i="6" a="1"/>
  <c r="K595" i="6" s="1"/>
  <c r="L595" i="6" s="1"/>
  <c r="K588" i="6" a="1"/>
  <c r="K588" i="6" s="1"/>
  <c r="L588" i="6" s="1"/>
  <c r="K557" i="6" a="1"/>
  <c r="K557" i="6" s="1"/>
  <c r="L557" i="6" s="1"/>
  <c r="K509" i="6" a="1"/>
  <c r="K509" i="6" s="1"/>
  <c r="L509" i="6" s="1"/>
  <c r="K499" i="6" a="1"/>
  <c r="K499" i="6" s="1"/>
  <c r="L499" i="6" s="1"/>
  <c r="K482" i="6" a="1"/>
  <c r="K482" i="6" s="1"/>
  <c r="L482" i="6" s="1"/>
  <c r="K466" i="6" a="1"/>
  <c r="K466" i="6" s="1"/>
  <c r="L466" i="6" s="1"/>
  <c r="K447" i="6" a="1"/>
  <c r="K447" i="6" s="1"/>
  <c r="L447" i="6" s="1"/>
  <c r="K437" i="6" a="1"/>
  <c r="K437" i="6" s="1"/>
  <c r="L437" i="6" s="1"/>
  <c r="K426" i="6" a="1"/>
  <c r="K426" i="6" s="1"/>
  <c r="L426" i="6" s="1"/>
  <c r="K412" i="6" a="1"/>
  <c r="K412" i="6" s="1"/>
  <c r="L412" i="6" s="1"/>
  <c r="K376" i="6" a="1"/>
  <c r="K376" i="6" s="1"/>
  <c r="L376" i="6" s="1"/>
  <c r="K369" i="6" a="1"/>
  <c r="K369" i="6" s="1"/>
  <c r="L369" i="6" s="1"/>
  <c r="K334" i="6" a="1"/>
  <c r="K334" i="6" s="1"/>
  <c r="L334" i="6" s="1"/>
  <c r="K333" i="6" a="1"/>
  <c r="K333" i="6" s="1"/>
  <c r="L333" i="6" s="1"/>
  <c r="K332" i="6" a="1"/>
  <c r="K332" i="6" s="1"/>
  <c r="L332" i="6" s="1"/>
  <c r="K322" i="6" a="1"/>
  <c r="K322" i="6" s="1"/>
  <c r="L322" i="6" s="1"/>
  <c r="K313" i="6" a="1"/>
  <c r="K313" i="6" s="1"/>
  <c r="L313" i="6" s="1"/>
  <c r="K298" i="6" a="1"/>
  <c r="K298" i="6" s="1"/>
  <c r="L298" i="6" s="1"/>
  <c r="K272" i="6" a="1"/>
  <c r="K272" i="6" s="1"/>
  <c r="L272" i="6" s="1"/>
  <c r="K261" i="6" a="1"/>
  <c r="K261" i="6" s="1"/>
  <c r="L261" i="6" s="1"/>
  <c r="K251" i="6" a="1"/>
  <c r="K251" i="6" s="1"/>
  <c r="L251" i="6" s="1"/>
  <c r="K232" i="6" a="1"/>
  <c r="K232" i="6" s="1"/>
  <c r="L232" i="6" s="1"/>
  <c r="K215" i="6" a="1"/>
  <c r="K215" i="6" s="1"/>
  <c r="L215" i="6" s="1"/>
  <c r="K201" i="6" a="1"/>
  <c r="K201" i="6" s="1"/>
  <c r="L201" i="6" s="1"/>
  <c r="K195" i="6" a="1"/>
  <c r="K195" i="6" s="1"/>
  <c r="L195" i="6" s="1"/>
  <c r="K189" i="6" a="1"/>
  <c r="K189" i="6" s="1"/>
  <c r="L189" i="6" s="1"/>
  <c r="K169" i="6" a="1"/>
  <c r="K169" i="6" s="1"/>
  <c r="L169" i="6" s="1"/>
  <c r="K163" i="6" a="1"/>
  <c r="K163" i="6" s="1"/>
  <c r="L163" i="6" s="1"/>
  <c r="K162" i="6" a="1"/>
  <c r="K162" i="6" s="1"/>
  <c r="L162" i="6" s="1"/>
  <c r="K157" i="6" a="1"/>
  <c r="K157" i="6" s="1"/>
  <c r="L157" i="6" s="1"/>
  <c r="K156" i="6" a="1"/>
  <c r="K156" i="6" s="1"/>
  <c r="L156" i="6" s="1"/>
  <c r="K148" i="6" a="1"/>
  <c r="K148" i="6" s="1"/>
  <c r="L148" i="6" s="1"/>
  <c r="K140" i="6" a="1"/>
  <c r="K140" i="6" s="1"/>
  <c r="L140" i="6" s="1"/>
  <c r="K131" i="6" a="1"/>
  <c r="K131" i="6" s="1"/>
  <c r="L131" i="6" s="1"/>
  <c r="K128" i="6" a="1"/>
  <c r="K128" i="6" s="1"/>
  <c r="L128" i="6" s="1"/>
  <c r="K122" i="6" a="1"/>
  <c r="K122" i="6" s="1"/>
  <c r="L122" i="6" s="1"/>
  <c r="K117" i="6" a="1"/>
  <c r="K117" i="6" s="1"/>
  <c r="L117" i="6" s="1"/>
  <c r="K116" i="6" a="1"/>
  <c r="K116" i="6" s="1"/>
  <c r="L116" i="6" s="1"/>
  <c r="K109" i="6" a="1"/>
  <c r="K109" i="6" s="1"/>
  <c r="L109" i="6" s="1"/>
  <c r="K100" i="6" a="1"/>
  <c r="K100" i="6" s="1"/>
  <c r="L100" i="6" s="1"/>
  <c r="K82" i="6" a="1"/>
  <c r="K82" i="6" s="1"/>
  <c r="L82" i="6" s="1"/>
  <c r="K48" i="6" a="1"/>
  <c r="K48" i="6" s="1"/>
  <c r="L48" i="6" s="1"/>
  <c r="K1961" i="6" a="1"/>
  <c r="K1961" i="6" s="1"/>
  <c r="L1961" i="6" s="1"/>
  <c r="K1932" i="6" a="1"/>
  <c r="K1932" i="6" s="1"/>
  <c r="L1932" i="6" s="1"/>
  <c r="K1941" i="6" a="1"/>
  <c r="K1941" i="6" s="1"/>
  <c r="L1941" i="6" s="1"/>
  <c r="K1861" i="6" a="1"/>
  <c r="K1861" i="6" s="1"/>
  <c r="L1861" i="6" s="1"/>
  <c r="K1848" i="6" a="1"/>
  <c r="K1848" i="6" s="1"/>
  <c r="L1848" i="6" s="1"/>
  <c r="K1828" i="6" a="1"/>
  <c r="K1828" i="6" s="1"/>
  <c r="L1828" i="6" s="1"/>
  <c r="K1827" i="6" a="1"/>
  <c r="K1827" i="6" s="1"/>
  <c r="L1827" i="6" s="1"/>
  <c r="K1802" i="6" a="1"/>
  <c r="K1802" i="6" s="1"/>
  <c r="L1802" i="6" s="1"/>
  <c r="K1771" i="6" a="1"/>
  <c r="K1771" i="6" s="1"/>
  <c r="L1771" i="6" s="1"/>
  <c r="K1770" i="6" a="1"/>
  <c r="K1770" i="6" s="1"/>
  <c r="L1770" i="6" s="1"/>
  <c r="K1686" i="6" a="1"/>
  <c r="K1686" i="6" s="1"/>
  <c r="L1686" i="6" s="1"/>
  <c r="K1648" i="6" a="1"/>
  <c r="K1648" i="6" s="1"/>
  <c r="L1648" i="6" s="1"/>
  <c r="K1589" i="6" a="1"/>
  <c r="K1589" i="6" s="1"/>
  <c r="L1589" i="6" s="1"/>
  <c r="K1574" i="6" a="1"/>
  <c r="K1574" i="6" s="1"/>
  <c r="L1574" i="6" s="1"/>
  <c r="K1514" i="6" a="1"/>
  <c r="K1514" i="6" s="1"/>
  <c r="L1514" i="6" s="1"/>
  <c r="K1505" i="6" a="1"/>
  <c r="K1505" i="6" s="1"/>
  <c r="L1505" i="6" s="1"/>
  <c r="K1153" i="6" a="1"/>
  <c r="K1153" i="6" s="1"/>
  <c r="L1153" i="6" s="1"/>
  <c r="K1152" i="6" a="1"/>
  <c r="K1152" i="6" s="1"/>
  <c r="L1152" i="6" s="1"/>
  <c r="K1172" i="6" a="1"/>
  <c r="K1172" i="6" s="1"/>
  <c r="L1172" i="6" s="1"/>
  <c r="K690" i="6" a="1"/>
  <c r="K690" i="6" s="1"/>
  <c r="L690" i="6" s="1"/>
  <c r="K291" i="6" a="1"/>
  <c r="K291" i="6" s="1"/>
  <c r="L291" i="6" s="1"/>
  <c r="K271" i="6" a="1"/>
  <c r="K271" i="6" s="1"/>
  <c r="L271" i="6" s="1"/>
  <c r="K270" i="6" a="1"/>
  <c r="K270" i="6" s="1"/>
  <c r="L270" i="6" s="1"/>
  <c r="K235" i="6" a="1"/>
  <c r="K235" i="6" s="1"/>
  <c r="L235" i="6" s="1"/>
  <c r="K1874" i="6" a="1"/>
  <c r="K1874" i="6" s="1"/>
  <c r="L1874" i="6" s="1"/>
  <c r="K1837" i="6" a="1"/>
  <c r="K1837" i="6" s="1"/>
  <c r="L1837" i="6" s="1"/>
  <c r="K1801" i="6" a="1"/>
  <c r="K1801" i="6" s="1"/>
  <c r="L1801" i="6" s="1"/>
  <c r="K1685" i="6" a="1"/>
  <c r="K1685" i="6" s="1"/>
  <c r="L1685" i="6" s="1"/>
  <c r="K1628" i="6" a="1"/>
  <c r="K1628" i="6" s="1"/>
  <c r="L1628" i="6" s="1"/>
  <c r="K1573" i="6" a="1"/>
  <c r="K1573" i="6" s="1"/>
  <c r="L1573" i="6" s="1"/>
  <c r="K1540" i="6" a="1"/>
  <c r="K1540" i="6" s="1"/>
  <c r="L1540" i="6" s="1"/>
  <c r="K1358" i="6" a="1"/>
  <c r="K1358" i="6" s="1"/>
  <c r="L1358" i="6" s="1"/>
  <c r="K1235" i="6" a="1"/>
  <c r="K1235" i="6" s="1"/>
  <c r="L1235" i="6" s="1"/>
  <c r="K911" i="6" a="1"/>
  <c r="K911" i="6" s="1"/>
  <c r="L911" i="6" s="1"/>
  <c r="K824" i="6" a="1"/>
  <c r="K824" i="6" s="1"/>
  <c r="L824" i="6" s="1"/>
  <c r="K814" i="6" a="1"/>
  <c r="K814" i="6" s="1"/>
  <c r="L814" i="6" s="1"/>
  <c r="K788" i="6" a="1"/>
  <c r="K788" i="6" s="1"/>
  <c r="L788" i="6" s="1"/>
  <c r="K604" i="6" a="1"/>
  <c r="K604" i="6" s="1"/>
  <c r="L604" i="6" s="1"/>
  <c r="K304" i="6" a="1"/>
  <c r="K304" i="6" s="1"/>
  <c r="L304" i="6" s="1"/>
  <c r="K155" i="6" a="1"/>
  <c r="K155" i="6" s="1"/>
  <c r="L155" i="6" s="1"/>
  <c r="K139" i="6" a="1"/>
  <c r="K139" i="6" s="1"/>
  <c r="L139" i="6" s="1"/>
  <c r="K99" i="6" a="1"/>
  <c r="K99" i="6" s="1"/>
  <c r="L99" i="6" s="1"/>
  <c r="M99" i="6" s="1"/>
  <c r="P99" i="6" s="1"/>
  <c r="K38" i="6" a="1"/>
  <c r="K38" i="6" s="1"/>
  <c r="L38" i="6" s="1"/>
  <c r="O38" i="6" s="1"/>
  <c r="K1920" i="6" a="1"/>
  <c r="K1920" i="6" s="1"/>
  <c r="L1920" i="6" s="1"/>
  <c r="K1926" i="6" a="1"/>
  <c r="K1926" i="6" s="1"/>
  <c r="L1926" i="6" s="1"/>
  <c r="K1896" i="6" a="1"/>
  <c r="K1896" i="6" s="1"/>
  <c r="L1896" i="6" s="1"/>
  <c r="K1826" i="6" a="1"/>
  <c r="K1826" i="6" s="1"/>
  <c r="L1826" i="6" s="1"/>
  <c r="K1737" i="6" a="1"/>
  <c r="K1737" i="6" s="1"/>
  <c r="L1737" i="6" s="1"/>
  <c r="K1925" i="6" a="1"/>
  <c r="K1925" i="6" s="1"/>
  <c r="L1925" i="6" s="1"/>
  <c r="K1895" i="6" a="1"/>
  <c r="K1895" i="6" s="1"/>
  <c r="L1895" i="6" s="1"/>
  <c r="M1895" i="6" s="1"/>
  <c r="P1895" i="6" s="1"/>
  <c r="K1736" i="6" a="1"/>
  <c r="K1736" i="6" s="1"/>
  <c r="L1736" i="6" s="1"/>
  <c r="O1736" i="6" s="1"/>
  <c r="K1960" i="6" a="1"/>
  <c r="K1960" i="6" s="1"/>
  <c r="L1960" i="6" s="1"/>
  <c r="K1919" i="6" a="1"/>
  <c r="K1919" i="6" s="1"/>
  <c r="L1919" i="6" s="1"/>
  <c r="K1917" i="6" a="1"/>
  <c r="K1917" i="6" s="1"/>
  <c r="L1917" i="6" s="1"/>
  <c r="K1916" i="6" a="1"/>
  <c r="K1916" i="6" s="1"/>
  <c r="L1916" i="6" s="1"/>
  <c r="K1915" i="6" a="1"/>
  <c r="K1915" i="6" s="1"/>
  <c r="L1915" i="6" s="1"/>
  <c r="K1940" i="6" a="1"/>
  <c r="K1940" i="6" s="1"/>
  <c r="L1940" i="6" s="1"/>
  <c r="K1924" i="6" a="1"/>
  <c r="K1924" i="6" s="1"/>
  <c r="L1924" i="6" s="1"/>
  <c r="K1907" i="6" a="1"/>
  <c r="K1907" i="6" s="1"/>
  <c r="L1907" i="6" s="1"/>
  <c r="O1907" i="6" s="1"/>
  <c r="K1906" i="6" a="1"/>
  <c r="K1906" i="6" s="1"/>
  <c r="L1906" i="6" s="1"/>
  <c r="K1884" i="6" a="1"/>
  <c r="K1884" i="6" s="1"/>
  <c r="L1884" i="6" s="1"/>
  <c r="K1883" i="6" a="1"/>
  <c r="K1883" i="6" s="1"/>
  <c r="L1883" i="6" s="1"/>
  <c r="K1873" i="6" a="1"/>
  <c r="K1873" i="6" s="1"/>
  <c r="L1873" i="6" s="1"/>
  <c r="K1868" i="6" a="1"/>
  <c r="K1868" i="6" s="1"/>
  <c r="L1868" i="6" s="1"/>
  <c r="K1867" i="6" a="1"/>
  <c r="K1867" i="6" s="1"/>
  <c r="L1867" i="6" s="1"/>
  <c r="K1860" i="6" a="1"/>
  <c r="K1860" i="6" s="1"/>
  <c r="L1860" i="6" s="1"/>
  <c r="K1859" i="6" a="1"/>
  <c r="K1859" i="6" s="1"/>
  <c r="L1859" i="6" s="1"/>
  <c r="O1859" i="6" s="1"/>
  <c r="K1856" i="6" a="1"/>
  <c r="K1856" i="6" s="1"/>
  <c r="L1856" i="6" s="1"/>
  <c r="K1825" i="6" a="1"/>
  <c r="K1825" i="6" s="1"/>
  <c r="L1825" i="6" s="1"/>
  <c r="M1825" i="6" s="1"/>
  <c r="P1825" i="6" s="1"/>
  <c r="K1824" i="6" a="1"/>
  <c r="K1824" i="6" s="1"/>
  <c r="L1824" i="6" s="1"/>
  <c r="O1824" i="6" s="1"/>
  <c r="K1823" i="6" a="1"/>
  <c r="K1823" i="6" s="1"/>
  <c r="L1823" i="6" s="1"/>
  <c r="K1794" i="6" a="1"/>
  <c r="K1794" i="6" s="1"/>
  <c r="L1794" i="6" s="1"/>
  <c r="K1793" i="6" a="1"/>
  <c r="K1793" i="6" s="1"/>
  <c r="L1793" i="6" s="1"/>
  <c r="K1789" i="6" a="1"/>
  <c r="K1789" i="6" s="1"/>
  <c r="L1789" i="6" s="1"/>
  <c r="M1789" i="6" s="1"/>
  <c r="P1789" i="6" s="1"/>
  <c r="K1788" i="6" a="1"/>
  <c r="K1788" i="6" s="1"/>
  <c r="L1788" i="6" s="1"/>
  <c r="O1788" i="6" s="1"/>
  <c r="K1787" i="6" a="1"/>
  <c r="K1787" i="6" s="1"/>
  <c r="L1787" i="6" s="1"/>
  <c r="K1785" i="6" a="1"/>
  <c r="K1785" i="6" s="1"/>
  <c r="L1785" i="6" s="1"/>
  <c r="K1781" i="6" a="1"/>
  <c r="K1781" i="6" s="1"/>
  <c r="L1781" i="6" s="1"/>
  <c r="O1781" i="6" s="1"/>
  <c r="K1780" i="6" a="1"/>
  <c r="K1780" i="6" s="1"/>
  <c r="L1780" i="6" s="1"/>
  <c r="K1779" i="6" a="1"/>
  <c r="K1779" i="6" s="1"/>
  <c r="L1779" i="6" s="1"/>
  <c r="K1778" i="6" a="1"/>
  <c r="K1778" i="6" s="1"/>
  <c r="L1778" i="6" s="1"/>
  <c r="K1761" i="6" a="1"/>
  <c r="K1761" i="6" s="1"/>
  <c r="L1761" i="6" s="1"/>
  <c r="M1761" i="6" s="1"/>
  <c r="P1761" i="6" s="1"/>
  <c r="K1753" i="6" a="1"/>
  <c r="K1753" i="6" s="1"/>
  <c r="L1753" i="6" s="1"/>
  <c r="O1753" i="6" s="1"/>
  <c r="K1751" i="6" a="1"/>
  <c r="K1751" i="6" s="1"/>
  <c r="L1751" i="6" s="1"/>
  <c r="K1735" i="6" a="1"/>
  <c r="K1735" i="6" s="1"/>
  <c r="L1735" i="6" s="1"/>
  <c r="K1734" i="6" a="1"/>
  <c r="K1734" i="6" s="1"/>
  <c r="L1734" i="6" s="1"/>
  <c r="K1733" i="6" a="1"/>
  <c r="K1733" i="6" s="1"/>
  <c r="L1733" i="6" s="1"/>
  <c r="K1727" i="6" a="1"/>
  <c r="K1727" i="6" s="1"/>
  <c r="L1727" i="6" s="1"/>
  <c r="O1727" i="6" s="1"/>
  <c r="K1726" i="6" a="1"/>
  <c r="K1726" i="6" s="1"/>
  <c r="L1726" i="6" s="1"/>
  <c r="K1724" i="6" a="1"/>
  <c r="K1724" i="6" s="1"/>
  <c r="L1724" i="6" s="1"/>
  <c r="M1724" i="6" s="1"/>
  <c r="P1724" i="6" s="1"/>
  <c r="K1697" i="6" a="1"/>
  <c r="K1697" i="6" s="1"/>
  <c r="L1697" i="6" s="1"/>
  <c r="O1697" i="6" s="1"/>
  <c r="K1696" i="6" a="1"/>
  <c r="K1696" i="6" s="1"/>
  <c r="L1696" i="6" s="1"/>
  <c r="K1684" i="6" a="1"/>
  <c r="K1684" i="6" s="1"/>
  <c r="L1684" i="6" s="1"/>
  <c r="K1671" i="6" a="1"/>
  <c r="K1671" i="6" s="1"/>
  <c r="L1671" i="6" s="1"/>
  <c r="K1666" i="6" a="1"/>
  <c r="K1666" i="6" s="1"/>
  <c r="L1666" i="6" s="1"/>
  <c r="M1666" i="6" s="1"/>
  <c r="P1666" i="6" s="1"/>
  <c r="K1661" i="6" a="1"/>
  <c r="K1661" i="6" s="1"/>
  <c r="L1661" i="6" s="1"/>
  <c r="K1660" i="6" a="1"/>
  <c r="K1660" i="6" s="1"/>
  <c r="L1660" i="6" s="1"/>
  <c r="O1660" i="6" s="1"/>
  <c r="K1657" i="6" a="1"/>
  <c r="K1657" i="6" s="1"/>
  <c r="L1657" i="6" s="1"/>
  <c r="K1654" i="6" a="1"/>
  <c r="K1654" i="6" s="1"/>
  <c r="L1654" i="6" s="1"/>
  <c r="O1654" i="6" s="1"/>
  <c r="K1653" i="6" a="1"/>
  <c r="K1653" i="6" s="1"/>
  <c r="L1653" i="6" s="1"/>
  <c r="O1653" i="6" s="1"/>
  <c r="K1647" i="6" a="1"/>
  <c r="K1647" i="6" s="1"/>
  <c r="L1647" i="6" s="1"/>
  <c r="K1646" i="6" a="1"/>
  <c r="K1646" i="6" s="1"/>
  <c r="L1646" i="6" s="1"/>
  <c r="O1646" i="6" s="1"/>
  <c r="K1645" i="6" a="1"/>
  <c r="K1645" i="6" s="1"/>
  <c r="L1645" i="6" s="1"/>
  <c r="K1644" i="6" a="1"/>
  <c r="K1644" i="6" s="1"/>
  <c r="L1644" i="6" s="1"/>
  <c r="O1644" i="6" s="1"/>
  <c r="K1618" i="6" a="1"/>
  <c r="K1618" i="6" s="1"/>
  <c r="L1618" i="6" s="1"/>
  <c r="K1612" i="6" a="1"/>
  <c r="K1612" i="6" s="1"/>
  <c r="L1612" i="6" s="1"/>
  <c r="M1612" i="6" s="1"/>
  <c r="P1612" i="6" s="1"/>
  <c r="K1611" i="6" a="1"/>
  <c r="K1611" i="6" s="1"/>
  <c r="L1611" i="6" s="1"/>
  <c r="K1598" i="6" a="1"/>
  <c r="K1598" i="6" s="1"/>
  <c r="L1598" i="6" s="1"/>
  <c r="K1588" i="6" a="1"/>
  <c r="K1588" i="6" s="1"/>
  <c r="L1588" i="6" s="1"/>
  <c r="K1587" i="6" a="1"/>
  <c r="K1587" i="6" s="1"/>
  <c r="L1587" i="6" s="1"/>
  <c r="O1587" i="6" s="1"/>
  <c r="K1586" i="6" a="1"/>
  <c r="K1586" i="6" s="1"/>
  <c r="L1586" i="6" s="1"/>
  <c r="M1586" i="6" s="1"/>
  <c r="P1586" i="6" s="1"/>
  <c r="K1564" i="6" a="1"/>
  <c r="K1564" i="6" s="1"/>
  <c r="L1564" i="6" s="1"/>
  <c r="O1564" i="6" s="1"/>
  <c r="K1547" i="6" a="1"/>
  <c r="K1547" i="6" s="1"/>
  <c r="L1547" i="6" s="1"/>
  <c r="K1521" i="6" a="1"/>
  <c r="K1521" i="6" s="1"/>
  <c r="L1521" i="6" s="1"/>
  <c r="K1520" i="6" a="1"/>
  <c r="K1520" i="6" s="1"/>
  <c r="L1520" i="6" s="1"/>
  <c r="K1513" i="6" a="1"/>
  <c r="K1513" i="6" s="1"/>
  <c r="L1513" i="6" s="1"/>
  <c r="K1512" i="6" a="1"/>
  <c r="K1512" i="6" s="1"/>
  <c r="L1512" i="6" s="1"/>
  <c r="K1504" i="6" a="1"/>
  <c r="K1504" i="6" s="1"/>
  <c r="L1504" i="6" s="1"/>
  <c r="K1486" i="6" a="1"/>
  <c r="K1486" i="6" s="1"/>
  <c r="L1486" i="6" s="1"/>
  <c r="K1485" i="6" a="1"/>
  <c r="K1485" i="6" s="1"/>
  <c r="L1485" i="6" s="1"/>
  <c r="K1484" i="6" a="1"/>
  <c r="K1484" i="6" s="1"/>
  <c r="L1484" i="6" s="1"/>
  <c r="M1484" i="6" s="1"/>
  <c r="P1484" i="6" s="1"/>
  <c r="K1483" i="6" a="1"/>
  <c r="K1483" i="6" s="1"/>
  <c r="L1483" i="6" s="1"/>
  <c r="K1482" i="6" a="1"/>
  <c r="K1482" i="6" s="1"/>
  <c r="L1482" i="6" s="1"/>
  <c r="K1478" i="6" a="1"/>
  <c r="K1478" i="6" s="1"/>
  <c r="L1478" i="6" s="1"/>
  <c r="K1466" i="6" a="1"/>
  <c r="K1466" i="6" s="1"/>
  <c r="L1466" i="6" s="1"/>
  <c r="K1464" i="6" a="1"/>
  <c r="K1464" i="6" s="1"/>
  <c r="L1464" i="6" s="1"/>
  <c r="K1459" i="6" a="1"/>
  <c r="K1459" i="6" s="1"/>
  <c r="L1459" i="6" s="1"/>
  <c r="K1455" i="6" a="1"/>
  <c r="K1455" i="6" s="1"/>
  <c r="L1455" i="6" s="1"/>
  <c r="K1454" i="6" a="1"/>
  <c r="K1454" i="6" s="1"/>
  <c r="L1454" i="6" s="1"/>
  <c r="K1450" i="6" a="1"/>
  <c r="K1450" i="6" s="1"/>
  <c r="L1450" i="6" s="1"/>
  <c r="K1449" i="6" a="1"/>
  <c r="K1449" i="6" s="1"/>
  <c r="L1449" i="6" s="1"/>
  <c r="K1448" i="6" a="1"/>
  <c r="K1448" i="6" s="1"/>
  <c r="L1448" i="6" s="1"/>
  <c r="K1447" i="6" a="1"/>
  <c r="K1447" i="6" s="1"/>
  <c r="L1447" i="6" s="1"/>
  <c r="K1434" i="6" a="1"/>
  <c r="K1434" i="6" s="1"/>
  <c r="L1434" i="6" s="1"/>
  <c r="K1433" i="6" a="1"/>
  <c r="K1433" i="6" s="1"/>
  <c r="L1433" i="6" s="1"/>
  <c r="K1432" i="6" a="1"/>
  <c r="K1432" i="6" s="1"/>
  <c r="L1432" i="6" s="1"/>
  <c r="K1428" i="6" a="1"/>
  <c r="K1428" i="6" s="1"/>
  <c r="L1428" i="6" s="1"/>
  <c r="K1425" i="6" a="1"/>
  <c r="K1425" i="6" s="1"/>
  <c r="L1425" i="6" s="1"/>
  <c r="K1413" i="6" a="1"/>
  <c r="K1413" i="6" s="1"/>
  <c r="L1413" i="6" s="1"/>
  <c r="K1410" i="6" a="1"/>
  <c r="K1410" i="6" s="1"/>
  <c r="L1410" i="6" s="1"/>
  <c r="K1404" i="6" a="1"/>
  <c r="K1404" i="6" s="1"/>
  <c r="L1404" i="6" s="1"/>
  <c r="K1395" i="6" a="1"/>
  <c r="K1395" i="6" s="1"/>
  <c r="L1395" i="6" s="1"/>
  <c r="K1390" i="6" a="1"/>
  <c r="K1390" i="6" s="1"/>
  <c r="L1390" i="6" s="1"/>
  <c r="K1389" i="6" a="1"/>
  <c r="K1389" i="6" s="1"/>
  <c r="L1389" i="6" s="1"/>
  <c r="K1388" i="6" a="1"/>
  <c r="K1388" i="6" s="1"/>
  <c r="L1388" i="6" s="1"/>
  <c r="K1384" i="6" a="1"/>
  <c r="K1384" i="6" s="1"/>
  <c r="L1384" i="6" s="1"/>
  <c r="K1381" i="6" a="1"/>
  <c r="K1381" i="6" s="1"/>
  <c r="L1381" i="6" s="1"/>
  <c r="K1380" i="6" a="1"/>
  <c r="K1380" i="6" s="1"/>
  <c r="L1380" i="6" s="1"/>
  <c r="K1379" i="6" a="1"/>
  <c r="K1379" i="6" s="1"/>
  <c r="L1379" i="6" s="1"/>
  <c r="K1376" i="6" a="1"/>
  <c r="K1376" i="6" s="1"/>
  <c r="L1376" i="6" s="1"/>
  <c r="K1375" i="6" a="1"/>
  <c r="K1375" i="6" s="1"/>
  <c r="L1375" i="6" s="1"/>
  <c r="K1373" i="6" a="1"/>
  <c r="K1373" i="6" s="1"/>
  <c r="L1373" i="6" s="1"/>
  <c r="K1367" i="6" a="1"/>
  <c r="K1367" i="6" s="1"/>
  <c r="L1367" i="6" s="1"/>
  <c r="M1367" i="6" s="1"/>
  <c r="P1367" i="6" s="1"/>
  <c r="K1361" i="6" a="1"/>
  <c r="K1361" i="6" s="1"/>
  <c r="L1361" i="6" s="1"/>
  <c r="K1349" i="6" a="1"/>
  <c r="K1349" i="6" s="1"/>
  <c r="L1349" i="6" s="1"/>
  <c r="K1348" i="6" a="1"/>
  <c r="K1348" i="6" s="1"/>
  <c r="L1348" i="6" s="1"/>
  <c r="K1345" i="6" a="1"/>
  <c r="K1345" i="6" s="1"/>
  <c r="L1345" i="6" s="1"/>
  <c r="K1344" i="6" a="1"/>
  <c r="K1344" i="6" s="1"/>
  <c r="L1344" i="6" s="1"/>
  <c r="K1339" i="6" a="1"/>
  <c r="K1339" i="6" s="1"/>
  <c r="L1339" i="6" s="1"/>
  <c r="K1338" i="6" a="1"/>
  <c r="K1338" i="6" s="1"/>
  <c r="L1338" i="6" s="1"/>
  <c r="K1326" i="6" a="1"/>
  <c r="K1326" i="6" s="1"/>
  <c r="L1326" i="6" s="1"/>
  <c r="K1325" i="6" a="1"/>
  <c r="K1325" i="6" s="1"/>
  <c r="L1325" i="6" s="1"/>
  <c r="K1313" i="6" a="1"/>
  <c r="K1313" i="6" s="1"/>
  <c r="L1313" i="6" s="1"/>
  <c r="K1308" i="6" a="1"/>
  <c r="K1308" i="6" s="1"/>
  <c r="L1308" i="6" s="1"/>
  <c r="K1295" i="6" a="1"/>
  <c r="K1295" i="6" s="1"/>
  <c r="L1295" i="6" s="1"/>
  <c r="K1279" i="6" a="1"/>
  <c r="K1279" i="6" s="1"/>
  <c r="L1279" i="6" s="1"/>
  <c r="K1263" i="6" a="1"/>
  <c r="K1263" i="6" s="1"/>
  <c r="L1263" i="6" s="1"/>
  <c r="K1262" i="6" a="1"/>
  <c r="K1262" i="6" s="1"/>
  <c r="L1262" i="6" s="1"/>
  <c r="K1261" i="6" a="1"/>
  <c r="K1261" i="6" s="1"/>
  <c r="L1261" i="6" s="1"/>
  <c r="K1254" i="6" a="1"/>
  <c r="K1254" i="6" s="1"/>
  <c r="L1254" i="6" s="1"/>
  <c r="K1253" i="6" a="1"/>
  <c r="K1253" i="6" s="1"/>
  <c r="L1253" i="6" s="1"/>
  <c r="K1252" i="6" a="1"/>
  <c r="K1252" i="6" s="1"/>
  <c r="L1252" i="6" s="1"/>
  <c r="K1250" i="6" a="1"/>
  <c r="K1250" i="6" s="1"/>
  <c r="L1250" i="6" s="1"/>
  <c r="K1249" i="6" a="1"/>
  <c r="K1249" i="6" s="1"/>
  <c r="L1249" i="6" s="1"/>
  <c r="K1231" i="6" a="1"/>
  <c r="K1231" i="6" s="1"/>
  <c r="L1231" i="6" s="1"/>
  <c r="K1224" i="6" a="1"/>
  <c r="K1224" i="6" s="1"/>
  <c r="L1224" i="6" s="1"/>
  <c r="K1223" i="6" a="1"/>
  <c r="K1223" i="6" s="1"/>
  <c r="L1223" i="6" s="1"/>
  <c r="K1216" i="6" a="1"/>
  <c r="K1216" i="6" s="1"/>
  <c r="L1216" i="6" s="1"/>
  <c r="K1215" i="6" a="1"/>
  <c r="K1215" i="6" s="1"/>
  <c r="L1215" i="6" s="1"/>
  <c r="K1209" i="6" a="1"/>
  <c r="K1209" i="6" s="1"/>
  <c r="L1209" i="6" s="1"/>
  <c r="K1208" i="6" a="1"/>
  <c r="K1208" i="6" s="1"/>
  <c r="L1208" i="6" s="1"/>
  <c r="K1181" i="6" a="1"/>
  <c r="K1181" i="6" s="1"/>
  <c r="L1181" i="6" s="1"/>
  <c r="K1180" i="6" a="1"/>
  <c r="K1180" i="6" s="1"/>
  <c r="L1180" i="6" s="1"/>
  <c r="K1179" i="6" a="1"/>
  <c r="K1179" i="6" s="1"/>
  <c r="L1179" i="6" s="1"/>
  <c r="K1171" i="6" a="1"/>
  <c r="K1171" i="6" s="1"/>
  <c r="L1171" i="6" s="1"/>
  <c r="M1171" i="6" s="1"/>
  <c r="P1171" i="6" s="1"/>
  <c r="K1170" i="6" a="1"/>
  <c r="K1170" i="6" s="1"/>
  <c r="L1170" i="6" s="1"/>
  <c r="K1164" i="6" a="1"/>
  <c r="K1164" i="6" s="1"/>
  <c r="L1164" i="6" s="1"/>
  <c r="K1151" i="6" a="1"/>
  <c r="K1151" i="6" s="1"/>
  <c r="L1151" i="6" s="1"/>
  <c r="K1139" i="6" a="1"/>
  <c r="K1139" i="6" s="1"/>
  <c r="L1139" i="6" s="1"/>
  <c r="K1138" i="6" a="1"/>
  <c r="K1138" i="6" s="1"/>
  <c r="L1138" i="6" s="1"/>
  <c r="K1137" i="6" a="1"/>
  <c r="K1137" i="6" s="1"/>
  <c r="L1137" i="6" s="1"/>
  <c r="K1136" i="6" a="1"/>
  <c r="K1136" i="6" s="1"/>
  <c r="L1136" i="6" s="1"/>
  <c r="K1135" i="6" a="1"/>
  <c r="K1135" i="6" s="1"/>
  <c r="L1135" i="6" s="1"/>
  <c r="K1121" i="6" a="1"/>
  <c r="K1121" i="6" s="1"/>
  <c r="L1121" i="6" s="1"/>
  <c r="K1120" i="6" a="1"/>
  <c r="K1120" i="6" s="1"/>
  <c r="L1120" i="6" s="1"/>
  <c r="K1119" i="6" a="1"/>
  <c r="K1119" i="6" s="1"/>
  <c r="L1119" i="6" s="1"/>
  <c r="K1118" i="6" a="1"/>
  <c r="K1118" i="6" s="1"/>
  <c r="L1118" i="6" s="1"/>
  <c r="K1098" i="6" a="1"/>
  <c r="K1098" i="6" s="1"/>
  <c r="L1098" i="6" s="1"/>
  <c r="K1097" i="6" a="1"/>
  <c r="K1097" i="6" s="1"/>
  <c r="L1097" i="6" s="1"/>
  <c r="K1096" i="6" a="1"/>
  <c r="K1096" i="6" s="1"/>
  <c r="L1096" i="6" s="1"/>
  <c r="K1095" i="6" a="1"/>
  <c r="K1095" i="6" s="1"/>
  <c r="L1095" i="6" s="1"/>
  <c r="K1094" i="6" a="1"/>
  <c r="K1094" i="6" s="1"/>
  <c r="L1094" i="6" s="1"/>
  <c r="K1077" i="6" a="1"/>
  <c r="K1077" i="6" s="1"/>
  <c r="L1077" i="6" s="1"/>
  <c r="K1072" i="6" a="1"/>
  <c r="K1072" i="6" s="1"/>
  <c r="L1072" i="6" s="1"/>
  <c r="K1062" i="6" a="1"/>
  <c r="K1062" i="6" s="1"/>
  <c r="L1062" i="6" s="1"/>
  <c r="K1061" i="6" a="1"/>
  <c r="K1061" i="6" s="1"/>
  <c r="L1061" i="6" s="1"/>
  <c r="K1057" i="6" a="1"/>
  <c r="K1057" i="6" s="1"/>
  <c r="L1057" i="6" s="1"/>
  <c r="K1056" i="6" a="1"/>
  <c r="K1056" i="6" s="1"/>
  <c r="L1056" i="6" s="1"/>
  <c r="K1052" i="6" a="1"/>
  <c r="K1052" i="6" s="1"/>
  <c r="L1052" i="6" s="1"/>
  <c r="K1043" i="6" a="1"/>
  <c r="K1043" i="6" s="1"/>
  <c r="L1043" i="6" s="1"/>
  <c r="K1039" i="6" a="1"/>
  <c r="K1039" i="6" s="1"/>
  <c r="L1039" i="6" s="1"/>
  <c r="K1034" i="6" a="1"/>
  <c r="K1034" i="6" s="1"/>
  <c r="L1034" i="6" s="1"/>
  <c r="K1031" i="6" a="1"/>
  <c r="K1031" i="6" s="1"/>
  <c r="L1031" i="6" s="1"/>
  <c r="K1019" i="6" a="1"/>
  <c r="K1019" i="6" s="1"/>
  <c r="L1019" i="6" s="1"/>
  <c r="K1003" i="6" a="1"/>
  <c r="K1003" i="6" s="1"/>
  <c r="L1003" i="6" s="1"/>
  <c r="K1002" i="6" a="1"/>
  <c r="K1002" i="6" s="1"/>
  <c r="L1002" i="6" s="1"/>
  <c r="K1001" i="6" a="1"/>
  <c r="K1001" i="6" s="1"/>
  <c r="L1001" i="6" s="1"/>
  <c r="M1001" i="6" s="1"/>
  <c r="P1001" i="6" s="1"/>
  <c r="K1000" i="6" a="1"/>
  <c r="K1000" i="6" s="1"/>
  <c r="L1000" i="6" s="1"/>
  <c r="K993" i="6" a="1"/>
  <c r="K993" i="6" s="1"/>
  <c r="L993" i="6" s="1"/>
  <c r="K989" i="6" a="1"/>
  <c r="K989" i="6" s="1"/>
  <c r="L989" i="6" s="1"/>
  <c r="K984" i="6" a="1"/>
  <c r="K984" i="6" s="1"/>
  <c r="L984" i="6" s="1"/>
  <c r="K983" i="6" a="1"/>
  <c r="K983" i="6" s="1"/>
  <c r="L983" i="6" s="1"/>
  <c r="K982" i="6" a="1"/>
  <c r="K982" i="6" s="1"/>
  <c r="L982" i="6" s="1"/>
  <c r="K978" i="6" a="1"/>
  <c r="K978" i="6" s="1"/>
  <c r="L978" i="6" s="1"/>
  <c r="K970" i="6" a="1"/>
  <c r="K970" i="6" s="1"/>
  <c r="L970" i="6" s="1"/>
  <c r="K957" i="6" a="1"/>
  <c r="K957" i="6" s="1"/>
  <c r="L957" i="6" s="1"/>
  <c r="K949" i="6" a="1"/>
  <c r="K949" i="6" s="1"/>
  <c r="L949" i="6" s="1"/>
  <c r="K924" i="6" a="1"/>
  <c r="K924" i="6" s="1"/>
  <c r="L924" i="6" s="1"/>
  <c r="K917" i="6" a="1"/>
  <c r="K917" i="6" s="1"/>
  <c r="L917" i="6" s="1"/>
  <c r="K916" i="6" a="1"/>
  <c r="K916" i="6" s="1"/>
  <c r="L916" i="6" s="1"/>
  <c r="K905" i="6" a="1"/>
  <c r="K905" i="6" s="1"/>
  <c r="L905" i="6" s="1"/>
  <c r="K904" i="6" a="1"/>
  <c r="K904" i="6" s="1"/>
  <c r="L904" i="6" s="1"/>
  <c r="K901" i="6" a="1"/>
  <c r="K901" i="6" s="1"/>
  <c r="L901" i="6" s="1"/>
  <c r="K900" i="6" a="1"/>
  <c r="K900" i="6" s="1"/>
  <c r="L900" i="6" s="1"/>
  <c r="K897" i="6" a="1"/>
  <c r="K897" i="6" s="1"/>
  <c r="L897" i="6" s="1"/>
  <c r="K890" i="6" a="1"/>
  <c r="K890" i="6" s="1"/>
  <c r="L890" i="6" s="1"/>
  <c r="K889" i="6" a="1"/>
  <c r="K889" i="6" s="1"/>
  <c r="L889" i="6" s="1"/>
  <c r="K884" i="6" a="1"/>
  <c r="K884" i="6" s="1"/>
  <c r="L884" i="6" s="1"/>
  <c r="K877" i="6" a="1"/>
  <c r="K877" i="6" s="1"/>
  <c r="L877" i="6" s="1"/>
  <c r="K876" i="6" a="1"/>
  <c r="K876" i="6" s="1"/>
  <c r="L876" i="6" s="1"/>
  <c r="K871" i="6" a="1"/>
  <c r="K871" i="6" s="1"/>
  <c r="L871" i="6" s="1"/>
  <c r="K870" i="6" a="1"/>
  <c r="K870" i="6" s="1"/>
  <c r="L870" i="6" s="1"/>
  <c r="K861" i="6" a="1"/>
  <c r="K861" i="6" s="1"/>
  <c r="L861" i="6" s="1"/>
  <c r="K860" i="6" a="1"/>
  <c r="K860" i="6" s="1"/>
  <c r="L860" i="6" s="1"/>
  <c r="K859" i="6" a="1"/>
  <c r="K859" i="6" s="1"/>
  <c r="L859" i="6" s="1"/>
  <c r="K848" i="6" a="1"/>
  <c r="K848" i="6" s="1"/>
  <c r="L848" i="6" s="1"/>
  <c r="K847" i="6" a="1"/>
  <c r="K847" i="6" s="1"/>
  <c r="L847" i="6" s="1"/>
  <c r="K846" i="6" a="1"/>
  <c r="K846" i="6" s="1"/>
  <c r="L846" i="6" s="1"/>
  <c r="K845" i="6" a="1"/>
  <c r="K845" i="6" s="1"/>
  <c r="L845" i="6" s="1"/>
  <c r="M845" i="6" s="1"/>
  <c r="P845" i="6" s="1"/>
  <c r="K844" i="6" a="1"/>
  <c r="K844" i="6" s="1"/>
  <c r="L844" i="6" s="1"/>
  <c r="K839" i="6" a="1"/>
  <c r="K839" i="6" s="1"/>
  <c r="L839" i="6" s="1"/>
  <c r="K836" i="6" a="1"/>
  <c r="K836" i="6" s="1"/>
  <c r="L836" i="6" s="1"/>
  <c r="K835" i="6" a="1"/>
  <c r="K835" i="6" s="1"/>
  <c r="L835" i="6" s="1"/>
  <c r="K834" i="6" a="1"/>
  <c r="K834" i="6" s="1"/>
  <c r="L834" i="6" s="1"/>
  <c r="K833" i="6" a="1"/>
  <c r="K833" i="6" s="1"/>
  <c r="L833" i="6" s="1"/>
  <c r="K823" i="6" a="1"/>
  <c r="K823" i="6" s="1"/>
  <c r="L823" i="6" s="1"/>
  <c r="K822" i="6" a="1"/>
  <c r="K822" i="6" s="1"/>
  <c r="L822" i="6" s="1"/>
  <c r="K821" i="6" a="1"/>
  <c r="K821" i="6" s="1"/>
  <c r="L821" i="6" s="1"/>
  <c r="O821" i="6" s="1"/>
  <c r="K820" i="6" a="1"/>
  <c r="K820" i="6" s="1"/>
  <c r="L820" i="6" s="1"/>
  <c r="K813" i="6" a="1"/>
  <c r="K813" i="6" s="1"/>
  <c r="L813" i="6" s="1"/>
  <c r="K812" i="6" a="1"/>
  <c r="K812" i="6" s="1"/>
  <c r="L812" i="6" s="1"/>
  <c r="K811" i="6" a="1"/>
  <c r="K811" i="6" s="1"/>
  <c r="L811" i="6" s="1"/>
  <c r="K806" i="6" a="1"/>
  <c r="K806" i="6" s="1"/>
  <c r="L806" i="6" s="1"/>
  <c r="K799" i="6" a="1"/>
  <c r="K799" i="6" s="1"/>
  <c r="L799" i="6" s="1"/>
  <c r="K792" i="6" a="1"/>
  <c r="K792" i="6" s="1"/>
  <c r="L792" i="6" s="1"/>
  <c r="K785" i="6" a="1"/>
  <c r="K785" i="6" s="1"/>
  <c r="L785" i="6" s="1"/>
  <c r="O785" i="6" s="1"/>
  <c r="K781" i="6" a="1"/>
  <c r="K781" i="6" s="1"/>
  <c r="L781" i="6" s="1"/>
  <c r="K780" i="6" a="1"/>
  <c r="K780" i="6" s="1"/>
  <c r="L780" i="6" s="1"/>
  <c r="K774" i="6" a="1"/>
  <c r="K774" i="6" s="1"/>
  <c r="L774" i="6" s="1"/>
  <c r="K773" i="6" a="1"/>
  <c r="K773" i="6" s="1"/>
  <c r="L773" i="6" s="1"/>
  <c r="K768" i="6" a="1"/>
  <c r="K768" i="6" s="1"/>
  <c r="L768" i="6" s="1"/>
  <c r="K760" i="6" a="1"/>
  <c r="K760" i="6" s="1"/>
  <c r="L760" i="6" s="1"/>
  <c r="K759" i="6" a="1"/>
  <c r="K759" i="6" s="1"/>
  <c r="L759" i="6" s="1"/>
  <c r="K749" i="6" a="1"/>
  <c r="K749" i="6" s="1"/>
  <c r="L749" i="6" s="1"/>
  <c r="O749" i="6" s="1"/>
  <c r="K748" i="6" a="1"/>
  <c r="K748" i="6" s="1"/>
  <c r="L748" i="6" s="1"/>
  <c r="K739" i="6" a="1"/>
  <c r="K739" i="6" s="1"/>
  <c r="L739" i="6" s="1"/>
  <c r="K738" i="6" a="1"/>
  <c r="K738" i="6" s="1"/>
  <c r="L738" i="6" s="1"/>
  <c r="K737" i="6" a="1"/>
  <c r="K737" i="6" s="1"/>
  <c r="L737" i="6" s="1"/>
  <c r="K736" i="6" a="1"/>
  <c r="K736" i="6" s="1"/>
  <c r="L736" i="6" s="1"/>
  <c r="K735" i="6" a="1"/>
  <c r="K735" i="6" s="1"/>
  <c r="L735" i="6" s="1"/>
  <c r="K734" i="6" a="1"/>
  <c r="K734" i="6" s="1"/>
  <c r="L734" i="6" s="1"/>
  <c r="K723" i="6" a="1"/>
  <c r="K723" i="6" s="1"/>
  <c r="L723" i="6" s="1"/>
  <c r="O723" i="6" s="1"/>
  <c r="K722" i="6" a="1"/>
  <c r="K722" i="6" s="1"/>
  <c r="L722" i="6" s="1"/>
  <c r="K721" i="6" a="1"/>
  <c r="K721" i="6" s="1"/>
  <c r="L721" i="6" s="1"/>
  <c r="K720" i="6" a="1"/>
  <c r="K720" i="6" s="1"/>
  <c r="L720" i="6" s="1"/>
  <c r="K716" i="6" a="1"/>
  <c r="K716" i="6" s="1"/>
  <c r="L716" i="6" s="1"/>
  <c r="K711" i="6" a="1"/>
  <c r="K711" i="6" s="1"/>
  <c r="L711" i="6" s="1"/>
  <c r="K710" i="6" a="1"/>
  <c r="K710" i="6" s="1"/>
  <c r="L710" i="6" s="1"/>
  <c r="K709" i="6" a="1"/>
  <c r="K709" i="6" s="1"/>
  <c r="L709" i="6" s="1"/>
  <c r="K708" i="6" a="1"/>
  <c r="K708" i="6" s="1"/>
  <c r="L708" i="6" s="1"/>
  <c r="K700" i="6" a="1"/>
  <c r="K700" i="6" s="1"/>
  <c r="L700" i="6" s="1"/>
  <c r="K699" i="6" a="1"/>
  <c r="K699" i="6" s="1"/>
  <c r="L699" i="6" s="1"/>
  <c r="K696" i="6" a="1"/>
  <c r="K696" i="6" s="1"/>
  <c r="L696" i="6" s="1"/>
  <c r="K689" i="6" a="1"/>
  <c r="K689" i="6" s="1"/>
  <c r="L689" i="6" s="1"/>
  <c r="K682" i="6" a="1"/>
  <c r="K682" i="6" s="1"/>
  <c r="L682" i="6" s="1"/>
  <c r="M682" i="6" s="1"/>
  <c r="P682" i="6" s="1"/>
  <c r="K681" i="6" a="1"/>
  <c r="K681" i="6" s="1"/>
  <c r="L681" i="6" s="1"/>
  <c r="O681" i="6" s="1"/>
  <c r="K680" i="6" a="1"/>
  <c r="K680" i="6" s="1"/>
  <c r="L680" i="6" s="1"/>
  <c r="M680" i="6" s="1"/>
  <c r="P680" i="6" s="1"/>
  <c r="K671" i="6" a="1"/>
  <c r="K671" i="6" s="1"/>
  <c r="L671" i="6" s="1"/>
  <c r="O671" i="6" s="1"/>
  <c r="K660" i="6" a="1"/>
  <c r="K660" i="6" s="1"/>
  <c r="L660" i="6" s="1"/>
  <c r="K658" i="6" a="1"/>
  <c r="K658" i="6" s="1"/>
  <c r="L658" i="6" s="1"/>
  <c r="K654" i="6" a="1"/>
  <c r="K654" i="6" s="1"/>
  <c r="L654" i="6" s="1"/>
  <c r="K653" i="6" a="1"/>
  <c r="K653" i="6" s="1"/>
  <c r="L653" i="6" s="1"/>
  <c r="K649" i="6" a="1"/>
  <c r="K649" i="6" s="1"/>
  <c r="L649" i="6" s="1"/>
  <c r="M649" i="6" s="1"/>
  <c r="P649" i="6" s="1"/>
  <c r="K648" i="6" a="1"/>
  <c r="K648" i="6" s="1"/>
  <c r="L648" i="6" s="1"/>
  <c r="O648" i="6" s="1"/>
  <c r="K635" i="6" a="1"/>
  <c r="K635" i="6" s="1"/>
  <c r="L635" i="6" s="1"/>
  <c r="M635" i="6" s="1"/>
  <c r="P635" i="6" s="1"/>
  <c r="K634" i="6" a="1"/>
  <c r="K634" i="6" s="1"/>
  <c r="L634" i="6" s="1"/>
  <c r="O634" i="6" s="1"/>
  <c r="K631" i="6" a="1"/>
  <c r="K631" i="6" s="1"/>
  <c r="L631" i="6" s="1"/>
  <c r="K627" i="6" a="1"/>
  <c r="K627" i="6" s="1"/>
  <c r="L627" i="6" s="1"/>
  <c r="K621" i="6" a="1"/>
  <c r="K621" i="6" s="1"/>
  <c r="L621" i="6" s="1"/>
  <c r="K603" i="6" a="1"/>
  <c r="K603" i="6" s="1"/>
  <c r="L603" i="6" s="1"/>
  <c r="K600" i="6" a="1"/>
  <c r="K600" i="6" s="1"/>
  <c r="L600" i="6" s="1"/>
  <c r="M600" i="6" s="1"/>
  <c r="P600" i="6" s="1"/>
  <c r="K594" i="6" a="1"/>
  <c r="K594" i="6" s="1"/>
  <c r="L594" i="6" s="1"/>
  <c r="O594" i="6" s="1"/>
  <c r="K592" i="6" a="1"/>
  <c r="K592" i="6" s="1"/>
  <c r="L592" i="6" s="1"/>
  <c r="M592" i="6" s="1"/>
  <c r="P592" i="6" s="1"/>
  <c r="K591" i="6" a="1"/>
  <c r="K591" i="6" s="1"/>
  <c r="L591" i="6" s="1"/>
  <c r="O591" i="6" s="1"/>
  <c r="K587" i="6" a="1"/>
  <c r="K587" i="6" s="1"/>
  <c r="L587" i="6" s="1"/>
  <c r="K586" i="6" a="1"/>
  <c r="K586" i="6" s="1"/>
  <c r="L586" i="6" s="1"/>
  <c r="K577" i="6" a="1"/>
  <c r="K577" i="6" s="1"/>
  <c r="L577" i="6" s="1"/>
  <c r="K569" i="6" a="1"/>
  <c r="K569" i="6" s="1"/>
  <c r="L569" i="6" s="1"/>
  <c r="K564" i="6" a="1"/>
  <c r="K564" i="6" s="1"/>
  <c r="L564" i="6" s="1"/>
  <c r="M564" i="6" s="1"/>
  <c r="P564" i="6" s="1"/>
  <c r="K563" i="6" a="1"/>
  <c r="K563" i="6" s="1"/>
  <c r="L563" i="6" s="1"/>
  <c r="O563" i="6" s="1"/>
  <c r="K562" i="6" a="1"/>
  <c r="K562" i="6" s="1"/>
  <c r="L562" i="6" s="1"/>
  <c r="M562" i="6" s="1"/>
  <c r="P562" i="6" s="1"/>
  <c r="K559" i="6" a="1"/>
  <c r="K559" i="6" s="1"/>
  <c r="L559" i="6" s="1"/>
  <c r="O559" i="6" s="1"/>
  <c r="K556" i="6" a="1"/>
  <c r="K556" i="6" s="1"/>
  <c r="L556" i="6" s="1"/>
  <c r="K543" i="6" a="1"/>
  <c r="K543" i="6" s="1"/>
  <c r="L543" i="6" s="1"/>
  <c r="K537" i="6" a="1"/>
  <c r="K537" i="6" s="1"/>
  <c r="L537" i="6" s="1"/>
  <c r="K529" i="6" a="1"/>
  <c r="K529" i="6" s="1"/>
  <c r="L529" i="6" s="1"/>
  <c r="K528" i="6" a="1"/>
  <c r="K528" i="6" s="1"/>
  <c r="L528" i="6" s="1"/>
  <c r="M528" i="6" s="1"/>
  <c r="P528" i="6" s="1"/>
  <c r="K523" i="6" a="1"/>
  <c r="K523" i="6" s="1"/>
  <c r="L523" i="6" s="1"/>
  <c r="O523" i="6" s="1"/>
  <c r="K513" i="6" a="1"/>
  <c r="K513" i="6" s="1"/>
  <c r="L513" i="6" s="1"/>
  <c r="M513" i="6" s="1"/>
  <c r="P513" i="6" s="1"/>
  <c r="K508" i="6" a="1"/>
  <c r="K508" i="6" s="1"/>
  <c r="L508" i="6" s="1"/>
  <c r="O508" i="6" s="1"/>
  <c r="K504" i="6" a="1"/>
  <c r="K504" i="6" s="1"/>
  <c r="L504" i="6" s="1"/>
  <c r="K503" i="6" a="1"/>
  <c r="K503" i="6" s="1"/>
  <c r="L503" i="6" s="1"/>
  <c r="O503" i="6" s="1"/>
  <c r="K498" i="6" a="1"/>
  <c r="K498" i="6" s="1"/>
  <c r="L498" i="6" s="1"/>
  <c r="K497" i="6" a="1"/>
  <c r="K497" i="6" s="1"/>
  <c r="L497" i="6" s="1"/>
  <c r="K496" i="6" a="1"/>
  <c r="K496" i="6" s="1"/>
  <c r="L496" i="6" s="1"/>
  <c r="M496" i="6" s="1"/>
  <c r="P496" i="6" s="1"/>
  <c r="K495" i="6" a="1"/>
  <c r="K495" i="6" s="1"/>
  <c r="L495" i="6" s="1"/>
  <c r="O495" i="6" s="1"/>
  <c r="K490" i="6" a="1"/>
  <c r="K490" i="6" s="1"/>
  <c r="L490" i="6" s="1"/>
  <c r="O490" i="6" s="1"/>
  <c r="K484" i="6" a="1"/>
  <c r="K484" i="6" s="1"/>
  <c r="L484" i="6" s="1"/>
  <c r="K481" i="6" a="1"/>
  <c r="K481" i="6" s="1"/>
  <c r="L481" i="6" s="1"/>
  <c r="K480" i="6" a="1"/>
  <c r="K480" i="6" s="1"/>
  <c r="L480" i="6" s="1"/>
  <c r="K471" i="6" a="1"/>
  <c r="K471" i="6" s="1"/>
  <c r="L471" i="6" s="1"/>
  <c r="K470" i="6" a="1"/>
  <c r="K470" i="6" s="1"/>
  <c r="L470" i="6" s="1"/>
  <c r="M470" i="6" s="1"/>
  <c r="P470" i="6" s="1"/>
  <c r="K465" i="6" a="1"/>
  <c r="K465" i="6" s="1"/>
  <c r="L465" i="6" s="1"/>
  <c r="M465" i="6" s="1"/>
  <c r="P465" i="6" s="1"/>
  <c r="K446" i="6" a="1"/>
  <c r="K446" i="6" s="1"/>
  <c r="L446" i="6" s="1"/>
  <c r="K441" i="6" a="1"/>
  <c r="K441" i="6" s="1"/>
  <c r="L441" i="6" s="1"/>
  <c r="K436" i="6" a="1"/>
  <c r="K436" i="6" s="1"/>
  <c r="L436" i="6" s="1"/>
  <c r="K430" i="6" a="1"/>
  <c r="K430" i="6" s="1"/>
  <c r="L430" i="6" s="1"/>
  <c r="K429" i="6" a="1"/>
  <c r="K429" i="6" s="1"/>
  <c r="L429" i="6" s="1"/>
  <c r="O429" i="6" s="1"/>
  <c r="K425" i="6" a="1"/>
  <c r="K425" i="6" s="1"/>
  <c r="L425" i="6" s="1"/>
  <c r="K424" i="6" a="1"/>
  <c r="K424" i="6" s="1"/>
  <c r="L424" i="6" s="1"/>
  <c r="M424" i="6" s="1"/>
  <c r="P424" i="6" s="1"/>
  <c r="K419" i="6" a="1"/>
  <c r="K419" i="6" s="1"/>
  <c r="L419" i="6" s="1"/>
  <c r="K415" i="6" a="1"/>
  <c r="K415" i="6" s="1"/>
  <c r="L415" i="6" s="1"/>
  <c r="K398" i="6" a="1"/>
  <c r="K398" i="6" s="1"/>
  <c r="L398" i="6" s="1"/>
  <c r="K396" i="6" a="1"/>
  <c r="K396" i="6" s="1"/>
  <c r="L396" i="6" s="1"/>
  <c r="K394" i="6" a="1"/>
  <c r="K394" i="6" s="1"/>
  <c r="L394" i="6" s="1"/>
  <c r="O394" i="6" s="1"/>
  <c r="K393" i="6" a="1"/>
  <c r="K393" i="6" s="1"/>
  <c r="L393" i="6" s="1"/>
  <c r="K368" i="6" a="1"/>
  <c r="K368" i="6" s="1"/>
  <c r="L368" i="6" s="1"/>
  <c r="K364" i="6" a="1"/>
  <c r="K364" i="6" s="1"/>
  <c r="L364" i="6" s="1"/>
  <c r="K356" i="6" a="1"/>
  <c r="K356" i="6" s="1"/>
  <c r="L356" i="6" s="1"/>
  <c r="K331" i="6" a="1"/>
  <c r="K331" i="6" s="1"/>
  <c r="L331" i="6" s="1"/>
  <c r="K330" i="6" a="1"/>
  <c r="K330" i="6" s="1"/>
  <c r="L330" i="6" s="1"/>
  <c r="K320" i="6" a="1"/>
  <c r="K320" i="6" s="1"/>
  <c r="L320" i="6" s="1"/>
  <c r="K319" i="6" a="1"/>
  <c r="K319" i="6" s="1"/>
  <c r="L319" i="6" s="1"/>
  <c r="O319" i="6" s="1"/>
  <c r="K314" i="6" a="1"/>
  <c r="K314" i="6" s="1"/>
  <c r="L314" i="6" s="1"/>
  <c r="K312" i="6" a="1"/>
  <c r="K312" i="6" s="1"/>
  <c r="L312" i="6" s="1"/>
  <c r="K311" i="6" a="1"/>
  <c r="K311" i="6" s="1"/>
  <c r="L311" i="6" s="1"/>
  <c r="K303" i="6" a="1"/>
  <c r="K303" i="6" s="1"/>
  <c r="L303" i="6" s="1"/>
  <c r="K302" i="6" a="1"/>
  <c r="K302" i="6" s="1"/>
  <c r="L302" i="6" s="1"/>
  <c r="K301" i="6" a="1"/>
  <c r="K301" i="6" s="1"/>
  <c r="L301" i="6" s="1"/>
  <c r="K297" i="6" a="1"/>
  <c r="K297" i="6" s="1"/>
  <c r="L297" i="6" s="1"/>
  <c r="K295" i="6" a="1"/>
  <c r="K295" i="6" s="1"/>
  <c r="L295" i="6" s="1"/>
  <c r="O295" i="6" s="1"/>
  <c r="K294" i="6" a="1"/>
  <c r="K294" i="6" s="1"/>
  <c r="L294" i="6" s="1"/>
  <c r="K292" i="6" a="1"/>
  <c r="K292" i="6" s="1"/>
  <c r="L292" i="6" s="1"/>
  <c r="K281" i="6" a="1"/>
  <c r="K281" i="6" s="1"/>
  <c r="L281" i="6" s="1"/>
  <c r="K280" i="6" a="1"/>
  <c r="K280" i="6" s="1"/>
  <c r="L280" i="6" s="1"/>
  <c r="K265" i="6" a="1"/>
  <c r="K265" i="6" s="1"/>
  <c r="L265" i="6" s="1"/>
  <c r="K260" i="6" a="1"/>
  <c r="K260" i="6" s="1"/>
  <c r="L260" i="6" s="1"/>
  <c r="K256" i="6" a="1"/>
  <c r="K256" i="6" s="1"/>
  <c r="L256" i="6" s="1"/>
  <c r="K255" i="6" a="1"/>
  <c r="K255" i="6" s="1"/>
  <c r="L255" i="6" s="1"/>
  <c r="O255" i="6" s="1"/>
  <c r="K254" i="6" a="1"/>
  <c r="K254" i="6" s="1"/>
  <c r="L254" i="6" s="1"/>
  <c r="K250" i="6" a="1"/>
  <c r="K250" i="6" s="1"/>
  <c r="L250" i="6" s="1"/>
  <c r="K249" i="6" a="1"/>
  <c r="K249" i="6" s="1"/>
  <c r="L249" i="6" s="1"/>
  <c r="K244" i="6" a="1"/>
  <c r="K244" i="6" s="1"/>
  <c r="L244" i="6" s="1"/>
  <c r="K243" i="6" a="1"/>
  <c r="K243" i="6" s="1"/>
  <c r="L243" i="6" s="1"/>
  <c r="K240" i="6" a="1"/>
  <c r="K240" i="6" s="1"/>
  <c r="L240" i="6" s="1"/>
  <c r="K239" i="6" a="1"/>
  <c r="K239" i="6" s="1"/>
  <c r="L239" i="6" s="1"/>
  <c r="K234" i="6" a="1"/>
  <c r="K234" i="6" s="1"/>
  <c r="L234" i="6" s="1"/>
  <c r="O234" i="6" s="1"/>
  <c r="K231" i="6" a="1"/>
  <c r="K231" i="6" s="1"/>
  <c r="L231" i="6" s="1"/>
  <c r="K224" i="6" a="1"/>
  <c r="K224" i="6" s="1"/>
  <c r="L224" i="6" s="1"/>
  <c r="K214" i="6" a="1"/>
  <c r="K214" i="6" s="1"/>
  <c r="L214" i="6" s="1"/>
  <c r="K213" i="6" a="1"/>
  <c r="K213" i="6" s="1"/>
  <c r="L213" i="6" s="1"/>
  <c r="K188" i="6" a="1"/>
  <c r="K188" i="6" s="1"/>
  <c r="L188" i="6" s="1"/>
  <c r="K187" i="6" a="1"/>
  <c r="K187" i="6" s="1"/>
  <c r="L187" i="6" s="1"/>
  <c r="K168" i="6" a="1"/>
  <c r="K168" i="6" s="1"/>
  <c r="L168" i="6" s="1"/>
  <c r="K161" i="6" a="1"/>
  <c r="K161" i="6" s="1"/>
  <c r="L161" i="6" s="1"/>
  <c r="O161" i="6" s="1"/>
  <c r="K152" i="6" a="1"/>
  <c r="K152" i="6" s="1"/>
  <c r="L152" i="6" s="1"/>
  <c r="K147" i="6" a="1"/>
  <c r="K147" i="6" s="1"/>
  <c r="L147" i="6" s="1"/>
  <c r="K138" i="6" a="1"/>
  <c r="K138" i="6" s="1"/>
  <c r="L138" i="6" s="1"/>
  <c r="K134" i="6" a="1"/>
  <c r="K134" i="6" s="1"/>
  <c r="L134" i="6" s="1"/>
  <c r="K133" i="6" a="1"/>
  <c r="K133" i="6" s="1"/>
  <c r="L133" i="6" s="1"/>
  <c r="K132" i="6" a="1"/>
  <c r="K132" i="6" s="1"/>
  <c r="L132" i="6" s="1"/>
  <c r="K127" i="6" a="1"/>
  <c r="K127" i="6" s="1"/>
  <c r="L127" i="6" s="1"/>
  <c r="K113" i="6" a="1"/>
  <c r="K113" i="6" s="1"/>
  <c r="L113" i="6" s="1"/>
  <c r="O113" i="6" s="1"/>
  <c r="K98" i="6" a="1"/>
  <c r="K98" i="6" s="1"/>
  <c r="L98" i="6" s="1"/>
  <c r="K97" i="6" a="1"/>
  <c r="K97" i="6" s="1"/>
  <c r="L97" i="6" s="1"/>
  <c r="K94" i="6" a="1"/>
  <c r="K94" i="6" s="1"/>
  <c r="L94" i="6" s="1"/>
  <c r="K90" i="6" a="1"/>
  <c r="K90" i="6" s="1"/>
  <c r="L90" i="6" s="1"/>
  <c r="K81" i="6" a="1"/>
  <c r="K81" i="6" s="1"/>
  <c r="L81" i="6" s="1"/>
  <c r="K76" i="6" a="1"/>
  <c r="K76" i="6" s="1"/>
  <c r="L76" i="6" s="1"/>
  <c r="K75" i="6" a="1"/>
  <c r="K75" i="6" s="1"/>
  <c r="L75" i="6" s="1"/>
  <c r="K73" i="6" a="1"/>
  <c r="K73" i="6" s="1"/>
  <c r="L73" i="6" s="1"/>
  <c r="O73" i="6" s="1"/>
  <c r="K72" i="6" a="1"/>
  <c r="K72" i="6" s="1"/>
  <c r="L72" i="6" s="1"/>
  <c r="K68" i="6" a="1"/>
  <c r="K68" i="6" s="1"/>
  <c r="L68" i="6" s="1"/>
  <c r="K67" i="6" a="1"/>
  <c r="K67" i="6" s="1"/>
  <c r="L67" i="6" s="1"/>
  <c r="K66" i="6" a="1"/>
  <c r="K66" i="6" s="1"/>
  <c r="L66" i="6" s="1"/>
  <c r="K65" i="6" a="1"/>
  <c r="K65" i="6" s="1"/>
  <c r="L65" i="6" s="1"/>
  <c r="K62" i="6" a="1"/>
  <c r="K62" i="6" s="1"/>
  <c r="L62" i="6" s="1"/>
  <c r="K54" i="6" a="1"/>
  <c r="K54" i="6" s="1"/>
  <c r="L54" i="6" s="1"/>
  <c r="K53" i="6" a="1"/>
  <c r="K53" i="6" s="1"/>
  <c r="L53" i="6" s="1"/>
  <c r="O53" i="6" s="1"/>
  <c r="K51" i="6" a="1"/>
  <c r="K51" i="6" s="1"/>
  <c r="L51" i="6" s="1"/>
  <c r="K50" i="6" a="1"/>
  <c r="K50" i="6" s="1"/>
  <c r="L50" i="6" s="1"/>
  <c r="K49" i="6" a="1"/>
  <c r="K49" i="6" s="1"/>
  <c r="L49" i="6" s="1"/>
  <c r="K47" i="6" a="1"/>
  <c r="K47" i="6" s="1"/>
  <c r="L47" i="6" s="1"/>
  <c r="K42" i="6" a="1"/>
  <c r="K42" i="6" s="1"/>
  <c r="L42" i="6" s="1"/>
  <c r="K39" i="6" a="1"/>
  <c r="K39" i="6" s="1"/>
  <c r="L39" i="6" s="1"/>
  <c r="K37" i="6" a="1"/>
  <c r="K37" i="6" s="1"/>
  <c r="L37" i="6" s="1"/>
  <c r="K36" i="6" a="1"/>
  <c r="K36" i="6" s="1"/>
  <c r="L36" i="6" s="1"/>
  <c r="O36" i="6" s="1"/>
  <c r="K35" i="6" a="1"/>
  <c r="K35" i="6" s="1"/>
  <c r="L35" i="6" s="1"/>
  <c r="K34" i="6" a="1"/>
  <c r="K34" i="6" s="1"/>
  <c r="L34" i="6" s="1"/>
  <c r="K32" i="6" a="1"/>
  <c r="K32" i="6" s="1"/>
  <c r="L32" i="6" s="1"/>
  <c r="K31" i="6" a="1"/>
  <c r="K31" i="6" s="1"/>
  <c r="L31" i="6" s="1"/>
  <c r="K30" i="6" a="1"/>
  <c r="K30" i="6" s="1"/>
  <c r="L30" i="6" s="1"/>
  <c r="K29" i="6" a="1"/>
  <c r="K29" i="6" s="1"/>
  <c r="L29" i="6" s="1"/>
  <c r="K25" i="6" a="1"/>
  <c r="K25" i="6" s="1"/>
  <c r="L25" i="6" s="1"/>
  <c r="K24" i="6" a="1"/>
  <c r="K24" i="6" s="1"/>
  <c r="L24" i="6" s="1"/>
  <c r="O24" i="6" s="1"/>
  <c r="K23" i="6" a="1"/>
  <c r="K23" i="6" s="1"/>
  <c r="L23" i="6" s="1"/>
  <c r="K21" i="6" a="1"/>
  <c r="K21" i="6" s="1"/>
  <c r="L21" i="6" s="1"/>
  <c r="K12" i="6" a="1"/>
  <c r="K12" i="6" s="1"/>
  <c r="L12" i="6" s="1"/>
  <c r="K11" i="6" a="1"/>
  <c r="K11" i="6" s="1"/>
  <c r="L11" i="6" s="1"/>
  <c r="K10" i="6" a="1"/>
  <c r="K10" i="6" s="1"/>
  <c r="L10" i="6" s="1"/>
  <c r="K9" i="6" a="1"/>
  <c r="K9" i="6" s="1"/>
  <c r="L9" i="6" s="1"/>
  <c r="K8" i="6" a="1"/>
  <c r="K8" i="6" s="1"/>
  <c r="L8" i="6" s="1"/>
  <c r="K7" i="6" a="1"/>
  <c r="K7" i="6" s="1"/>
  <c r="L7" i="6" s="1"/>
  <c r="O7" i="6" s="1"/>
  <c r="K5" i="6" a="1"/>
  <c r="K5" i="6" s="1"/>
  <c r="L5" i="6" s="1"/>
  <c r="K1959" i="6" a="1"/>
  <c r="K1959" i="6" s="1"/>
  <c r="L1959" i="6" s="1"/>
  <c r="K1958" i="6" a="1"/>
  <c r="K1958" i="6" s="1"/>
  <c r="L1958" i="6" s="1"/>
  <c r="K1957" i="6" a="1"/>
  <c r="K1957" i="6" s="1"/>
  <c r="L1957" i="6" s="1"/>
  <c r="K1956" i="6" a="1"/>
  <c r="K1956" i="6" s="1"/>
  <c r="L1956" i="6" s="1"/>
  <c r="K1800" i="6" a="1"/>
  <c r="K1800" i="6" s="1"/>
  <c r="L1800" i="6" s="1"/>
  <c r="K1769" i="6" a="1"/>
  <c r="K1769" i="6" s="1"/>
  <c r="L1769" i="6" s="1"/>
  <c r="K1768" i="6" a="1"/>
  <c r="K1768" i="6" s="1"/>
  <c r="L1768" i="6" s="1"/>
  <c r="K1643" i="6" a="1"/>
  <c r="K1643" i="6" s="1"/>
  <c r="L1643" i="6" s="1"/>
  <c r="K1511" i="6" a="1"/>
  <c r="K1511" i="6" s="1"/>
  <c r="L1511" i="6" s="1"/>
  <c r="K1412" i="6" a="1"/>
  <c r="K1412" i="6" s="1"/>
  <c r="L1412" i="6" s="1"/>
  <c r="K1394" i="6" a="1"/>
  <c r="K1394" i="6" s="1"/>
  <c r="L1394" i="6" s="1"/>
  <c r="K1289" i="6" a="1"/>
  <c r="K1289" i="6" s="1"/>
  <c r="L1289" i="6" s="1"/>
  <c r="K1260" i="6" a="1"/>
  <c r="K1260" i="6" s="1"/>
  <c r="L1260" i="6" s="1"/>
  <c r="K1214" i="6" a="1"/>
  <c r="K1214" i="6" s="1"/>
  <c r="L1214" i="6" s="1"/>
  <c r="K1169" i="6" a="1"/>
  <c r="K1169" i="6" s="1"/>
  <c r="L1169" i="6" s="1"/>
  <c r="K1150" i="6" a="1"/>
  <c r="K1150" i="6" s="1"/>
  <c r="L1150" i="6" s="1"/>
  <c r="K1134" i="6" a="1"/>
  <c r="K1134" i="6" s="1"/>
  <c r="L1134" i="6" s="1"/>
  <c r="K1133" i="6" a="1"/>
  <c r="K1133" i="6" s="1"/>
  <c r="L1133" i="6" s="1"/>
  <c r="K1093" i="6" a="1"/>
  <c r="K1093" i="6" s="1"/>
  <c r="L1093" i="6" s="1"/>
  <c r="K1092" i="6" a="1"/>
  <c r="K1092" i="6" s="1"/>
  <c r="L1092" i="6" s="1"/>
  <c r="K1091" i="6" a="1"/>
  <c r="K1091" i="6" s="1"/>
  <c r="L1091" i="6" s="1"/>
  <c r="K1051" i="6" a="1"/>
  <c r="K1051" i="6" s="1"/>
  <c r="L1051" i="6" s="1"/>
  <c r="K923" i="6" a="1"/>
  <c r="K923" i="6" s="1"/>
  <c r="L923" i="6" s="1"/>
  <c r="K858" i="6" a="1"/>
  <c r="K858" i="6" s="1"/>
  <c r="L858" i="6" s="1"/>
  <c r="K1947" i="6" a="1"/>
  <c r="K1947" i="6" s="1"/>
  <c r="L1947" i="6" s="1"/>
  <c r="K1858" i="6" a="1"/>
  <c r="K1858" i="6" s="1"/>
  <c r="L1858" i="6" s="1"/>
  <c r="K1847" i="6" a="1"/>
  <c r="K1847" i="6" s="1"/>
  <c r="L1847" i="6" s="1"/>
  <c r="K1822" i="6" a="1"/>
  <c r="K1822" i="6" s="1"/>
  <c r="L1822" i="6" s="1"/>
  <c r="K1695" i="6" a="1"/>
  <c r="K1695" i="6" s="1"/>
  <c r="L1695" i="6" s="1"/>
  <c r="K1560" i="6" a="1"/>
  <c r="K1560" i="6" s="1"/>
  <c r="L1560" i="6" s="1"/>
  <c r="K1539" i="6" a="1"/>
  <c r="K1539" i="6" s="1"/>
  <c r="L1539" i="6" s="1"/>
  <c r="K1471" i="6" a="1"/>
  <c r="K1471" i="6" s="1"/>
  <c r="L1471" i="6" s="1"/>
  <c r="K1446" i="6" a="1"/>
  <c r="K1446" i="6" s="1"/>
  <c r="L1446" i="6" s="1"/>
  <c r="K1445" i="6" a="1"/>
  <c r="K1445" i="6" s="1"/>
  <c r="L1445" i="6" s="1"/>
  <c r="K1444" i="6" a="1"/>
  <c r="K1444" i="6" s="1"/>
  <c r="L1444" i="6" s="1"/>
  <c r="K1418" i="6" a="1"/>
  <c r="K1418" i="6" s="1"/>
  <c r="L1418" i="6" s="1"/>
  <c r="K1403" i="6" a="1"/>
  <c r="K1403" i="6" s="1"/>
  <c r="L1403" i="6" s="1"/>
  <c r="K1393" i="6" a="1"/>
  <c r="K1393" i="6" s="1"/>
  <c r="L1393" i="6" s="1"/>
  <c r="K1374" i="6" a="1"/>
  <c r="K1374" i="6" s="1"/>
  <c r="L1374" i="6" s="1"/>
  <c r="K1357" i="6" a="1"/>
  <c r="K1357" i="6" s="1"/>
  <c r="L1357" i="6" s="1"/>
  <c r="K1278" i="6" a="1"/>
  <c r="K1278" i="6" s="1"/>
  <c r="L1278" i="6" s="1"/>
  <c r="K1234" i="6" a="1"/>
  <c r="K1234" i="6" s="1"/>
  <c r="L1234" i="6" s="1"/>
  <c r="K1090" i="6" a="1"/>
  <c r="K1090" i="6" s="1"/>
  <c r="L1090" i="6" s="1"/>
  <c r="K1080" i="6" a="1"/>
  <c r="K1080" i="6" s="1"/>
  <c r="L1080" i="6" s="1"/>
  <c r="K1055" i="6" a="1"/>
  <c r="K1055" i="6" s="1"/>
  <c r="L1055" i="6" s="1"/>
  <c r="K981" i="6" a="1"/>
  <c r="K981" i="6" s="1"/>
  <c r="L981" i="6" s="1"/>
  <c r="K910" i="6" a="1"/>
  <c r="K910" i="6" s="1"/>
  <c r="L910" i="6" s="1"/>
  <c r="K838" i="6" a="1"/>
  <c r="K838" i="6" s="1"/>
  <c r="L838" i="6" s="1"/>
  <c r="K805" i="6" a="1"/>
  <c r="K805" i="6" s="1"/>
  <c r="L805" i="6" s="1"/>
  <c r="K787" i="6" a="1"/>
  <c r="K787" i="6" s="1"/>
  <c r="L787" i="6" s="1"/>
  <c r="K707" i="6" a="1"/>
  <c r="K707" i="6" s="1"/>
  <c r="L707" i="6" s="1"/>
  <c r="K670" i="6" a="1"/>
  <c r="K670" i="6" s="1"/>
  <c r="L670" i="6" s="1"/>
  <c r="K614" i="6" a="1"/>
  <c r="K614" i="6" s="1"/>
  <c r="L614" i="6" s="1"/>
  <c r="K602" i="6" a="1"/>
  <c r="K602" i="6" s="1"/>
  <c r="L602" i="6" s="1"/>
  <c r="K568" i="6" a="1"/>
  <c r="K568" i="6" s="1"/>
  <c r="L568" i="6" s="1"/>
  <c r="K479" i="6" a="1"/>
  <c r="K479" i="6" s="1"/>
  <c r="L479" i="6" s="1"/>
  <c r="K464" i="6" a="1"/>
  <c r="K464" i="6" s="1"/>
  <c r="L464" i="6" s="1"/>
  <c r="K435" i="6" a="1"/>
  <c r="K435" i="6" s="1"/>
  <c r="L435" i="6" s="1"/>
  <c r="K423" i="6" a="1"/>
  <c r="K423" i="6" s="1"/>
  <c r="L423" i="6" s="1"/>
  <c r="K355" i="6" a="1"/>
  <c r="K355" i="6" s="1"/>
  <c r="L355" i="6" s="1"/>
  <c r="K329" i="6" a="1"/>
  <c r="K329" i="6" s="1"/>
  <c r="L329" i="6" s="1"/>
  <c r="K328" i="6" a="1"/>
  <c r="K328" i="6" s="1"/>
  <c r="L328" i="6" s="1"/>
  <c r="K259" i="6" a="1"/>
  <c r="K259" i="6" s="1"/>
  <c r="L259" i="6" s="1"/>
  <c r="K194" i="6" a="1"/>
  <c r="K194" i="6" s="1"/>
  <c r="L194" i="6" s="1"/>
  <c r="K154" i="6" a="1"/>
  <c r="K154" i="6" s="1"/>
  <c r="L154" i="6" s="1"/>
  <c r="K121" i="6" a="1"/>
  <c r="K121" i="6" s="1"/>
  <c r="L121" i="6" s="1"/>
  <c r="K108" i="6" a="1"/>
  <c r="K108" i="6" s="1"/>
  <c r="L108" i="6" s="1"/>
  <c r="K1955" i="6" a="1"/>
  <c r="K1955" i="6" s="1"/>
  <c r="L1955" i="6" s="1"/>
  <c r="K1954" i="6" a="1"/>
  <c r="K1954" i="6" s="1"/>
  <c r="L1954" i="6" s="1"/>
  <c r="K1836" i="6" a="1"/>
  <c r="K1836" i="6" s="1"/>
  <c r="L1836" i="6" s="1"/>
  <c r="K1835" i="6" a="1"/>
  <c r="K1835" i="6" s="1"/>
  <c r="L1835" i="6" s="1"/>
  <c r="K1834" i="6" a="1"/>
  <c r="K1834" i="6" s="1"/>
  <c r="L1834" i="6" s="1"/>
  <c r="K381" i="6" a="1"/>
  <c r="K381" i="6" s="1"/>
  <c r="L381" i="6" s="1"/>
  <c r="K380" i="6" a="1"/>
  <c r="K380" i="6" s="1"/>
  <c r="L380" i="6" s="1"/>
  <c r="K379" i="6" a="1"/>
  <c r="K379" i="6" s="1"/>
  <c r="L379" i="6" s="1"/>
  <c r="K378" i="6" a="1"/>
  <c r="K378" i="6" s="1"/>
  <c r="L378" i="6" s="1"/>
  <c r="K377" i="6" a="1"/>
  <c r="K377" i="6" s="1"/>
  <c r="L377" i="6" s="1"/>
  <c r="K350" i="6" a="1"/>
  <c r="K350" i="6" s="1"/>
  <c r="L350" i="6" s="1"/>
  <c r="K266" i="6" a="1"/>
  <c r="K266" i="6" s="1"/>
  <c r="L266" i="6" s="1"/>
  <c r="K245" i="6" a="1"/>
  <c r="K245" i="6" s="1"/>
  <c r="L245" i="6" s="1"/>
  <c r="K227" i="6" a="1"/>
  <c r="K227" i="6" s="1"/>
  <c r="L227" i="6" s="1"/>
  <c r="K218" i="6" a="1"/>
  <c r="K218" i="6" s="1"/>
  <c r="L218" i="6" s="1"/>
  <c r="K217" i="6" a="1"/>
  <c r="K217" i="6" s="1"/>
  <c r="L217" i="6" s="1"/>
  <c r="K216" i="6" a="1"/>
  <c r="K216" i="6" s="1"/>
  <c r="L216" i="6" s="1"/>
  <c r="K209" i="6" a="1"/>
  <c r="K209" i="6" s="1"/>
  <c r="L209" i="6" s="1"/>
  <c r="K208" i="6" a="1"/>
  <c r="K208" i="6" s="1"/>
  <c r="L208" i="6" s="1"/>
  <c r="K200" i="6" a="1"/>
  <c r="K200" i="6" s="1"/>
  <c r="L200" i="6" s="1"/>
  <c r="K199" i="6" a="1"/>
  <c r="K199" i="6" s="1"/>
  <c r="L199" i="6" s="1"/>
  <c r="K192" i="6" a="1"/>
  <c r="K192" i="6" s="1"/>
  <c r="L192" i="6" s="1"/>
  <c r="K180" i="6" a="1"/>
  <c r="K180" i="6" s="1"/>
  <c r="L180" i="6" s="1"/>
  <c r="K179" i="6" a="1"/>
  <c r="K179" i="6" s="1"/>
  <c r="L179" i="6" s="1"/>
  <c r="K178" i="6" a="1"/>
  <c r="K178" i="6" s="1"/>
  <c r="L178" i="6" s="1"/>
  <c r="K177" i="6" a="1"/>
  <c r="K177" i="6" s="1"/>
  <c r="L177" i="6" s="1"/>
  <c r="K176" i="6" a="1"/>
  <c r="K176" i="6" s="1"/>
  <c r="L176" i="6" s="1"/>
  <c r="K175" i="6" a="1"/>
  <c r="K175" i="6" s="1"/>
  <c r="L175" i="6" s="1"/>
  <c r="K174" i="6" a="1"/>
  <c r="K174" i="6" s="1"/>
  <c r="L174" i="6" s="1"/>
  <c r="K173" i="6" a="1"/>
  <c r="K173" i="6" s="1"/>
  <c r="L173" i="6" s="1"/>
  <c r="K172" i="6" a="1"/>
  <c r="K172" i="6" s="1"/>
  <c r="L172" i="6" s="1"/>
  <c r="K120" i="6" a="1"/>
  <c r="K120" i="6" s="1"/>
  <c r="L120" i="6" s="1"/>
  <c r="K71" i="6" a="1"/>
  <c r="K71" i="6" s="1"/>
  <c r="L71" i="6" s="1"/>
  <c r="K70" i="6" a="1"/>
  <c r="K70" i="6" s="1"/>
  <c r="L70" i="6" s="1"/>
  <c r="K16" i="6" a="1"/>
  <c r="K16" i="6" s="1"/>
  <c r="L16" i="6" s="1"/>
  <c r="K1792" i="6" a="1"/>
  <c r="K1792" i="6" s="1"/>
  <c r="L1792" i="6" s="1"/>
  <c r="K1953" i="6" a="1"/>
  <c r="K1953" i="6" s="1"/>
  <c r="L1953" i="6" s="1"/>
  <c r="K1952" i="6" a="1"/>
  <c r="K1952" i="6" s="1"/>
  <c r="L1952" i="6" s="1"/>
  <c r="K1894" i="6" a="1"/>
  <c r="K1894" i="6" s="1"/>
  <c r="L1894" i="6" s="1"/>
  <c r="K1888" i="6" a="1"/>
  <c r="K1888" i="6" s="1"/>
  <c r="L1888" i="6" s="1"/>
  <c r="K1857" i="6" a="1"/>
  <c r="K1857" i="6" s="1"/>
  <c r="L1857" i="6" s="1"/>
  <c r="K1846" i="6" a="1"/>
  <c r="K1846" i="6" s="1"/>
  <c r="L1846" i="6" s="1"/>
  <c r="K1799" i="6" a="1"/>
  <c r="K1799" i="6" s="1"/>
  <c r="L1799" i="6" s="1"/>
  <c r="K1798" i="6" a="1"/>
  <c r="K1798" i="6" s="1"/>
  <c r="L1798" i="6" s="1"/>
  <c r="K1760" i="6" a="1"/>
  <c r="K1760" i="6" s="1"/>
  <c r="L1760" i="6" s="1"/>
  <c r="M1760" i="6" s="1"/>
  <c r="P1760" i="6" s="1"/>
  <c r="K1745" i="6" a="1"/>
  <c r="K1745" i="6" s="1"/>
  <c r="L1745" i="6" s="1"/>
  <c r="O1745" i="6" s="1"/>
  <c r="K1670" i="6" a="1"/>
  <c r="K1670" i="6" s="1"/>
  <c r="L1670" i="6" s="1"/>
  <c r="K1642" i="6" a="1"/>
  <c r="K1642" i="6" s="1"/>
  <c r="L1642" i="6" s="1"/>
  <c r="K1627" i="6" a="1"/>
  <c r="K1627" i="6" s="1"/>
  <c r="L1627" i="6" s="1"/>
  <c r="K1610" i="6" a="1"/>
  <c r="K1610" i="6" s="1"/>
  <c r="L1610" i="6" s="1"/>
  <c r="K1597" i="6" a="1"/>
  <c r="K1597" i="6" s="1"/>
  <c r="L1597" i="6" s="1"/>
  <c r="K1572" i="6" a="1"/>
  <c r="K1572" i="6" s="1"/>
  <c r="L1572" i="6" s="1"/>
  <c r="K1546" i="6" a="1"/>
  <c r="K1546" i="6" s="1"/>
  <c r="L1546" i="6" s="1"/>
  <c r="M1546" i="6" s="1"/>
  <c r="P1546" i="6" s="1"/>
  <c r="K1503" i="6" a="1"/>
  <c r="K1503" i="6" s="1"/>
  <c r="L1503" i="6" s="1"/>
  <c r="O1503" i="6" s="1"/>
  <c r="K1481" i="6" a="1"/>
  <c r="K1481" i="6" s="1"/>
  <c r="L1481" i="6" s="1"/>
  <c r="K1470" i="6" a="1"/>
  <c r="K1470" i="6" s="1"/>
  <c r="L1470" i="6" s="1"/>
  <c r="K1458" i="6" a="1"/>
  <c r="K1458" i="6" s="1"/>
  <c r="L1458" i="6" s="1"/>
  <c r="K1431" i="6" a="1"/>
  <c r="K1431" i="6" s="1"/>
  <c r="L1431" i="6" s="1"/>
  <c r="K1411" i="6" a="1"/>
  <c r="K1411" i="6" s="1"/>
  <c r="L1411" i="6" s="1"/>
  <c r="K1392" i="6" a="1"/>
  <c r="K1392" i="6" s="1"/>
  <c r="L1392" i="6" s="1"/>
  <c r="K1387" i="6" a="1"/>
  <c r="K1387" i="6" s="1"/>
  <c r="L1387" i="6" s="1"/>
  <c r="K1368" i="6" a="1"/>
  <c r="K1368" i="6" s="1"/>
  <c r="L1368" i="6" s="1"/>
  <c r="O1368" i="6" s="1"/>
  <c r="K1330" i="6" a="1"/>
  <c r="K1330" i="6" s="1"/>
  <c r="L1330" i="6" s="1"/>
  <c r="K1312" i="6" a="1"/>
  <c r="K1312" i="6" s="1"/>
  <c r="L1312" i="6" s="1"/>
  <c r="K1307" i="6" a="1"/>
  <c r="K1307" i="6" s="1"/>
  <c r="L1307" i="6" s="1"/>
  <c r="K1304" i="6" a="1"/>
  <c r="K1304" i="6" s="1"/>
  <c r="L1304" i="6" s="1"/>
  <c r="M1304" i="6" s="1"/>
  <c r="P1304" i="6" s="1"/>
  <c r="K1288" i="6" a="1"/>
  <c r="K1288" i="6" s="1"/>
  <c r="L1288" i="6" s="1"/>
  <c r="O1288" i="6" s="1"/>
  <c r="K1277" i="6" a="1"/>
  <c r="K1277" i="6" s="1"/>
  <c r="L1277" i="6" s="1"/>
  <c r="K1259" i="6" a="1"/>
  <c r="K1259" i="6" s="1"/>
  <c r="L1259" i="6" s="1"/>
  <c r="M1259" i="6" s="1"/>
  <c r="P1259" i="6" s="1"/>
  <c r="K1258" i="6" a="1"/>
  <c r="K1258" i="6" s="1"/>
  <c r="L1258" i="6" s="1"/>
  <c r="O1258" i="6" s="1"/>
  <c r="K1243" i="6" a="1"/>
  <c r="K1243" i="6" s="1"/>
  <c r="L1243" i="6" s="1"/>
  <c r="M1243" i="6" s="1"/>
  <c r="P1243" i="6" s="1"/>
  <c r="K1178" i="6" a="1"/>
  <c r="K1178" i="6" s="1"/>
  <c r="L1178" i="6" s="1"/>
  <c r="O1178" i="6" s="1"/>
  <c r="K1163" i="6" a="1"/>
  <c r="K1163" i="6" s="1"/>
  <c r="L1163" i="6" s="1"/>
  <c r="K1149" i="6" a="1"/>
  <c r="K1149" i="6" s="1"/>
  <c r="L1149" i="6" s="1"/>
  <c r="M1149" i="6" s="1"/>
  <c r="P1149" i="6" s="1"/>
  <c r="K1148" i="6" a="1"/>
  <c r="K1148" i="6" s="1"/>
  <c r="L1148" i="6" s="1"/>
  <c r="O1148" i="6" s="1"/>
  <c r="K1132" i="6" a="1"/>
  <c r="K1132" i="6" s="1"/>
  <c r="L1132" i="6" s="1"/>
  <c r="K1089" i="6" a="1"/>
  <c r="K1089" i="6" s="1"/>
  <c r="L1089" i="6" s="1"/>
  <c r="M1089" i="6" s="1"/>
  <c r="P1089" i="6" s="1"/>
  <c r="K1088" i="6" a="1"/>
  <c r="K1088" i="6" s="1"/>
  <c r="L1088" i="6" s="1"/>
  <c r="O1088" i="6" s="1"/>
  <c r="K1087" i="6" a="1"/>
  <c r="K1087" i="6" s="1"/>
  <c r="L1087" i="6" s="1"/>
  <c r="O1087" i="6" s="1"/>
  <c r="K1086" i="6" a="1"/>
  <c r="K1086" i="6" s="1"/>
  <c r="L1086" i="6" s="1"/>
  <c r="K1085" i="6" a="1"/>
  <c r="K1085" i="6" s="1"/>
  <c r="L1085" i="6" s="1"/>
  <c r="K1071" i="6" a="1"/>
  <c r="K1071" i="6" s="1"/>
  <c r="L1071" i="6" s="1"/>
  <c r="K1050" i="6" a="1"/>
  <c r="K1050" i="6" s="1"/>
  <c r="L1050" i="6" s="1"/>
  <c r="K1042" i="6" a="1"/>
  <c r="K1042" i="6" s="1"/>
  <c r="L1042" i="6" s="1"/>
  <c r="K1033" i="6" a="1"/>
  <c r="K1033" i="6" s="1"/>
  <c r="L1033" i="6" s="1"/>
  <c r="K1018" i="6" a="1"/>
  <c r="K1018" i="6" s="1"/>
  <c r="L1018" i="6" s="1"/>
  <c r="K1017" i="6" a="1"/>
  <c r="K1017" i="6" s="1"/>
  <c r="L1017" i="6" s="1"/>
  <c r="K942" i="6" a="1"/>
  <c r="K942" i="6" s="1"/>
  <c r="L942" i="6" s="1"/>
  <c r="K922" i="6" a="1"/>
  <c r="K922" i="6" s="1"/>
  <c r="L922" i="6" s="1"/>
  <c r="K875" i="6" a="1"/>
  <c r="K875" i="6" s="1"/>
  <c r="L875" i="6" s="1"/>
  <c r="K733" i="6" a="1"/>
  <c r="K733" i="6" s="1"/>
  <c r="L733" i="6" s="1"/>
  <c r="K702" i="6" a="1"/>
  <c r="K702" i="6" s="1"/>
  <c r="L702" i="6" s="1"/>
  <c r="K679" i="6" a="1"/>
  <c r="K679" i="6" s="1"/>
  <c r="L679" i="6" s="1"/>
  <c r="K662" i="6" a="1"/>
  <c r="K662" i="6" s="1"/>
  <c r="L662" i="6" s="1"/>
  <c r="K567" i="6" a="1"/>
  <c r="K567" i="6" s="1"/>
  <c r="L567" i="6" s="1"/>
  <c r="K527" i="6" a="1"/>
  <c r="K527" i="6" s="1"/>
  <c r="L527" i="6" s="1"/>
  <c r="K1887" i="6" a="1"/>
  <c r="K1887" i="6" s="1"/>
  <c r="L1887" i="6" s="1"/>
  <c r="K1694" i="6" a="1"/>
  <c r="K1694" i="6" s="1"/>
  <c r="L1694" i="6" s="1"/>
  <c r="K1609" i="6" a="1"/>
  <c r="K1609" i="6" s="1"/>
  <c r="L1609" i="6" s="1"/>
  <c r="K1596" i="6" a="1"/>
  <c r="K1596" i="6" s="1"/>
  <c r="L1596" i="6" s="1"/>
  <c r="K1559" i="6" a="1"/>
  <c r="K1559" i="6" s="1"/>
  <c r="L1559" i="6" s="1"/>
  <c r="K1538" i="6" a="1"/>
  <c r="K1538" i="6" s="1"/>
  <c r="L1538" i="6" s="1"/>
  <c r="K1469" i="6" a="1"/>
  <c r="K1469" i="6" s="1"/>
  <c r="L1469" i="6" s="1"/>
  <c r="K1417" i="6" a="1"/>
  <c r="K1417" i="6" s="1"/>
  <c r="L1417" i="6" s="1"/>
  <c r="K1402" i="6" a="1"/>
  <c r="K1402" i="6" s="1"/>
  <c r="L1402" i="6" s="1"/>
  <c r="K1356" i="6" a="1"/>
  <c r="K1356" i="6" s="1"/>
  <c r="L1356" i="6" s="1"/>
  <c r="K1347" i="6" a="1"/>
  <c r="K1347" i="6" s="1"/>
  <c r="L1347" i="6" s="1"/>
  <c r="K1299" i="6" a="1"/>
  <c r="K1299" i="6" s="1"/>
  <c r="L1299" i="6" s="1"/>
  <c r="K1207" i="6" a="1"/>
  <c r="K1207" i="6" s="1"/>
  <c r="L1207" i="6" s="1"/>
  <c r="K1147" i="6" a="1"/>
  <c r="K1147" i="6" s="1"/>
  <c r="L1147" i="6" s="1"/>
  <c r="K1131" i="6" a="1"/>
  <c r="K1131" i="6" s="1"/>
  <c r="L1131" i="6" s="1"/>
  <c r="K1079" i="6" a="1"/>
  <c r="K1079" i="6" s="1"/>
  <c r="L1079" i="6" s="1"/>
  <c r="K1054" i="6" a="1"/>
  <c r="K1054" i="6" s="1"/>
  <c r="L1054" i="6" s="1"/>
  <c r="K980" i="6" a="1"/>
  <c r="K980" i="6" s="1"/>
  <c r="L980" i="6" s="1"/>
  <c r="K956" i="6" a="1"/>
  <c r="K956" i="6" s="1"/>
  <c r="L956" i="6" s="1"/>
  <c r="K921" i="6" a="1"/>
  <c r="K921" i="6" s="1"/>
  <c r="L921" i="6" s="1"/>
  <c r="K837" i="6" a="1"/>
  <c r="K837" i="6" s="1"/>
  <c r="L837" i="6" s="1"/>
  <c r="K804" i="6" a="1"/>
  <c r="K804" i="6" s="1"/>
  <c r="L804" i="6" s="1"/>
  <c r="K758" i="6" a="1"/>
  <c r="K758" i="6" s="1"/>
  <c r="L758" i="6" s="1"/>
  <c r="K669" i="6" a="1"/>
  <c r="K669" i="6" s="1"/>
  <c r="L669" i="6" s="1"/>
  <c r="K613" i="6" a="1"/>
  <c r="K613" i="6" s="1"/>
  <c r="L613" i="6" s="1"/>
  <c r="K612" i="6" a="1"/>
  <c r="K612" i="6" s="1"/>
  <c r="L612" i="6" s="1"/>
  <c r="K601" i="6" a="1"/>
  <c r="K601" i="6" s="1"/>
  <c r="L601" i="6" s="1"/>
  <c r="K585" i="6" a="1"/>
  <c r="K585" i="6" s="1"/>
  <c r="L585" i="6" s="1"/>
  <c r="K581" i="6" a="1"/>
  <c r="K581" i="6" s="1"/>
  <c r="L581" i="6" s="1"/>
  <c r="K566" i="6" a="1"/>
  <c r="K566" i="6" s="1"/>
  <c r="L566" i="6" s="1"/>
  <c r="K491" i="6" a="1"/>
  <c r="K491" i="6" s="1"/>
  <c r="L491" i="6" s="1"/>
  <c r="K434" i="6" a="1"/>
  <c r="K434" i="6" s="1"/>
  <c r="L434" i="6" s="1"/>
  <c r="K375" i="6" a="1"/>
  <c r="K375" i="6" s="1"/>
  <c r="L375" i="6" s="1"/>
  <c r="K354" i="6" a="1"/>
  <c r="K354" i="6" s="1"/>
  <c r="L354" i="6" s="1"/>
  <c r="K327" i="6" a="1"/>
  <c r="K327" i="6" s="1"/>
  <c r="L327" i="6" s="1"/>
  <c r="K326" i="6" a="1"/>
  <c r="K326" i="6" s="1"/>
  <c r="L326" i="6" s="1"/>
  <c r="K288" i="6" a="1"/>
  <c r="K288" i="6" s="1"/>
  <c r="L288" i="6" s="1"/>
  <c r="K258" i="6" a="1"/>
  <c r="K258" i="6" s="1"/>
  <c r="L258" i="6" s="1"/>
  <c r="K146" i="6" a="1"/>
  <c r="K146" i="6" s="1"/>
  <c r="L146" i="6" s="1"/>
  <c r="K126" i="6" a="1"/>
  <c r="K126" i="6" s="1"/>
  <c r="L126" i="6" s="1"/>
  <c r="K115" i="6" a="1"/>
  <c r="K115" i="6" s="1"/>
  <c r="L115" i="6" s="1"/>
  <c r="K1946" i="6" a="1"/>
  <c r="K1946" i="6" s="1"/>
  <c r="L1946" i="6" s="1"/>
  <c r="K1939" i="6" a="1"/>
  <c r="K1939" i="6" s="1"/>
  <c r="L1939" i="6" s="1"/>
  <c r="K1821" i="6" a="1"/>
  <c r="K1821" i="6" s="1"/>
  <c r="L1821" i="6" s="1"/>
  <c r="K1797" i="6" a="1"/>
  <c r="K1797" i="6" s="1"/>
  <c r="L1797" i="6" s="1"/>
  <c r="K1732" i="6" a="1"/>
  <c r="K1732" i="6" s="1"/>
  <c r="L1732" i="6" s="1"/>
  <c r="K1669" i="6" a="1"/>
  <c r="K1669" i="6" s="1"/>
  <c r="L1669" i="6" s="1"/>
  <c r="K1665" i="6" a="1"/>
  <c r="K1665" i="6" s="1"/>
  <c r="L1665" i="6" s="1"/>
  <c r="K1659" i="6" a="1"/>
  <c r="K1659" i="6" s="1"/>
  <c r="L1659" i="6" s="1"/>
  <c r="K1480" i="6" a="1"/>
  <c r="K1480" i="6" s="1"/>
  <c r="L1480" i="6" s="1"/>
  <c r="K1457" i="6" a="1"/>
  <c r="K1457" i="6" s="1"/>
  <c r="L1457" i="6" s="1"/>
  <c r="K1378" i="6" a="1"/>
  <c r="K1378" i="6" s="1"/>
  <c r="L1378" i="6" s="1"/>
  <c r="K1222" i="6" a="1"/>
  <c r="K1222" i="6" s="1"/>
  <c r="L1222" i="6" s="1"/>
  <c r="K1213" i="6" a="1"/>
  <c r="K1213" i="6" s="1"/>
  <c r="L1213" i="6" s="1"/>
  <c r="K1212" i="6" a="1"/>
  <c r="K1212" i="6" s="1"/>
  <c r="L1212" i="6" s="1"/>
  <c r="K1177" i="6" a="1"/>
  <c r="K1177" i="6" s="1"/>
  <c r="L1177" i="6" s="1"/>
  <c r="K1130" i="6" a="1"/>
  <c r="K1130" i="6" s="1"/>
  <c r="L1130" i="6" s="1"/>
  <c r="K1084" i="6" a="1"/>
  <c r="K1084" i="6" s="1"/>
  <c r="L1084" i="6" s="1"/>
  <c r="K1076" i="6" a="1"/>
  <c r="K1076" i="6" s="1"/>
  <c r="L1076" i="6" s="1"/>
  <c r="K1032" i="6" a="1"/>
  <c r="K1032" i="6" s="1"/>
  <c r="L1032" i="6" s="1"/>
  <c r="K1016" i="6" a="1"/>
  <c r="K1016" i="6" s="1"/>
  <c r="L1016" i="6" s="1"/>
  <c r="K920" i="6" a="1"/>
  <c r="K920" i="6" s="1"/>
  <c r="L920" i="6" s="1"/>
  <c r="K843" i="6" a="1"/>
  <c r="K843" i="6" s="1"/>
  <c r="L843" i="6" s="1"/>
  <c r="K842" i="6" a="1"/>
  <c r="K842" i="6" s="1"/>
  <c r="L842" i="6" s="1"/>
  <c r="K832" i="6" a="1"/>
  <c r="K832" i="6" s="1"/>
  <c r="L832" i="6" s="1"/>
  <c r="K819" i="6" a="1"/>
  <c r="K819" i="6" s="1"/>
  <c r="L819" i="6" s="1"/>
  <c r="K810" i="6" a="1"/>
  <c r="K810" i="6" s="1"/>
  <c r="L810" i="6" s="1"/>
  <c r="K757" i="6" a="1"/>
  <c r="K757" i="6" s="1"/>
  <c r="L757" i="6" s="1"/>
  <c r="K732" i="6" a="1"/>
  <c r="K732" i="6" s="1"/>
  <c r="L732" i="6" s="1"/>
  <c r="K706" i="6" a="1"/>
  <c r="K706" i="6" s="1"/>
  <c r="L706" i="6" s="1"/>
  <c r="K701" i="6" a="1"/>
  <c r="K701" i="6" s="1"/>
  <c r="L701" i="6" s="1"/>
  <c r="K695" i="6" a="1"/>
  <c r="K695" i="6" s="1"/>
  <c r="L695" i="6" s="1"/>
  <c r="K661" i="6" a="1"/>
  <c r="K661" i="6" s="1"/>
  <c r="L661" i="6" s="1"/>
  <c r="K652" i="6" a="1"/>
  <c r="K652" i="6" s="1"/>
  <c r="L652" i="6" s="1"/>
  <c r="K630" i="6" a="1"/>
  <c r="K630" i="6" s="1"/>
  <c r="L630" i="6" s="1"/>
  <c r="K593" i="6" a="1"/>
  <c r="K593" i="6" s="1"/>
  <c r="L593" i="6" s="1"/>
  <c r="K445" i="6" a="1"/>
  <c r="K445" i="6" s="1"/>
  <c r="L445" i="6" s="1"/>
  <c r="K422" i="6" a="1"/>
  <c r="K422" i="6" s="1"/>
  <c r="L422" i="6" s="1"/>
  <c r="K414" i="6" a="1"/>
  <c r="K414" i="6" s="1"/>
  <c r="L414" i="6" s="1"/>
  <c r="K366" i="6" a="1"/>
  <c r="K366" i="6" s="1"/>
  <c r="L366" i="6" s="1"/>
  <c r="K325" i="6" a="1"/>
  <c r="K325" i="6" s="1"/>
  <c r="L325" i="6" s="1"/>
  <c r="K296" i="6" a="1"/>
  <c r="K296" i="6" s="1"/>
  <c r="L296" i="6" s="1"/>
  <c r="K287" i="6" a="1"/>
  <c r="K287" i="6" s="1"/>
  <c r="L287" i="6" s="1"/>
  <c r="K269" i="6" a="1"/>
  <c r="K269" i="6" s="1"/>
  <c r="L269" i="6" s="1"/>
  <c r="K238" i="6" a="1"/>
  <c r="K238" i="6" s="1"/>
  <c r="L238" i="6" s="1"/>
  <c r="K96" i="6" a="1"/>
  <c r="K96" i="6" s="1"/>
  <c r="L96" i="6" s="1"/>
  <c r="K80" i="6" a="1"/>
  <c r="K80" i="6" s="1"/>
  <c r="L80" i="6" s="1"/>
  <c r="K52" i="6" a="1"/>
  <c r="K52" i="6" s="1"/>
  <c r="L52" i="6" s="1"/>
  <c r="K41" i="6" a="1"/>
  <c r="K41" i="6" s="1"/>
  <c r="L41" i="6" s="1"/>
  <c r="K33" i="6" a="1"/>
  <c r="K33" i="6" s="1"/>
  <c r="L33" i="6" s="1"/>
  <c r="K346" i="6" a="1"/>
  <c r="K346" i="6" s="1"/>
  <c r="L346" i="6" s="1"/>
  <c r="K61" i="6" a="1"/>
  <c r="K61" i="6" s="1"/>
  <c r="L61" i="6" s="1"/>
  <c r="K1744" i="6" a="1"/>
  <c r="K1744" i="6" s="1"/>
  <c r="L1744" i="6" s="1"/>
  <c r="K1731" i="6" a="1"/>
  <c r="K1731" i="6" s="1"/>
  <c r="L1731" i="6" s="1"/>
  <c r="K1693" i="6" a="1"/>
  <c r="K1693" i="6" s="1"/>
  <c r="L1693" i="6" s="1"/>
  <c r="K1692" i="6" a="1"/>
  <c r="K1692" i="6" s="1"/>
  <c r="L1692" i="6" s="1"/>
  <c r="K1641" i="6" a="1"/>
  <c r="K1641" i="6" s="1"/>
  <c r="L1641" i="6" s="1"/>
  <c r="K1640" i="6" a="1"/>
  <c r="K1640" i="6" s="1"/>
  <c r="L1640" i="6" s="1"/>
  <c r="K1621" i="6" a="1"/>
  <c r="K1621" i="6" s="1"/>
  <c r="L1621" i="6" s="1"/>
  <c r="K1558" i="6" a="1"/>
  <c r="K1558" i="6" s="1"/>
  <c r="L1558" i="6" s="1"/>
  <c r="K1537" i="6" a="1"/>
  <c r="K1537" i="6" s="1"/>
  <c r="L1537" i="6" s="1"/>
  <c r="K1502" i="6" a="1"/>
  <c r="K1502" i="6" s="1"/>
  <c r="L1502" i="6" s="1"/>
  <c r="K1468" i="6" a="1"/>
  <c r="K1468" i="6" s="1"/>
  <c r="L1468" i="6" s="1"/>
  <c r="K1443" i="6" a="1"/>
  <c r="K1443" i="6" s="1"/>
  <c r="L1443" i="6" s="1"/>
  <c r="K1430" i="6" a="1"/>
  <c r="K1430" i="6" s="1"/>
  <c r="L1430" i="6" s="1"/>
  <c r="K1416" i="6" a="1"/>
  <c r="K1416" i="6" s="1"/>
  <c r="L1416" i="6" s="1"/>
  <c r="K1409" i="6" a="1"/>
  <c r="K1409" i="6" s="1"/>
  <c r="L1409" i="6" s="1"/>
  <c r="K1401" i="6" a="1"/>
  <c r="K1401" i="6" s="1"/>
  <c r="L1401" i="6" s="1"/>
  <c r="K1391" i="6" a="1"/>
  <c r="K1391" i="6" s="1"/>
  <c r="L1391" i="6" s="1"/>
  <c r="K1355" i="6" a="1"/>
  <c r="K1355" i="6" s="1"/>
  <c r="L1355" i="6" s="1"/>
  <c r="K1298" i="6" a="1"/>
  <c r="K1298" i="6" s="1"/>
  <c r="L1298" i="6" s="1"/>
  <c r="K1146" i="6" a="1"/>
  <c r="K1146" i="6" s="1"/>
  <c r="L1146" i="6" s="1"/>
  <c r="K1078" i="6" a="1"/>
  <c r="K1078" i="6" s="1"/>
  <c r="L1078" i="6" s="1"/>
  <c r="K1041" i="6" a="1"/>
  <c r="K1041" i="6" s="1"/>
  <c r="L1041" i="6" s="1"/>
  <c r="K919" i="6" a="1"/>
  <c r="K919" i="6" s="1"/>
  <c r="L919" i="6" s="1"/>
  <c r="K909" i="6" a="1"/>
  <c r="K909" i="6" s="1"/>
  <c r="L909" i="6" s="1"/>
  <c r="K756" i="6" a="1"/>
  <c r="K756" i="6" s="1"/>
  <c r="L756" i="6" s="1"/>
  <c r="K755" i="6" a="1"/>
  <c r="K755" i="6" s="1"/>
  <c r="L755" i="6" s="1"/>
  <c r="K705" i="6" a="1"/>
  <c r="K705" i="6" s="1"/>
  <c r="L705" i="6" s="1"/>
  <c r="K611" i="6" a="1"/>
  <c r="K611" i="6" s="1"/>
  <c r="L611" i="6" s="1"/>
  <c r="K580" i="6" a="1"/>
  <c r="K580" i="6" s="1"/>
  <c r="L580" i="6" s="1"/>
  <c r="K565" i="6" a="1"/>
  <c r="K565" i="6" s="1"/>
  <c r="L565" i="6" s="1"/>
  <c r="K507" i="6" a="1"/>
  <c r="K507" i="6" s="1"/>
  <c r="L507" i="6" s="1"/>
  <c r="K494" i="6" a="1"/>
  <c r="K494" i="6" s="1"/>
  <c r="L494" i="6" s="1"/>
  <c r="K478" i="6" a="1"/>
  <c r="K478" i="6" s="1"/>
  <c r="L478" i="6" s="1"/>
  <c r="K477" i="6" a="1"/>
  <c r="K477" i="6" s="1"/>
  <c r="L477" i="6" s="1"/>
  <c r="K433" i="6" a="1"/>
  <c r="K433" i="6" s="1"/>
  <c r="L433" i="6" s="1"/>
  <c r="K421" i="6" a="1"/>
  <c r="K421" i="6" s="1"/>
  <c r="L421" i="6" s="1"/>
  <c r="K353" i="6" a="1"/>
  <c r="K353" i="6" s="1"/>
  <c r="L353" i="6" s="1"/>
  <c r="K324" i="6" a="1"/>
  <c r="K324" i="6" s="1"/>
  <c r="L324" i="6" s="1"/>
  <c r="K323" i="6" a="1"/>
  <c r="K323" i="6" s="1"/>
  <c r="L323" i="6" s="1"/>
  <c r="K286" i="6" a="1"/>
  <c r="K286" i="6" s="1"/>
  <c r="L286" i="6" s="1"/>
  <c r="K257" i="6" a="1"/>
  <c r="K257" i="6" s="1"/>
  <c r="L257" i="6" s="1"/>
  <c r="K1938" i="6" a="1"/>
  <c r="K1938" i="6" s="1"/>
  <c r="L1938" i="6" s="1"/>
  <c r="K1743" i="6" a="1"/>
  <c r="K1743" i="6" s="1"/>
  <c r="L1743" i="6" s="1"/>
  <c r="K1691" i="6" a="1"/>
  <c r="K1691" i="6" s="1"/>
  <c r="L1691" i="6" s="1"/>
  <c r="K1639" i="6" a="1"/>
  <c r="K1639" i="6" s="1"/>
  <c r="L1639" i="6" s="1"/>
  <c r="K1626" i="6" a="1"/>
  <c r="K1626" i="6" s="1"/>
  <c r="L1626" i="6" s="1"/>
  <c r="K1557" i="6" a="1"/>
  <c r="K1557" i="6" s="1"/>
  <c r="L1557" i="6" s="1"/>
  <c r="K1536" i="6" a="1"/>
  <c r="K1536" i="6" s="1"/>
  <c r="L1536" i="6" s="1"/>
  <c r="K1501" i="6" a="1"/>
  <c r="K1501" i="6" s="1"/>
  <c r="L1501" i="6" s="1"/>
  <c r="K1479" i="6" a="1"/>
  <c r="K1479" i="6" s="1"/>
  <c r="L1479" i="6" s="1"/>
  <c r="K1467" i="6" a="1"/>
  <c r="K1467" i="6" s="1"/>
  <c r="L1467" i="6" s="1"/>
  <c r="K1429" i="6" a="1"/>
  <c r="K1429" i="6" s="1"/>
  <c r="L1429" i="6" s="1"/>
  <c r="K1400" i="6" a="1"/>
  <c r="K1400" i="6" s="1"/>
  <c r="L1400" i="6" s="1"/>
  <c r="K1233" i="6" a="1"/>
  <c r="K1233" i="6" s="1"/>
  <c r="L1233" i="6" s="1"/>
  <c r="K1040" i="6" a="1"/>
  <c r="K1040" i="6" s="1"/>
  <c r="L1040" i="6" s="1"/>
  <c r="K999" i="6" a="1"/>
  <c r="K999" i="6" s="1"/>
  <c r="L999" i="6" s="1"/>
  <c r="K955" i="6" a="1"/>
  <c r="K955" i="6" s="1"/>
  <c r="L955" i="6" s="1"/>
  <c r="K954" i="6" a="1"/>
  <c r="K954" i="6" s="1"/>
  <c r="L954" i="6" s="1"/>
  <c r="K951" i="6" a="1"/>
  <c r="K951" i="6" s="1"/>
  <c r="L951" i="6" s="1"/>
  <c r="K950" i="6" a="1"/>
  <c r="K950" i="6" s="1"/>
  <c r="L950" i="6" s="1"/>
  <c r="K908" i="6" a="1"/>
  <c r="K908" i="6" s="1"/>
  <c r="L908" i="6" s="1"/>
  <c r="K883" i="6" a="1"/>
  <c r="K883" i="6" s="1"/>
  <c r="L883" i="6" s="1"/>
  <c r="K786" i="6" a="1"/>
  <c r="K786" i="6" s="1"/>
  <c r="L786" i="6" s="1"/>
  <c r="K754" i="6" a="1"/>
  <c r="K754" i="6" s="1"/>
  <c r="L754" i="6" s="1"/>
  <c r="K668" i="6" a="1"/>
  <c r="K668" i="6" s="1"/>
  <c r="L668" i="6" s="1"/>
  <c r="K610" i="6" a="1"/>
  <c r="K610" i="6" s="1"/>
  <c r="L610" i="6" s="1"/>
  <c r="K579" i="6" a="1"/>
  <c r="K579" i="6" s="1"/>
  <c r="L579" i="6" s="1"/>
  <c r="K506" i="6" a="1"/>
  <c r="K506" i="6" s="1"/>
  <c r="L506" i="6" s="1"/>
  <c r="K505" i="6" a="1"/>
  <c r="K505" i="6" s="1"/>
  <c r="L505" i="6" s="1"/>
  <c r="K493" i="6" a="1"/>
  <c r="K493" i="6" s="1"/>
  <c r="L493" i="6" s="1"/>
  <c r="K485" i="6" a="1"/>
  <c r="K485" i="6" s="1"/>
  <c r="L485" i="6" s="1"/>
  <c r="K476" i="6" a="1"/>
  <c r="K476" i="6" s="1"/>
  <c r="L476" i="6" s="1"/>
  <c r="K475" i="6" a="1"/>
  <c r="K475" i="6" s="1"/>
  <c r="L475" i="6" s="1"/>
  <c r="K432" i="6" a="1"/>
  <c r="K432" i="6" s="1"/>
  <c r="L432" i="6" s="1"/>
  <c r="K420" i="6" a="1"/>
  <c r="K420" i="6" s="1"/>
  <c r="L420" i="6" s="1"/>
  <c r="K374" i="6" a="1"/>
  <c r="K374" i="6" s="1"/>
  <c r="L374" i="6" s="1"/>
  <c r="K352" i="6" a="1"/>
  <c r="K352" i="6" s="1"/>
  <c r="L352" i="6" s="1"/>
  <c r="K321" i="6" a="1"/>
  <c r="K321" i="6" s="1"/>
  <c r="L321" i="6" s="1"/>
  <c r="K293" i="6" a="1"/>
  <c r="K293" i="6" s="1"/>
  <c r="L293" i="6" s="1"/>
  <c r="K285" i="6" a="1"/>
  <c r="K285" i="6" s="1"/>
  <c r="L285" i="6" s="1"/>
  <c r="K284" i="6" a="1"/>
  <c r="K284" i="6" s="1"/>
  <c r="L284" i="6" s="1"/>
  <c r="K145" i="6" a="1"/>
  <c r="K145" i="6" s="1"/>
  <c r="L145" i="6" s="1"/>
  <c r="K125" i="6" a="1"/>
  <c r="K125" i="6" s="1"/>
  <c r="L125" i="6" s="1"/>
  <c r="K114" i="6" a="1"/>
  <c r="K114" i="6" s="1"/>
  <c r="L114" i="6" s="1"/>
  <c r="A19" i="1" a="1"/>
  <c r="A19" i="1" s="1"/>
  <c r="A20" i="1" a="1"/>
  <c r="A20" i="1" s="1"/>
  <c r="F5" i="1"/>
  <c r="F4" i="1"/>
  <c r="F3" i="1"/>
  <c r="I20" i="1"/>
  <c r="F20" i="1"/>
  <c r="L3" i="6" l="1"/>
  <c r="M3" i="6" s="1"/>
  <c r="P3" i="6" s="1"/>
  <c r="M1025" i="6"/>
  <c r="P1025" i="6" s="1"/>
  <c r="M495" i="6"/>
  <c r="P495" i="6" s="1"/>
  <c r="M1859" i="6"/>
  <c r="P1859" i="6" s="1"/>
  <c r="O1979" i="6"/>
  <c r="M1979" i="6"/>
  <c r="P1979" i="6" s="1"/>
  <c r="M1217" i="6"/>
  <c r="P1217" i="6" s="1"/>
  <c r="M628" i="6"/>
  <c r="P628" i="6" s="1"/>
  <c r="O247" i="6"/>
  <c r="O55" i="6"/>
  <c r="M406" i="6"/>
  <c r="P406" i="6" s="1"/>
  <c r="M948" i="6"/>
  <c r="P948" i="6" s="1"/>
  <c r="M1928" i="6"/>
  <c r="P1928" i="6" s="1"/>
  <c r="M458" i="6"/>
  <c r="P458" i="6" s="1"/>
  <c r="M1261" i="6"/>
  <c r="P1261" i="6" s="1"/>
  <c r="O1261" i="6"/>
  <c r="O1751" i="6"/>
  <c r="M1751" i="6"/>
  <c r="P1751" i="6" s="1"/>
  <c r="M1924" i="6"/>
  <c r="P1924" i="6" s="1"/>
  <c r="O1924" i="6"/>
  <c r="M1095" i="6"/>
  <c r="P1095" i="6" s="1"/>
  <c r="O1095" i="6"/>
  <c r="M1387" i="6"/>
  <c r="P1387" i="6" s="1"/>
  <c r="O1387" i="6"/>
  <c r="M473" i="6"/>
  <c r="P473" i="6" s="1"/>
  <c r="O473" i="6"/>
  <c r="M1428" i="6"/>
  <c r="P1428" i="6" s="1"/>
  <c r="O1428" i="6"/>
  <c r="M1684" i="6"/>
  <c r="P1684" i="6" s="1"/>
  <c r="O1684" i="6"/>
  <c r="M1073" i="6"/>
  <c r="P1073" i="6" s="1"/>
  <c r="O1073" i="6"/>
  <c r="M1865" i="6"/>
  <c r="P1865" i="6" s="1"/>
  <c r="O1865" i="6"/>
  <c r="O930" i="6"/>
  <c r="O1268" i="6"/>
  <c r="O1813" i="6"/>
  <c r="M1753" i="6"/>
  <c r="P1753" i="6" s="1"/>
  <c r="M317" i="6"/>
  <c r="P317" i="6" s="1"/>
  <c r="O135" i="6"/>
  <c r="O1225" i="6"/>
  <c r="O470" i="6"/>
  <c r="M1156" i="6"/>
  <c r="P1156" i="6" s="1"/>
  <c r="O1767" i="6"/>
  <c r="O1567" i="6"/>
  <c r="M1587" i="6"/>
  <c r="P1587" i="6" s="1"/>
  <c r="M1175" i="6"/>
  <c r="P1175" i="6" s="1"/>
  <c r="M383" i="6"/>
  <c r="P383" i="6" s="1"/>
  <c r="M970" i="6"/>
  <c r="P970" i="6" s="1"/>
  <c r="O970" i="6"/>
  <c r="M1388" i="6"/>
  <c r="P1388" i="6" s="1"/>
  <c r="O1388" i="6"/>
  <c r="O1661" i="6"/>
  <c r="M1661" i="6"/>
  <c r="P1661" i="6" s="1"/>
  <c r="M1155" i="6"/>
  <c r="P1155" i="6" s="1"/>
  <c r="O1155" i="6"/>
  <c r="M1023" i="6"/>
  <c r="P1023" i="6" s="1"/>
  <c r="O1023" i="6"/>
  <c r="M901" i="6"/>
  <c r="P901" i="6" s="1"/>
  <c r="O901" i="6"/>
  <c r="M1860" i="6"/>
  <c r="P1860" i="6" s="1"/>
  <c r="O1860" i="6"/>
  <c r="M1326" i="6"/>
  <c r="P1326" i="6" s="1"/>
  <c r="O1326" i="6"/>
  <c r="M1808" i="6"/>
  <c r="P1808" i="6" s="1"/>
  <c r="O1808" i="6"/>
  <c r="M1842" i="6"/>
  <c r="P1842" i="6" s="1"/>
  <c r="O1842" i="6"/>
  <c r="M759" i="6"/>
  <c r="P759" i="6" s="1"/>
  <c r="O759" i="6"/>
  <c r="M1521" i="6"/>
  <c r="P1521" i="6" s="1"/>
  <c r="O1521" i="6"/>
  <c r="M1223" i="6"/>
  <c r="P1223" i="6" s="1"/>
  <c r="O1223" i="6"/>
  <c r="M85" i="6"/>
  <c r="P85" i="6" s="1"/>
  <c r="O85" i="6"/>
  <c r="M793" i="6"/>
  <c r="P793" i="6" s="1"/>
  <c r="O793" i="6"/>
  <c r="M1086" i="6"/>
  <c r="P1086" i="6" s="1"/>
  <c r="O1086" i="6"/>
  <c r="O708" i="6"/>
  <c r="M708" i="6"/>
  <c r="P708" i="6" s="1"/>
  <c r="M792" i="6"/>
  <c r="P792" i="6" s="1"/>
  <c r="O792" i="6"/>
  <c r="M1135" i="6"/>
  <c r="P1135" i="6" s="1"/>
  <c r="O1135" i="6"/>
  <c r="M1004" i="6"/>
  <c r="P1004" i="6" s="1"/>
  <c r="O1004" i="6"/>
  <c r="M1386" i="6"/>
  <c r="P1386" i="6" s="1"/>
  <c r="O1386" i="6"/>
  <c r="M1891" i="6"/>
  <c r="P1891" i="6" s="1"/>
  <c r="O1891" i="6"/>
  <c r="M871" i="6"/>
  <c r="P871" i="6" s="1"/>
  <c r="O871" i="6"/>
  <c r="M1157" i="6"/>
  <c r="P1157" i="6" s="1"/>
  <c r="O1157" i="6"/>
  <c r="M692" i="6"/>
  <c r="P692" i="6" s="1"/>
  <c r="O692" i="6"/>
  <c r="M504" i="6"/>
  <c r="P504" i="6" s="1"/>
  <c r="O504" i="6"/>
  <c r="M709" i="6"/>
  <c r="P709" i="6" s="1"/>
  <c r="O709" i="6"/>
  <c r="M1052" i="6"/>
  <c r="P1052" i="6" s="1"/>
  <c r="O1052" i="6"/>
  <c r="M1454" i="6"/>
  <c r="P1454" i="6" s="1"/>
  <c r="O1454" i="6"/>
  <c r="M878" i="6"/>
  <c r="P878" i="6" s="1"/>
  <c r="O878" i="6"/>
  <c r="O1140" i="6"/>
  <c r="M1140" i="6"/>
  <c r="P1140" i="6" s="1"/>
  <c r="O1898" i="6"/>
  <c r="M1898" i="6"/>
  <c r="P1898" i="6" s="1"/>
  <c r="O480" i="6"/>
  <c r="M480" i="6"/>
  <c r="P480" i="6" s="1"/>
  <c r="M734" i="6"/>
  <c r="P734" i="6" s="1"/>
  <c r="O734" i="6"/>
  <c r="M822" i="6"/>
  <c r="P822" i="6" s="1"/>
  <c r="O822" i="6"/>
  <c r="M1785" i="6"/>
  <c r="P1785" i="6" s="1"/>
  <c r="O1785" i="6"/>
  <c r="M816" i="6"/>
  <c r="P816" i="6" s="1"/>
  <c r="O816" i="6"/>
  <c r="M442" i="6"/>
  <c r="P442" i="6" s="1"/>
  <c r="O442" i="6"/>
  <c r="O1304" i="6"/>
  <c r="M1736" i="6"/>
  <c r="P1736" i="6" s="1"/>
  <c r="M1305" i="6"/>
  <c r="P1305" i="6" s="1"/>
  <c r="M469" i="6"/>
  <c r="P469" i="6" s="1"/>
  <c r="O337" i="6"/>
  <c r="M337" i="6"/>
  <c r="P337" i="6" s="1"/>
  <c r="O263" i="6"/>
  <c r="M263" i="6"/>
  <c r="P263" i="6" s="1"/>
  <c r="O1024" i="6"/>
  <c r="M1024" i="6"/>
  <c r="P1024" i="6" s="1"/>
  <c r="O451" i="6"/>
  <c r="M451" i="6"/>
  <c r="P451" i="6" s="1"/>
  <c r="O583" i="6"/>
  <c r="M583" i="6"/>
  <c r="P583" i="6" s="1"/>
  <c r="M1256" i="6"/>
  <c r="P1256" i="6" s="1"/>
  <c r="O1256" i="6"/>
  <c r="M1320" i="6"/>
  <c r="P1320" i="6" s="1"/>
  <c r="O1320" i="6"/>
  <c r="M1631" i="6"/>
  <c r="P1631" i="6" s="1"/>
  <c r="O1631" i="6"/>
  <c r="M935" i="6"/>
  <c r="P935" i="6" s="1"/>
  <c r="O935" i="6"/>
  <c r="O229" i="6"/>
  <c r="M229" i="6"/>
  <c r="P229" i="6" s="1"/>
  <c r="O1243" i="6"/>
  <c r="M429" i="6"/>
  <c r="P429" i="6" s="1"/>
  <c r="M490" i="6"/>
  <c r="P490" i="6" s="1"/>
  <c r="M503" i="6"/>
  <c r="P503" i="6" s="1"/>
  <c r="M508" i="6"/>
  <c r="P508" i="6" s="1"/>
  <c r="M749" i="6"/>
  <c r="P749" i="6" s="1"/>
  <c r="O845" i="6"/>
  <c r="O1001" i="6"/>
  <c r="O1171" i="6"/>
  <c r="O1367" i="6"/>
  <c r="O1484" i="6"/>
  <c r="M1644" i="6"/>
  <c r="P1644" i="6" s="1"/>
  <c r="M1654" i="6"/>
  <c r="P1654" i="6" s="1"/>
  <c r="O902" i="6"/>
  <c r="O1102" i="6"/>
  <c r="O1158" i="6"/>
  <c r="O1238" i="6"/>
  <c r="M1238" i="6"/>
  <c r="P1238" i="6" s="1"/>
  <c r="M205" i="6"/>
  <c r="P205" i="6" s="1"/>
  <c r="O205" i="6"/>
  <c r="M1697" i="6"/>
  <c r="P1697" i="6" s="1"/>
  <c r="M38" i="6"/>
  <c r="P38" i="6" s="1"/>
  <c r="M605" i="6"/>
  <c r="P605" i="6" s="1"/>
  <c r="O605" i="6"/>
  <c r="O170" i="6"/>
  <c r="M170" i="6"/>
  <c r="P170" i="6" s="1"/>
  <c r="M1777" i="6"/>
  <c r="P1777" i="6" s="1"/>
  <c r="O1777" i="6"/>
  <c r="M336" i="6"/>
  <c r="P336" i="6" s="1"/>
  <c r="O336" i="6"/>
  <c r="O1366" i="6"/>
  <c r="M1366" i="6"/>
  <c r="P1366" i="6" s="1"/>
  <c r="M1578" i="6"/>
  <c r="P1578" i="6" s="1"/>
  <c r="O1578" i="6"/>
  <c r="M1047" i="6"/>
  <c r="P1047" i="6" s="1"/>
  <c r="O1047" i="6"/>
  <c r="O1608" i="6"/>
  <c r="M1608" i="6"/>
  <c r="P1608" i="6" s="1"/>
  <c r="M1167" i="6"/>
  <c r="P1167" i="6" s="1"/>
  <c r="O1270" i="6"/>
  <c r="M1968" i="6"/>
  <c r="P1968" i="6" s="1"/>
  <c r="O1968" i="6"/>
  <c r="O202" i="6"/>
  <c r="M202" i="6"/>
  <c r="P202" i="6" s="1"/>
  <c r="O962" i="6"/>
  <c r="M962" i="6"/>
  <c r="P962" i="6" s="1"/>
  <c r="M392" i="6"/>
  <c r="P392" i="6" s="1"/>
  <c r="O392" i="6"/>
  <c r="M1241" i="6"/>
  <c r="P1241" i="6" s="1"/>
  <c r="M226" i="6"/>
  <c r="P226" i="6" s="1"/>
  <c r="M1196" i="6"/>
  <c r="P1196" i="6" s="1"/>
  <c r="O620" i="6"/>
  <c r="M934" i="6"/>
  <c r="P934" i="6" s="1"/>
  <c r="M622" i="6"/>
  <c r="P622" i="6" s="1"/>
  <c r="M1116" i="6"/>
  <c r="P1116" i="6" s="1"/>
  <c r="O1202" i="6"/>
  <c r="M790" i="6"/>
  <c r="P790" i="6" s="1"/>
  <c r="O1255" i="6"/>
  <c r="M1812" i="6"/>
  <c r="P1812" i="6" s="1"/>
  <c r="M101" i="6"/>
  <c r="P101" i="6" s="1"/>
  <c r="O687" i="6"/>
  <c r="O474" i="6"/>
  <c r="O1060" i="6"/>
  <c r="O1420" i="6"/>
  <c r="O1239" i="6"/>
  <c r="O1126" i="6"/>
  <c r="O937" i="6"/>
  <c r="M1242" i="6"/>
  <c r="P1242" i="6" s="1"/>
  <c r="O532" i="6"/>
  <c r="O505" i="6"/>
  <c r="M505" i="6"/>
  <c r="P505" i="6" s="1"/>
  <c r="O323" i="6"/>
  <c r="M323" i="6"/>
  <c r="P323" i="6" s="1"/>
  <c r="O494" i="6"/>
  <c r="M494" i="6"/>
  <c r="P494" i="6" s="1"/>
  <c r="O1041" i="6"/>
  <c r="M1041" i="6"/>
  <c r="P1041" i="6" s="1"/>
  <c r="O1641" i="6"/>
  <c r="M1641" i="6"/>
  <c r="P1641" i="6" s="1"/>
  <c r="M80" i="6"/>
  <c r="P80" i="6" s="1"/>
  <c r="O80" i="6"/>
  <c r="O366" i="6"/>
  <c r="M366" i="6"/>
  <c r="P366" i="6" s="1"/>
  <c r="O445" i="6"/>
  <c r="M445" i="6"/>
  <c r="P445" i="6" s="1"/>
  <c r="O706" i="6"/>
  <c r="M706" i="6"/>
  <c r="P706" i="6" s="1"/>
  <c r="O810" i="6"/>
  <c r="M810" i="6"/>
  <c r="P810" i="6" s="1"/>
  <c r="O1032" i="6"/>
  <c r="M1032" i="6"/>
  <c r="P1032" i="6" s="1"/>
  <c r="O1480" i="6"/>
  <c r="M1480" i="6"/>
  <c r="P1480" i="6" s="1"/>
  <c r="O375" i="6"/>
  <c r="M375" i="6"/>
  <c r="P375" i="6" s="1"/>
  <c r="M758" i="6"/>
  <c r="P758" i="6" s="1"/>
  <c r="O758" i="6"/>
  <c r="O1079" i="6"/>
  <c r="M1079" i="6"/>
  <c r="P1079" i="6" s="1"/>
  <c r="O1207" i="6"/>
  <c r="M1207" i="6"/>
  <c r="P1207" i="6" s="1"/>
  <c r="O1538" i="6"/>
  <c r="M1538" i="6"/>
  <c r="P1538" i="6" s="1"/>
  <c r="O1609" i="6"/>
  <c r="M1609" i="6"/>
  <c r="P1609" i="6" s="1"/>
  <c r="O702" i="6"/>
  <c r="M702" i="6"/>
  <c r="P702" i="6" s="1"/>
  <c r="O1071" i="6"/>
  <c r="M1071" i="6"/>
  <c r="P1071" i="6" s="1"/>
  <c r="O1163" i="6"/>
  <c r="M1163" i="6"/>
  <c r="P1163" i="6" s="1"/>
  <c r="O1277" i="6"/>
  <c r="M1277" i="6"/>
  <c r="P1277" i="6" s="1"/>
  <c r="O786" i="6"/>
  <c r="M786" i="6"/>
  <c r="P786" i="6" s="1"/>
  <c r="O1938" i="6"/>
  <c r="M1938" i="6"/>
  <c r="P1938" i="6" s="1"/>
  <c r="O145" i="6"/>
  <c r="M145" i="6"/>
  <c r="P145" i="6" s="1"/>
  <c r="O293" i="6"/>
  <c r="M293" i="6"/>
  <c r="P293" i="6" s="1"/>
  <c r="M476" i="6"/>
  <c r="P476" i="6" s="1"/>
  <c r="O476" i="6"/>
  <c r="O883" i="6"/>
  <c r="M883" i="6"/>
  <c r="P883" i="6" s="1"/>
  <c r="O1639" i="6"/>
  <c r="M1639" i="6"/>
  <c r="P1639" i="6" s="1"/>
  <c r="M433" i="6"/>
  <c r="P433" i="6" s="1"/>
  <c r="O433" i="6"/>
  <c r="O611" i="6"/>
  <c r="M611" i="6"/>
  <c r="P611" i="6" s="1"/>
  <c r="O756" i="6"/>
  <c r="M756" i="6"/>
  <c r="P756" i="6" s="1"/>
  <c r="O1355" i="6"/>
  <c r="M1355" i="6"/>
  <c r="P1355" i="6" s="1"/>
  <c r="O1409" i="6"/>
  <c r="M1409" i="6"/>
  <c r="P1409" i="6" s="1"/>
  <c r="O1558" i="6"/>
  <c r="M1558" i="6"/>
  <c r="P1558" i="6" s="1"/>
  <c r="O33" i="6"/>
  <c r="M33" i="6"/>
  <c r="P33" i="6" s="1"/>
  <c r="O661" i="6"/>
  <c r="M661" i="6"/>
  <c r="P661" i="6" s="1"/>
  <c r="M843" i="6"/>
  <c r="P843" i="6" s="1"/>
  <c r="O843" i="6"/>
  <c r="O1177" i="6"/>
  <c r="M1177" i="6"/>
  <c r="P1177" i="6" s="1"/>
  <c r="O1222" i="6"/>
  <c r="M1222" i="6"/>
  <c r="P1222" i="6" s="1"/>
  <c r="O1732" i="6"/>
  <c r="M1732" i="6"/>
  <c r="P1732" i="6" s="1"/>
  <c r="O1939" i="6"/>
  <c r="M1939" i="6"/>
  <c r="P1939" i="6" s="1"/>
  <c r="O326" i="6"/>
  <c r="M326" i="6"/>
  <c r="P326" i="6" s="1"/>
  <c r="O612" i="6"/>
  <c r="M612" i="6"/>
  <c r="P612" i="6" s="1"/>
  <c r="O1402" i="6"/>
  <c r="M1402" i="6"/>
  <c r="P1402" i="6" s="1"/>
  <c r="M567" i="6"/>
  <c r="P567" i="6" s="1"/>
  <c r="O567" i="6"/>
  <c r="O942" i="6"/>
  <c r="M942" i="6"/>
  <c r="P942" i="6" s="1"/>
  <c r="O1033" i="6"/>
  <c r="M1033" i="6"/>
  <c r="P1033" i="6" s="1"/>
  <c r="O1132" i="6"/>
  <c r="M1132" i="6"/>
  <c r="P1132" i="6" s="1"/>
  <c r="M610" i="6"/>
  <c r="P610" i="6" s="1"/>
  <c r="O610" i="6"/>
  <c r="O506" i="6"/>
  <c r="M506" i="6"/>
  <c r="P506" i="6" s="1"/>
  <c r="O324" i="6"/>
  <c r="M324" i="6"/>
  <c r="P324" i="6" s="1"/>
  <c r="O1744" i="6"/>
  <c r="M1744" i="6"/>
  <c r="P1744" i="6" s="1"/>
  <c r="O96" i="6"/>
  <c r="M96" i="6"/>
  <c r="P96" i="6" s="1"/>
  <c r="O287" i="6"/>
  <c r="M287" i="6"/>
  <c r="P287" i="6" s="1"/>
  <c r="O593" i="6"/>
  <c r="M593" i="6"/>
  <c r="P593" i="6" s="1"/>
  <c r="O819" i="6"/>
  <c r="M819" i="6"/>
  <c r="P819" i="6" s="1"/>
  <c r="O1659" i="6"/>
  <c r="M1659" i="6"/>
  <c r="P1659" i="6" s="1"/>
  <c r="M146" i="6"/>
  <c r="P146" i="6" s="1"/>
  <c r="O146" i="6"/>
  <c r="O434" i="6"/>
  <c r="M434" i="6"/>
  <c r="P434" i="6" s="1"/>
  <c r="O581" i="6"/>
  <c r="M581" i="6"/>
  <c r="P581" i="6" s="1"/>
  <c r="O804" i="6"/>
  <c r="M804" i="6"/>
  <c r="P804" i="6" s="1"/>
  <c r="O956" i="6"/>
  <c r="M956" i="6"/>
  <c r="P956" i="6" s="1"/>
  <c r="O1299" i="6"/>
  <c r="M1299" i="6"/>
  <c r="P1299" i="6" s="1"/>
  <c r="O1694" i="6"/>
  <c r="M1694" i="6"/>
  <c r="P1694" i="6" s="1"/>
  <c r="O1085" i="6"/>
  <c r="M1085" i="6"/>
  <c r="P1085" i="6" s="1"/>
  <c r="O475" i="6"/>
  <c r="M475" i="6"/>
  <c r="P475" i="6" s="1"/>
  <c r="O1501" i="6"/>
  <c r="M1501" i="6"/>
  <c r="P1501" i="6" s="1"/>
  <c r="O1040" i="6"/>
  <c r="M1040" i="6"/>
  <c r="P1040" i="6" s="1"/>
  <c r="O1692" i="6"/>
  <c r="M1692" i="6"/>
  <c r="P1692" i="6" s="1"/>
  <c r="O321" i="6"/>
  <c r="M321" i="6"/>
  <c r="P321" i="6" s="1"/>
  <c r="M1467" i="6"/>
  <c r="P1467" i="6" s="1"/>
  <c r="O1467" i="6"/>
  <c r="O1691" i="6"/>
  <c r="M1691" i="6"/>
  <c r="P1691" i="6" s="1"/>
  <c r="O257" i="6"/>
  <c r="M257" i="6"/>
  <c r="P257" i="6" s="1"/>
  <c r="O477" i="6"/>
  <c r="M477" i="6"/>
  <c r="P477" i="6" s="1"/>
  <c r="O507" i="6"/>
  <c r="M507" i="6"/>
  <c r="P507" i="6" s="1"/>
  <c r="O909" i="6"/>
  <c r="M909" i="6"/>
  <c r="P909" i="6" s="1"/>
  <c r="O1416" i="6"/>
  <c r="M1416" i="6"/>
  <c r="P1416" i="6" s="1"/>
  <c r="O41" i="6"/>
  <c r="M41" i="6"/>
  <c r="P41" i="6" s="1"/>
  <c r="M414" i="6"/>
  <c r="P414" i="6" s="1"/>
  <c r="O414" i="6"/>
  <c r="O695" i="6"/>
  <c r="M695" i="6"/>
  <c r="P695" i="6" s="1"/>
  <c r="O732" i="6"/>
  <c r="M732" i="6"/>
  <c r="P732" i="6" s="1"/>
  <c r="O920" i="6"/>
  <c r="M920" i="6"/>
  <c r="P920" i="6" s="1"/>
  <c r="O1076" i="6"/>
  <c r="M1076" i="6"/>
  <c r="P1076" i="6" s="1"/>
  <c r="O1378" i="6"/>
  <c r="M1378" i="6"/>
  <c r="P1378" i="6" s="1"/>
  <c r="O1946" i="6"/>
  <c r="M1946" i="6"/>
  <c r="P1946" i="6" s="1"/>
  <c r="O613" i="6"/>
  <c r="M613" i="6"/>
  <c r="P613" i="6" s="1"/>
  <c r="M1131" i="6"/>
  <c r="P1131" i="6" s="1"/>
  <c r="O1131" i="6"/>
  <c r="O1417" i="6"/>
  <c r="M1417" i="6"/>
  <c r="P1417" i="6" s="1"/>
  <c r="O1559" i="6"/>
  <c r="M1559" i="6"/>
  <c r="P1559" i="6" s="1"/>
  <c r="O662" i="6"/>
  <c r="M662" i="6"/>
  <c r="P662" i="6" s="1"/>
  <c r="O733" i="6"/>
  <c r="M733" i="6"/>
  <c r="P733" i="6" s="1"/>
  <c r="O1042" i="6"/>
  <c r="M1042" i="6"/>
  <c r="P1042" i="6" s="1"/>
  <c r="M125" i="6"/>
  <c r="P125" i="6" s="1"/>
  <c r="O125" i="6"/>
  <c r="M951" i="6"/>
  <c r="P951" i="6" s="1"/>
  <c r="O951" i="6"/>
  <c r="O668" i="6"/>
  <c r="M668" i="6"/>
  <c r="P668" i="6" s="1"/>
  <c r="M1468" i="6"/>
  <c r="P1468" i="6" s="1"/>
  <c r="O1468" i="6"/>
  <c r="M114" i="6"/>
  <c r="P114" i="6" s="1"/>
  <c r="O114" i="6"/>
  <c r="O908" i="6"/>
  <c r="M908" i="6"/>
  <c r="P908" i="6" s="1"/>
  <c r="O284" i="6"/>
  <c r="M284" i="6"/>
  <c r="P284" i="6" s="1"/>
  <c r="M432" i="6"/>
  <c r="P432" i="6" s="1"/>
  <c r="O432" i="6"/>
  <c r="O485" i="6"/>
  <c r="M485" i="6"/>
  <c r="P485" i="6" s="1"/>
  <c r="O754" i="6"/>
  <c r="M754" i="6"/>
  <c r="P754" i="6" s="1"/>
  <c r="O1233" i="6"/>
  <c r="M1233" i="6"/>
  <c r="P1233" i="6" s="1"/>
  <c r="O353" i="6"/>
  <c r="M353" i="6"/>
  <c r="P353" i="6" s="1"/>
  <c r="M705" i="6"/>
  <c r="P705" i="6" s="1"/>
  <c r="O705" i="6"/>
  <c r="O1146" i="6"/>
  <c r="M1146" i="6"/>
  <c r="P1146" i="6" s="1"/>
  <c r="O1391" i="6"/>
  <c r="M1391" i="6"/>
  <c r="P1391" i="6" s="1"/>
  <c r="O1502" i="6"/>
  <c r="M1502" i="6"/>
  <c r="P1502" i="6" s="1"/>
  <c r="O1621" i="6"/>
  <c r="M1621" i="6"/>
  <c r="P1621" i="6" s="1"/>
  <c r="O61" i="6"/>
  <c r="M61" i="6"/>
  <c r="P61" i="6" s="1"/>
  <c r="O296" i="6"/>
  <c r="M296" i="6"/>
  <c r="P296" i="6" s="1"/>
  <c r="O832" i="6"/>
  <c r="M832" i="6"/>
  <c r="P832" i="6" s="1"/>
  <c r="M1212" i="6"/>
  <c r="P1212" i="6" s="1"/>
  <c r="O1212" i="6"/>
  <c r="O1665" i="6"/>
  <c r="M1665" i="6"/>
  <c r="P1665" i="6" s="1"/>
  <c r="O1797" i="6"/>
  <c r="M1797" i="6"/>
  <c r="P1797" i="6" s="1"/>
  <c r="O258" i="6"/>
  <c r="M258" i="6"/>
  <c r="P258" i="6" s="1"/>
  <c r="O327" i="6"/>
  <c r="M327" i="6"/>
  <c r="P327" i="6" s="1"/>
  <c r="O585" i="6"/>
  <c r="M585" i="6"/>
  <c r="P585" i="6" s="1"/>
  <c r="O980" i="6"/>
  <c r="M980" i="6"/>
  <c r="P980" i="6" s="1"/>
  <c r="O1887" i="6"/>
  <c r="M1887" i="6"/>
  <c r="P1887" i="6" s="1"/>
  <c r="M1017" i="6"/>
  <c r="P1017" i="6" s="1"/>
  <c r="O1017" i="6"/>
  <c r="O1429" i="6"/>
  <c r="M1429" i="6"/>
  <c r="P1429" i="6" s="1"/>
  <c r="M954" i="6"/>
  <c r="P954" i="6" s="1"/>
  <c r="O954" i="6"/>
  <c r="O1078" i="6"/>
  <c r="M1078" i="6"/>
  <c r="P1078" i="6" s="1"/>
  <c r="O579" i="6"/>
  <c r="M579" i="6"/>
  <c r="P579" i="6" s="1"/>
  <c r="O950" i="6"/>
  <c r="M950" i="6"/>
  <c r="P950" i="6" s="1"/>
  <c r="O955" i="6"/>
  <c r="M955" i="6"/>
  <c r="P955" i="6" s="1"/>
  <c r="O1479" i="6"/>
  <c r="M1479" i="6"/>
  <c r="P1479" i="6" s="1"/>
  <c r="O1557" i="6"/>
  <c r="M1557" i="6"/>
  <c r="P1557" i="6" s="1"/>
  <c r="O286" i="6"/>
  <c r="M286" i="6"/>
  <c r="P286" i="6" s="1"/>
  <c r="O565" i="6"/>
  <c r="M565" i="6"/>
  <c r="P565" i="6" s="1"/>
  <c r="O1430" i="6"/>
  <c r="M1430" i="6"/>
  <c r="P1430" i="6" s="1"/>
  <c r="M1693" i="6"/>
  <c r="P1693" i="6" s="1"/>
  <c r="O1693" i="6"/>
  <c r="O52" i="6"/>
  <c r="M52" i="6"/>
  <c r="P52" i="6" s="1"/>
  <c r="O238" i="6"/>
  <c r="M238" i="6"/>
  <c r="P238" i="6" s="1"/>
  <c r="O422" i="6"/>
  <c r="M422" i="6"/>
  <c r="P422" i="6" s="1"/>
  <c r="O630" i="6"/>
  <c r="M630" i="6"/>
  <c r="P630" i="6" s="1"/>
  <c r="O757" i="6"/>
  <c r="M757" i="6"/>
  <c r="P757" i="6" s="1"/>
  <c r="O1084" i="6"/>
  <c r="M1084" i="6"/>
  <c r="P1084" i="6" s="1"/>
  <c r="O115" i="6"/>
  <c r="M115" i="6"/>
  <c r="P115" i="6" s="1"/>
  <c r="M491" i="6"/>
  <c r="P491" i="6" s="1"/>
  <c r="O491" i="6"/>
  <c r="O669" i="6"/>
  <c r="M669" i="6"/>
  <c r="P669" i="6" s="1"/>
  <c r="O837" i="6"/>
  <c r="M837" i="6"/>
  <c r="P837" i="6" s="1"/>
  <c r="O1147" i="6"/>
  <c r="M1147" i="6"/>
  <c r="P1147" i="6" s="1"/>
  <c r="O1347" i="6"/>
  <c r="M1347" i="6"/>
  <c r="P1347" i="6" s="1"/>
  <c r="O1596" i="6"/>
  <c r="M1596" i="6"/>
  <c r="P1596" i="6" s="1"/>
  <c r="O875" i="6"/>
  <c r="M875" i="6"/>
  <c r="P875" i="6" s="1"/>
  <c r="O1330" i="6"/>
  <c r="M1330" i="6"/>
  <c r="P1330" i="6" s="1"/>
  <c r="O1392" i="6"/>
  <c r="M1392" i="6"/>
  <c r="P1392" i="6" s="1"/>
  <c r="O999" i="6"/>
  <c r="M999" i="6"/>
  <c r="P999" i="6" s="1"/>
  <c r="O420" i="6"/>
  <c r="M420" i="6"/>
  <c r="P420" i="6" s="1"/>
  <c r="O1536" i="6"/>
  <c r="M1536" i="6"/>
  <c r="P1536" i="6" s="1"/>
  <c r="O352" i="6"/>
  <c r="M352" i="6"/>
  <c r="P352" i="6" s="1"/>
  <c r="M285" i="6"/>
  <c r="P285" i="6" s="1"/>
  <c r="O285" i="6"/>
  <c r="O493" i="6"/>
  <c r="M493" i="6"/>
  <c r="P493" i="6" s="1"/>
  <c r="O1400" i="6"/>
  <c r="M1400" i="6"/>
  <c r="P1400" i="6" s="1"/>
  <c r="M1743" i="6"/>
  <c r="P1743" i="6" s="1"/>
  <c r="O1743" i="6"/>
  <c r="O421" i="6"/>
  <c r="M421" i="6"/>
  <c r="P421" i="6" s="1"/>
  <c r="O478" i="6"/>
  <c r="M478" i="6"/>
  <c r="P478" i="6" s="1"/>
  <c r="O755" i="6"/>
  <c r="M755" i="6"/>
  <c r="P755" i="6" s="1"/>
  <c r="O919" i="6"/>
  <c r="M919" i="6"/>
  <c r="P919" i="6" s="1"/>
  <c r="O1401" i="6"/>
  <c r="M1401" i="6"/>
  <c r="P1401" i="6" s="1"/>
  <c r="O1640" i="6"/>
  <c r="M1640" i="6"/>
  <c r="P1640" i="6" s="1"/>
  <c r="O325" i="6"/>
  <c r="M325" i="6"/>
  <c r="P325" i="6" s="1"/>
  <c r="M701" i="6"/>
  <c r="P701" i="6" s="1"/>
  <c r="O701" i="6"/>
  <c r="O842" i="6"/>
  <c r="M842" i="6"/>
  <c r="P842" i="6" s="1"/>
  <c r="O1016" i="6"/>
  <c r="M1016" i="6"/>
  <c r="P1016" i="6" s="1"/>
  <c r="O1213" i="6"/>
  <c r="M1213" i="6"/>
  <c r="P1213" i="6" s="1"/>
  <c r="O1457" i="6"/>
  <c r="M1457" i="6"/>
  <c r="P1457" i="6" s="1"/>
  <c r="O1821" i="6"/>
  <c r="M1821" i="6"/>
  <c r="P1821" i="6" s="1"/>
  <c r="O354" i="6"/>
  <c r="M354" i="6"/>
  <c r="P354" i="6" s="1"/>
  <c r="O1054" i="6"/>
  <c r="M1054" i="6"/>
  <c r="P1054" i="6" s="1"/>
  <c r="M1469" i="6"/>
  <c r="P1469" i="6" s="1"/>
  <c r="O1469" i="6"/>
  <c r="O527" i="6"/>
  <c r="M527" i="6"/>
  <c r="P527" i="6" s="1"/>
  <c r="O679" i="6"/>
  <c r="M679" i="6"/>
  <c r="P679" i="6" s="1"/>
  <c r="O1018" i="6"/>
  <c r="M1018" i="6"/>
  <c r="P1018" i="6" s="1"/>
  <c r="O1050" i="6"/>
  <c r="M1050" i="6"/>
  <c r="P1050" i="6" s="1"/>
  <c r="O374" i="6"/>
  <c r="M374" i="6"/>
  <c r="P374" i="6" s="1"/>
  <c r="O1626" i="6"/>
  <c r="M1626" i="6"/>
  <c r="P1626" i="6" s="1"/>
  <c r="O580" i="6"/>
  <c r="M580" i="6"/>
  <c r="P580" i="6" s="1"/>
  <c r="M1298" i="6"/>
  <c r="P1298" i="6" s="1"/>
  <c r="O1298" i="6"/>
  <c r="O1443" i="6"/>
  <c r="M1443" i="6"/>
  <c r="P1443" i="6" s="1"/>
  <c r="O1537" i="6"/>
  <c r="M1537" i="6"/>
  <c r="P1537" i="6" s="1"/>
  <c r="O1731" i="6"/>
  <c r="M1731" i="6"/>
  <c r="P1731" i="6" s="1"/>
  <c r="O346" i="6"/>
  <c r="M346" i="6"/>
  <c r="P346" i="6" s="1"/>
  <c r="O269" i="6"/>
  <c r="M269" i="6"/>
  <c r="P269" i="6" s="1"/>
  <c r="O652" i="6"/>
  <c r="M652" i="6"/>
  <c r="P652" i="6" s="1"/>
  <c r="O1130" i="6"/>
  <c r="M1130" i="6"/>
  <c r="P1130" i="6" s="1"/>
  <c r="M1669" i="6"/>
  <c r="P1669" i="6" s="1"/>
  <c r="O1669" i="6"/>
  <c r="O126" i="6"/>
  <c r="M126" i="6"/>
  <c r="P126" i="6" s="1"/>
  <c r="O288" i="6"/>
  <c r="M288" i="6"/>
  <c r="P288" i="6" s="1"/>
  <c r="O566" i="6"/>
  <c r="M566" i="6"/>
  <c r="P566" i="6" s="1"/>
  <c r="O601" i="6"/>
  <c r="M601" i="6"/>
  <c r="P601" i="6" s="1"/>
  <c r="O921" i="6"/>
  <c r="M921" i="6"/>
  <c r="P921" i="6" s="1"/>
  <c r="O1356" i="6"/>
  <c r="M1356" i="6"/>
  <c r="P1356" i="6" s="1"/>
  <c r="O922" i="6"/>
  <c r="M922" i="6"/>
  <c r="P922" i="6" s="1"/>
  <c r="O1307" i="6"/>
  <c r="M1307" i="6"/>
  <c r="P1307" i="6" s="1"/>
  <c r="O1089" i="6"/>
  <c r="M1148" i="6"/>
  <c r="P1148" i="6" s="1"/>
  <c r="O1470" i="6"/>
  <c r="M1470" i="6"/>
  <c r="P1470" i="6" s="1"/>
  <c r="O1760" i="6"/>
  <c r="O1952" i="6"/>
  <c r="M1952" i="6"/>
  <c r="P1952" i="6" s="1"/>
  <c r="M172" i="6"/>
  <c r="P172" i="6" s="1"/>
  <c r="O172" i="6"/>
  <c r="O179" i="6"/>
  <c r="M179" i="6"/>
  <c r="P179" i="6" s="1"/>
  <c r="O381" i="6"/>
  <c r="M381" i="6"/>
  <c r="P381" i="6" s="1"/>
  <c r="M121" i="6"/>
  <c r="P121" i="6" s="1"/>
  <c r="O121" i="6"/>
  <c r="O423" i="6"/>
  <c r="M423" i="6"/>
  <c r="P423" i="6" s="1"/>
  <c r="O1278" i="6"/>
  <c r="M1278" i="6"/>
  <c r="P1278" i="6" s="1"/>
  <c r="M1445" i="6"/>
  <c r="P1445" i="6" s="1"/>
  <c r="O1445" i="6"/>
  <c r="O1847" i="6"/>
  <c r="M1847" i="6"/>
  <c r="P1847" i="6" s="1"/>
  <c r="O1511" i="6"/>
  <c r="M1511" i="6"/>
  <c r="P1511" i="6" s="1"/>
  <c r="M1958" i="6"/>
  <c r="P1958" i="6" s="1"/>
  <c r="O1958" i="6"/>
  <c r="M32" i="6"/>
  <c r="P32" i="6" s="1"/>
  <c r="O32" i="6"/>
  <c r="M67" i="6"/>
  <c r="P67" i="6" s="1"/>
  <c r="O67" i="6"/>
  <c r="M138" i="6"/>
  <c r="P138" i="6" s="1"/>
  <c r="O138" i="6"/>
  <c r="M249" i="6"/>
  <c r="P249" i="6" s="1"/>
  <c r="O249" i="6"/>
  <c r="M311" i="6"/>
  <c r="P311" i="6" s="1"/>
  <c r="O311" i="6"/>
  <c r="M481" i="6"/>
  <c r="P481" i="6" s="1"/>
  <c r="O481" i="6"/>
  <c r="O1411" i="6"/>
  <c r="M1411" i="6"/>
  <c r="P1411" i="6" s="1"/>
  <c r="O1610" i="6"/>
  <c r="M1610" i="6"/>
  <c r="P1610" i="6" s="1"/>
  <c r="M1670" i="6"/>
  <c r="P1670" i="6" s="1"/>
  <c r="O1670" i="6"/>
  <c r="O1857" i="6"/>
  <c r="M1857" i="6"/>
  <c r="P1857" i="6" s="1"/>
  <c r="O70" i="6"/>
  <c r="M70" i="6"/>
  <c r="P70" i="6" s="1"/>
  <c r="O176" i="6"/>
  <c r="M176" i="6"/>
  <c r="P176" i="6" s="1"/>
  <c r="O200" i="6"/>
  <c r="M200" i="6"/>
  <c r="P200" i="6" s="1"/>
  <c r="O245" i="6"/>
  <c r="M245" i="6"/>
  <c r="P245" i="6" s="1"/>
  <c r="O378" i="6"/>
  <c r="M378" i="6"/>
  <c r="P378" i="6" s="1"/>
  <c r="O1954" i="6"/>
  <c r="M1954" i="6"/>
  <c r="P1954" i="6" s="1"/>
  <c r="O328" i="6"/>
  <c r="M328" i="6"/>
  <c r="P328" i="6" s="1"/>
  <c r="O568" i="6"/>
  <c r="M568" i="6"/>
  <c r="P568" i="6" s="1"/>
  <c r="O838" i="6"/>
  <c r="M838" i="6"/>
  <c r="P838" i="6" s="1"/>
  <c r="O1080" i="6"/>
  <c r="M1080" i="6"/>
  <c r="P1080" i="6" s="1"/>
  <c r="O1403" i="6"/>
  <c r="M1403" i="6"/>
  <c r="P1403" i="6" s="1"/>
  <c r="O1560" i="6"/>
  <c r="M1560" i="6"/>
  <c r="P1560" i="6" s="1"/>
  <c r="O923" i="6"/>
  <c r="M923" i="6"/>
  <c r="P923" i="6" s="1"/>
  <c r="O1150" i="6"/>
  <c r="M1150" i="6"/>
  <c r="P1150" i="6" s="1"/>
  <c r="O1289" i="6"/>
  <c r="M1289" i="6"/>
  <c r="P1289" i="6" s="1"/>
  <c r="O1800" i="6"/>
  <c r="M1800" i="6"/>
  <c r="P1800" i="6" s="1"/>
  <c r="O23" i="6"/>
  <c r="M23" i="6"/>
  <c r="P23" i="6" s="1"/>
  <c r="O29" i="6"/>
  <c r="M29" i="6"/>
  <c r="P29" i="6" s="1"/>
  <c r="O51" i="6"/>
  <c r="M51" i="6"/>
  <c r="P51" i="6" s="1"/>
  <c r="O62" i="6"/>
  <c r="M62" i="6"/>
  <c r="P62" i="6" s="1"/>
  <c r="O98" i="6"/>
  <c r="M98" i="6"/>
  <c r="P98" i="6" s="1"/>
  <c r="O132" i="6"/>
  <c r="M132" i="6"/>
  <c r="P132" i="6" s="1"/>
  <c r="O231" i="6"/>
  <c r="M231" i="6"/>
  <c r="P231" i="6" s="1"/>
  <c r="O240" i="6"/>
  <c r="M240" i="6"/>
  <c r="P240" i="6" s="1"/>
  <c r="O294" i="6"/>
  <c r="M294" i="6"/>
  <c r="P294" i="6" s="1"/>
  <c r="O301" i="6"/>
  <c r="M301" i="6"/>
  <c r="P301" i="6" s="1"/>
  <c r="O393" i="6"/>
  <c r="M393" i="6"/>
  <c r="P393" i="6" s="1"/>
  <c r="O398" i="6"/>
  <c r="M398" i="6"/>
  <c r="P398" i="6" s="1"/>
  <c r="O446" i="6"/>
  <c r="M446" i="6"/>
  <c r="P446" i="6" s="1"/>
  <c r="O660" i="6"/>
  <c r="M660" i="6"/>
  <c r="P660" i="6" s="1"/>
  <c r="M1088" i="6"/>
  <c r="P1088" i="6" s="1"/>
  <c r="O1546" i="6"/>
  <c r="O1798" i="6"/>
  <c r="M1798" i="6"/>
  <c r="P1798" i="6" s="1"/>
  <c r="O173" i="6"/>
  <c r="M173" i="6"/>
  <c r="P173" i="6" s="1"/>
  <c r="M180" i="6"/>
  <c r="P180" i="6" s="1"/>
  <c r="O180" i="6"/>
  <c r="O217" i="6"/>
  <c r="M217" i="6"/>
  <c r="P217" i="6" s="1"/>
  <c r="O154" i="6"/>
  <c r="M154" i="6"/>
  <c r="P154" i="6" s="1"/>
  <c r="M435" i="6"/>
  <c r="P435" i="6" s="1"/>
  <c r="O435" i="6"/>
  <c r="O707" i="6"/>
  <c r="M707" i="6"/>
  <c r="P707" i="6" s="1"/>
  <c r="O1446" i="6"/>
  <c r="M1446" i="6"/>
  <c r="P1446" i="6" s="1"/>
  <c r="M1858" i="6"/>
  <c r="P1858" i="6" s="1"/>
  <c r="O1858" i="6"/>
  <c r="O1093" i="6"/>
  <c r="M1093" i="6"/>
  <c r="P1093" i="6" s="1"/>
  <c r="O1959" i="6"/>
  <c r="M1959" i="6"/>
  <c r="P1959" i="6" s="1"/>
  <c r="O11" i="6"/>
  <c r="M11" i="6"/>
  <c r="P11" i="6" s="1"/>
  <c r="O34" i="6"/>
  <c r="M34" i="6"/>
  <c r="P34" i="6" s="1"/>
  <c r="O47" i="6"/>
  <c r="M47" i="6"/>
  <c r="P47" i="6" s="1"/>
  <c r="O68" i="6"/>
  <c r="M68" i="6"/>
  <c r="P68" i="6" s="1"/>
  <c r="O90" i="6"/>
  <c r="M90" i="6"/>
  <c r="P90" i="6" s="1"/>
  <c r="O147" i="6"/>
  <c r="M147" i="6"/>
  <c r="P147" i="6" s="1"/>
  <c r="O213" i="6"/>
  <c r="M213" i="6"/>
  <c r="P213" i="6" s="1"/>
  <c r="O250" i="6"/>
  <c r="M250" i="6"/>
  <c r="P250" i="6" s="1"/>
  <c r="O280" i="6"/>
  <c r="M280" i="6"/>
  <c r="P280" i="6" s="1"/>
  <c r="O312" i="6"/>
  <c r="M312" i="6"/>
  <c r="P312" i="6" s="1"/>
  <c r="O356" i="6"/>
  <c r="M356" i="6"/>
  <c r="P356" i="6" s="1"/>
  <c r="M430" i="6"/>
  <c r="P430" i="6" s="1"/>
  <c r="O430" i="6"/>
  <c r="O471" i="6"/>
  <c r="M471" i="6"/>
  <c r="P471" i="6" s="1"/>
  <c r="O556" i="6"/>
  <c r="M556" i="6"/>
  <c r="P556" i="6" s="1"/>
  <c r="O1431" i="6"/>
  <c r="M1431" i="6"/>
  <c r="P1431" i="6" s="1"/>
  <c r="M1481" i="6"/>
  <c r="P1481" i="6" s="1"/>
  <c r="O1481" i="6"/>
  <c r="O1627" i="6"/>
  <c r="M1627" i="6"/>
  <c r="P1627" i="6" s="1"/>
  <c r="O1953" i="6"/>
  <c r="M1953" i="6"/>
  <c r="P1953" i="6" s="1"/>
  <c r="O71" i="6"/>
  <c r="M71" i="6"/>
  <c r="P71" i="6" s="1"/>
  <c r="O177" i="6"/>
  <c r="M177" i="6"/>
  <c r="P177" i="6" s="1"/>
  <c r="O208" i="6"/>
  <c r="M208" i="6"/>
  <c r="P208" i="6" s="1"/>
  <c r="O266" i="6"/>
  <c r="M266" i="6"/>
  <c r="P266" i="6" s="1"/>
  <c r="O1834" i="6"/>
  <c r="M1834" i="6"/>
  <c r="P1834" i="6" s="1"/>
  <c r="O1955" i="6"/>
  <c r="M1955" i="6"/>
  <c r="P1955" i="6" s="1"/>
  <c r="O329" i="6"/>
  <c r="M329" i="6"/>
  <c r="P329" i="6" s="1"/>
  <c r="O602" i="6"/>
  <c r="M602" i="6"/>
  <c r="P602" i="6" s="1"/>
  <c r="O910" i="6"/>
  <c r="M910" i="6"/>
  <c r="P910" i="6" s="1"/>
  <c r="O1357" i="6"/>
  <c r="M1357" i="6"/>
  <c r="P1357" i="6" s="1"/>
  <c r="O1418" i="6"/>
  <c r="M1418" i="6"/>
  <c r="P1418" i="6" s="1"/>
  <c r="O1695" i="6"/>
  <c r="M1695" i="6"/>
  <c r="P1695" i="6" s="1"/>
  <c r="O1051" i="6"/>
  <c r="M1051" i="6"/>
  <c r="P1051" i="6" s="1"/>
  <c r="O1169" i="6"/>
  <c r="M1169" i="6"/>
  <c r="P1169" i="6" s="1"/>
  <c r="O1643" i="6"/>
  <c r="M1643" i="6"/>
  <c r="P1643" i="6" s="1"/>
  <c r="O1956" i="6"/>
  <c r="M1956" i="6"/>
  <c r="P1956" i="6" s="1"/>
  <c r="O8" i="6"/>
  <c r="M8" i="6"/>
  <c r="P8" i="6" s="1"/>
  <c r="O30" i="6"/>
  <c r="M30" i="6"/>
  <c r="P30" i="6" s="1"/>
  <c r="O37" i="6"/>
  <c r="M37" i="6"/>
  <c r="P37" i="6" s="1"/>
  <c r="O65" i="6"/>
  <c r="M65" i="6"/>
  <c r="P65" i="6" s="1"/>
  <c r="O75" i="6"/>
  <c r="M75" i="6"/>
  <c r="P75" i="6" s="1"/>
  <c r="O133" i="6"/>
  <c r="M133" i="6"/>
  <c r="P133" i="6" s="1"/>
  <c r="O168" i="6"/>
  <c r="M168" i="6"/>
  <c r="P168" i="6" s="1"/>
  <c r="O243" i="6"/>
  <c r="M243" i="6"/>
  <c r="P243" i="6" s="1"/>
  <c r="O256" i="6"/>
  <c r="M256" i="6"/>
  <c r="P256" i="6" s="1"/>
  <c r="O302" i="6"/>
  <c r="M302" i="6"/>
  <c r="P302" i="6" s="1"/>
  <c r="O320" i="6"/>
  <c r="M320" i="6"/>
  <c r="P320" i="6" s="1"/>
  <c r="O415" i="6"/>
  <c r="M415" i="6"/>
  <c r="P415" i="6" s="1"/>
  <c r="O484" i="6"/>
  <c r="M484" i="6"/>
  <c r="P484" i="6" s="1"/>
  <c r="O781" i="6"/>
  <c r="M781" i="6"/>
  <c r="P781" i="6" s="1"/>
  <c r="O1149" i="6"/>
  <c r="O1259" i="6"/>
  <c r="M1288" i="6"/>
  <c r="P1288" i="6" s="1"/>
  <c r="O1572" i="6"/>
  <c r="M1572" i="6"/>
  <c r="P1572" i="6" s="1"/>
  <c r="M1745" i="6"/>
  <c r="P1745" i="6" s="1"/>
  <c r="O1888" i="6"/>
  <c r="M1888" i="6"/>
  <c r="P1888" i="6" s="1"/>
  <c r="O192" i="6"/>
  <c r="M192" i="6"/>
  <c r="P192" i="6" s="1"/>
  <c r="M218" i="6"/>
  <c r="P218" i="6" s="1"/>
  <c r="O218" i="6"/>
  <c r="O379" i="6"/>
  <c r="M379" i="6"/>
  <c r="P379" i="6" s="1"/>
  <c r="O464" i="6"/>
  <c r="M464" i="6"/>
  <c r="P464" i="6" s="1"/>
  <c r="M787" i="6"/>
  <c r="P787" i="6" s="1"/>
  <c r="O787" i="6"/>
  <c r="O1090" i="6"/>
  <c r="M1090" i="6"/>
  <c r="P1090" i="6" s="1"/>
  <c r="O1947" i="6"/>
  <c r="M1947" i="6"/>
  <c r="P1947" i="6" s="1"/>
  <c r="M1133" i="6"/>
  <c r="P1133" i="6" s="1"/>
  <c r="O1133" i="6"/>
  <c r="O1394" i="6"/>
  <c r="M1394" i="6"/>
  <c r="P1394" i="6" s="1"/>
  <c r="M12" i="6"/>
  <c r="P12" i="6" s="1"/>
  <c r="O12" i="6"/>
  <c r="M49" i="6"/>
  <c r="P49" i="6" s="1"/>
  <c r="O49" i="6"/>
  <c r="M94" i="6"/>
  <c r="P94" i="6" s="1"/>
  <c r="O94" i="6"/>
  <c r="M214" i="6"/>
  <c r="P214" i="6" s="1"/>
  <c r="O214" i="6"/>
  <c r="M281" i="6"/>
  <c r="P281" i="6" s="1"/>
  <c r="O281" i="6"/>
  <c r="M364" i="6"/>
  <c r="P364" i="6" s="1"/>
  <c r="O364" i="6"/>
  <c r="O425" i="6"/>
  <c r="M425" i="6"/>
  <c r="P425" i="6" s="1"/>
  <c r="O436" i="6"/>
  <c r="M436" i="6"/>
  <c r="P436" i="6" s="1"/>
  <c r="O498" i="6"/>
  <c r="M498" i="6"/>
  <c r="P498" i="6" s="1"/>
  <c r="O631" i="6"/>
  <c r="M631" i="6"/>
  <c r="P631" i="6" s="1"/>
  <c r="O1458" i="6"/>
  <c r="M1458" i="6"/>
  <c r="P1458" i="6" s="1"/>
  <c r="O1799" i="6"/>
  <c r="M1799" i="6"/>
  <c r="P1799" i="6" s="1"/>
  <c r="O1792" i="6"/>
  <c r="M1792" i="6"/>
  <c r="P1792" i="6" s="1"/>
  <c r="O174" i="6"/>
  <c r="M174" i="6"/>
  <c r="P174" i="6" s="1"/>
  <c r="O178" i="6"/>
  <c r="M178" i="6"/>
  <c r="P178" i="6" s="1"/>
  <c r="O209" i="6"/>
  <c r="M209" i="6"/>
  <c r="P209" i="6" s="1"/>
  <c r="O350" i="6"/>
  <c r="M350" i="6"/>
  <c r="P350" i="6" s="1"/>
  <c r="O1835" i="6"/>
  <c r="M1835" i="6"/>
  <c r="P1835" i="6" s="1"/>
  <c r="O194" i="6"/>
  <c r="M194" i="6"/>
  <c r="P194" i="6" s="1"/>
  <c r="O355" i="6"/>
  <c r="M355" i="6"/>
  <c r="P355" i="6" s="1"/>
  <c r="O614" i="6"/>
  <c r="M614" i="6"/>
  <c r="P614" i="6" s="1"/>
  <c r="O981" i="6"/>
  <c r="M981" i="6"/>
  <c r="P981" i="6" s="1"/>
  <c r="O1374" i="6"/>
  <c r="M1374" i="6"/>
  <c r="P1374" i="6" s="1"/>
  <c r="O1471" i="6"/>
  <c r="M1471" i="6"/>
  <c r="P1471" i="6" s="1"/>
  <c r="O1822" i="6"/>
  <c r="M1822" i="6"/>
  <c r="P1822" i="6" s="1"/>
  <c r="O1091" i="6"/>
  <c r="M1091" i="6"/>
  <c r="P1091" i="6" s="1"/>
  <c r="O1214" i="6"/>
  <c r="M1214" i="6"/>
  <c r="P1214" i="6" s="1"/>
  <c r="O1768" i="6"/>
  <c r="M1768" i="6"/>
  <c r="P1768" i="6" s="1"/>
  <c r="O5" i="6"/>
  <c r="M5" i="6"/>
  <c r="P5" i="6" s="1"/>
  <c r="O9" i="6"/>
  <c r="M9" i="6"/>
  <c r="P9" i="6" s="1"/>
  <c r="O35" i="6"/>
  <c r="M35" i="6"/>
  <c r="P35" i="6" s="1"/>
  <c r="O39" i="6"/>
  <c r="M39" i="6"/>
  <c r="P39" i="6" s="1"/>
  <c r="O72" i="6"/>
  <c r="M72" i="6"/>
  <c r="P72" i="6" s="1"/>
  <c r="O76" i="6"/>
  <c r="M76" i="6"/>
  <c r="P76" i="6" s="1"/>
  <c r="O152" i="6"/>
  <c r="M152" i="6"/>
  <c r="P152" i="6" s="1"/>
  <c r="O187" i="6"/>
  <c r="M187" i="6"/>
  <c r="P187" i="6" s="1"/>
  <c r="O254" i="6"/>
  <c r="M254" i="6"/>
  <c r="P254" i="6" s="1"/>
  <c r="O260" i="6"/>
  <c r="M260" i="6"/>
  <c r="P260" i="6" s="1"/>
  <c r="O314" i="6"/>
  <c r="M314" i="6"/>
  <c r="P314" i="6" s="1"/>
  <c r="O330" i="6"/>
  <c r="M330" i="6"/>
  <c r="P330" i="6" s="1"/>
  <c r="O722" i="6"/>
  <c r="M722" i="6"/>
  <c r="P722" i="6" s="1"/>
  <c r="M1087" i="6"/>
  <c r="P1087" i="6" s="1"/>
  <c r="M1178" i="6"/>
  <c r="P1178" i="6" s="1"/>
  <c r="M1258" i="6"/>
  <c r="P1258" i="6" s="1"/>
  <c r="M1368" i="6"/>
  <c r="P1368" i="6" s="1"/>
  <c r="M1503" i="6"/>
  <c r="P1503" i="6" s="1"/>
  <c r="O1642" i="6"/>
  <c r="M1642" i="6"/>
  <c r="P1642" i="6" s="1"/>
  <c r="M1894" i="6"/>
  <c r="P1894" i="6" s="1"/>
  <c r="O1894" i="6"/>
  <c r="O120" i="6"/>
  <c r="M120" i="6"/>
  <c r="P120" i="6" s="1"/>
  <c r="O227" i="6"/>
  <c r="M227" i="6"/>
  <c r="P227" i="6" s="1"/>
  <c r="M380" i="6"/>
  <c r="P380" i="6" s="1"/>
  <c r="O380" i="6"/>
  <c r="O108" i="6"/>
  <c r="M108" i="6"/>
  <c r="P108" i="6" s="1"/>
  <c r="O805" i="6"/>
  <c r="M805" i="6"/>
  <c r="P805" i="6" s="1"/>
  <c r="M1234" i="6"/>
  <c r="P1234" i="6" s="1"/>
  <c r="O1234" i="6"/>
  <c r="O1444" i="6"/>
  <c r="M1444" i="6"/>
  <c r="P1444" i="6" s="1"/>
  <c r="O1134" i="6"/>
  <c r="M1134" i="6"/>
  <c r="P1134" i="6" s="1"/>
  <c r="M1412" i="6"/>
  <c r="P1412" i="6" s="1"/>
  <c r="O1412" i="6"/>
  <c r="O1957" i="6"/>
  <c r="M1957" i="6"/>
  <c r="P1957" i="6" s="1"/>
  <c r="O21" i="6"/>
  <c r="M21" i="6"/>
  <c r="P21" i="6" s="1"/>
  <c r="O31" i="6"/>
  <c r="M31" i="6"/>
  <c r="P31" i="6" s="1"/>
  <c r="O50" i="6"/>
  <c r="M50" i="6"/>
  <c r="P50" i="6" s="1"/>
  <c r="O66" i="6"/>
  <c r="M66" i="6"/>
  <c r="P66" i="6" s="1"/>
  <c r="O97" i="6"/>
  <c r="M97" i="6"/>
  <c r="P97" i="6" s="1"/>
  <c r="O134" i="6"/>
  <c r="M134" i="6"/>
  <c r="P134" i="6" s="1"/>
  <c r="O224" i="6"/>
  <c r="M224" i="6"/>
  <c r="P224" i="6" s="1"/>
  <c r="O244" i="6"/>
  <c r="M244" i="6"/>
  <c r="P244" i="6" s="1"/>
  <c r="O292" i="6"/>
  <c r="M292" i="6"/>
  <c r="P292" i="6" s="1"/>
  <c r="O303" i="6"/>
  <c r="M303" i="6"/>
  <c r="P303" i="6" s="1"/>
  <c r="O368" i="6"/>
  <c r="M368" i="6"/>
  <c r="P368" i="6" s="1"/>
  <c r="O419" i="6"/>
  <c r="M419" i="6"/>
  <c r="P419" i="6" s="1"/>
  <c r="O700" i="6"/>
  <c r="M700" i="6"/>
  <c r="P700" i="6" s="1"/>
  <c r="O1312" i="6"/>
  <c r="M1312" i="6"/>
  <c r="P1312" i="6" s="1"/>
  <c r="O1597" i="6"/>
  <c r="M1597" i="6"/>
  <c r="P1597" i="6" s="1"/>
  <c r="O1846" i="6"/>
  <c r="M1846" i="6"/>
  <c r="P1846" i="6" s="1"/>
  <c r="O16" i="6"/>
  <c r="M16" i="6"/>
  <c r="P16" i="6" s="1"/>
  <c r="O175" i="6"/>
  <c r="M175" i="6"/>
  <c r="P175" i="6" s="1"/>
  <c r="O199" i="6"/>
  <c r="M199" i="6"/>
  <c r="P199" i="6" s="1"/>
  <c r="O216" i="6"/>
  <c r="M216" i="6"/>
  <c r="P216" i="6" s="1"/>
  <c r="O377" i="6"/>
  <c r="M377" i="6"/>
  <c r="P377" i="6" s="1"/>
  <c r="O1836" i="6"/>
  <c r="M1836" i="6"/>
  <c r="P1836" i="6" s="1"/>
  <c r="O259" i="6"/>
  <c r="M259" i="6"/>
  <c r="P259" i="6" s="1"/>
  <c r="O479" i="6"/>
  <c r="M479" i="6"/>
  <c r="P479" i="6" s="1"/>
  <c r="O670" i="6"/>
  <c r="M670" i="6"/>
  <c r="P670" i="6" s="1"/>
  <c r="O1055" i="6"/>
  <c r="M1055" i="6"/>
  <c r="P1055" i="6" s="1"/>
  <c r="O1393" i="6"/>
  <c r="M1393" i="6"/>
  <c r="P1393" i="6" s="1"/>
  <c r="O1539" i="6"/>
  <c r="M1539" i="6"/>
  <c r="P1539" i="6" s="1"/>
  <c r="O858" i="6"/>
  <c r="M858" i="6"/>
  <c r="P858" i="6" s="1"/>
  <c r="O1092" i="6"/>
  <c r="M1092" i="6"/>
  <c r="P1092" i="6" s="1"/>
  <c r="O1260" i="6"/>
  <c r="M1260" i="6"/>
  <c r="P1260" i="6" s="1"/>
  <c r="O1769" i="6"/>
  <c r="M1769" i="6"/>
  <c r="P1769" i="6" s="1"/>
  <c r="O10" i="6"/>
  <c r="M10" i="6"/>
  <c r="P10" i="6" s="1"/>
  <c r="O25" i="6"/>
  <c r="M25" i="6"/>
  <c r="P25" i="6" s="1"/>
  <c r="O42" i="6"/>
  <c r="M42" i="6"/>
  <c r="P42" i="6" s="1"/>
  <c r="O54" i="6"/>
  <c r="M54" i="6"/>
  <c r="P54" i="6" s="1"/>
  <c r="O81" i="6"/>
  <c r="M81" i="6"/>
  <c r="P81" i="6" s="1"/>
  <c r="O127" i="6"/>
  <c r="M127" i="6"/>
  <c r="P127" i="6" s="1"/>
  <c r="O188" i="6"/>
  <c r="M188" i="6"/>
  <c r="P188" i="6" s="1"/>
  <c r="O239" i="6"/>
  <c r="M239" i="6"/>
  <c r="P239" i="6" s="1"/>
  <c r="O265" i="6"/>
  <c r="M265" i="6"/>
  <c r="P265" i="6" s="1"/>
  <c r="O297" i="6"/>
  <c r="M297" i="6"/>
  <c r="P297" i="6" s="1"/>
  <c r="O331" i="6"/>
  <c r="M331" i="6"/>
  <c r="P331" i="6" s="1"/>
  <c r="O396" i="6"/>
  <c r="M396" i="6"/>
  <c r="P396" i="6" s="1"/>
  <c r="O441" i="6"/>
  <c r="M441" i="6"/>
  <c r="P441" i="6" s="1"/>
  <c r="O587" i="6"/>
  <c r="M587" i="6"/>
  <c r="P587" i="6" s="1"/>
  <c r="O424" i="6"/>
  <c r="O465" i="6"/>
  <c r="O528" i="6"/>
  <c r="M559" i="6"/>
  <c r="P559" i="6" s="1"/>
  <c r="M563" i="6"/>
  <c r="P563" i="6" s="1"/>
  <c r="O600" i="6"/>
  <c r="M634" i="6"/>
  <c r="P634" i="6" s="1"/>
  <c r="M648" i="6"/>
  <c r="P648" i="6" s="1"/>
  <c r="O682" i="6"/>
  <c r="O735" i="6"/>
  <c r="M735" i="6"/>
  <c r="P735" i="6" s="1"/>
  <c r="O738" i="6"/>
  <c r="M738" i="6"/>
  <c r="P738" i="6" s="1"/>
  <c r="O811" i="6"/>
  <c r="M811" i="6"/>
  <c r="P811" i="6" s="1"/>
  <c r="O820" i="6"/>
  <c r="M820" i="6"/>
  <c r="P820" i="6" s="1"/>
  <c r="O839" i="6"/>
  <c r="M839" i="6"/>
  <c r="P839" i="6" s="1"/>
  <c r="O876" i="6"/>
  <c r="M876" i="6"/>
  <c r="P876" i="6" s="1"/>
  <c r="O905" i="6"/>
  <c r="M905" i="6"/>
  <c r="P905" i="6" s="1"/>
  <c r="O924" i="6"/>
  <c r="M924" i="6"/>
  <c r="P924" i="6" s="1"/>
  <c r="O993" i="6"/>
  <c r="M993" i="6"/>
  <c r="P993" i="6" s="1"/>
  <c r="O1056" i="6"/>
  <c r="M1056" i="6"/>
  <c r="P1056" i="6" s="1"/>
  <c r="O1097" i="6"/>
  <c r="M1097" i="6"/>
  <c r="P1097" i="6" s="1"/>
  <c r="O1119" i="6"/>
  <c r="M1119" i="6"/>
  <c r="P1119" i="6" s="1"/>
  <c r="O1164" i="6"/>
  <c r="M1164" i="6"/>
  <c r="P1164" i="6" s="1"/>
  <c r="O1224" i="6"/>
  <c r="M1224" i="6"/>
  <c r="P1224" i="6" s="1"/>
  <c r="O1263" i="6"/>
  <c r="M1263" i="6"/>
  <c r="P1263" i="6" s="1"/>
  <c r="O1308" i="6"/>
  <c r="M1308" i="6"/>
  <c r="P1308" i="6" s="1"/>
  <c r="O1349" i="6"/>
  <c r="M1349" i="6"/>
  <c r="P1349" i="6" s="1"/>
  <c r="O1389" i="6"/>
  <c r="M1389" i="6"/>
  <c r="P1389" i="6" s="1"/>
  <c r="O1433" i="6"/>
  <c r="M1433" i="6"/>
  <c r="P1433" i="6" s="1"/>
  <c r="O1448" i="6"/>
  <c r="M1448" i="6"/>
  <c r="P1448" i="6" s="1"/>
  <c r="O1482" i="6"/>
  <c r="M1482" i="6"/>
  <c r="P1482" i="6" s="1"/>
  <c r="M1735" i="6"/>
  <c r="P1735" i="6" s="1"/>
  <c r="O1735" i="6"/>
  <c r="O513" i="6"/>
  <c r="O543" i="6"/>
  <c r="M543" i="6"/>
  <c r="P543" i="6" s="1"/>
  <c r="O592" i="6"/>
  <c r="O627" i="6"/>
  <c r="M627" i="6"/>
  <c r="P627" i="6" s="1"/>
  <c r="O680" i="6"/>
  <c r="O699" i="6"/>
  <c r="M699" i="6"/>
  <c r="P699" i="6" s="1"/>
  <c r="M723" i="6"/>
  <c r="P723" i="6" s="1"/>
  <c r="O760" i="6"/>
  <c r="M760" i="6"/>
  <c r="P760" i="6" s="1"/>
  <c r="O774" i="6"/>
  <c r="M774" i="6"/>
  <c r="P774" i="6" s="1"/>
  <c r="O834" i="6"/>
  <c r="M834" i="6"/>
  <c r="P834" i="6" s="1"/>
  <c r="O859" i="6"/>
  <c r="M859" i="6"/>
  <c r="P859" i="6" s="1"/>
  <c r="O870" i="6"/>
  <c r="M870" i="6"/>
  <c r="P870" i="6" s="1"/>
  <c r="O983" i="6"/>
  <c r="M983" i="6"/>
  <c r="P983" i="6" s="1"/>
  <c r="O1031" i="6"/>
  <c r="M1031" i="6"/>
  <c r="P1031" i="6" s="1"/>
  <c r="O1043" i="6"/>
  <c r="M1043" i="6"/>
  <c r="P1043" i="6" s="1"/>
  <c r="O1138" i="6"/>
  <c r="M1138" i="6"/>
  <c r="P1138" i="6" s="1"/>
  <c r="O1208" i="6"/>
  <c r="M1208" i="6"/>
  <c r="P1208" i="6" s="1"/>
  <c r="O1216" i="6"/>
  <c r="M1216" i="6"/>
  <c r="P1216" i="6" s="1"/>
  <c r="O1344" i="6"/>
  <c r="M1344" i="6"/>
  <c r="P1344" i="6" s="1"/>
  <c r="O1379" i="6"/>
  <c r="M1379" i="6"/>
  <c r="P1379" i="6" s="1"/>
  <c r="O1384" i="6"/>
  <c r="M1384" i="6"/>
  <c r="P1384" i="6" s="1"/>
  <c r="O1464" i="6"/>
  <c r="M1464" i="6"/>
  <c r="P1464" i="6" s="1"/>
  <c r="O1512" i="6"/>
  <c r="M1512" i="6"/>
  <c r="P1512" i="6" s="1"/>
  <c r="M1647" i="6"/>
  <c r="P1647" i="6" s="1"/>
  <c r="O1647" i="6"/>
  <c r="O577" i="6"/>
  <c r="M577" i="6"/>
  <c r="P577" i="6" s="1"/>
  <c r="O654" i="6"/>
  <c r="M654" i="6"/>
  <c r="P654" i="6" s="1"/>
  <c r="O711" i="6"/>
  <c r="M711" i="6"/>
  <c r="P711" i="6" s="1"/>
  <c r="O721" i="6"/>
  <c r="M721" i="6"/>
  <c r="P721" i="6" s="1"/>
  <c r="O799" i="6"/>
  <c r="M799" i="6"/>
  <c r="P799" i="6" s="1"/>
  <c r="O812" i="6"/>
  <c r="M812" i="6"/>
  <c r="P812" i="6" s="1"/>
  <c r="O846" i="6"/>
  <c r="M846" i="6"/>
  <c r="P846" i="6" s="1"/>
  <c r="O877" i="6"/>
  <c r="M877" i="6"/>
  <c r="P877" i="6" s="1"/>
  <c r="O890" i="6"/>
  <c r="M890" i="6"/>
  <c r="P890" i="6" s="1"/>
  <c r="O949" i="6"/>
  <c r="M949" i="6"/>
  <c r="P949" i="6" s="1"/>
  <c r="O1002" i="6"/>
  <c r="M1002" i="6"/>
  <c r="P1002" i="6" s="1"/>
  <c r="O1057" i="6"/>
  <c r="M1057" i="6"/>
  <c r="P1057" i="6" s="1"/>
  <c r="O1072" i="6"/>
  <c r="M1072" i="6"/>
  <c r="P1072" i="6" s="1"/>
  <c r="O1120" i="6"/>
  <c r="M1120" i="6"/>
  <c r="P1120" i="6" s="1"/>
  <c r="O1179" i="6"/>
  <c r="M1179" i="6"/>
  <c r="P1179" i="6" s="1"/>
  <c r="O1231" i="6"/>
  <c r="M1231" i="6"/>
  <c r="P1231" i="6" s="1"/>
  <c r="O1252" i="6"/>
  <c r="M1252" i="6"/>
  <c r="P1252" i="6" s="1"/>
  <c r="O1313" i="6"/>
  <c r="M1313" i="6"/>
  <c r="P1313" i="6" s="1"/>
  <c r="O1373" i="6"/>
  <c r="M1373" i="6"/>
  <c r="P1373" i="6" s="1"/>
  <c r="O1390" i="6"/>
  <c r="M1390" i="6"/>
  <c r="P1390" i="6" s="1"/>
  <c r="O1410" i="6"/>
  <c r="M1410" i="6"/>
  <c r="P1410" i="6" s="1"/>
  <c r="O1449" i="6"/>
  <c r="M1449" i="6"/>
  <c r="P1449" i="6" s="1"/>
  <c r="O1485" i="6"/>
  <c r="M1485" i="6"/>
  <c r="P1485" i="6" s="1"/>
  <c r="M1588" i="6"/>
  <c r="P1588" i="6" s="1"/>
  <c r="O1588" i="6"/>
  <c r="O497" i="6"/>
  <c r="M497" i="6"/>
  <c r="P497" i="6" s="1"/>
  <c r="O529" i="6"/>
  <c r="M529" i="6"/>
  <c r="P529" i="6" s="1"/>
  <c r="O603" i="6"/>
  <c r="M603" i="6"/>
  <c r="P603" i="6" s="1"/>
  <c r="O689" i="6"/>
  <c r="M689" i="6"/>
  <c r="P689" i="6" s="1"/>
  <c r="O736" i="6"/>
  <c r="M736" i="6"/>
  <c r="P736" i="6" s="1"/>
  <c r="O739" i="6"/>
  <c r="M739" i="6"/>
  <c r="P739" i="6" s="1"/>
  <c r="M785" i="6"/>
  <c r="P785" i="6" s="1"/>
  <c r="O823" i="6"/>
  <c r="M823" i="6"/>
  <c r="P823" i="6" s="1"/>
  <c r="O835" i="6"/>
  <c r="M835" i="6"/>
  <c r="P835" i="6" s="1"/>
  <c r="O844" i="6"/>
  <c r="M844" i="6"/>
  <c r="P844" i="6" s="1"/>
  <c r="O916" i="6"/>
  <c r="M916" i="6"/>
  <c r="P916" i="6" s="1"/>
  <c r="O984" i="6"/>
  <c r="M984" i="6"/>
  <c r="P984" i="6" s="1"/>
  <c r="O1000" i="6"/>
  <c r="M1000" i="6"/>
  <c r="P1000" i="6" s="1"/>
  <c r="O1098" i="6"/>
  <c r="M1098" i="6"/>
  <c r="P1098" i="6" s="1"/>
  <c r="O1139" i="6"/>
  <c r="M1139" i="6"/>
  <c r="P1139" i="6" s="1"/>
  <c r="O1170" i="6"/>
  <c r="M1170" i="6"/>
  <c r="P1170" i="6" s="1"/>
  <c r="O1279" i="6"/>
  <c r="M1279" i="6"/>
  <c r="P1279" i="6" s="1"/>
  <c r="O1345" i="6"/>
  <c r="M1345" i="6"/>
  <c r="P1345" i="6" s="1"/>
  <c r="O1361" i="6"/>
  <c r="M1361" i="6"/>
  <c r="P1361" i="6" s="1"/>
  <c r="O1434" i="6"/>
  <c r="M1434" i="6"/>
  <c r="P1434" i="6" s="1"/>
  <c r="O1466" i="6"/>
  <c r="M1466" i="6"/>
  <c r="P1466" i="6" s="1"/>
  <c r="O1483" i="6"/>
  <c r="M1483" i="6"/>
  <c r="P1483" i="6" s="1"/>
  <c r="M1645" i="6"/>
  <c r="P1645" i="6" s="1"/>
  <c r="O1645" i="6"/>
  <c r="M1657" i="6"/>
  <c r="P1657" i="6" s="1"/>
  <c r="O1657" i="6"/>
  <c r="M1733" i="6"/>
  <c r="P1733" i="6" s="1"/>
  <c r="O1733" i="6"/>
  <c r="O1780" i="6"/>
  <c r="M1780" i="6"/>
  <c r="P1780" i="6" s="1"/>
  <c r="O1787" i="6"/>
  <c r="M1787" i="6"/>
  <c r="P1787" i="6" s="1"/>
  <c r="M7" i="6"/>
  <c r="P7" i="6" s="1"/>
  <c r="M24" i="6"/>
  <c r="P24" i="6" s="1"/>
  <c r="M36" i="6"/>
  <c r="P36" i="6" s="1"/>
  <c r="M53" i="6"/>
  <c r="P53" i="6" s="1"/>
  <c r="M73" i="6"/>
  <c r="P73" i="6" s="1"/>
  <c r="M113" i="6"/>
  <c r="P113" i="6" s="1"/>
  <c r="M161" i="6"/>
  <c r="P161" i="6" s="1"/>
  <c r="M234" i="6"/>
  <c r="P234" i="6" s="1"/>
  <c r="M255" i="6"/>
  <c r="P255" i="6" s="1"/>
  <c r="M295" i="6"/>
  <c r="P295" i="6" s="1"/>
  <c r="M319" i="6"/>
  <c r="P319" i="6" s="1"/>
  <c r="M394" i="6"/>
  <c r="P394" i="6" s="1"/>
  <c r="M523" i="6"/>
  <c r="P523" i="6" s="1"/>
  <c r="O564" i="6"/>
  <c r="M591" i="6"/>
  <c r="P591" i="6" s="1"/>
  <c r="M594" i="6"/>
  <c r="P594" i="6" s="1"/>
  <c r="O649" i="6"/>
  <c r="M671" i="6"/>
  <c r="P671" i="6" s="1"/>
  <c r="M681" i="6"/>
  <c r="P681" i="6" s="1"/>
  <c r="O768" i="6"/>
  <c r="M768" i="6"/>
  <c r="P768" i="6" s="1"/>
  <c r="O780" i="6"/>
  <c r="M780" i="6"/>
  <c r="P780" i="6" s="1"/>
  <c r="M821" i="6"/>
  <c r="P821" i="6" s="1"/>
  <c r="O847" i="6"/>
  <c r="M847" i="6"/>
  <c r="P847" i="6" s="1"/>
  <c r="O860" i="6"/>
  <c r="M860" i="6"/>
  <c r="P860" i="6" s="1"/>
  <c r="O897" i="6"/>
  <c r="M897" i="6"/>
  <c r="P897" i="6" s="1"/>
  <c r="O978" i="6"/>
  <c r="M978" i="6"/>
  <c r="P978" i="6" s="1"/>
  <c r="O1003" i="6"/>
  <c r="M1003" i="6"/>
  <c r="P1003" i="6" s="1"/>
  <c r="O1034" i="6"/>
  <c r="M1034" i="6"/>
  <c r="P1034" i="6" s="1"/>
  <c r="O1077" i="6"/>
  <c r="M1077" i="6"/>
  <c r="P1077" i="6" s="1"/>
  <c r="O1136" i="6"/>
  <c r="M1136" i="6"/>
  <c r="P1136" i="6" s="1"/>
  <c r="O1180" i="6"/>
  <c r="M1180" i="6"/>
  <c r="P1180" i="6" s="1"/>
  <c r="O1209" i="6"/>
  <c r="M1209" i="6"/>
  <c r="P1209" i="6" s="1"/>
  <c r="O1253" i="6"/>
  <c r="M1253" i="6"/>
  <c r="P1253" i="6" s="1"/>
  <c r="O1338" i="6"/>
  <c r="M1338" i="6"/>
  <c r="P1338" i="6" s="1"/>
  <c r="O1375" i="6"/>
  <c r="M1375" i="6"/>
  <c r="P1375" i="6" s="1"/>
  <c r="O1380" i="6"/>
  <c r="M1380" i="6"/>
  <c r="P1380" i="6" s="1"/>
  <c r="O1413" i="6"/>
  <c r="M1413" i="6"/>
  <c r="P1413" i="6" s="1"/>
  <c r="O1455" i="6"/>
  <c r="M1455" i="6"/>
  <c r="P1455" i="6" s="1"/>
  <c r="O1486" i="6"/>
  <c r="M1486" i="6"/>
  <c r="P1486" i="6" s="1"/>
  <c r="O1513" i="6"/>
  <c r="M1513" i="6"/>
  <c r="P1513" i="6" s="1"/>
  <c r="O1598" i="6"/>
  <c r="M1598" i="6"/>
  <c r="P1598" i="6" s="1"/>
  <c r="O1618" i="6"/>
  <c r="M1618" i="6"/>
  <c r="P1618" i="6" s="1"/>
  <c r="O562" i="6"/>
  <c r="O586" i="6"/>
  <c r="M586" i="6"/>
  <c r="P586" i="6" s="1"/>
  <c r="O635" i="6"/>
  <c r="O658" i="6"/>
  <c r="M658" i="6"/>
  <c r="P658" i="6" s="1"/>
  <c r="O716" i="6"/>
  <c r="M716" i="6"/>
  <c r="P716" i="6" s="1"/>
  <c r="O806" i="6"/>
  <c r="M806" i="6"/>
  <c r="P806" i="6" s="1"/>
  <c r="O813" i="6"/>
  <c r="M813" i="6"/>
  <c r="P813" i="6" s="1"/>
  <c r="O884" i="6"/>
  <c r="M884" i="6"/>
  <c r="P884" i="6" s="1"/>
  <c r="O917" i="6"/>
  <c r="M917" i="6"/>
  <c r="P917" i="6" s="1"/>
  <c r="O957" i="6"/>
  <c r="M957" i="6"/>
  <c r="P957" i="6" s="1"/>
  <c r="O1061" i="6"/>
  <c r="M1061" i="6"/>
  <c r="P1061" i="6" s="1"/>
  <c r="O1118" i="6"/>
  <c r="M1118" i="6"/>
  <c r="P1118" i="6" s="1"/>
  <c r="O1121" i="6"/>
  <c r="M1121" i="6"/>
  <c r="P1121" i="6" s="1"/>
  <c r="O1249" i="6"/>
  <c r="M1249" i="6"/>
  <c r="P1249" i="6" s="1"/>
  <c r="O1295" i="6"/>
  <c r="M1295" i="6"/>
  <c r="P1295" i="6" s="1"/>
  <c r="O1325" i="6"/>
  <c r="M1325" i="6"/>
  <c r="P1325" i="6" s="1"/>
  <c r="O1395" i="6"/>
  <c r="M1395" i="6"/>
  <c r="P1395" i="6" s="1"/>
  <c r="O1447" i="6"/>
  <c r="M1447" i="6"/>
  <c r="P1447" i="6" s="1"/>
  <c r="O1450" i="6"/>
  <c r="M1450" i="6"/>
  <c r="P1450" i="6" s="1"/>
  <c r="O1547" i="6"/>
  <c r="M1547" i="6"/>
  <c r="P1547" i="6" s="1"/>
  <c r="O1734" i="6"/>
  <c r="M1734" i="6"/>
  <c r="P1734" i="6" s="1"/>
  <c r="O537" i="6"/>
  <c r="M537" i="6"/>
  <c r="P537" i="6" s="1"/>
  <c r="O621" i="6"/>
  <c r="M621" i="6"/>
  <c r="P621" i="6" s="1"/>
  <c r="O696" i="6"/>
  <c r="M696" i="6"/>
  <c r="P696" i="6" s="1"/>
  <c r="O737" i="6"/>
  <c r="M737" i="6"/>
  <c r="P737" i="6" s="1"/>
  <c r="O748" i="6"/>
  <c r="M748" i="6"/>
  <c r="P748" i="6" s="1"/>
  <c r="O833" i="6"/>
  <c r="M833" i="6"/>
  <c r="P833" i="6" s="1"/>
  <c r="O836" i="6"/>
  <c r="M836" i="6"/>
  <c r="P836" i="6" s="1"/>
  <c r="O861" i="6"/>
  <c r="M861" i="6"/>
  <c r="P861" i="6" s="1"/>
  <c r="O904" i="6"/>
  <c r="M904" i="6"/>
  <c r="P904" i="6" s="1"/>
  <c r="O982" i="6"/>
  <c r="M982" i="6"/>
  <c r="P982" i="6" s="1"/>
  <c r="O989" i="6"/>
  <c r="M989" i="6"/>
  <c r="P989" i="6" s="1"/>
  <c r="O1039" i="6"/>
  <c r="M1039" i="6"/>
  <c r="P1039" i="6" s="1"/>
  <c r="O1096" i="6"/>
  <c r="M1096" i="6"/>
  <c r="P1096" i="6" s="1"/>
  <c r="O1137" i="6"/>
  <c r="M1137" i="6"/>
  <c r="P1137" i="6" s="1"/>
  <c r="O1151" i="6"/>
  <c r="M1151" i="6"/>
  <c r="P1151" i="6" s="1"/>
  <c r="O1215" i="6"/>
  <c r="M1215" i="6"/>
  <c r="P1215" i="6" s="1"/>
  <c r="O1262" i="6"/>
  <c r="M1262" i="6"/>
  <c r="P1262" i="6" s="1"/>
  <c r="O1339" i="6"/>
  <c r="M1339" i="6"/>
  <c r="P1339" i="6" s="1"/>
  <c r="O1348" i="6"/>
  <c r="M1348" i="6"/>
  <c r="P1348" i="6" s="1"/>
  <c r="O1381" i="6"/>
  <c r="M1381" i="6"/>
  <c r="P1381" i="6" s="1"/>
  <c r="O1432" i="6"/>
  <c r="M1432" i="6"/>
  <c r="P1432" i="6" s="1"/>
  <c r="O1459" i="6"/>
  <c r="M1459" i="6"/>
  <c r="P1459" i="6" s="1"/>
  <c r="O1478" i="6"/>
  <c r="M1478" i="6"/>
  <c r="P1478" i="6" s="1"/>
  <c r="O1520" i="6"/>
  <c r="M1520" i="6"/>
  <c r="P1520" i="6" s="1"/>
  <c r="O1611" i="6"/>
  <c r="M1611" i="6"/>
  <c r="P1611" i="6" s="1"/>
  <c r="O1696" i="6"/>
  <c r="M1696" i="6"/>
  <c r="P1696" i="6" s="1"/>
  <c r="O1726" i="6"/>
  <c r="M1726" i="6"/>
  <c r="P1726" i="6" s="1"/>
  <c r="O1920" i="6"/>
  <c r="M1920" i="6"/>
  <c r="P1920" i="6" s="1"/>
  <c r="O496" i="6"/>
  <c r="O569" i="6"/>
  <c r="M569" i="6"/>
  <c r="P569" i="6" s="1"/>
  <c r="O653" i="6"/>
  <c r="M653" i="6"/>
  <c r="P653" i="6" s="1"/>
  <c r="O710" i="6"/>
  <c r="M710" i="6"/>
  <c r="P710" i="6" s="1"/>
  <c r="O720" i="6"/>
  <c r="M720" i="6"/>
  <c r="P720" i="6" s="1"/>
  <c r="O773" i="6"/>
  <c r="M773" i="6"/>
  <c r="P773" i="6" s="1"/>
  <c r="O848" i="6"/>
  <c r="M848" i="6"/>
  <c r="P848" i="6" s="1"/>
  <c r="O889" i="6"/>
  <c r="M889" i="6"/>
  <c r="P889" i="6" s="1"/>
  <c r="O900" i="6"/>
  <c r="M900" i="6"/>
  <c r="P900" i="6" s="1"/>
  <c r="O1019" i="6"/>
  <c r="M1019" i="6"/>
  <c r="P1019" i="6" s="1"/>
  <c r="O1062" i="6"/>
  <c r="M1062" i="6"/>
  <c r="P1062" i="6" s="1"/>
  <c r="O1094" i="6"/>
  <c r="M1094" i="6"/>
  <c r="P1094" i="6" s="1"/>
  <c r="O1181" i="6"/>
  <c r="M1181" i="6"/>
  <c r="P1181" i="6" s="1"/>
  <c r="O1250" i="6"/>
  <c r="M1250" i="6"/>
  <c r="P1250" i="6" s="1"/>
  <c r="O1254" i="6"/>
  <c r="M1254" i="6"/>
  <c r="P1254" i="6" s="1"/>
  <c r="O1376" i="6"/>
  <c r="M1376" i="6"/>
  <c r="P1376" i="6" s="1"/>
  <c r="O1404" i="6"/>
  <c r="M1404" i="6"/>
  <c r="P1404" i="6" s="1"/>
  <c r="O1425" i="6"/>
  <c r="M1425" i="6"/>
  <c r="P1425" i="6" s="1"/>
  <c r="O1504" i="6"/>
  <c r="M1504" i="6"/>
  <c r="P1504" i="6" s="1"/>
  <c r="O1671" i="6"/>
  <c r="M1671" i="6"/>
  <c r="P1671" i="6" s="1"/>
  <c r="O1823" i="6"/>
  <c r="M1823" i="6"/>
  <c r="P1823" i="6" s="1"/>
  <c r="O1867" i="6"/>
  <c r="M1867" i="6"/>
  <c r="P1867" i="6" s="1"/>
  <c r="O1883" i="6"/>
  <c r="M1883" i="6"/>
  <c r="P1883" i="6" s="1"/>
  <c r="O788" i="6"/>
  <c r="M788" i="6"/>
  <c r="P788" i="6" s="1"/>
  <c r="O1573" i="6"/>
  <c r="M1573" i="6"/>
  <c r="P1573" i="6" s="1"/>
  <c r="O690" i="6"/>
  <c r="M690" i="6"/>
  <c r="P690" i="6" s="1"/>
  <c r="M1770" i="6"/>
  <c r="P1770" i="6" s="1"/>
  <c r="O1770" i="6"/>
  <c r="O1941" i="6"/>
  <c r="M1941" i="6"/>
  <c r="P1941" i="6" s="1"/>
  <c r="O48" i="6"/>
  <c r="M48" i="6"/>
  <c r="P48" i="6" s="1"/>
  <c r="O128" i="6"/>
  <c r="M128" i="6"/>
  <c r="P128" i="6" s="1"/>
  <c r="O195" i="6"/>
  <c r="M195" i="6"/>
  <c r="P195" i="6" s="1"/>
  <c r="O332" i="6"/>
  <c r="M332" i="6"/>
  <c r="P332" i="6" s="1"/>
  <c r="O437" i="6"/>
  <c r="M437" i="6"/>
  <c r="P437" i="6" s="1"/>
  <c r="O632" i="6"/>
  <c r="M632" i="6"/>
  <c r="P632" i="6" s="1"/>
  <c r="M885" i="6"/>
  <c r="P885" i="6" s="1"/>
  <c r="O885" i="6"/>
  <c r="O995" i="6"/>
  <c r="M995" i="6"/>
  <c r="P995" i="6" s="1"/>
  <c r="O1014" i="6"/>
  <c r="M1014" i="6"/>
  <c r="P1014" i="6" s="1"/>
  <c r="O1038" i="6"/>
  <c r="M1038" i="6"/>
  <c r="P1038" i="6" s="1"/>
  <c r="O1472" i="6"/>
  <c r="M1472" i="6"/>
  <c r="P1472" i="6" s="1"/>
  <c r="O1565" i="6"/>
  <c r="M1565" i="6"/>
  <c r="P1565" i="6" s="1"/>
  <c r="O1619" i="6"/>
  <c r="M1619" i="6"/>
  <c r="P1619" i="6" s="1"/>
  <c r="O467" i="6"/>
  <c r="M467" i="6"/>
  <c r="P467" i="6" s="1"/>
  <c r="M357" i="6"/>
  <c r="P357" i="6" s="1"/>
  <c r="O357" i="6"/>
  <c r="O691" i="6"/>
  <c r="M691" i="6"/>
  <c r="P691" i="6" s="1"/>
  <c r="O725" i="6"/>
  <c r="M725" i="6"/>
  <c r="P725" i="6" s="1"/>
  <c r="M826" i="6"/>
  <c r="P826" i="6" s="1"/>
  <c r="O826" i="6"/>
  <c r="O1586" i="6"/>
  <c r="M1653" i="6"/>
  <c r="P1653" i="6" s="1"/>
  <c r="M1660" i="6"/>
  <c r="P1660" i="6" s="1"/>
  <c r="O1794" i="6"/>
  <c r="M1794" i="6"/>
  <c r="P1794" i="6" s="1"/>
  <c r="M1907" i="6"/>
  <c r="P1907" i="6" s="1"/>
  <c r="O1926" i="6"/>
  <c r="M1926" i="6"/>
  <c r="P1926" i="6" s="1"/>
  <c r="O155" i="6"/>
  <c r="M155" i="6"/>
  <c r="P155" i="6" s="1"/>
  <c r="O1235" i="6"/>
  <c r="M1235" i="6"/>
  <c r="P1235" i="6" s="1"/>
  <c r="O270" i="6"/>
  <c r="M270" i="6"/>
  <c r="P270" i="6" s="1"/>
  <c r="O1589" i="6"/>
  <c r="M1589" i="6"/>
  <c r="P1589" i="6" s="1"/>
  <c r="O1828" i="6"/>
  <c r="M1828" i="6"/>
  <c r="P1828" i="6" s="1"/>
  <c r="O116" i="6"/>
  <c r="M116" i="6"/>
  <c r="P116" i="6" s="1"/>
  <c r="M163" i="6"/>
  <c r="P163" i="6" s="1"/>
  <c r="O163" i="6"/>
  <c r="O251" i="6"/>
  <c r="M251" i="6"/>
  <c r="P251" i="6" s="1"/>
  <c r="O298" i="6"/>
  <c r="M298" i="6"/>
  <c r="P298" i="6" s="1"/>
  <c r="O376" i="6"/>
  <c r="M376" i="6"/>
  <c r="P376" i="6" s="1"/>
  <c r="O588" i="6"/>
  <c r="M588" i="6"/>
  <c r="P588" i="6" s="1"/>
  <c r="O789" i="6"/>
  <c r="M789" i="6"/>
  <c r="P789" i="6" s="1"/>
  <c r="O952" i="6"/>
  <c r="M952" i="6"/>
  <c r="P952" i="6" s="1"/>
  <c r="O1035" i="6"/>
  <c r="M1035" i="6"/>
  <c r="P1035" i="6" s="1"/>
  <c r="M1405" i="6"/>
  <c r="P1405" i="6" s="1"/>
  <c r="O1405" i="6"/>
  <c r="O1510" i="6"/>
  <c r="M1510" i="6"/>
  <c r="P1510" i="6" s="1"/>
  <c r="O1549" i="6"/>
  <c r="M1549" i="6"/>
  <c r="P1549" i="6" s="1"/>
  <c r="O1593" i="6"/>
  <c r="M1593" i="6"/>
  <c r="P1593" i="6" s="1"/>
  <c r="O1762" i="6"/>
  <c r="M1762" i="6"/>
  <c r="P1762" i="6" s="1"/>
  <c r="O83" i="6"/>
  <c r="M83" i="6"/>
  <c r="P83" i="6" s="1"/>
  <c r="O596" i="6"/>
  <c r="M596" i="6"/>
  <c r="P596" i="6" s="1"/>
  <c r="O769" i="6"/>
  <c r="M769" i="6"/>
  <c r="P769" i="6" s="1"/>
  <c r="O943" i="6"/>
  <c r="M943" i="6"/>
  <c r="P943" i="6" s="1"/>
  <c r="O1778" i="6"/>
  <c r="M1778" i="6"/>
  <c r="P1778" i="6" s="1"/>
  <c r="O1919" i="6"/>
  <c r="M1919" i="6"/>
  <c r="P1919" i="6" s="1"/>
  <c r="O1737" i="6"/>
  <c r="M1737" i="6"/>
  <c r="P1737" i="6" s="1"/>
  <c r="O814" i="6"/>
  <c r="M814" i="6"/>
  <c r="P814" i="6" s="1"/>
  <c r="M1837" i="6"/>
  <c r="P1837" i="6" s="1"/>
  <c r="O1837" i="6"/>
  <c r="O1172" i="6"/>
  <c r="M1172" i="6"/>
  <c r="P1172" i="6" s="1"/>
  <c r="O1505" i="6"/>
  <c r="M1505" i="6"/>
  <c r="P1505" i="6" s="1"/>
  <c r="O1771" i="6"/>
  <c r="M1771" i="6"/>
  <c r="P1771" i="6" s="1"/>
  <c r="O82" i="6"/>
  <c r="M82" i="6"/>
  <c r="P82" i="6" s="1"/>
  <c r="O156" i="6"/>
  <c r="M156" i="6"/>
  <c r="P156" i="6" s="1"/>
  <c r="O201" i="6"/>
  <c r="M201" i="6"/>
  <c r="P201" i="6" s="1"/>
  <c r="O333" i="6"/>
  <c r="M333" i="6"/>
  <c r="P333" i="6" s="1"/>
  <c r="M499" i="6"/>
  <c r="P499" i="6" s="1"/>
  <c r="O499" i="6"/>
  <c r="O655" i="6"/>
  <c r="M655" i="6"/>
  <c r="P655" i="6" s="1"/>
  <c r="O724" i="6"/>
  <c r="M724" i="6"/>
  <c r="P724" i="6" s="1"/>
  <c r="O886" i="6"/>
  <c r="M886" i="6"/>
  <c r="P886" i="6" s="1"/>
  <c r="O1015" i="6"/>
  <c r="M1015" i="6"/>
  <c r="P1015" i="6" s="1"/>
  <c r="O1154" i="6"/>
  <c r="M1154" i="6"/>
  <c r="P1154" i="6" s="1"/>
  <c r="O1487" i="6"/>
  <c r="M1487" i="6"/>
  <c r="P1487" i="6" s="1"/>
  <c r="O1566" i="6"/>
  <c r="M1566" i="6"/>
  <c r="P1566" i="6" s="1"/>
  <c r="M1699" i="6"/>
  <c r="P1699" i="6" s="1"/>
  <c r="O1699" i="6"/>
  <c r="O486" i="6"/>
  <c r="M486" i="6"/>
  <c r="P486" i="6" s="1"/>
  <c r="O487" i="6"/>
  <c r="M487" i="6"/>
  <c r="P487" i="6" s="1"/>
  <c r="O399" i="6"/>
  <c r="M399" i="6"/>
  <c r="P399" i="6" s="1"/>
  <c r="O726" i="6"/>
  <c r="M726" i="6"/>
  <c r="P726" i="6" s="1"/>
  <c r="M742" i="6"/>
  <c r="P742" i="6" s="1"/>
  <c r="O742" i="6"/>
  <c r="O863" i="6"/>
  <c r="M863" i="6"/>
  <c r="P863" i="6" s="1"/>
  <c r="O926" i="6"/>
  <c r="M926" i="6"/>
  <c r="P926" i="6" s="1"/>
  <c r="O1122" i="6"/>
  <c r="M1122" i="6"/>
  <c r="P1122" i="6" s="1"/>
  <c r="M1564" i="6"/>
  <c r="P1564" i="6" s="1"/>
  <c r="O1612" i="6"/>
  <c r="O1666" i="6"/>
  <c r="O1724" i="6"/>
  <c r="O1789" i="6"/>
  <c r="O1825" i="6"/>
  <c r="O1884" i="6"/>
  <c r="M1884" i="6"/>
  <c r="P1884" i="6" s="1"/>
  <c r="O1915" i="6"/>
  <c r="M1915" i="6"/>
  <c r="P1915" i="6" s="1"/>
  <c r="O99" i="6"/>
  <c r="O304" i="6"/>
  <c r="M304" i="6"/>
  <c r="P304" i="6" s="1"/>
  <c r="O1628" i="6"/>
  <c r="M1628" i="6"/>
  <c r="P1628" i="6" s="1"/>
  <c r="O271" i="6"/>
  <c r="M271" i="6"/>
  <c r="P271" i="6" s="1"/>
  <c r="O1648" i="6"/>
  <c r="M1648" i="6"/>
  <c r="P1648" i="6" s="1"/>
  <c r="M1932" i="6"/>
  <c r="P1932" i="6" s="1"/>
  <c r="O1932" i="6"/>
  <c r="O117" i="6"/>
  <c r="M117" i="6"/>
  <c r="P117" i="6" s="1"/>
  <c r="O131" i="6"/>
  <c r="M131" i="6"/>
  <c r="P131" i="6" s="1"/>
  <c r="O169" i="6"/>
  <c r="M169" i="6"/>
  <c r="P169" i="6" s="1"/>
  <c r="O313" i="6"/>
  <c r="M313" i="6"/>
  <c r="P313" i="6" s="1"/>
  <c r="O447" i="6"/>
  <c r="M447" i="6"/>
  <c r="P447" i="6" s="1"/>
  <c r="O595" i="6"/>
  <c r="M595" i="6"/>
  <c r="P595" i="6" s="1"/>
  <c r="O849" i="6"/>
  <c r="M849" i="6"/>
  <c r="P849" i="6" s="1"/>
  <c r="M996" i="6"/>
  <c r="P996" i="6" s="1"/>
  <c r="O996" i="6"/>
  <c r="O1036" i="6"/>
  <c r="M1036" i="6"/>
  <c r="P1036" i="6" s="1"/>
  <c r="O1044" i="6"/>
  <c r="M1044" i="6"/>
  <c r="P1044" i="6" s="1"/>
  <c r="O1435" i="6"/>
  <c r="M1435" i="6"/>
  <c r="P1435" i="6" s="1"/>
  <c r="O1550" i="6"/>
  <c r="M1550" i="6"/>
  <c r="P1550" i="6" s="1"/>
  <c r="O1629" i="6"/>
  <c r="M1629" i="6"/>
  <c r="P1629" i="6" s="1"/>
  <c r="O1862" i="6"/>
  <c r="M1862" i="6"/>
  <c r="P1862" i="6" s="1"/>
  <c r="O91" i="6"/>
  <c r="M91" i="6"/>
  <c r="P91" i="6" s="1"/>
  <c r="M703" i="6"/>
  <c r="P703" i="6" s="1"/>
  <c r="O703" i="6"/>
  <c r="O775" i="6"/>
  <c r="M775" i="6"/>
  <c r="P775" i="6" s="1"/>
  <c r="M815" i="6"/>
  <c r="P815" i="6" s="1"/>
  <c r="O815" i="6"/>
  <c r="M1727" i="6"/>
  <c r="P1727" i="6" s="1"/>
  <c r="M1781" i="6"/>
  <c r="P1781" i="6" s="1"/>
  <c r="O1868" i="6"/>
  <c r="M1868" i="6"/>
  <c r="P1868" i="6" s="1"/>
  <c r="O1895" i="6"/>
  <c r="O1826" i="6"/>
  <c r="M1826" i="6"/>
  <c r="P1826" i="6" s="1"/>
  <c r="O824" i="6"/>
  <c r="M824" i="6"/>
  <c r="P824" i="6" s="1"/>
  <c r="O1358" i="6"/>
  <c r="M1358" i="6"/>
  <c r="P1358" i="6" s="1"/>
  <c r="O1874" i="6"/>
  <c r="M1874" i="6"/>
  <c r="P1874" i="6" s="1"/>
  <c r="O1514" i="6"/>
  <c r="M1514" i="6"/>
  <c r="P1514" i="6" s="1"/>
  <c r="O1848" i="6"/>
  <c r="M1848" i="6"/>
  <c r="P1848" i="6" s="1"/>
  <c r="O100" i="6"/>
  <c r="M100" i="6"/>
  <c r="P100" i="6" s="1"/>
  <c r="O157" i="6"/>
  <c r="M157" i="6"/>
  <c r="P157" i="6" s="1"/>
  <c r="M261" i="6"/>
  <c r="P261" i="6" s="1"/>
  <c r="O261" i="6"/>
  <c r="O334" i="6"/>
  <c r="M334" i="6"/>
  <c r="P334" i="6" s="1"/>
  <c r="O412" i="6"/>
  <c r="M412" i="6"/>
  <c r="P412" i="6" s="1"/>
  <c r="O509" i="6"/>
  <c r="M509" i="6"/>
  <c r="P509" i="6" s="1"/>
  <c r="O761" i="6"/>
  <c r="M761" i="6"/>
  <c r="P761" i="6" s="1"/>
  <c r="O953" i="6"/>
  <c r="M953" i="6"/>
  <c r="P953" i="6" s="1"/>
  <c r="O1026" i="6"/>
  <c r="M1026" i="6"/>
  <c r="P1026" i="6" s="1"/>
  <c r="O1236" i="6"/>
  <c r="M1236" i="6"/>
  <c r="P1236" i="6" s="1"/>
  <c r="M1541" i="6"/>
  <c r="P1541" i="6" s="1"/>
  <c r="O1541" i="6"/>
  <c r="O1570" i="6"/>
  <c r="M1570" i="6"/>
  <c r="P1570" i="6" s="1"/>
  <c r="O1594" i="6"/>
  <c r="M1594" i="6"/>
  <c r="P1594" i="6" s="1"/>
  <c r="O1700" i="6"/>
  <c r="M1700" i="6"/>
  <c r="P1700" i="6" s="1"/>
  <c r="O531" i="6"/>
  <c r="M531" i="6"/>
  <c r="P531" i="6" s="1"/>
  <c r="O663" i="6"/>
  <c r="M663" i="6"/>
  <c r="P663" i="6" s="1"/>
  <c r="M750" i="6"/>
  <c r="P750" i="6" s="1"/>
  <c r="O750" i="6"/>
  <c r="O1793" i="6"/>
  <c r="M1793" i="6"/>
  <c r="P1793" i="6" s="1"/>
  <c r="O1916" i="6"/>
  <c r="M1916" i="6"/>
  <c r="P1916" i="6" s="1"/>
  <c r="O1960" i="6"/>
  <c r="M1960" i="6"/>
  <c r="P1960" i="6" s="1"/>
  <c r="O139" i="6"/>
  <c r="M139" i="6"/>
  <c r="P139" i="6" s="1"/>
  <c r="O604" i="6"/>
  <c r="M604" i="6"/>
  <c r="P604" i="6" s="1"/>
  <c r="O1685" i="6"/>
  <c r="M1685" i="6"/>
  <c r="P1685" i="6" s="1"/>
  <c r="M1152" i="6"/>
  <c r="P1152" i="6" s="1"/>
  <c r="O1152" i="6"/>
  <c r="O1686" i="6"/>
  <c r="M1686" i="6"/>
  <c r="P1686" i="6" s="1"/>
  <c r="O1802" i="6"/>
  <c r="M1802" i="6"/>
  <c r="P1802" i="6" s="1"/>
  <c r="O1961" i="6"/>
  <c r="M1961" i="6"/>
  <c r="P1961" i="6" s="1"/>
  <c r="O140" i="6"/>
  <c r="M140" i="6"/>
  <c r="P140" i="6" s="1"/>
  <c r="O215" i="6"/>
  <c r="M215" i="6"/>
  <c r="P215" i="6" s="1"/>
  <c r="O322" i="6"/>
  <c r="M322" i="6"/>
  <c r="P322" i="6" s="1"/>
  <c r="O466" i="6"/>
  <c r="M466" i="6"/>
  <c r="P466" i="6" s="1"/>
  <c r="M683" i="6"/>
  <c r="P683" i="6" s="1"/>
  <c r="O683" i="6"/>
  <c r="O862" i="6"/>
  <c r="M862" i="6"/>
  <c r="P862" i="6" s="1"/>
  <c r="O912" i="6"/>
  <c r="M912" i="6"/>
  <c r="P912" i="6" s="1"/>
  <c r="O997" i="6"/>
  <c r="M997" i="6"/>
  <c r="P997" i="6" s="1"/>
  <c r="O1081" i="6"/>
  <c r="M1081" i="6"/>
  <c r="P1081" i="6" s="1"/>
  <c r="O1488" i="6"/>
  <c r="M1488" i="6"/>
  <c r="P1488" i="6" s="1"/>
  <c r="O1561" i="6"/>
  <c r="M1561" i="6"/>
  <c r="P1561" i="6" s="1"/>
  <c r="O1655" i="6"/>
  <c r="M1655" i="6"/>
  <c r="P1655" i="6" s="1"/>
  <c r="M530" i="6"/>
  <c r="P530" i="6" s="1"/>
  <c r="O530" i="6"/>
  <c r="O315" i="6"/>
  <c r="M315" i="6"/>
  <c r="P315" i="6" s="1"/>
  <c r="O448" i="6"/>
  <c r="M448" i="6"/>
  <c r="P448" i="6" s="1"/>
  <c r="O717" i="6"/>
  <c r="M717" i="6"/>
  <c r="P717" i="6" s="1"/>
  <c r="O740" i="6"/>
  <c r="M740" i="6"/>
  <c r="P740" i="6" s="1"/>
  <c r="O825" i="6"/>
  <c r="M825" i="6"/>
  <c r="P825" i="6" s="1"/>
  <c r="O1779" i="6"/>
  <c r="M1779" i="6"/>
  <c r="P1779" i="6" s="1"/>
  <c r="O1856" i="6"/>
  <c r="M1856" i="6"/>
  <c r="P1856" i="6" s="1"/>
  <c r="O1873" i="6"/>
  <c r="M1873" i="6"/>
  <c r="P1873" i="6" s="1"/>
  <c r="O1906" i="6"/>
  <c r="M1906" i="6"/>
  <c r="P1906" i="6" s="1"/>
  <c r="O1925" i="6"/>
  <c r="M1925" i="6"/>
  <c r="P1925" i="6" s="1"/>
  <c r="O1896" i="6"/>
  <c r="M1896" i="6"/>
  <c r="P1896" i="6" s="1"/>
  <c r="O1540" i="6"/>
  <c r="M1540" i="6"/>
  <c r="P1540" i="6" s="1"/>
  <c r="O291" i="6"/>
  <c r="M291" i="6"/>
  <c r="P291" i="6" s="1"/>
  <c r="O1574" i="6"/>
  <c r="M1574" i="6"/>
  <c r="P1574" i="6" s="1"/>
  <c r="O1861" i="6"/>
  <c r="M1861" i="6"/>
  <c r="P1861" i="6" s="1"/>
  <c r="M122" i="6"/>
  <c r="P122" i="6" s="1"/>
  <c r="O122" i="6"/>
  <c r="O162" i="6"/>
  <c r="M162" i="6"/>
  <c r="P162" i="6" s="1"/>
  <c r="O189" i="6"/>
  <c r="M189" i="6"/>
  <c r="P189" i="6" s="1"/>
  <c r="O272" i="6"/>
  <c r="M272" i="6"/>
  <c r="P272" i="6" s="1"/>
  <c r="O426" i="6"/>
  <c r="M426" i="6"/>
  <c r="P426" i="6" s="1"/>
  <c r="O615" i="6"/>
  <c r="M615" i="6"/>
  <c r="P615" i="6" s="1"/>
  <c r="O782" i="6"/>
  <c r="M782" i="6"/>
  <c r="P782" i="6" s="1"/>
  <c r="O994" i="6"/>
  <c r="M994" i="6"/>
  <c r="P994" i="6" s="1"/>
  <c r="M1037" i="6"/>
  <c r="P1037" i="6" s="1"/>
  <c r="O1037" i="6"/>
  <c r="O1286" i="6"/>
  <c r="M1286" i="6"/>
  <c r="P1286" i="6" s="1"/>
  <c r="O1451" i="6"/>
  <c r="M1451" i="6"/>
  <c r="P1451" i="6" s="1"/>
  <c r="O1548" i="6"/>
  <c r="M1548" i="6"/>
  <c r="P1548" i="6" s="1"/>
  <c r="O1595" i="6"/>
  <c r="M1595" i="6"/>
  <c r="P1595" i="6" s="1"/>
  <c r="O1889" i="6"/>
  <c r="M1889" i="6"/>
  <c r="P1889" i="6" s="1"/>
  <c r="O1962" i="6"/>
  <c r="M1962" i="6"/>
  <c r="P1962" i="6" s="1"/>
  <c r="O672" i="6"/>
  <c r="M672" i="6"/>
  <c r="P672" i="6" s="1"/>
  <c r="O762" i="6"/>
  <c r="M762" i="6"/>
  <c r="P762" i="6" s="1"/>
  <c r="M778" i="6"/>
  <c r="P778" i="6" s="1"/>
  <c r="O778" i="6"/>
  <c r="M1646" i="6"/>
  <c r="P1646" i="6" s="1"/>
  <c r="O1761" i="6"/>
  <c r="M1788" i="6"/>
  <c r="P1788" i="6" s="1"/>
  <c r="M1824" i="6"/>
  <c r="P1824" i="6" s="1"/>
  <c r="O1940" i="6"/>
  <c r="M1940" i="6"/>
  <c r="P1940" i="6" s="1"/>
  <c r="O1917" i="6"/>
  <c r="M1917" i="6"/>
  <c r="P1917" i="6" s="1"/>
  <c r="M911" i="6"/>
  <c r="P911" i="6" s="1"/>
  <c r="O911" i="6"/>
  <c r="O1801" i="6"/>
  <c r="M1801" i="6"/>
  <c r="P1801" i="6" s="1"/>
  <c r="O235" i="6"/>
  <c r="M235" i="6"/>
  <c r="P235" i="6" s="1"/>
  <c r="O1153" i="6"/>
  <c r="M1153" i="6"/>
  <c r="P1153" i="6" s="1"/>
  <c r="O1827" i="6"/>
  <c r="M1827" i="6"/>
  <c r="P1827" i="6" s="1"/>
  <c r="O109" i="6"/>
  <c r="M109" i="6"/>
  <c r="P109" i="6" s="1"/>
  <c r="O148" i="6"/>
  <c r="M148" i="6"/>
  <c r="P148" i="6" s="1"/>
  <c r="O232" i="6"/>
  <c r="M232" i="6"/>
  <c r="P232" i="6" s="1"/>
  <c r="M369" i="6"/>
  <c r="P369" i="6" s="1"/>
  <c r="O369" i="6"/>
  <c r="O482" i="6"/>
  <c r="M482" i="6"/>
  <c r="P482" i="6" s="1"/>
  <c r="O557" i="6"/>
  <c r="M557" i="6"/>
  <c r="P557" i="6" s="1"/>
  <c r="O697" i="6"/>
  <c r="M697" i="6"/>
  <c r="P697" i="6" s="1"/>
  <c r="O925" i="6"/>
  <c r="M925" i="6"/>
  <c r="P925" i="6" s="1"/>
  <c r="O1027" i="6"/>
  <c r="M1027" i="6"/>
  <c r="P1027" i="6" s="1"/>
  <c r="O1099" i="6"/>
  <c r="M1099" i="6"/>
  <c r="P1099" i="6" s="1"/>
  <c r="O1509" i="6"/>
  <c r="M1509" i="6"/>
  <c r="P1509" i="6" s="1"/>
  <c r="M1571" i="6"/>
  <c r="P1571" i="6" s="1"/>
  <c r="O1571" i="6"/>
  <c r="O1698" i="6"/>
  <c r="M1698" i="6"/>
  <c r="P1698" i="6" s="1"/>
  <c r="O1752" i="6"/>
  <c r="M1752" i="6"/>
  <c r="P1752" i="6" s="1"/>
  <c r="O468" i="6"/>
  <c r="M468" i="6"/>
  <c r="P468" i="6" s="1"/>
  <c r="O538" i="6"/>
  <c r="M538" i="6"/>
  <c r="P538" i="6" s="1"/>
  <c r="O1182" i="6"/>
  <c r="M1182" i="6"/>
  <c r="P1182" i="6" s="1"/>
  <c r="M1204" i="6"/>
  <c r="P1204" i="6" s="1"/>
  <c r="O1204" i="6"/>
  <c r="M1300" i="6"/>
  <c r="P1300" i="6" s="1"/>
  <c r="O1300" i="6"/>
  <c r="O1803" i="6"/>
  <c r="M1803" i="6"/>
  <c r="P1803" i="6" s="1"/>
  <c r="O1885" i="6"/>
  <c r="M1885" i="6"/>
  <c r="P1885" i="6" s="1"/>
  <c r="O164" i="6"/>
  <c r="M164" i="6"/>
  <c r="P164" i="6" s="1"/>
  <c r="O539" i="6"/>
  <c r="M539" i="6"/>
  <c r="P539" i="6" s="1"/>
  <c r="O743" i="6"/>
  <c r="M743" i="6"/>
  <c r="P743" i="6" s="1"/>
  <c r="O929" i="6"/>
  <c r="M929" i="6"/>
  <c r="P929" i="6" s="1"/>
  <c r="O1245" i="6"/>
  <c r="M1245" i="6"/>
  <c r="P1245" i="6" s="1"/>
  <c r="O1674" i="6"/>
  <c r="M1674" i="6"/>
  <c r="P1674" i="6" s="1"/>
  <c r="O1890" i="6"/>
  <c r="M1890" i="6"/>
  <c r="P1890" i="6" s="1"/>
  <c r="O1322" i="6"/>
  <c r="M1322" i="6"/>
  <c r="P1322" i="6" s="1"/>
  <c r="O1851" i="6"/>
  <c r="M1851" i="6"/>
  <c r="P1851" i="6" s="1"/>
  <c r="O1677" i="6"/>
  <c r="M1677" i="6"/>
  <c r="P1677" i="6" s="1"/>
  <c r="O1809" i="6"/>
  <c r="M1809" i="6"/>
  <c r="P1809" i="6" s="1"/>
  <c r="M741" i="6"/>
  <c r="P741" i="6" s="1"/>
  <c r="O1244" i="6"/>
  <c r="M1244" i="6"/>
  <c r="P1244" i="6" s="1"/>
  <c r="O1290" i="6"/>
  <c r="M1290" i="6"/>
  <c r="P1290" i="6" s="1"/>
  <c r="O1319" i="6"/>
  <c r="M1319" i="6"/>
  <c r="P1319" i="6" s="1"/>
  <c r="O1340" i="6"/>
  <c r="M1340" i="6"/>
  <c r="P1340" i="6" s="1"/>
  <c r="O1385" i="6"/>
  <c r="M1385" i="6"/>
  <c r="P1385" i="6" s="1"/>
  <c r="O1473" i="6"/>
  <c r="M1473" i="6"/>
  <c r="P1473" i="6" s="1"/>
  <c r="O1672" i="6"/>
  <c r="M1672" i="6"/>
  <c r="P1672" i="6" s="1"/>
  <c r="O1763" i="6"/>
  <c r="M1763" i="6"/>
  <c r="P1763" i="6" s="1"/>
  <c r="O1849" i="6"/>
  <c r="M1849" i="6"/>
  <c r="P1849" i="6" s="1"/>
  <c r="O316" i="6"/>
  <c r="M316" i="6"/>
  <c r="P316" i="6" s="1"/>
  <c r="O1314" i="6"/>
  <c r="M1314" i="6"/>
  <c r="P1314" i="6" s="1"/>
  <c r="O1515" i="6"/>
  <c r="M1515" i="6"/>
  <c r="P1515" i="6" s="1"/>
  <c r="O1703" i="6"/>
  <c r="M1703" i="6"/>
  <c r="P1703" i="6" s="1"/>
  <c r="O1747" i="6"/>
  <c r="M1747" i="6"/>
  <c r="P1747" i="6" s="1"/>
  <c r="O1838" i="6"/>
  <c r="M1838" i="6"/>
  <c r="P1838" i="6" s="1"/>
  <c r="O1927" i="6"/>
  <c r="M1927" i="6"/>
  <c r="P1927" i="6" s="1"/>
  <c r="O1963" i="6"/>
  <c r="M1963" i="6"/>
  <c r="P1963" i="6" s="1"/>
  <c r="O1028" i="6"/>
  <c r="M1028" i="6"/>
  <c r="P1028" i="6" s="1"/>
  <c r="O1575" i="6"/>
  <c r="M1575" i="6"/>
  <c r="P1575" i="6" s="1"/>
  <c r="O728" i="6"/>
  <c r="M728" i="6"/>
  <c r="P728" i="6" s="1"/>
  <c r="O1398" i="6"/>
  <c r="M1398" i="6"/>
  <c r="P1398" i="6" s="1"/>
  <c r="O752" i="6"/>
  <c r="M752" i="6"/>
  <c r="P752" i="6" s="1"/>
  <c r="M800" i="6"/>
  <c r="P800" i="6" s="1"/>
  <c r="O891" i="6"/>
  <c r="M927" i="6"/>
  <c r="P927" i="6" s="1"/>
  <c r="M1101" i="6"/>
  <c r="P1101" i="6" s="1"/>
  <c r="M1166" i="6"/>
  <c r="P1166" i="6" s="1"/>
  <c r="O1362" i="6"/>
  <c r="M1362" i="6"/>
  <c r="P1362" i="6" s="1"/>
  <c r="O1613" i="6"/>
  <c r="M1613" i="6"/>
  <c r="P1613" i="6" s="1"/>
  <c r="O558" i="6"/>
  <c r="M558" i="6"/>
  <c r="P558" i="6" s="1"/>
  <c r="O751" i="6"/>
  <c r="M751" i="6"/>
  <c r="P751" i="6" s="1"/>
  <c r="O801" i="6"/>
  <c r="M801" i="6"/>
  <c r="P801" i="6" s="1"/>
  <c r="O1104" i="6"/>
  <c r="M1104" i="6"/>
  <c r="P1104" i="6" s="1"/>
  <c r="O1266" i="6"/>
  <c r="M1266" i="6"/>
  <c r="P1266" i="6" s="1"/>
  <c r="O1414" i="6"/>
  <c r="M1414" i="6"/>
  <c r="P1414" i="6" s="1"/>
  <c r="O1805" i="6"/>
  <c r="M1805" i="6"/>
  <c r="P1805" i="6" s="1"/>
  <c r="O1977" i="6"/>
  <c r="M1977" i="6"/>
  <c r="P1977" i="6" s="1"/>
  <c r="O1673" i="6"/>
  <c r="M1673" i="6"/>
  <c r="P1673" i="6" s="1"/>
  <c r="O1764" i="6"/>
  <c r="M1764" i="6"/>
  <c r="P1764" i="6" s="1"/>
  <c r="O1804" i="6"/>
  <c r="M1804" i="6"/>
  <c r="P1804" i="6" s="1"/>
  <c r="O1948" i="6"/>
  <c r="M1948" i="6"/>
  <c r="P1948" i="6" s="1"/>
  <c r="O400" i="6"/>
  <c r="M400" i="6"/>
  <c r="P400" i="6" s="1"/>
  <c r="O684" i="6"/>
  <c r="M684" i="6"/>
  <c r="P684" i="6" s="1"/>
  <c r="O1063" i="6"/>
  <c r="M1063" i="6"/>
  <c r="P1063" i="6" s="1"/>
  <c r="O1590" i="6"/>
  <c r="M1590" i="6"/>
  <c r="P1590" i="6" s="1"/>
  <c r="O1704" i="6"/>
  <c r="M1704" i="6"/>
  <c r="P1704" i="6" s="1"/>
  <c r="O1850" i="6"/>
  <c r="M1850" i="6"/>
  <c r="P1850" i="6" s="1"/>
  <c r="O1933" i="6"/>
  <c r="M1933" i="6"/>
  <c r="P1933" i="6" s="1"/>
  <c r="O1246" i="6"/>
  <c r="M1246" i="6"/>
  <c r="P1246" i="6" s="1"/>
  <c r="O1748" i="6"/>
  <c r="M1748" i="6"/>
  <c r="P1748" i="6" s="1"/>
  <c r="O1876" i="6"/>
  <c r="M1876" i="6"/>
  <c r="P1876" i="6" s="1"/>
  <c r="O802" i="6"/>
  <c r="M802" i="6"/>
  <c r="P802" i="6" s="1"/>
  <c r="M1774" i="6"/>
  <c r="P1774" i="6" s="1"/>
  <c r="O1774" i="6"/>
  <c r="O674" i="6"/>
  <c r="M674" i="6"/>
  <c r="P674" i="6" s="1"/>
  <c r="M1184" i="6"/>
  <c r="P1184" i="6" s="1"/>
  <c r="O1264" i="6"/>
  <c r="M1264" i="6"/>
  <c r="P1264" i="6" s="1"/>
  <c r="O1296" i="6"/>
  <c r="M1296" i="6"/>
  <c r="P1296" i="6" s="1"/>
  <c r="O1321" i="6"/>
  <c r="M1321" i="6"/>
  <c r="P1321" i="6" s="1"/>
  <c r="O1341" i="6"/>
  <c r="M1341" i="6"/>
  <c r="P1341" i="6" s="1"/>
  <c r="O1396" i="6"/>
  <c r="M1396" i="6"/>
  <c r="P1396" i="6" s="1"/>
  <c r="O1649" i="6"/>
  <c r="M1649" i="6"/>
  <c r="P1649" i="6" s="1"/>
  <c r="O1702" i="6"/>
  <c r="M1702" i="6"/>
  <c r="P1702" i="6" s="1"/>
  <c r="O1863" i="6"/>
  <c r="M1863" i="6"/>
  <c r="P1863" i="6" s="1"/>
  <c r="O1105" i="6"/>
  <c r="M1105" i="6"/>
  <c r="P1105" i="6" s="1"/>
  <c r="O1280" i="6"/>
  <c r="M1280" i="6"/>
  <c r="P1280" i="6" s="1"/>
  <c r="O1332" i="6"/>
  <c r="M1332" i="6"/>
  <c r="P1332" i="6" s="1"/>
  <c r="O1772" i="6"/>
  <c r="M1772" i="6"/>
  <c r="P1772" i="6" s="1"/>
  <c r="O1964" i="6"/>
  <c r="M1964" i="6"/>
  <c r="P1964" i="6" s="1"/>
  <c r="O893" i="6"/>
  <c r="M893" i="6"/>
  <c r="P893" i="6" s="1"/>
  <c r="O1267" i="6"/>
  <c r="M1267" i="6"/>
  <c r="P1267" i="6" s="1"/>
  <c r="O1576" i="6"/>
  <c r="M1576" i="6"/>
  <c r="P1576" i="6" s="1"/>
  <c r="M1551" i="6"/>
  <c r="P1551" i="6" s="1"/>
  <c r="O1551" i="6"/>
  <c r="O1173" i="6"/>
  <c r="M1173" i="6"/>
  <c r="P1173" i="6" s="1"/>
  <c r="O1363" i="6"/>
  <c r="M1363" i="6"/>
  <c r="P1363" i="6" s="1"/>
  <c r="O92" i="6"/>
  <c r="M92" i="6"/>
  <c r="P92" i="6" s="1"/>
  <c r="O449" i="6"/>
  <c r="M449" i="6"/>
  <c r="P449" i="6" s="1"/>
  <c r="O597" i="6"/>
  <c r="M597" i="6"/>
  <c r="P597" i="6" s="1"/>
  <c r="O763" i="6"/>
  <c r="M763" i="6"/>
  <c r="P763" i="6" s="1"/>
  <c r="O1064" i="6"/>
  <c r="M1064" i="6"/>
  <c r="P1064" i="6" s="1"/>
  <c r="O1218" i="6"/>
  <c r="M1218" i="6"/>
  <c r="P1218" i="6" s="1"/>
  <c r="O1437" i="6"/>
  <c r="M1437" i="6"/>
  <c r="P1437" i="6" s="1"/>
  <c r="O1650" i="6"/>
  <c r="M1650" i="6"/>
  <c r="P1650" i="6" s="1"/>
  <c r="O1705" i="6"/>
  <c r="M1705" i="6"/>
  <c r="P1705" i="6" s="1"/>
  <c r="O1806" i="6"/>
  <c r="M1806" i="6"/>
  <c r="P1806" i="6" s="1"/>
  <c r="O1875" i="6"/>
  <c r="M1875" i="6"/>
  <c r="P1875" i="6" s="1"/>
  <c r="O1918" i="6"/>
  <c r="M1918" i="6"/>
  <c r="P1918" i="6" s="1"/>
  <c r="O84" i="6"/>
  <c r="M84" i="6"/>
  <c r="P84" i="6" s="1"/>
  <c r="O1315" i="6"/>
  <c r="M1315" i="6"/>
  <c r="P1315" i="6" s="1"/>
  <c r="M864" i="6"/>
  <c r="P864" i="6" s="1"/>
  <c r="O864" i="6"/>
  <c r="M93" i="6"/>
  <c r="P93" i="6" s="1"/>
  <c r="O93" i="6"/>
  <c r="M783" i="6"/>
  <c r="P783" i="6" s="1"/>
  <c r="M892" i="6"/>
  <c r="P892" i="6" s="1"/>
  <c r="O928" i="6"/>
  <c r="M944" i="6"/>
  <c r="P944" i="6" s="1"/>
  <c r="M1020" i="6"/>
  <c r="P1020" i="6" s="1"/>
  <c r="O1100" i="6"/>
  <c r="M1100" i="6"/>
  <c r="P1100" i="6" s="1"/>
  <c r="O1165" i="6"/>
  <c r="M1165" i="6"/>
  <c r="P1165" i="6" s="1"/>
  <c r="O1436" i="6"/>
  <c r="M1436" i="6"/>
  <c r="P1436" i="6" s="1"/>
  <c r="O1662" i="6"/>
  <c r="M1662" i="6"/>
  <c r="P1662" i="6" s="1"/>
  <c r="O1687" i="6"/>
  <c r="M1687" i="6"/>
  <c r="P1687" i="6" s="1"/>
  <c r="O1765" i="6"/>
  <c r="M1765" i="6"/>
  <c r="P1765" i="6" s="1"/>
  <c r="O1869" i="6"/>
  <c r="M1869" i="6"/>
  <c r="P1869" i="6" s="1"/>
  <c r="O233" i="6"/>
  <c r="M233" i="6"/>
  <c r="P233" i="6" s="1"/>
  <c r="O727" i="6"/>
  <c r="M727" i="6"/>
  <c r="P727" i="6" s="1"/>
  <c r="O1676" i="6"/>
  <c r="M1676" i="6"/>
  <c r="P1676" i="6" s="1"/>
  <c r="O1908" i="6"/>
  <c r="M1908" i="6"/>
  <c r="P1908" i="6" s="1"/>
  <c r="O1364" i="6"/>
  <c r="M1364" i="6"/>
  <c r="P1364" i="6" s="1"/>
  <c r="O1807" i="6"/>
  <c r="M1807" i="6"/>
  <c r="P1807" i="6" s="1"/>
  <c r="M1841" i="6"/>
  <c r="P1841" i="6" s="1"/>
  <c r="O1841" i="6"/>
  <c r="O1905" i="6"/>
  <c r="M1905" i="6"/>
  <c r="P1905" i="6" s="1"/>
  <c r="O1005" i="6"/>
  <c r="M1005" i="6"/>
  <c r="P1005" i="6" s="1"/>
  <c r="M1292" i="6"/>
  <c r="P1292" i="6" s="1"/>
  <c r="O1292" i="6"/>
  <c r="O1667" i="6"/>
  <c r="M1667" i="6"/>
  <c r="P1667" i="6" s="1"/>
  <c r="O1870" i="6"/>
  <c r="M1870" i="6"/>
  <c r="P1870" i="6" s="1"/>
  <c r="O1967" i="6"/>
  <c r="M1967" i="6"/>
  <c r="P1967" i="6" s="1"/>
  <c r="O803" i="6"/>
  <c r="M803" i="6"/>
  <c r="P803" i="6" s="1"/>
  <c r="O1237" i="6"/>
  <c r="O1265" i="6"/>
  <c r="M1265" i="6"/>
  <c r="P1265" i="6" s="1"/>
  <c r="O1309" i="6"/>
  <c r="O1331" i="6"/>
  <c r="M1331" i="6"/>
  <c r="P1331" i="6" s="1"/>
  <c r="O1369" i="6"/>
  <c r="M1369" i="6"/>
  <c r="P1369" i="6" s="1"/>
  <c r="O1506" i="6"/>
  <c r="M1506" i="6"/>
  <c r="P1506" i="6" s="1"/>
  <c r="O1746" i="6"/>
  <c r="M1746" i="6"/>
  <c r="P1746" i="6" s="1"/>
  <c r="O770" i="6"/>
  <c r="M770" i="6"/>
  <c r="P770" i="6" s="1"/>
  <c r="O1103" i="6"/>
  <c r="M1103" i="6"/>
  <c r="P1103" i="6" s="1"/>
  <c r="O1106" i="6"/>
  <c r="M1106" i="6"/>
  <c r="P1106" i="6" s="1"/>
  <c r="O1291" i="6"/>
  <c r="M1291" i="6"/>
  <c r="P1291" i="6" s="1"/>
  <c r="O1460" i="6"/>
  <c r="M1460" i="6"/>
  <c r="P1460" i="6" s="1"/>
  <c r="O1738" i="6"/>
  <c r="M1738" i="6"/>
  <c r="P1738" i="6" s="1"/>
  <c r="O1830" i="6"/>
  <c r="M1830" i="6"/>
  <c r="P1830" i="6" s="1"/>
  <c r="O1921" i="6"/>
  <c r="M1921" i="6"/>
  <c r="P1921" i="6" s="1"/>
  <c r="O335" i="6"/>
  <c r="M335" i="6"/>
  <c r="P335" i="6" s="1"/>
  <c r="O1351" i="6"/>
  <c r="O1489" i="6"/>
  <c r="O1701" i="6"/>
  <c r="O1829" i="6"/>
  <c r="O190" i="6"/>
  <c r="O673" i="6"/>
  <c r="O879" i="6"/>
  <c r="O1107" i="6"/>
  <c r="O1397" i="6"/>
  <c r="O1675" i="6"/>
  <c r="O1773" i="6"/>
  <c r="O1904" i="6"/>
  <c r="O1965" i="6"/>
  <c r="O1352" i="6"/>
  <c r="O1840" i="6"/>
  <c r="O1966" i="6"/>
  <c r="O1205" i="6"/>
  <c r="O745" i="6"/>
  <c r="M745" i="6"/>
  <c r="P745" i="6" s="1"/>
  <c r="O895" i="6"/>
  <c r="M895" i="6"/>
  <c r="P895" i="6" s="1"/>
  <c r="O1183" i="6"/>
  <c r="M1183" i="6"/>
  <c r="P1183" i="6" s="1"/>
  <c r="O1323" i="6"/>
  <c r="M1323" i="6"/>
  <c r="P1323" i="6" s="1"/>
  <c r="O1438" i="6"/>
  <c r="M1438" i="6"/>
  <c r="P1438" i="6" s="1"/>
  <c r="O1632" i="6"/>
  <c r="M1632" i="6"/>
  <c r="P1632" i="6" s="1"/>
  <c r="O1706" i="6"/>
  <c r="M1706" i="6"/>
  <c r="P1706" i="6" s="1"/>
  <c r="O1766" i="6"/>
  <c r="M1766" i="6"/>
  <c r="P1766" i="6" s="1"/>
  <c r="O1843" i="6"/>
  <c r="M1843" i="6"/>
  <c r="P1843" i="6" s="1"/>
  <c r="O1864" i="6"/>
  <c r="M1864" i="6"/>
  <c r="P1864" i="6" s="1"/>
  <c r="O1900" i="6"/>
  <c r="M1900" i="6"/>
  <c r="P1900" i="6" s="1"/>
  <c r="O1111" i="6"/>
  <c r="M1111" i="6"/>
  <c r="P1111" i="6" s="1"/>
  <c r="O1831" i="6"/>
  <c r="M1831" i="6"/>
  <c r="P1831" i="6" s="1"/>
  <c r="M347" i="6"/>
  <c r="P347" i="6" s="1"/>
  <c r="O347" i="6"/>
  <c r="M570" i="6"/>
  <c r="P570" i="6" s="1"/>
  <c r="O570" i="6"/>
  <c r="O1354" i="6"/>
  <c r="M1354" i="6"/>
  <c r="P1354" i="6" s="1"/>
  <c r="M1839" i="6"/>
  <c r="P1839" i="6" s="1"/>
  <c r="O1897" i="6"/>
  <c r="O598" i="6"/>
  <c r="M598" i="6"/>
  <c r="P598" i="6" s="1"/>
  <c r="O794" i="6"/>
  <c r="M794" i="6"/>
  <c r="P794" i="6" s="1"/>
  <c r="O945" i="6"/>
  <c r="M945" i="6"/>
  <c r="P945" i="6" s="1"/>
  <c r="O959" i="6"/>
  <c r="M959" i="6"/>
  <c r="P959" i="6" s="1"/>
  <c r="O1110" i="6"/>
  <c r="M1110" i="6"/>
  <c r="P1110" i="6" s="1"/>
  <c r="O1269" i="6"/>
  <c r="M1269" i="6"/>
  <c r="P1269" i="6" s="1"/>
  <c r="O1301" i="6"/>
  <c r="M1301" i="6"/>
  <c r="P1301" i="6" s="1"/>
  <c r="O1310" i="6"/>
  <c r="M1310" i="6"/>
  <c r="P1310" i="6" s="1"/>
  <c r="O1342" i="6"/>
  <c r="M1342" i="6"/>
  <c r="P1342" i="6" s="1"/>
  <c r="O1370" i="6"/>
  <c r="M1370" i="6"/>
  <c r="P1370" i="6" s="1"/>
  <c r="O1507" i="6"/>
  <c r="M1507" i="6"/>
  <c r="P1507" i="6" s="1"/>
  <c r="O1630" i="6"/>
  <c r="M1630" i="6"/>
  <c r="P1630" i="6" s="1"/>
  <c r="O1811" i="6"/>
  <c r="M1811" i="6"/>
  <c r="P1811" i="6" s="1"/>
  <c r="O1886" i="6"/>
  <c r="M1886" i="6"/>
  <c r="P1886" i="6" s="1"/>
  <c r="O1776" i="6"/>
  <c r="M1776" i="6"/>
  <c r="P1776" i="6" s="1"/>
  <c r="O349" i="6"/>
  <c r="M349" i="6"/>
  <c r="P349" i="6" s="1"/>
  <c r="M686" i="6"/>
  <c r="P686" i="6" s="1"/>
  <c r="O686" i="6"/>
  <c r="O1007" i="6"/>
  <c r="M1007" i="6"/>
  <c r="P1007" i="6" s="1"/>
  <c r="M1021" i="6"/>
  <c r="P1021" i="6" s="1"/>
  <c r="O729" i="6"/>
  <c r="M729" i="6"/>
  <c r="P729" i="6" s="1"/>
  <c r="O881" i="6"/>
  <c r="M881" i="6"/>
  <c r="P881" i="6" s="1"/>
  <c r="O1074" i="6"/>
  <c r="M1074" i="6"/>
  <c r="P1074" i="6" s="1"/>
  <c r="O1185" i="6"/>
  <c r="M1185" i="6"/>
  <c r="P1185" i="6" s="1"/>
  <c r="O1247" i="6"/>
  <c r="M1247" i="6"/>
  <c r="P1247" i="6" s="1"/>
  <c r="O1651" i="6"/>
  <c r="M1651" i="6"/>
  <c r="P1651" i="6" s="1"/>
  <c r="O899" i="6"/>
  <c r="M899" i="6"/>
  <c r="P899" i="6" s="1"/>
  <c r="O1220" i="6"/>
  <c r="M1220" i="6"/>
  <c r="P1220" i="6" s="1"/>
  <c r="O1899" i="6"/>
  <c r="O450" i="6"/>
  <c r="M685" i="6"/>
  <c r="P685" i="6" s="1"/>
  <c r="M704" i="6"/>
  <c r="P704" i="6" s="1"/>
  <c r="O779" i="6"/>
  <c r="M807" i="6"/>
  <c r="P807" i="6" s="1"/>
  <c r="M827" i="6"/>
  <c r="P827" i="6" s="1"/>
  <c r="O898" i="6"/>
  <c r="M898" i="6"/>
  <c r="P898" i="6" s="1"/>
  <c r="O1006" i="6"/>
  <c r="M1006" i="6"/>
  <c r="P1006" i="6" s="1"/>
  <c r="O1159" i="6"/>
  <c r="M1159" i="6"/>
  <c r="P1159" i="6" s="1"/>
  <c r="O1293" i="6"/>
  <c r="M1293" i="6"/>
  <c r="P1293" i="6" s="1"/>
  <c r="O1329" i="6"/>
  <c r="M1329" i="6"/>
  <c r="P1329" i="6" s="1"/>
  <c r="O1474" i="6"/>
  <c r="M1474" i="6"/>
  <c r="P1474" i="6" s="1"/>
  <c r="O1707" i="6"/>
  <c r="M1707" i="6"/>
  <c r="P1707" i="6" s="1"/>
  <c r="O1844" i="6"/>
  <c r="M1844" i="6"/>
  <c r="P1844" i="6" s="1"/>
  <c r="O896" i="6"/>
  <c r="M896" i="6"/>
  <c r="P896" i="6" s="1"/>
  <c r="O1922" i="6"/>
  <c r="M1922" i="6"/>
  <c r="P1922" i="6" s="1"/>
  <c r="O64" i="6"/>
  <c r="M64" i="6"/>
  <c r="P64" i="6" s="1"/>
  <c r="O665" i="6"/>
  <c r="M665" i="6"/>
  <c r="P665" i="6" s="1"/>
  <c r="O1492" i="6"/>
  <c r="M1492" i="6"/>
  <c r="P1492" i="6" s="1"/>
  <c r="O358" i="6"/>
  <c r="O664" i="6"/>
  <c r="M664" i="6"/>
  <c r="P664" i="6" s="1"/>
  <c r="O771" i="6"/>
  <c r="O798" i="6"/>
  <c r="M798" i="6"/>
  <c r="P798" i="6" s="1"/>
  <c r="O946" i="6"/>
  <c r="M946" i="6"/>
  <c r="P946" i="6" s="1"/>
  <c r="O1108" i="6"/>
  <c r="M1108" i="6"/>
  <c r="P1108" i="6" s="1"/>
  <c r="O1141" i="6"/>
  <c r="M1141" i="6"/>
  <c r="P1141" i="6" s="1"/>
  <c r="O1302" i="6"/>
  <c r="M1302" i="6"/>
  <c r="P1302" i="6" s="1"/>
  <c r="O1353" i="6"/>
  <c r="M1353" i="6"/>
  <c r="P1353" i="6" s="1"/>
  <c r="O1516" i="6"/>
  <c r="M1516" i="6"/>
  <c r="P1516" i="6" s="1"/>
  <c r="O867" i="6"/>
  <c r="M867" i="6"/>
  <c r="P867" i="6" s="1"/>
  <c r="O932" i="6"/>
  <c r="M932" i="6"/>
  <c r="P932" i="6" s="1"/>
  <c r="O1008" i="6"/>
  <c r="M1008" i="6"/>
  <c r="P1008" i="6" s="1"/>
  <c r="O744" i="6"/>
  <c r="M744" i="6"/>
  <c r="P744" i="6" s="1"/>
  <c r="O894" i="6"/>
  <c r="M894" i="6"/>
  <c r="P894" i="6" s="1"/>
  <c r="O1065" i="6"/>
  <c r="M1065" i="6"/>
  <c r="P1065" i="6" s="1"/>
  <c r="O1174" i="6"/>
  <c r="M1174" i="6"/>
  <c r="P1174" i="6" s="1"/>
  <c r="O1206" i="6"/>
  <c r="M1206" i="6"/>
  <c r="P1206" i="6" s="1"/>
  <c r="O1749" i="6"/>
  <c r="M1749" i="6"/>
  <c r="P1749" i="6" s="1"/>
  <c r="O1852" i="6"/>
  <c r="M1852" i="6"/>
  <c r="P1852" i="6" s="1"/>
  <c r="O947" i="6"/>
  <c r="M947" i="6"/>
  <c r="P947" i="6" s="1"/>
  <c r="O63" i="6"/>
  <c r="M63" i="6"/>
  <c r="P63" i="6" s="1"/>
  <c r="O1324" i="6"/>
  <c r="M1324" i="6"/>
  <c r="P1324" i="6" s="1"/>
  <c r="O540" i="6"/>
  <c r="M540" i="6"/>
  <c r="P540" i="6" s="1"/>
  <c r="O784" i="6"/>
  <c r="M784" i="6"/>
  <c r="P784" i="6" s="1"/>
  <c r="O931" i="6"/>
  <c r="M931" i="6"/>
  <c r="P931" i="6" s="1"/>
  <c r="O958" i="6"/>
  <c r="M958" i="6"/>
  <c r="P958" i="6" s="1"/>
  <c r="O1022" i="6"/>
  <c r="M1022" i="6"/>
  <c r="P1022" i="6" s="1"/>
  <c r="O1306" i="6"/>
  <c r="M1306" i="6"/>
  <c r="P1306" i="6" s="1"/>
  <c r="O1365" i="6"/>
  <c r="M1365" i="6"/>
  <c r="P1365" i="6" s="1"/>
  <c r="O1614" i="6"/>
  <c r="M1614" i="6"/>
  <c r="P1614" i="6" s="1"/>
  <c r="O348" i="6"/>
  <c r="M348" i="6"/>
  <c r="P348" i="6" s="1"/>
  <c r="O1542" i="6"/>
  <c r="M1542" i="6"/>
  <c r="P1542" i="6" s="1"/>
  <c r="M880" i="6"/>
  <c r="P880" i="6" s="1"/>
  <c r="M1775" i="6"/>
  <c r="P1775" i="6" s="1"/>
  <c r="M401" i="6"/>
  <c r="P401" i="6" s="1"/>
  <c r="O718" i="6"/>
  <c r="M764" i="6"/>
  <c r="P764" i="6" s="1"/>
  <c r="M776" i="6"/>
  <c r="P776" i="6" s="1"/>
  <c r="O865" i="6"/>
  <c r="M903" i="6"/>
  <c r="P903" i="6" s="1"/>
  <c r="O1066" i="6"/>
  <c r="M1066" i="6"/>
  <c r="P1066" i="6" s="1"/>
  <c r="O1109" i="6"/>
  <c r="M1109" i="6"/>
  <c r="P1109" i="6" s="1"/>
  <c r="O1219" i="6"/>
  <c r="M1219" i="6"/>
  <c r="P1219" i="6" s="1"/>
  <c r="O1810" i="6"/>
  <c r="M1810" i="6"/>
  <c r="P1810" i="6" s="1"/>
  <c r="O1877" i="6"/>
  <c r="M1877" i="6"/>
  <c r="P1877" i="6" s="1"/>
  <c r="O1633" i="6"/>
  <c r="M1633" i="6"/>
  <c r="P1633" i="6" s="1"/>
  <c r="O746" i="6"/>
  <c r="M746" i="6"/>
  <c r="P746" i="6" s="1"/>
  <c r="O882" i="6"/>
  <c r="M882" i="6"/>
  <c r="P882" i="6" s="1"/>
  <c r="O1112" i="6"/>
  <c r="M1112" i="6"/>
  <c r="P1112" i="6" s="1"/>
  <c r="O1075" i="6"/>
  <c r="M1075" i="6"/>
  <c r="P1075" i="6" s="1"/>
  <c r="O1491" i="6"/>
  <c r="M1491" i="6"/>
  <c r="P1491" i="6" s="1"/>
  <c r="O1901" i="6"/>
  <c r="M1901" i="6"/>
  <c r="P1901" i="6" s="1"/>
  <c r="O1969" i="6"/>
  <c r="M1969" i="6"/>
  <c r="P1969" i="6" s="1"/>
  <c r="O305" i="6"/>
  <c r="M305" i="6"/>
  <c r="P305" i="6" s="1"/>
  <c r="O457" i="6"/>
  <c r="M457" i="6"/>
  <c r="P457" i="6" s="1"/>
  <c r="O818" i="6"/>
  <c r="M818" i="6"/>
  <c r="P818" i="6" s="1"/>
  <c r="O1426" i="6"/>
  <c r="M1426" i="6"/>
  <c r="P1426" i="6" s="1"/>
  <c r="M1622" i="6"/>
  <c r="P1622" i="6" s="1"/>
  <c r="O1622" i="6"/>
  <c r="O371" i="6"/>
  <c r="M371" i="6"/>
  <c r="P371" i="6" s="1"/>
  <c r="O606" i="6"/>
  <c r="M606" i="6"/>
  <c r="P606" i="6" s="1"/>
  <c r="O87" i="6"/>
  <c r="M87" i="6"/>
  <c r="P87" i="6" s="1"/>
  <c r="M571" i="6"/>
  <c r="P571" i="6" s="1"/>
  <c r="O571" i="6"/>
  <c r="O525" i="6"/>
  <c r="M525" i="6"/>
  <c r="P525" i="6" s="1"/>
  <c r="O1168" i="6"/>
  <c r="M1168" i="6"/>
  <c r="P1168" i="6" s="1"/>
  <c r="O43" i="6"/>
  <c r="M43" i="6"/>
  <c r="P43" i="6" s="1"/>
  <c r="O510" i="6"/>
  <c r="M510" i="6"/>
  <c r="P510" i="6" s="1"/>
  <c r="O730" i="6"/>
  <c r="M730" i="6"/>
  <c r="P730" i="6" s="1"/>
  <c r="O1240" i="6"/>
  <c r="M1240" i="6"/>
  <c r="P1240" i="6" s="1"/>
  <c r="O1929" i="6"/>
  <c r="M1929" i="6"/>
  <c r="P1929" i="6" s="1"/>
  <c r="O210" i="6"/>
  <c r="M210" i="6"/>
  <c r="P210" i="6" s="1"/>
  <c r="O351" i="6"/>
  <c r="M351" i="6"/>
  <c r="P351" i="6" s="1"/>
  <c r="O159" i="6"/>
  <c r="M159" i="6"/>
  <c r="P159" i="6" s="1"/>
  <c r="M275" i="6"/>
  <c r="P275" i="6" s="1"/>
  <c r="O275" i="6"/>
  <c r="O463" i="6"/>
  <c r="M463" i="6"/>
  <c r="P463" i="6" s="1"/>
  <c r="M1934" i="6"/>
  <c r="P1934" i="6" s="1"/>
  <c r="M359" i="6"/>
  <c r="P359" i="6" s="1"/>
  <c r="M488" i="6"/>
  <c r="P488" i="6" s="1"/>
  <c r="M582" i="6"/>
  <c r="P582" i="6" s="1"/>
  <c r="O617" i="6"/>
  <c r="O840" i="6"/>
  <c r="M840" i="6"/>
  <c r="P840" i="6" s="1"/>
  <c r="O985" i="6"/>
  <c r="M985" i="6"/>
  <c r="P985" i="6" s="1"/>
  <c r="O1708" i="6"/>
  <c r="M1708" i="6"/>
  <c r="P1708" i="6" s="1"/>
  <c r="O1845" i="6"/>
  <c r="M1845" i="6"/>
  <c r="P1845" i="6" s="1"/>
  <c r="M817" i="6"/>
  <c r="P817" i="6" s="1"/>
  <c r="O86" i="6"/>
  <c r="M86" i="6"/>
  <c r="P86" i="6" s="1"/>
  <c r="O338" i="6"/>
  <c r="M338" i="6"/>
  <c r="P338" i="6" s="1"/>
  <c r="O961" i="6"/>
  <c r="O1069" i="6"/>
  <c r="M1069" i="6"/>
  <c r="P1069" i="6" s="1"/>
  <c r="O1517" i="6"/>
  <c r="M1517" i="6"/>
  <c r="P1517" i="6" s="1"/>
  <c r="O1832" i="6"/>
  <c r="M1832" i="6"/>
  <c r="P1832" i="6" s="1"/>
  <c r="O360" i="6"/>
  <c r="M360" i="6"/>
  <c r="P360" i="6" s="1"/>
  <c r="O1067" i="6"/>
  <c r="M1067" i="6"/>
  <c r="P1067" i="6" s="1"/>
  <c r="O1281" i="6"/>
  <c r="M1281" i="6"/>
  <c r="P1281" i="6" s="1"/>
  <c r="O1439" i="6"/>
  <c r="M1439" i="6"/>
  <c r="P1439" i="6" s="1"/>
  <c r="O1635" i="6"/>
  <c r="M1635" i="6"/>
  <c r="P1635" i="6" s="1"/>
  <c r="O618" i="6"/>
  <c r="M618" i="6"/>
  <c r="P618" i="6" s="1"/>
  <c r="O829" i="6"/>
  <c r="M829" i="6"/>
  <c r="P829" i="6" s="1"/>
  <c r="O1142" i="6"/>
  <c r="M1142" i="6"/>
  <c r="P1142" i="6" s="1"/>
  <c r="O1273" i="6"/>
  <c r="M1273" i="6"/>
  <c r="P1273" i="6" s="1"/>
  <c r="O1440" i="6"/>
  <c r="M1440" i="6"/>
  <c r="P1440" i="6" s="1"/>
  <c r="O1058" i="6"/>
  <c r="M1058" i="6"/>
  <c r="P1058" i="6" s="1"/>
  <c r="O118" i="6"/>
  <c r="M118" i="6"/>
  <c r="P118" i="6" s="1"/>
  <c r="M616" i="6"/>
  <c r="P616" i="6" s="1"/>
  <c r="M1029" i="6"/>
  <c r="P1029" i="6" s="1"/>
  <c r="O1271" i="6"/>
  <c r="M1371" i="6"/>
  <c r="P1371" i="6" s="1"/>
  <c r="O1577" i="6"/>
  <c r="O1853" i="6"/>
  <c r="M1853" i="6"/>
  <c r="P1853" i="6" s="1"/>
  <c r="O747" i="6"/>
  <c r="M747" i="6"/>
  <c r="P747" i="6" s="1"/>
  <c r="O306" i="6"/>
  <c r="M306" i="6"/>
  <c r="P306" i="6" s="1"/>
  <c r="O404" i="6"/>
  <c r="M404" i="6"/>
  <c r="P404" i="6" s="1"/>
  <c r="O872" i="6"/>
  <c r="M872" i="6"/>
  <c r="P872" i="6" s="1"/>
  <c r="O1030" i="6"/>
  <c r="M1030" i="6"/>
  <c r="P1030" i="6" s="1"/>
  <c r="O1070" i="6"/>
  <c r="M1070" i="6"/>
  <c r="P1070" i="6" s="1"/>
  <c r="O1652" i="6"/>
  <c r="M1652" i="6"/>
  <c r="P1652" i="6" s="1"/>
  <c r="O712" i="6"/>
  <c r="M712" i="6"/>
  <c r="P712" i="6" s="1"/>
  <c r="M1936" i="6"/>
  <c r="P1936" i="6" s="1"/>
  <c r="O1936" i="6"/>
  <c r="M339" i="6"/>
  <c r="P339" i="6" s="1"/>
  <c r="O339" i="6"/>
  <c r="M1297" i="6"/>
  <c r="P1297" i="6" s="1"/>
  <c r="M1333" i="6"/>
  <c r="P1333" i="6" s="1"/>
  <c r="M1490" i="6"/>
  <c r="P1490" i="6" s="1"/>
  <c r="M1688" i="6"/>
  <c r="P1688" i="6" s="1"/>
  <c r="O427" i="6"/>
  <c r="M427" i="6"/>
  <c r="P427" i="6" s="1"/>
  <c r="O866" i="6"/>
  <c r="M866" i="6"/>
  <c r="P866" i="6" s="1"/>
  <c r="O990" i="6"/>
  <c r="M990" i="6"/>
  <c r="P990" i="6" s="1"/>
  <c r="O1303" i="6"/>
  <c r="M1303" i="6"/>
  <c r="P1303" i="6" s="1"/>
  <c r="M1552" i="6"/>
  <c r="P1552" i="6" s="1"/>
  <c r="O1638" i="6"/>
  <c r="M1638" i="6"/>
  <c r="P1638" i="6" s="1"/>
  <c r="O1902" i="6"/>
  <c r="M1902" i="6"/>
  <c r="P1902" i="6" s="1"/>
  <c r="O1970" i="6"/>
  <c r="M1970" i="6"/>
  <c r="P1970" i="6" s="1"/>
  <c r="O828" i="6"/>
  <c r="O13" i="6"/>
  <c r="M13" i="6"/>
  <c r="P13" i="6" s="1"/>
  <c r="O599" i="6"/>
  <c r="M599" i="6"/>
  <c r="P599" i="6" s="1"/>
  <c r="O688" i="6"/>
  <c r="M688" i="6"/>
  <c r="P688" i="6" s="1"/>
  <c r="O830" i="6"/>
  <c r="M830" i="6"/>
  <c r="P830" i="6" s="1"/>
  <c r="O1518" i="6"/>
  <c r="O629" i="6"/>
  <c r="M629" i="6"/>
  <c r="P629" i="6" s="1"/>
  <c r="M459" i="6"/>
  <c r="P459" i="6" s="1"/>
  <c r="O459" i="6"/>
  <c r="O656" i="6"/>
  <c r="M656" i="6"/>
  <c r="P656" i="6" s="1"/>
  <c r="M675" i="6"/>
  <c r="P675" i="6" s="1"/>
  <c r="O808" i="6"/>
  <c r="O960" i="6"/>
  <c r="O1782" i="6"/>
  <c r="M1782" i="6"/>
  <c r="P1782" i="6" s="1"/>
  <c r="O1814" i="6"/>
  <c r="M1814" i="6"/>
  <c r="P1814" i="6" s="1"/>
  <c r="O1892" i="6"/>
  <c r="M1892" i="6"/>
  <c r="P1892" i="6" s="1"/>
  <c r="O541" i="6"/>
  <c r="M541" i="6"/>
  <c r="P541" i="6" s="1"/>
  <c r="O95" i="6"/>
  <c r="M95" i="6"/>
  <c r="P95" i="6" s="1"/>
  <c r="O136" i="6"/>
  <c r="M136" i="6"/>
  <c r="P136" i="6" s="1"/>
  <c r="O418" i="6"/>
  <c r="M418" i="6"/>
  <c r="P418" i="6" s="1"/>
  <c r="O1461" i="6"/>
  <c r="M1461" i="6"/>
  <c r="P1461" i="6" s="1"/>
  <c r="O1971" i="6"/>
  <c r="M1971" i="6"/>
  <c r="P1971" i="6" s="1"/>
  <c r="O1068" i="6"/>
  <c r="M1068" i="6"/>
  <c r="P1068" i="6" s="1"/>
  <c r="O1272" i="6"/>
  <c r="M1272" i="6"/>
  <c r="P1272" i="6" s="1"/>
  <c r="O1475" i="6"/>
  <c r="M1475" i="6"/>
  <c r="P1475" i="6" s="1"/>
  <c r="O1634" i="6"/>
  <c r="M1634" i="6"/>
  <c r="P1634" i="6" s="1"/>
  <c r="O1668" i="6"/>
  <c r="M1668" i="6"/>
  <c r="P1668" i="6" s="1"/>
  <c r="O1935" i="6"/>
  <c r="O1978" i="6"/>
  <c r="M1978" i="6"/>
  <c r="P1978" i="6" s="1"/>
  <c r="O777" i="6"/>
  <c r="M777" i="6"/>
  <c r="P777" i="6" s="1"/>
  <c r="O1543" i="6"/>
  <c r="M1543" i="6"/>
  <c r="P1543" i="6" s="1"/>
  <c r="O69" i="6"/>
  <c r="M69" i="6"/>
  <c r="P69" i="6" s="1"/>
  <c r="M906" i="6"/>
  <c r="P906" i="6" s="1"/>
  <c r="O1123" i="6"/>
  <c r="M1123" i="6"/>
  <c r="P1123" i="6" s="1"/>
  <c r="O1415" i="6"/>
  <c r="M1415" i="6"/>
  <c r="P1415" i="6" s="1"/>
  <c r="O1591" i="6"/>
  <c r="M1591" i="6"/>
  <c r="P1591" i="6" s="1"/>
  <c r="M1709" i="6"/>
  <c r="P1709" i="6" s="1"/>
  <c r="M524" i="6"/>
  <c r="P524" i="6" s="1"/>
  <c r="O524" i="6"/>
  <c r="M460" i="6"/>
  <c r="P460" i="6" s="1"/>
  <c r="O460" i="6"/>
  <c r="O1689" i="6"/>
  <c r="M1689" i="6"/>
  <c r="P1689" i="6" s="1"/>
  <c r="M283" i="6"/>
  <c r="P283" i="6" s="1"/>
  <c r="O283" i="6"/>
  <c r="O370" i="6"/>
  <c r="M693" i="6"/>
  <c r="P693" i="6" s="1"/>
  <c r="O1045" i="6"/>
  <c r="O1372" i="6"/>
  <c r="M1909" i="6"/>
  <c r="P1909" i="6" s="1"/>
  <c r="O933" i="6"/>
  <c r="M933" i="6"/>
  <c r="P933" i="6" s="1"/>
  <c r="O141" i="6"/>
  <c r="M141" i="6"/>
  <c r="P141" i="6" s="1"/>
  <c r="O542" i="6"/>
  <c r="M542" i="6"/>
  <c r="P542" i="6" s="1"/>
  <c r="M659" i="6"/>
  <c r="P659" i="6" s="1"/>
  <c r="O831" i="6"/>
  <c r="M831" i="6"/>
  <c r="P831" i="6" s="1"/>
  <c r="O1046" i="6"/>
  <c r="M1046" i="6"/>
  <c r="P1046" i="6" s="1"/>
  <c r="O1615" i="6"/>
  <c r="M1615" i="6"/>
  <c r="P1615" i="6" s="1"/>
  <c r="M1176" i="6"/>
  <c r="P1176" i="6" s="1"/>
  <c r="O1176" i="6"/>
  <c r="O1599" i="6"/>
  <c r="M1599" i="6"/>
  <c r="P1599" i="6" s="1"/>
  <c r="M241" i="6"/>
  <c r="P241" i="6" s="1"/>
  <c r="O241" i="6"/>
  <c r="O454" i="6"/>
  <c r="M454" i="6"/>
  <c r="P454" i="6" s="1"/>
  <c r="O1113" i="6"/>
  <c r="M1113" i="6"/>
  <c r="P1113" i="6" s="1"/>
  <c r="O1427" i="6"/>
  <c r="M1427" i="6"/>
  <c r="P1427" i="6" s="1"/>
  <c r="O428" i="6"/>
  <c r="M428" i="6"/>
  <c r="P428" i="6" s="1"/>
  <c r="O650" i="6"/>
  <c r="M650" i="6"/>
  <c r="P650" i="6" s="1"/>
  <c r="O887" i="6"/>
  <c r="M887" i="6"/>
  <c r="P887" i="6" s="1"/>
  <c r="O1600" i="6"/>
  <c r="M1600" i="6"/>
  <c r="P1600" i="6" s="1"/>
  <c r="M184" i="6"/>
  <c r="P184" i="6" s="1"/>
  <c r="O184" i="6"/>
  <c r="O222" i="6"/>
  <c r="M222" i="6"/>
  <c r="P222" i="6" s="1"/>
  <c r="M438" i="6"/>
  <c r="P438" i="6" s="1"/>
  <c r="O438" i="6"/>
  <c r="O492" i="6"/>
  <c r="M492" i="6"/>
  <c r="P492" i="6" s="1"/>
  <c r="M619" i="6"/>
  <c r="P619" i="6" s="1"/>
  <c r="O619" i="6"/>
  <c r="O1009" i="6"/>
  <c r="M1377" i="6"/>
  <c r="P1377" i="6" s="1"/>
  <c r="O1623" i="6"/>
  <c r="M1795" i="6"/>
  <c r="P1795" i="6" s="1"/>
  <c r="O623" i="6"/>
  <c r="M623" i="6"/>
  <c r="P623" i="6" s="1"/>
  <c r="O88" i="6"/>
  <c r="M88" i="6"/>
  <c r="P88" i="6" s="1"/>
  <c r="O850" i="6"/>
  <c r="M850" i="6"/>
  <c r="P850" i="6" s="1"/>
  <c r="O1010" i="6"/>
  <c r="M1010" i="6"/>
  <c r="P1010" i="6" s="1"/>
  <c r="O181" i="6"/>
  <c r="M181" i="6"/>
  <c r="P181" i="6" s="1"/>
  <c r="O219" i="6"/>
  <c r="M219" i="6"/>
  <c r="P219" i="6" s="1"/>
  <c r="M262" i="6"/>
  <c r="P262" i="6" s="1"/>
  <c r="O262" i="6"/>
  <c r="M1124" i="6"/>
  <c r="P1124" i="6" s="1"/>
  <c r="O273" i="6"/>
  <c r="M273" i="6"/>
  <c r="P273" i="6" s="1"/>
  <c r="M461" i="6"/>
  <c r="P461" i="6" s="1"/>
  <c r="O461" i="6"/>
  <c r="O1282" i="6"/>
  <c r="M1282" i="6"/>
  <c r="P1282" i="6" s="1"/>
  <c r="M1739" i="6"/>
  <c r="P1739" i="6" s="1"/>
  <c r="O1739" i="6"/>
  <c r="O533" i="6"/>
  <c r="M533" i="6"/>
  <c r="P533" i="6" s="1"/>
  <c r="M657" i="6"/>
  <c r="P657" i="6" s="1"/>
  <c r="O657" i="6"/>
  <c r="O888" i="6"/>
  <c r="M888" i="6"/>
  <c r="P888" i="6" s="1"/>
  <c r="O1251" i="6"/>
  <c r="M1251" i="6"/>
  <c r="P1251" i="6" s="1"/>
  <c r="O203" i="6"/>
  <c r="M203" i="6"/>
  <c r="P203" i="6" s="1"/>
  <c r="M228" i="6"/>
  <c r="P228" i="6" s="1"/>
  <c r="O228" i="6"/>
  <c r="O264" i="6"/>
  <c r="M264" i="6"/>
  <c r="P264" i="6" s="1"/>
  <c r="O307" i="6"/>
  <c r="M307" i="6"/>
  <c r="P307" i="6" s="1"/>
  <c r="O572" i="6"/>
  <c r="M572" i="6"/>
  <c r="P572" i="6" s="1"/>
  <c r="O372" i="6"/>
  <c r="M372" i="6"/>
  <c r="P372" i="6" s="1"/>
  <c r="O753" i="6"/>
  <c r="M753" i="6"/>
  <c r="P753" i="6" s="1"/>
  <c r="O1143" i="6"/>
  <c r="M1143" i="6"/>
  <c r="P1143" i="6" s="1"/>
  <c r="O142" i="6"/>
  <c r="M142" i="6"/>
  <c r="P142" i="6" s="1"/>
  <c r="O472" i="6"/>
  <c r="M472" i="6"/>
  <c r="P472" i="6" s="1"/>
  <c r="O851" i="6"/>
  <c r="M851" i="6"/>
  <c r="P851" i="6" s="1"/>
  <c r="O1011" i="6"/>
  <c r="M1011" i="6"/>
  <c r="P1011" i="6" s="1"/>
  <c r="O1740" i="6"/>
  <c r="M1740" i="6"/>
  <c r="P1740" i="6" s="1"/>
  <c r="O220" i="6"/>
  <c r="M220" i="6"/>
  <c r="P220" i="6" s="1"/>
  <c r="O289" i="6"/>
  <c r="M289" i="6"/>
  <c r="P289" i="6" s="1"/>
  <c r="M1942" i="6"/>
  <c r="P1942" i="6" s="1"/>
  <c r="M405" i="6"/>
  <c r="P405" i="6" s="1"/>
  <c r="M868" i="6"/>
  <c r="P868" i="6" s="1"/>
  <c r="M230" i="6"/>
  <c r="P230" i="6" s="1"/>
  <c r="M318" i="6"/>
  <c r="P318" i="6" s="1"/>
  <c r="O462" i="6"/>
  <c r="M462" i="6"/>
  <c r="P462" i="6" s="1"/>
  <c r="O873" i="6"/>
  <c r="M873" i="6"/>
  <c r="P873" i="6" s="1"/>
  <c r="O6" i="6"/>
  <c r="M6" i="6"/>
  <c r="P6" i="6" s="1"/>
  <c r="O191" i="6"/>
  <c r="M191" i="6"/>
  <c r="P191" i="6" s="1"/>
  <c r="O713" i="6"/>
  <c r="M713" i="6"/>
  <c r="P713" i="6" s="1"/>
  <c r="M918" i="6"/>
  <c r="P918" i="6" s="1"/>
  <c r="O918" i="6"/>
  <c r="O1346" i="6"/>
  <c r="M1346" i="6"/>
  <c r="P1346" i="6" s="1"/>
  <c r="O182" i="6"/>
  <c r="M182" i="6"/>
  <c r="P182" i="6" s="1"/>
  <c r="O246" i="6"/>
  <c r="M246" i="6"/>
  <c r="P246" i="6" s="1"/>
  <c r="O340" i="6"/>
  <c r="M340" i="6"/>
  <c r="P340" i="6" s="1"/>
  <c r="M1616" i="6"/>
  <c r="P1616" i="6" s="1"/>
  <c r="O22" i="6"/>
  <c r="O453" i="6"/>
  <c r="M453" i="6"/>
  <c r="P453" i="6" s="1"/>
  <c r="O1144" i="6"/>
  <c r="M1144" i="6"/>
  <c r="P1144" i="6" s="1"/>
  <c r="O500" i="6"/>
  <c r="M500" i="6"/>
  <c r="P500" i="6" s="1"/>
  <c r="O874" i="6"/>
  <c r="M874" i="6"/>
  <c r="P874" i="6" s="1"/>
  <c r="O1125" i="6"/>
  <c r="M1125" i="6"/>
  <c r="P1125" i="6" s="1"/>
  <c r="O1903" i="6"/>
  <c r="M1903" i="6"/>
  <c r="P1903" i="6" s="1"/>
  <c r="O204" i="6"/>
  <c r="M204" i="6"/>
  <c r="P204" i="6" s="1"/>
  <c r="O110" i="6"/>
  <c r="M110" i="6"/>
  <c r="P110" i="6" s="1"/>
  <c r="O282" i="6"/>
  <c r="M282" i="6"/>
  <c r="P282" i="6" s="1"/>
  <c r="O765" i="6"/>
  <c r="M765" i="6"/>
  <c r="P765" i="6" s="1"/>
  <c r="M986" i="6"/>
  <c r="P986" i="6" s="1"/>
  <c r="O986" i="6"/>
  <c r="O149" i="6"/>
  <c r="M149" i="6"/>
  <c r="P149" i="6" s="1"/>
  <c r="M299" i="6"/>
  <c r="P299" i="6" s="1"/>
  <c r="O299" i="6"/>
  <c r="O998" i="6"/>
  <c r="M998" i="6"/>
  <c r="P998" i="6" s="1"/>
  <c r="M1462" i="6"/>
  <c r="P1462" i="6" s="1"/>
  <c r="O1462" i="6"/>
  <c r="O183" i="6"/>
  <c r="M183" i="6"/>
  <c r="P183" i="6" s="1"/>
  <c r="O221" i="6"/>
  <c r="M221" i="6"/>
  <c r="P221" i="6" s="1"/>
  <c r="M361" i="6"/>
  <c r="P361" i="6" s="1"/>
  <c r="O361" i="6"/>
  <c r="M489" i="6"/>
  <c r="P489" i="6" s="1"/>
  <c r="O489" i="6"/>
  <c r="O936" i="6"/>
  <c r="M936" i="6"/>
  <c r="P936" i="6" s="1"/>
  <c r="M274" i="6"/>
  <c r="P274" i="6" s="1"/>
  <c r="O501" i="6"/>
  <c r="O1053" i="6"/>
  <c r="M1053" i="6"/>
  <c r="P1053" i="6" s="1"/>
  <c r="O1145" i="6"/>
  <c r="M1145" i="6"/>
  <c r="P1145" i="6" s="1"/>
  <c r="O1275" i="6"/>
  <c r="M1275" i="6"/>
  <c r="P1275" i="6" s="1"/>
  <c r="M1327" i="6"/>
  <c r="P1327" i="6" s="1"/>
  <c r="O1327" i="6"/>
  <c r="O1712" i="6"/>
  <c r="M1712" i="6"/>
  <c r="P1712" i="6" s="1"/>
  <c r="O1930" i="6"/>
  <c r="M1930" i="6"/>
  <c r="P1930" i="6" s="1"/>
  <c r="O74" i="6"/>
  <c r="M74" i="6"/>
  <c r="P74" i="6" s="1"/>
  <c r="O144" i="6"/>
  <c r="M144" i="6"/>
  <c r="P144" i="6" s="1"/>
  <c r="M772" i="6"/>
  <c r="P772" i="6" s="1"/>
  <c r="M1406" i="6"/>
  <c r="P1406" i="6" s="1"/>
  <c r="M158" i="6"/>
  <c r="P158" i="6" s="1"/>
  <c r="M589" i="6"/>
  <c r="P589" i="6" s="1"/>
  <c r="M483" i="6"/>
  <c r="P483" i="6" s="1"/>
  <c r="O963" i="6"/>
  <c r="O1399" i="6"/>
  <c r="M1399" i="6"/>
  <c r="P1399" i="6" s="1"/>
  <c r="O1495" i="6"/>
  <c r="M1495" i="6"/>
  <c r="P1495" i="6" s="1"/>
  <c r="O1562" i="6"/>
  <c r="M1562" i="6"/>
  <c r="P1562" i="6" s="1"/>
  <c r="O1679" i="6"/>
  <c r="M1679" i="6"/>
  <c r="P1679" i="6" s="1"/>
  <c r="O1750" i="6"/>
  <c r="M1750" i="6"/>
  <c r="P1750" i="6" s="1"/>
  <c r="O1815" i="6"/>
  <c r="M1815" i="6"/>
  <c r="P1815" i="6" s="1"/>
  <c r="M1949" i="6"/>
  <c r="P1949" i="6" s="1"/>
  <c r="O1949" i="6"/>
  <c r="M676" i="6"/>
  <c r="P676" i="6" s="1"/>
  <c r="M915" i="6"/>
  <c r="P915" i="6" s="1"/>
  <c r="O1059" i="6"/>
  <c r="M1059" i="6"/>
  <c r="P1059" i="6" s="1"/>
  <c r="O1160" i="6"/>
  <c r="M1160" i="6"/>
  <c r="P1160" i="6" s="1"/>
  <c r="O1283" i="6"/>
  <c r="M1283" i="6"/>
  <c r="P1283" i="6" s="1"/>
  <c r="O1350" i="6"/>
  <c r="M1350" i="6"/>
  <c r="P1350" i="6" s="1"/>
  <c r="O1441" i="6"/>
  <c r="M1441" i="6"/>
  <c r="P1441" i="6" s="1"/>
  <c r="O1476" i="6"/>
  <c r="M1476" i="6"/>
  <c r="P1476" i="6" s="1"/>
  <c r="M1544" i="6"/>
  <c r="P1544" i="6" s="1"/>
  <c r="O1544" i="6"/>
  <c r="O4" i="6"/>
  <c r="M4" i="6"/>
  <c r="P4" i="6" s="1"/>
  <c r="O137" i="6"/>
  <c r="M137" i="6"/>
  <c r="P137" i="6" s="1"/>
  <c r="O167" i="6"/>
  <c r="M167" i="6"/>
  <c r="P167" i="6" s="1"/>
  <c r="O791" i="6"/>
  <c r="M791" i="6"/>
  <c r="P791" i="6" s="1"/>
  <c r="O987" i="6"/>
  <c r="M987" i="6"/>
  <c r="P987" i="6" s="1"/>
  <c r="O1012" i="6"/>
  <c r="M1012" i="6"/>
  <c r="P1012" i="6" s="1"/>
  <c r="O1115" i="6"/>
  <c r="M1115" i="6"/>
  <c r="P1115" i="6" s="1"/>
  <c r="O1221" i="6"/>
  <c r="M1221" i="6"/>
  <c r="P1221" i="6" s="1"/>
  <c r="O1568" i="6"/>
  <c r="M1568" i="6"/>
  <c r="P1568" i="6" s="1"/>
  <c r="O1728" i="6"/>
  <c r="M1728" i="6"/>
  <c r="P1728" i="6" s="1"/>
  <c r="O1833" i="6"/>
  <c r="M1833" i="6"/>
  <c r="P1833" i="6" s="1"/>
  <c r="O1972" i="6"/>
  <c r="M1972" i="6"/>
  <c r="P1972" i="6" s="1"/>
  <c r="O45" i="6"/>
  <c r="M45" i="6"/>
  <c r="P45" i="6" s="1"/>
  <c r="O77" i="6"/>
  <c r="M77" i="6"/>
  <c r="P77" i="6" s="1"/>
  <c r="M150" i="6"/>
  <c r="P150" i="6" s="1"/>
  <c r="O150" i="6"/>
  <c r="O1048" i="6"/>
  <c r="M1048" i="6"/>
  <c r="P1048" i="6" s="1"/>
  <c r="O1082" i="6"/>
  <c r="M1082" i="6"/>
  <c r="P1082" i="6" s="1"/>
  <c r="O1127" i="6"/>
  <c r="M1127" i="6"/>
  <c r="P1127" i="6" s="1"/>
  <c r="O1161" i="6"/>
  <c r="M1161" i="6"/>
  <c r="P1161" i="6" s="1"/>
  <c r="O1274" i="6"/>
  <c r="M1274" i="6"/>
  <c r="P1274" i="6" s="1"/>
  <c r="O1294" i="6"/>
  <c r="M1294" i="6"/>
  <c r="P1294" i="6" s="1"/>
  <c r="O1407" i="6"/>
  <c r="M1407" i="6"/>
  <c r="P1407" i="6" s="1"/>
  <c r="O1493" i="6"/>
  <c r="M1493" i="6"/>
  <c r="P1493" i="6" s="1"/>
  <c r="O1553" i="6"/>
  <c r="M1553" i="6"/>
  <c r="P1553" i="6" s="1"/>
  <c r="O1636" i="6"/>
  <c r="M1636" i="6"/>
  <c r="P1636" i="6" s="1"/>
  <c r="O1710" i="6"/>
  <c r="M1710" i="6"/>
  <c r="P1710" i="6" s="1"/>
  <c r="M1783" i="6"/>
  <c r="P1783" i="6" s="1"/>
  <c r="O1783" i="6"/>
  <c r="O185" i="6"/>
  <c r="M185" i="6"/>
  <c r="P185" i="6" s="1"/>
  <c r="M196" i="6"/>
  <c r="P196" i="6" s="1"/>
  <c r="M511" i="6"/>
  <c r="P511" i="6" s="1"/>
  <c r="O714" i="6"/>
  <c r="O1317" i="6"/>
  <c r="M1317" i="6"/>
  <c r="P1317" i="6" s="1"/>
  <c r="O1359" i="6"/>
  <c r="M1359" i="6"/>
  <c r="P1359" i="6" s="1"/>
  <c r="M1452" i="6"/>
  <c r="P1452" i="6" s="1"/>
  <c r="O1452" i="6"/>
  <c r="O1854" i="6"/>
  <c r="M1854" i="6"/>
  <c r="P1854" i="6" s="1"/>
  <c r="O17" i="6"/>
  <c r="M17" i="6"/>
  <c r="P17" i="6" s="1"/>
  <c r="O78" i="6"/>
  <c r="M78" i="6"/>
  <c r="P78" i="6" s="1"/>
  <c r="M151" i="6"/>
  <c r="P151" i="6" s="1"/>
  <c r="O151" i="6"/>
  <c r="O212" i="6"/>
  <c r="M212" i="6"/>
  <c r="P212" i="6" s="1"/>
  <c r="O1494" i="6"/>
  <c r="M1494" i="6"/>
  <c r="P1494" i="6" s="1"/>
  <c r="O1592" i="6"/>
  <c r="M1592" i="6"/>
  <c r="P1592" i="6" s="1"/>
  <c r="O1711" i="6"/>
  <c r="M1711" i="6"/>
  <c r="P1711" i="6" s="1"/>
  <c r="O1790" i="6"/>
  <c r="M1790" i="6"/>
  <c r="P1790" i="6" s="1"/>
  <c r="O1943" i="6"/>
  <c r="M1943" i="6"/>
  <c r="P1943" i="6" s="1"/>
  <c r="O1522" i="6"/>
  <c r="M1522" i="6"/>
  <c r="P1522" i="6" s="1"/>
  <c r="M46" i="6"/>
  <c r="P46" i="6" s="1"/>
  <c r="O46" i="6"/>
  <c r="O766" i="6"/>
  <c r="M766" i="6"/>
  <c r="P766" i="6" s="1"/>
  <c r="O913" i="6"/>
  <c r="M913" i="6"/>
  <c r="P913" i="6" s="1"/>
  <c r="O991" i="6"/>
  <c r="M991" i="6"/>
  <c r="P991" i="6" s="1"/>
  <c r="O1114" i="6"/>
  <c r="M1114" i="6"/>
  <c r="P1114" i="6" s="1"/>
  <c r="O1210" i="6"/>
  <c r="M1210" i="6"/>
  <c r="P1210" i="6" s="1"/>
  <c r="O1311" i="6"/>
  <c r="M1311" i="6"/>
  <c r="P1311" i="6" s="1"/>
  <c r="O1382" i="6"/>
  <c r="M1382" i="6"/>
  <c r="P1382" i="6" s="1"/>
  <c r="O1463" i="6"/>
  <c r="M1463" i="6"/>
  <c r="P1463" i="6" s="1"/>
  <c r="O1519" i="6"/>
  <c r="M1519" i="6"/>
  <c r="P1519" i="6" s="1"/>
  <c r="O1554" i="6"/>
  <c r="M1554" i="6"/>
  <c r="P1554" i="6" s="1"/>
  <c r="M1678" i="6"/>
  <c r="P1678" i="6" s="1"/>
  <c r="O1678" i="6"/>
  <c r="O79" i="6"/>
  <c r="M79" i="6"/>
  <c r="P79" i="6" s="1"/>
  <c r="O153" i="6"/>
  <c r="M153" i="6"/>
  <c r="P153" i="6" s="1"/>
  <c r="M186" i="6"/>
  <c r="P186" i="6" s="1"/>
  <c r="O186" i="6"/>
  <c r="O223" i="6"/>
  <c r="M223" i="6"/>
  <c r="P223" i="6" s="1"/>
  <c r="O387" i="6"/>
  <c r="M387" i="6"/>
  <c r="P387" i="6" s="1"/>
  <c r="O440" i="6"/>
  <c r="M440" i="6"/>
  <c r="P440" i="6" s="1"/>
  <c r="O545" i="6"/>
  <c r="M545" i="6"/>
  <c r="P545" i="6" s="1"/>
  <c r="O575" i="6"/>
  <c r="M575" i="6"/>
  <c r="P575" i="6" s="1"/>
  <c r="O647" i="6"/>
  <c r="M647" i="6"/>
  <c r="P647" i="6" s="1"/>
  <c r="O1187" i="6"/>
  <c r="M1187" i="6"/>
  <c r="P1187" i="6" s="1"/>
  <c r="M1194" i="6"/>
  <c r="P1194" i="6" s="1"/>
  <c r="O1194" i="6"/>
  <c r="M1199" i="6"/>
  <c r="P1199" i="6" s="1"/>
  <c r="O1199" i="6"/>
  <c r="M1316" i="6"/>
  <c r="P1316" i="6" s="1"/>
  <c r="M1419" i="6"/>
  <c r="P1419" i="6" s="1"/>
  <c r="M1508" i="6"/>
  <c r="P1508" i="6" s="1"/>
  <c r="M1601" i="6"/>
  <c r="P1601" i="6" s="1"/>
  <c r="M1741" i="6"/>
  <c r="P1741" i="6" s="1"/>
  <c r="M1923" i="6"/>
  <c r="P1923" i="6" s="1"/>
  <c r="M40" i="6"/>
  <c r="P40" i="6" s="1"/>
  <c r="M143" i="6"/>
  <c r="P143" i="6" s="1"/>
  <c r="M206" i="6"/>
  <c r="P206" i="6" s="1"/>
  <c r="O267" i="6"/>
  <c r="M267" i="6"/>
  <c r="P267" i="6" s="1"/>
  <c r="O384" i="6"/>
  <c r="M390" i="6"/>
  <c r="P390" i="6" s="1"/>
  <c r="O390" i="6"/>
  <c r="O403" i="6"/>
  <c r="M403" i="6"/>
  <c r="P403" i="6" s="1"/>
  <c r="O413" i="6"/>
  <c r="M413" i="6"/>
  <c r="P413" i="6" s="1"/>
  <c r="O514" i="6"/>
  <c r="M514" i="6"/>
  <c r="P514" i="6" s="1"/>
  <c r="O518" i="6"/>
  <c r="M518" i="6"/>
  <c r="P518" i="6" s="1"/>
  <c r="O535" i="6"/>
  <c r="M535" i="6"/>
  <c r="P535" i="6" s="1"/>
  <c r="O548" i="6"/>
  <c r="M548" i="6"/>
  <c r="P548" i="6" s="1"/>
  <c r="O552" i="6"/>
  <c r="M552" i="6"/>
  <c r="P552" i="6" s="1"/>
  <c r="O555" i="6"/>
  <c r="M555" i="6"/>
  <c r="P555" i="6" s="1"/>
  <c r="O637" i="6"/>
  <c r="M637" i="6"/>
  <c r="P637" i="6" s="1"/>
  <c r="O641" i="6"/>
  <c r="M641" i="6"/>
  <c r="P641" i="6" s="1"/>
  <c r="O852" i="6"/>
  <c r="M852" i="6"/>
  <c r="P852" i="6" s="1"/>
  <c r="O964" i="6"/>
  <c r="M964" i="6"/>
  <c r="P964" i="6" s="1"/>
  <c r="O968" i="6"/>
  <c r="M968" i="6"/>
  <c r="P968" i="6" s="1"/>
  <c r="O973" i="6"/>
  <c r="M973" i="6"/>
  <c r="P973" i="6" s="1"/>
  <c r="O977" i="6"/>
  <c r="M977" i="6"/>
  <c r="P977" i="6" s="1"/>
  <c r="O1191" i="6"/>
  <c r="M1191" i="6"/>
  <c r="P1191" i="6" s="1"/>
  <c r="M382" i="6"/>
  <c r="P382" i="6" s="1"/>
  <c r="O382" i="6"/>
  <c r="O388" i="6"/>
  <c r="M388" i="6"/>
  <c r="P388" i="6" s="1"/>
  <c r="O395" i="6"/>
  <c r="M395" i="6"/>
  <c r="P395" i="6" s="1"/>
  <c r="O409" i="6"/>
  <c r="M409" i="6"/>
  <c r="P409" i="6" s="1"/>
  <c r="O521" i="6"/>
  <c r="M521" i="6"/>
  <c r="P521" i="6" s="1"/>
  <c r="O576" i="6"/>
  <c r="M576" i="6"/>
  <c r="P576" i="6" s="1"/>
  <c r="O644" i="6"/>
  <c r="M644" i="6"/>
  <c r="P644" i="6" s="1"/>
  <c r="O651" i="6"/>
  <c r="M651" i="6"/>
  <c r="P651" i="6" s="1"/>
  <c r="O795" i="6"/>
  <c r="M795" i="6"/>
  <c r="P795" i="6" s="1"/>
  <c r="M856" i="6"/>
  <c r="P856" i="6" s="1"/>
  <c r="O856" i="6"/>
  <c r="O1200" i="6"/>
  <c r="M1200" i="6"/>
  <c r="P1200" i="6" s="1"/>
  <c r="O268" i="6"/>
  <c r="M268" i="6"/>
  <c r="P268" i="6" s="1"/>
  <c r="O385" i="6"/>
  <c r="M385" i="6"/>
  <c r="P385" i="6" s="1"/>
  <c r="O417" i="6"/>
  <c r="M417" i="6"/>
  <c r="P417" i="6" s="1"/>
  <c r="O515" i="6"/>
  <c r="M515" i="6"/>
  <c r="P515" i="6" s="1"/>
  <c r="O536" i="6"/>
  <c r="M536" i="6"/>
  <c r="P536" i="6" s="1"/>
  <c r="O549" i="6"/>
  <c r="M549" i="6"/>
  <c r="P549" i="6" s="1"/>
  <c r="O553" i="6"/>
  <c r="M553" i="6"/>
  <c r="P553" i="6" s="1"/>
  <c r="O638" i="6"/>
  <c r="M638" i="6"/>
  <c r="P638" i="6" s="1"/>
  <c r="O853" i="6"/>
  <c r="M853" i="6"/>
  <c r="P853" i="6" s="1"/>
  <c r="O965" i="6"/>
  <c r="M965" i="6"/>
  <c r="P965" i="6" s="1"/>
  <c r="O974" i="6"/>
  <c r="M974" i="6"/>
  <c r="P974" i="6" s="1"/>
  <c r="O979" i="6"/>
  <c r="M979" i="6"/>
  <c r="P979" i="6" s="1"/>
  <c r="O1188" i="6"/>
  <c r="M1188" i="6"/>
  <c r="P1188" i="6" s="1"/>
  <c r="O1192" i="6"/>
  <c r="M1192" i="6"/>
  <c r="P1192" i="6" s="1"/>
  <c r="M225" i="6"/>
  <c r="P225" i="6" s="1"/>
  <c r="M391" i="6"/>
  <c r="P391" i="6" s="1"/>
  <c r="O407" i="6"/>
  <c r="M407" i="6"/>
  <c r="P407" i="6" s="1"/>
  <c r="O519" i="6"/>
  <c r="M519" i="6"/>
  <c r="P519" i="6" s="1"/>
  <c r="O560" i="6"/>
  <c r="M560" i="6"/>
  <c r="P560" i="6" s="1"/>
  <c r="O624" i="6"/>
  <c r="M624" i="6"/>
  <c r="P624" i="6" s="1"/>
  <c r="O633" i="6"/>
  <c r="M633" i="6"/>
  <c r="P633" i="6" s="1"/>
  <c r="O645" i="6"/>
  <c r="M645" i="6"/>
  <c r="P645" i="6" s="1"/>
  <c r="O667" i="6"/>
  <c r="M667" i="6"/>
  <c r="P667" i="6" s="1"/>
  <c r="O857" i="6"/>
  <c r="M857" i="6"/>
  <c r="P857" i="6" s="1"/>
  <c r="M971" i="6"/>
  <c r="P971" i="6" s="1"/>
  <c r="O971" i="6"/>
  <c r="O389" i="6"/>
  <c r="M389" i="6"/>
  <c r="P389" i="6" s="1"/>
  <c r="O397" i="6"/>
  <c r="M397" i="6"/>
  <c r="P397" i="6" s="1"/>
  <c r="O410" i="6"/>
  <c r="M410" i="6"/>
  <c r="P410" i="6" s="1"/>
  <c r="O431" i="6"/>
  <c r="M431" i="6"/>
  <c r="P431" i="6" s="1"/>
  <c r="O516" i="6"/>
  <c r="M516" i="6"/>
  <c r="P516" i="6" s="1"/>
  <c r="O522" i="6"/>
  <c r="M522" i="6"/>
  <c r="P522" i="6" s="1"/>
  <c r="O544" i="6"/>
  <c r="M544" i="6"/>
  <c r="P544" i="6" s="1"/>
  <c r="O550" i="6"/>
  <c r="M550" i="6"/>
  <c r="P550" i="6" s="1"/>
  <c r="O639" i="6"/>
  <c r="M639" i="6"/>
  <c r="P639" i="6" s="1"/>
  <c r="O796" i="6"/>
  <c r="M796" i="6"/>
  <c r="P796" i="6" s="1"/>
  <c r="O854" i="6"/>
  <c r="M854" i="6"/>
  <c r="P854" i="6" s="1"/>
  <c r="O966" i="6"/>
  <c r="M966" i="6"/>
  <c r="P966" i="6" s="1"/>
  <c r="O975" i="6"/>
  <c r="M975" i="6"/>
  <c r="P975" i="6" s="1"/>
  <c r="O1189" i="6"/>
  <c r="M1189" i="6"/>
  <c r="P1189" i="6" s="1"/>
  <c r="O1193" i="6"/>
  <c r="M1193" i="6"/>
  <c r="P1193" i="6" s="1"/>
  <c r="O1201" i="6"/>
  <c r="M1201" i="6"/>
  <c r="P1201" i="6" s="1"/>
  <c r="M193" i="6"/>
  <c r="P193" i="6" s="1"/>
  <c r="O211" i="6"/>
  <c r="O248" i="6"/>
  <c r="M248" i="6"/>
  <c r="P248" i="6" s="1"/>
  <c r="O365" i="6"/>
  <c r="M365" i="6"/>
  <c r="P365" i="6" s="1"/>
  <c r="O386" i="6"/>
  <c r="M386" i="6"/>
  <c r="P386" i="6" s="1"/>
  <c r="O444" i="6"/>
  <c r="M444" i="6"/>
  <c r="P444" i="6" s="1"/>
  <c r="O547" i="6"/>
  <c r="M547" i="6"/>
  <c r="P547" i="6" s="1"/>
  <c r="O561" i="6"/>
  <c r="M561" i="6"/>
  <c r="P561" i="6" s="1"/>
  <c r="O625" i="6"/>
  <c r="M625" i="6"/>
  <c r="P625" i="6" s="1"/>
  <c r="O646" i="6"/>
  <c r="M646" i="6"/>
  <c r="P646" i="6" s="1"/>
  <c r="O972" i="6"/>
  <c r="M972" i="6"/>
  <c r="P972" i="6" s="1"/>
  <c r="M1186" i="6"/>
  <c r="P1186" i="6" s="1"/>
  <c r="O1186" i="6"/>
  <c r="O402" i="6"/>
  <c r="M402" i="6"/>
  <c r="P402" i="6" s="1"/>
  <c r="O411" i="6"/>
  <c r="M411" i="6"/>
  <c r="P411" i="6" s="1"/>
  <c r="O517" i="6"/>
  <c r="M517" i="6"/>
  <c r="P517" i="6" s="1"/>
  <c r="O534" i="6"/>
  <c r="M534" i="6"/>
  <c r="P534" i="6" s="1"/>
  <c r="O551" i="6"/>
  <c r="M551" i="6"/>
  <c r="P551" i="6" s="1"/>
  <c r="O636" i="6"/>
  <c r="M636" i="6"/>
  <c r="P636" i="6" s="1"/>
  <c r="O640" i="6"/>
  <c r="M640" i="6"/>
  <c r="P640" i="6" s="1"/>
  <c r="O643" i="6"/>
  <c r="M643" i="6"/>
  <c r="P643" i="6" s="1"/>
  <c r="O797" i="6"/>
  <c r="M797" i="6"/>
  <c r="P797" i="6" s="1"/>
  <c r="O855" i="6"/>
  <c r="M855" i="6"/>
  <c r="P855" i="6" s="1"/>
  <c r="O907" i="6"/>
  <c r="M907" i="6"/>
  <c r="P907" i="6" s="1"/>
  <c r="O967" i="6"/>
  <c r="M967" i="6"/>
  <c r="P967" i="6" s="1"/>
  <c r="O976" i="6"/>
  <c r="M976" i="6"/>
  <c r="P976" i="6" s="1"/>
  <c r="O1190" i="6"/>
  <c r="M1190" i="6"/>
  <c r="P1190" i="6" s="1"/>
  <c r="O408" i="6"/>
  <c r="O443" i="6"/>
  <c r="O520" i="6"/>
  <c r="O546" i="6"/>
  <c r="O554" i="6"/>
  <c r="O626" i="6"/>
  <c r="O642" i="6"/>
  <c r="O719" i="6"/>
  <c r="O1197" i="6"/>
  <c r="M1203" i="6"/>
  <c r="P1203" i="6" s="1"/>
  <c r="O1226" i="6"/>
  <c r="M1226" i="6"/>
  <c r="P1226" i="6" s="1"/>
  <c r="O1229" i="6"/>
  <c r="M1229" i="6"/>
  <c r="P1229" i="6" s="1"/>
  <c r="O1248" i="6"/>
  <c r="M1248" i="6"/>
  <c r="P1248" i="6" s="1"/>
  <c r="M1336" i="6"/>
  <c r="P1336" i="6" s="1"/>
  <c r="O1336" i="6"/>
  <c r="O1910" i="6"/>
  <c r="M1910" i="6"/>
  <c r="P1910" i="6" s="1"/>
  <c r="O1950" i="6"/>
  <c r="M1950" i="6"/>
  <c r="P1950" i="6" s="1"/>
  <c r="O1525" i="6"/>
  <c r="M1525" i="6"/>
  <c r="P1525" i="6" s="1"/>
  <c r="O1529" i="6"/>
  <c r="M1529" i="6"/>
  <c r="P1529" i="6" s="1"/>
  <c r="O1604" i="6"/>
  <c r="M1604" i="6"/>
  <c r="P1604" i="6" s="1"/>
  <c r="O1624" i="6"/>
  <c r="M1624" i="6"/>
  <c r="P1624" i="6" s="1"/>
  <c r="O1715" i="6"/>
  <c r="M1715" i="6"/>
  <c r="P1715" i="6" s="1"/>
  <c r="M1719" i="6"/>
  <c r="P1719" i="6" s="1"/>
  <c r="O1719" i="6"/>
  <c r="O1817" i="6"/>
  <c r="M1817" i="6"/>
  <c r="P1817" i="6" s="1"/>
  <c r="O1878" i="6"/>
  <c r="M1878" i="6"/>
  <c r="P1878" i="6" s="1"/>
  <c r="O341" i="6"/>
  <c r="M341" i="6"/>
  <c r="P341" i="6" s="1"/>
  <c r="O502" i="6"/>
  <c r="M502" i="6"/>
  <c r="P502" i="6" s="1"/>
  <c r="O1422" i="6"/>
  <c r="M1422" i="6"/>
  <c r="P1422" i="6" s="1"/>
  <c r="M1523" i="6"/>
  <c r="P1523" i="6" s="1"/>
  <c r="O1523" i="6"/>
  <c r="O1424" i="6"/>
  <c r="M1424" i="6"/>
  <c r="P1424" i="6" s="1"/>
  <c r="O1499" i="6"/>
  <c r="M1499" i="6"/>
  <c r="P1499" i="6" s="1"/>
  <c r="O1534" i="6"/>
  <c r="M1534" i="6"/>
  <c r="P1534" i="6" s="1"/>
  <c r="O1580" i="6"/>
  <c r="M1580" i="6"/>
  <c r="P1580" i="6" s="1"/>
  <c r="O1664" i="6"/>
  <c r="M1664" i="6"/>
  <c r="P1664" i="6" s="1"/>
  <c r="O1683" i="6"/>
  <c r="M1683" i="6"/>
  <c r="P1683" i="6" s="1"/>
  <c r="O1755" i="6"/>
  <c r="M1755" i="6"/>
  <c r="P1755" i="6" s="1"/>
  <c r="M1759" i="6"/>
  <c r="P1759" i="6" s="1"/>
  <c r="O1759" i="6"/>
  <c r="O1882" i="6"/>
  <c r="M1882" i="6"/>
  <c r="P1882" i="6" s="1"/>
  <c r="O207" i="6"/>
  <c r="M207" i="6"/>
  <c r="P207" i="6" s="1"/>
  <c r="O590" i="6"/>
  <c r="M590" i="6"/>
  <c r="P590" i="6" s="1"/>
  <c r="M677" i="6"/>
  <c r="P677" i="6" s="1"/>
  <c r="O677" i="6"/>
  <c r="O1284" i="6"/>
  <c r="M1284" i="6"/>
  <c r="P1284" i="6" s="1"/>
  <c r="O1337" i="6"/>
  <c r="M1337" i="6"/>
  <c r="P1337" i="6" s="1"/>
  <c r="O1911" i="6"/>
  <c r="M1911" i="6"/>
  <c r="P1911" i="6" s="1"/>
  <c r="M1974" i="6"/>
  <c r="P1974" i="6" s="1"/>
  <c r="O1974" i="6"/>
  <c r="O1526" i="6"/>
  <c r="M1526" i="6"/>
  <c r="P1526" i="6" s="1"/>
  <c r="O1531" i="6"/>
  <c r="M1531" i="6"/>
  <c r="P1531" i="6" s="1"/>
  <c r="O1584" i="6"/>
  <c r="M1584" i="6"/>
  <c r="P1584" i="6" s="1"/>
  <c r="O1605" i="6"/>
  <c r="M1605" i="6"/>
  <c r="P1605" i="6" s="1"/>
  <c r="O1716" i="6"/>
  <c r="M1716" i="6"/>
  <c r="P1716" i="6" s="1"/>
  <c r="O1725" i="6"/>
  <c r="M1725" i="6"/>
  <c r="P1725" i="6" s="1"/>
  <c r="O1818" i="6"/>
  <c r="M1818" i="6"/>
  <c r="P1818" i="6" s="1"/>
  <c r="M1879" i="6"/>
  <c r="P1879" i="6" s="1"/>
  <c r="O1879" i="6"/>
  <c r="O362" i="6"/>
  <c r="M362" i="6"/>
  <c r="P362" i="6" s="1"/>
  <c r="O512" i="6"/>
  <c r="M512" i="6"/>
  <c r="P512" i="6" s="1"/>
  <c r="M809" i="6"/>
  <c r="P809" i="6" s="1"/>
  <c r="O809" i="6"/>
  <c r="O1198" i="6"/>
  <c r="M1198" i="6"/>
  <c r="P1198" i="6" s="1"/>
  <c r="O1227" i="6"/>
  <c r="M1227" i="6"/>
  <c r="P1227" i="6" s="1"/>
  <c r="O1423" i="6"/>
  <c r="M1423" i="6"/>
  <c r="P1423" i="6" s="1"/>
  <c r="O1530" i="6"/>
  <c r="M1530" i="6"/>
  <c r="P1530" i="6" s="1"/>
  <c r="O1453" i="6"/>
  <c r="M1453" i="6"/>
  <c r="P1453" i="6" s="1"/>
  <c r="M1500" i="6"/>
  <c r="P1500" i="6" s="1"/>
  <c r="O1500" i="6"/>
  <c r="O1535" i="6"/>
  <c r="M1535" i="6"/>
  <c r="P1535" i="6" s="1"/>
  <c r="O1581" i="6"/>
  <c r="M1581" i="6"/>
  <c r="P1581" i="6" s="1"/>
  <c r="O1625" i="6"/>
  <c r="M1625" i="6"/>
  <c r="P1625" i="6" s="1"/>
  <c r="O1680" i="6"/>
  <c r="M1680" i="6"/>
  <c r="P1680" i="6" s="1"/>
  <c r="O1756" i="6"/>
  <c r="M1756" i="6"/>
  <c r="P1756" i="6" s="1"/>
  <c r="O1786" i="6"/>
  <c r="M1786" i="6"/>
  <c r="P1786" i="6" s="1"/>
  <c r="O1913" i="6"/>
  <c r="M1913" i="6"/>
  <c r="P1913" i="6" s="1"/>
  <c r="M236" i="6"/>
  <c r="P236" i="6" s="1"/>
  <c r="O236" i="6"/>
  <c r="O607" i="6"/>
  <c r="M607" i="6"/>
  <c r="P607" i="6" s="1"/>
  <c r="O1287" i="6"/>
  <c r="M1287" i="6"/>
  <c r="P1287" i="6" s="1"/>
  <c r="O1912" i="6"/>
  <c r="M1912" i="6"/>
  <c r="P1912" i="6" s="1"/>
  <c r="O1975" i="6"/>
  <c r="M1975" i="6"/>
  <c r="P1975" i="6" s="1"/>
  <c r="O1527" i="6"/>
  <c r="M1527" i="6"/>
  <c r="P1527" i="6" s="1"/>
  <c r="M1532" i="6"/>
  <c r="P1532" i="6" s="1"/>
  <c r="O1532" i="6"/>
  <c r="O1585" i="6"/>
  <c r="M1585" i="6"/>
  <c r="P1585" i="6" s="1"/>
  <c r="O1606" i="6"/>
  <c r="M1606" i="6"/>
  <c r="P1606" i="6" s="1"/>
  <c r="O1713" i="6"/>
  <c r="M1713" i="6"/>
  <c r="P1713" i="6" s="1"/>
  <c r="O1717" i="6"/>
  <c r="M1717" i="6"/>
  <c r="P1717" i="6" s="1"/>
  <c r="O1819" i="6"/>
  <c r="M1819" i="6"/>
  <c r="P1819" i="6" s="1"/>
  <c r="O1880" i="6"/>
  <c r="M1880" i="6"/>
  <c r="P1880" i="6" s="1"/>
  <c r="O373" i="6"/>
  <c r="M373" i="6"/>
  <c r="P373" i="6" s="1"/>
  <c r="M573" i="6"/>
  <c r="P573" i="6" s="1"/>
  <c r="O573" i="6"/>
  <c r="O1013" i="6"/>
  <c r="M1013" i="6"/>
  <c r="P1013" i="6" s="1"/>
  <c r="M1228" i="6"/>
  <c r="P1228" i="6" s="1"/>
  <c r="O1228" i="6"/>
  <c r="O1343" i="6"/>
  <c r="M1343" i="6"/>
  <c r="P1343" i="6" s="1"/>
  <c r="O1496" i="6"/>
  <c r="M1496" i="6"/>
  <c r="P1496" i="6" s="1"/>
  <c r="O1456" i="6"/>
  <c r="M1456" i="6"/>
  <c r="P1456" i="6" s="1"/>
  <c r="O1524" i="6"/>
  <c r="M1524" i="6"/>
  <c r="P1524" i="6" s="1"/>
  <c r="O1569" i="6"/>
  <c r="M1569" i="6"/>
  <c r="P1569" i="6" s="1"/>
  <c r="M1582" i="6"/>
  <c r="P1582" i="6" s="1"/>
  <c r="O1582" i="6"/>
  <c r="O1658" i="6"/>
  <c r="M1658" i="6"/>
  <c r="P1658" i="6" s="1"/>
  <c r="O1681" i="6"/>
  <c r="M1681" i="6"/>
  <c r="P1681" i="6" s="1"/>
  <c r="O1730" i="6"/>
  <c r="M1730" i="6"/>
  <c r="P1730" i="6" s="1"/>
  <c r="O1757" i="6"/>
  <c r="M1757" i="6"/>
  <c r="P1757" i="6" s="1"/>
  <c r="O1914" i="6"/>
  <c r="M1914" i="6"/>
  <c r="P1914" i="6" s="1"/>
  <c r="O276" i="6"/>
  <c r="M276" i="6"/>
  <c r="P276" i="6" s="1"/>
  <c r="O841" i="6"/>
  <c r="M841" i="6"/>
  <c r="P841" i="6" s="1"/>
  <c r="O1383" i="6"/>
  <c r="M1383" i="6"/>
  <c r="P1383" i="6" s="1"/>
  <c r="M1195" i="6"/>
  <c r="P1195" i="6" s="1"/>
  <c r="O1232" i="6"/>
  <c r="M1232" i="6"/>
  <c r="P1232" i="6" s="1"/>
  <c r="O1335" i="6"/>
  <c r="M1335" i="6"/>
  <c r="P1335" i="6" s="1"/>
  <c r="O1602" i="6"/>
  <c r="M1602" i="6"/>
  <c r="P1602" i="6" s="1"/>
  <c r="O1945" i="6"/>
  <c r="M1945" i="6"/>
  <c r="P1945" i="6" s="1"/>
  <c r="O1528" i="6"/>
  <c r="M1528" i="6"/>
  <c r="P1528" i="6" s="1"/>
  <c r="O1533" i="6"/>
  <c r="M1533" i="6"/>
  <c r="P1533" i="6" s="1"/>
  <c r="O1603" i="6"/>
  <c r="M1603" i="6"/>
  <c r="P1603" i="6" s="1"/>
  <c r="M1607" i="6"/>
  <c r="P1607" i="6" s="1"/>
  <c r="O1607" i="6"/>
  <c r="O1714" i="6"/>
  <c r="M1714" i="6"/>
  <c r="P1714" i="6" s="1"/>
  <c r="O1718" i="6"/>
  <c r="M1718" i="6"/>
  <c r="P1718" i="6" s="1"/>
  <c r="O1816" i="6"/>
  <c r="M1816" i="6"/>
  <c r="P1816" i="6" s="1"/>
  <c r="O1871" i="6"/>
  <c r="M1871" i="6"/>
  <c r="P1871" i="6" s="1"/>
  <c r="O439" i="6"/>
  <c r="M439" i="6"/>
  <c r="P439" i="6" s="1"/>
  <c r="O584" i="6"/>
  <c r="M584" i="6"/>
  <c r="P584" i="6" s="1"/>
  <c r="M731" i="6"/>
  <c r="P731" i="6" s="1"/>
  <c r="O731" i="6"/>
  <c r="O1421" i="6"/>
  <c r="M1421" i="6"/>
  <c r="P1421" i="6" s="1"/>
  <c r="O1497" i="6"/>
  <c r="M1497" i="6"/>
  <c r="P1497" i="6" s="1"/>
  <c r="O1976" i="6"/>
  <c r="M1976" i="6"/>
  <c r="P1976" i="6" s="1"/>
  <c r="O1498" i="6"/>
  <c r="M1498" i="6"/>
  <c r="P1498" i="6" s="1"/>
  <c r="O1579" i="6"/>
  <c r="M1579" i="6"/>
  <c r="P1579" i="6" s="1"/>
  <c r="O1583" i="6"/>
  <c r="M1583" i="6"/>
  <c r="P1583" i="6" s="1"/>
  <c r="O1663" i="6"/>
  <c r="M1663" i="6"/>
  <c r="P1663" i="6" s="1"/>
  <c r="M1682" i="6"/>
  <c r="P1682" i="6" s="1"/>
  <c r="O1682" i="6"/>
  <c r="O1754" i="6"/>
  <c r="M1754" i="6"/>
  <c r="P1754" i="6" s="1"/>
  <c r="O1758" i="6"/>
  <c r="M1758" i="6"/>
  <c r="P1758" i="6" s="1"/>
  <c r="O1881" i="6"/>
  <c r="M1881" i="6"/>
  <c r="P1881" i="6" s="1"/>
  <c r="O171" i="6"/>
  <c r="M171" i="6"/>
  <c r="P171" i="6" s="1"/>
  <c r="O869" i="6"/>
  <c r="M869" i="6"/>
  <c r="P869" i="6" s="1"/>
  <c r="O992" i="6"/>
  <c r="M992" i="6"/>
  <c r="P992" i="6" s="1"/>
  <c r="O1117" i="6"/>
  <c r="M1117" i="6"/>
  <c r="P1117" i="6" s="1"/>
  <c r="O1477" i="6"/>
  <c r="M1477" i="6"/>
  <c r="P1477" i="6" s="1"/>
  <c r="O1563" i="6"/>
  <c r="M1563" i="6"/>
  <c r="P1563" i="6" s="1"/>
  <c r="O1784" i="6"/>
  <c r="M1784" i="6"/>
  <c r="P1784" i="6" s="1"/>
  <c r="M678" i="6"/>
  <c r="P678" i="6" s="1"/>
  <c r="O678" i="6"/>
  <c r="O1872" i="6"/>
  <c r="M1872" i="6"/>
  <c r="P1872" i="6" s="1"/>
  <c r="O103" i="6"/>
  <c r="M103" i="6"/>
  <c r="P103" i="6" s="1"/>
  <c r="O253" i="6"/>
  <c r="M253" i="6"/>
  <c r="P253" i="6" s="1"/>
  <c r="O456" i="6"/>
  <c r="M456" i="6"/>
  <c r="P456" i="6" s="1"/>
  <c r="O1937" i="6"/>
  <c r="M1937" i="6"/>
  <c r="P1937" i="6" s="1"/>
  <c r="O197" i="6"/>
  <c r="M197" i="6"/>
  <c r="P197" i="6" s="1"/>
  <c r="O940" i="6"/>
  <c r="M940" i="6"/>
  <c r="P940" i="6" s="1"/>
  <c r="M574" i="6"/>
  <c r="P574" i="6" s="1"/>
  <c r="O574" i="6"/>
  <c r="O939" i="6"/>
  <c r="M939" i="6"/>
  <c r="P939" i="6" s="1"/>
  <c r="O1257" i="6"/>
  <c r="O1318" i="6"/>
  <c r="M1318" i="6"/>
  <c r="P1318" i="6" s="1"/>
  <c r="O1720" i="6"/>
  <c r="M1720" i="6"/>
  <c r="P1720" i="6" s="1"/>
  <c r="O1723" i="6"/>
  <c r="M1723" i="6"/>
  <c r="P1723" i="6" s="1"/>
  <c r="O1855" i="6"/>
  <c r="M1855" i="6"/>
  <c r="P1855" i="6" s="1"/>
  <c r="O1931" i="6"/>
  <c r="M1931" i="6"/>
  <c r="P1931" i="6" s="1"/>
  <c r="M20" i="6"/>
  <c r="P20" i="6" s="1"/>
  <c r="O20" i="6"/>
  <c r="O56" i="6"/>
  <c r="M56" i="6"/>
  <c r="P56" i="6" s="1"/>
  <c r="O342" i="6"/>
  <c r="M342" i="6"/>
  <c r="P342" i="6" s="1"/>
  <c r="O416" i="6"/>
  <c r="M416" i="6"/>
  <c r="P416" i="6" s="1"/>
  <c r="O89" i="6"/>
  <c r="M89" i="6"/>
  <c r="P89" i="6" s="1"/>
  <c r="O119" i="6"/>
  <c r="M119" i="6"/>
  <c r="P119" i="6" s="1"/>
  <c r="O106" i="6"/>
  <c r="M106" i="6"/>
  <c r="P106" i="6" s="1"/>
  <c r="O130" i="6"/>
  <c r="M130" i="6"/>
  <c r="P130" i="6" s="1"/>
  <c r="O1128" i="6"/>
  <c r="M1128" i="6"/>
  <c r="P1128" i="6" s="1"/>
  <c r="O1211" i="6"/>
  <c r="M1211" i="6"/>
  <c r="P1211" i="6" s="1"/>
  <c r="O1545" i="6"/>
  <c r="M1545" i="6"/>
  <c r="P1545" i="6" s="1"/>
  <c r="O1620" i="6"/>
  <c r="M1620" i="6"/>
  <c r="P1620" i="6" s="1"/>
  <c r="O1791" i="6"/>
  <c r="M1791" i="6"/>
  <c r="P1791" i="6" s="1"/>
  <c r="O237" i="6"/>
  <c r="M237" i="6"/>
  <c r="P237" i="6" s="1"/>
  <c r="O694" i="6"/>
  <c r="M694" i="6"/>
  <c r="P694" i="6" s="1"/>
  <c r="M160" i="6"/>
  <c r="P160" i="6" s="1"/>
  <c r="O160" i="6"/>
  <c r="O277" i="6"/>
  <c r="M277" i="6"/>
  <c r="P277" i="6" s="1"/>
  <c r="O526" i="6"/>
  <c r="M526" i="6"/>
  <c r="P526" i="6" s="1"/>
  <c r="O14" i="6"/>
  <c r="M14" i="6"/>
  <c r="P14" i="6" s="1"/>
  <c r="O278" i="6"/>
  <c r="M278" i="6"/>
  <c r="P278" i="6" s="1"/>
  <c r="O15" i="6"/>
  <c r="M15" i="6"/>
  <c r="P15" i="6" s="1"/>
  <c r="O309" i="6"/>
  <c r="M309" i="6"/>
  <c r="P309" i="6" s="1"/>
  <c r="O609" i="6"/>
  <c r="M609" i="6"/>
  <c r="P609" i="6" s="1"/>
  <c r="O969" i="6"/>
  <c r="M969" i="6"/>
  <c r="P969" i="6" s="1"/>
  <c r="O1328" i="6"/>
  <c r="M1328" i="6"/>
  <c r="P1328" i="6" s="1"/>
  <c r="O1442" i="6"/>
  <c r="M1442" i="6"/>
  <c r="P1442" i="6" s="1"/>
  <c r="M1729" i="6"/>
  <c r="P1729" i="6" s="1"/>
  <c r="O1729" i="6"/>
  <c r="O1944" i="6"/>
  <c r="M1944" i="6"/>
  <c r="P1944" i="6" s="1"/>
  <c r="O578" i="6"/>
  <c r="M578" i="6"/>
  <c r="P578" i="6" s="1"/>
  <c r="O26" i="6"/>
  <c r="M26" i="6"/>
  <c r="P26" i="6" s="1"/>
  <c r="M344" i="6"/>
  <c r="P344" i="6" s="1"/>
  <c r="O344" i="6"/>
  <c r="O452" i="6"/>
  <c r="M452" i="6"/>
  <c r="P452" i="6" s="1"/>
  <c r="O104" i="6"/>
  <c r="M104" i="6"/>
  <c r="P104" i="6" s="1"/>
  <c r="O123" i="6"/>
  <c r="M123" i="6"/>
  <c r="P123" i="6" s="1"/>
  <c r="O107" i="6"/>
  <c r="M107" i="6"/>
  <c r="P107" i="6" s="1"/>
  <c r="O166" i="6"/>
  <c r="M166" i="6"/>
  <c r="P166" i="6" s="1"/>
  <c r="M715" i="6"/>
  <c r="P715" i="6" s="1"/>
  <c r="M767" i="6"/>
  <c r="P767" i="6" s="1"/>
  <c r="O1129" i="6"/>
  <c r="M1129" i="6"/>
  <c r="P1129" i="6" s="1"/>
  <c r="O1276" i="6"/>
  <c r="M1276" i="6"/>
  <c r="P1276" i="6" s="1"/>
  <c r="O1721" i="6"/>
  <c r="M1721" i="6"/>
  <c r="P1721" i="6" s="1"/>
  <c r="O1796" i="6"/>
  <c r="M1796" i="6"/>
  <c r="P1796" i="6" s="1"/>
  <c r="O1866" i="6"/>
  <c r="M1866" i="6"/>
  <c r="P1866" i="6" s="1"/>
  <c r="O252" i="6"/>
  <c r="M252" i="6"/>
  <c r="P252" i="6" s="1"/>
  <c r="O1334" i="6"/>
  <c r="M1334" i="6"/>
  <c r="P1334" i="6" s="1"/>
  <c r="O57" i="6"/>
  <c r="M57" i="6"/>
  <c r="P57" i="6" s="1"/>
  <c r="O165" i="6"/>
  <c r="M165" i="6"/>
  <c r="P165" i="6" s="1"/>
  <c r="M698" i="6"/>
  <c r="P698" i="6" s="1"/>
  <c r="O698" i="6"/>
  <c r="O44" i="6"/>
  <c r="M44" i="6"/>
  <c r="P44" i="6" s="1"/>
  <c r="O308" i="6"/>
  <c r="M308" i="6"/>
  <c r="P308" i="6" s="1"/>
  <c r="O59" i="6"/>
  <c r="M59" i="6"/>
  <c r="P59" i="6" s="1"/>
  <c r="O310" i="6"/>
  <c r="M310" i="6"/>
  <c r="P310" i="6" s="1"/>
  <c r="O367" i="6"/>
  <c r="M367" i="6"/>
  <c r="P367" i="6" s="1"/>
  <c r="M1230" i="6"/>
  <c r="P1230" i="6" s="1"/>
  <c r="O988" i="6"/>
  <c r="M988" i="6"/>
  <c r="P988" i="6" s="1"/>
  <c r="O1083" i="6"/>
  <c r="M1083" i="6"/>
  <c r="P1083" i="6" s="1"/>
  <c r="M1408" i="6"/>
  <c r="P1408" i="6" s="1"/>
  <c r="O1555" i="6"/>
  <c r="M1555" i="6"/>
  <c r="P1555" i="6" s="1"/>
  <c r="O1637" i="6"/>
  <c r="M1637" i="6"/>
  <c r="P1637" i="6" s="1"/>
  <c r="O1951" i="6"/>
  <c r="M1951" i="6"/>
  <c r="P1951" i="6" s="1"/>
  <c r="O18" i="6"/>
  <c r="M18" i="6"/>
  <c r="P18" i="6" s="1"/>
  <c r="O27" i="6"/>
  <c r="M27" i="6"/>
  <c r="P27" i="6" s="1"/>
  <c r="O290" i="6"/>
  <c r="M290" i="6"/>
  <c r="P290" i="6" s="1"/>
  <c r="O345" i="6"/>
  <c r="M345" i="6"/>
  <c r="P345" i="6" s="1"/>
  <c r="M105" i="6"/>
  <c r="P105" i="6" s="1"/>
  <c r="O105" i="6"/>
  <c r="O129" i="6"/>
  <c r="M129" i="6"/>
  <c r="P129" i="6" s="1"/>
  <c r="O112" i="6"/>
  <c r="M112" i="6"/>
  <c r="P112" i="6" s="1"/>
  <c r="O198" i="6"/>
  <c r="M198" i="6"/>
  <c r="P198" i="6" s="1"/>
  <c r="M914" i="6"/>
  <c r="P914" i="6" s="1"/>
  <c r="O938" i="6"/>
  <c r="M938" i="6"/>
  <c r="P938" i="6" s="1"/>
  <c r="O1360" i="6"/>
  <c r="M1360" i="6"/>
  <c r="P1360" i="6" s="1"/>
  <c r="O1465" i="6"/>
  <c r="M1465" i="6"/>
  <c r="P1465" i="6" s="1"/>
  <c r="O1722" i="6"/>
  <c r="M1722" i="6"/>
  <c r="P1722" i="6" s="1"/>
  <c r="O1742" i="6"/>
  <c r="M1742" i="6"/>
  <c r="P1742" i="6" s="1"/>
  <c r="M1893" i="6"/>
  <c r="P1893" i="6" s="1"/>
  <c r="O1893" i="6"/>
  <c r="O666" i="6"/>
  <c r="M666" i="6"/>
  <c r="P666" i="6" s="1"/>
  <c r="O1556" i="6"/>
  <c r="M1556" i="6"/>
  <c r="P1556" i="6" s="1"/>
  <c r="O102" i="6"/>
  <c r="M102" i="6"/>
  <c r="P102" i="6" s="1"/>
  <c r="O242" i="6"/>
  <c r="M242" i="6"/>
  <c r="P242" i="6" s="1"/>
  <c r="O455" i="6"/>
  <c r="M455" i="6"/>
  <c r="P455" i="6" s="1"/>
  <c r="O1690" i="6"/>
  <c r="M1690" i="6"/>
  <c r="P1690" i="6" s="1"/>
  <c r="M608" i="6"/>
  <c r="P608" i="6" s="1"/>
  <c r="O608" i="6"/>
  <c r="O60" i="6"/>
  <c r="M60" i="6"/>
  <c r="P60" i="6" s="1"/>
  <c r="O343" i="6"/>
  <c r="M343" i="6"/>
  <c r="P343" i="6" s="1"/>
  <c r="O941" i="6"/>
  <c r="M941" i="6"/>
  <c r="P941" i="6" s="1"/>
  <c r="M1049" i="6"/>
  <c r="P1049" i="6" s="1"/>
  <c r="O1162" i="6"/>
  <c r="M1162" i="6"/>
  <c r="P1162" i="6" s="1"/>
  <c r="O1285" i="6"/>
  <c r="M1285" i="6"/>
  <c r="P1285" i="6" s="1"/>
  <c r="O1617" i="6"/>
  <c r="O1656" i="6"/>
  <c r="M1656" i="6"/>
  <c r="P1656" i="6" s="1"/>
  <c r="O1820" i="6"/>
  <c r="M1820" i="6"/>
  <c r="P1820" i="6" s="1"/>
  <c r="O1973" i="6"/>
  <c r="M1973" i="6"/>
  <c r="P1973" i="6" s="1"/>
  <c r="O19" i="6"/>
  <c r="M19" i="6"/>
  <c r="P19" i="6" s="1"/>
  <c r="O28" i="6"/>
  <c r="M28" i="6"/>
  <c r="P28" i="6" s="1"/>
  <c r="O300" i="6"/>
  <c r="M300" i="6"/>
  <c r="P300" i="6" s="1"/>
  <c r="O363" i="6"/>
  <c r="M363" i="6"/>
  <c r="P363" i="6" s="1"/>
  <c r="O58" i="6"/>
  <c r="M58" i="6"/>
  <c r="P58" i="6" s="1"/>
  <c r="O111" i="6"/>
  <c r="M111" i="6"/>
  <c r="P111" i="6" s="1"/>
  <c r="M124" i="6"/>
  <c r="P124" i="6" s="1"/>
  <c r="O124" i="6"/>
  <c r="O279" i="6"/>
  <c r="M279" i="6"/>
  <c r="P279" i="6" s="1"/>
  <c r="K20" i="1"/>
  <c r="L20" i="1"/>
  <c r="M20" i="1"/>
  <c r="G20" i="1"/>
  <c r="H20" i="1" s="1"/>
  <c r="O3" i="6" l="1"/>
  <c r="N20" i="1"/>
  <c r="AR77" i="4" l="1" a="1"/>
  <c r="AR77" i="4" s="1"/>
  <c r="AR78" i="4" a="1"/>
  <c r="AR78" i="4" s="1"/>
  <c r="AR79" i="4" a="1"/>
  <c r="AR79" i="4" s="1"/>
  <c r="AR80" i="4" a="1"/>
  <c r="AR80" i="4" s="1"/>
  <c r="AR81" i="4" a="1"/>
  <c r="AR81" i="4" s="1"/>
  <c r="AR82" i="4" a="1"/>
  <c r="AR82" i="4" s="1"/>
  <c r="AR83" i="4" a="1"/>
  <c r="AR83" i="4" s="1"/>
  <c r="AR84" i="4" a="1"/>
  <c r="AR84" i="4" s="1"/>
  <c r="AR85" i="4" a="1"/>
  <c r="AR85" i="4" s="1"/>
  <c r="AR86" i="4" a="1"/>
  <c r="AR86" i="4" s="1"/>
  <c r="AR87" i="4" a="1"/>
  <c r="AR87" i="4" s="1"/>
  <c r="AR88" i="4" a="1"/>
  <c r="AR88" i="4" s="1"/>
  <c r="AR89" i="4" a="1"/>
  <c r="AR89" i="4" s="1"/>
  <c r="AR90" i="4" a="1"/>
  <c r="AR90" i="4" s="1"/>
  <c r="AR91" i="4" a="1"/>
  <c r="AR91" i="4" s="1"/>
  <c r="AR92" i="4" a="1"/>
  <c r="AR92" i="4" s="1"/>
  <c r="AR93" i="4" a="1"/>
  <c r="AR93" i="4" s="1"/>
  <c r="AR94" i="4" a="1"/>
  <c r="AR94" i="4" s="1"/>
  <c r="AR95" i="4" a="1"/>
  <c r="AR95" i="4" s="1"/>
  <c r="AR96" i="4" a="1"/>
  <c r="AR96" i="4" s="1"/>
  <c r="AR97" i="4" a="1"/>
  <c r="AR97" i="4" s="1"/>
  <c r="AR98" i="4" a="1"/>
  <c r="AR98" i="4" s="1"/>
  <c r="AR99" i="4" a="1"/>
  <c r="AR99" i="4" s="1"/>
  <c r="AR100" i="4" a="1"/>
  <c r="AR100" i="4" s="1"/>
  <c r="AR101" i="4" a="1"/>
  <c r="AR101" i="4" s="1"/>
  <c r="AR102" i="4" a="1"/>
  <c r="AR102" i="4" s="1"/>
  <c r="AR103" i="4" a="1"/>
  <c r="AR103" i="4" s="1"/>
  <c r="AR104" i="4" a="1"/>
  <c r="AR104" i="4" s="1"/>
  <c r="AR105" i="4" a="1"/>
  <c r="AR105" i="4" s="1"/>
  <c r="AR106" i="4" a="1"/>
  <c r="AR106" i="4" s="1"/>
  <c r="AR107" i="4" a="1"/>
  <c r="AR107" i="4" s="1"/>
  <c r="AR108" i="4" a="1"/>
  <c r="AR108" i="4" s="1"/>
  <c r="AR109" i="4" a="1"/>
  <c r="AR109" i="4" s="1"/>
  <c r="AR110" i="4" a="1"/>
  <c r="AR110" i="4" s="1"/>
  <c r="AR111" i="4" a="1"/>
  <c r="AR111" i="4" s="1"/>
  <c r="AR112" i="4" a="1"/>
  <c r="AR112" i="4" s="1"/>
  <c r="AR113" i="4" a="1"/>
  <c r="AR113" i="4" s="1"/>
  <c r="AR114" i="4" a="1"/>
  <c r="AR114" i="4" s="1"/>
  <c r="AR65" i="4" a="1"/>
  <c r="AR65" i="4" s="1"/>
  <c r="AR66" i="4" a="1"/>
  <c r="AR66" i="4" s="1"/>
  <c r="AR67" i="4" a="1"/>
  <c r="AR67" i="4" s="1"/>
  <c r="AR68" i="4" a="1"/>
  <c r="AR68" i="4" s="1"/>
  <c r="AR69" i="4" a="1"/>
  <c r="AR69" i="4" s="1"/>
  <c r="AR70" i="4" a="1"/>
  <c r="AR70" i="4" s="1"/>
  <c r="AR71" i="4" a="1"/>
  <c r="AR71" i="4" s="1"/>
  <c r="AR72" i="4" a="1"/>
  <c r="AR72" i="4" s="1"/>
  <c r="AR73" i="4" a="1"/>
  <c r="AR73" i="4" s="1"/>
  <c r="AR74" i="4" a="1"/>
  <c r="AR74" i="4" s="1"/>
  <c r="AR75" i="4" a="1"/>
  <c r="AR75" i="4" s="1"/>
  <c r="AR76" i="4" a="1"/>
  <c r="AR76" i="4" s="1"/>
  <c r="AR55" i="4" a="1"/>
  <c r="AR55" i="4" s="1"/>
  <c r="AR56" i="4" a="1"/>
  <c r="AR56" i="4" s="1"/>
  <c r="AR57" i="4" a="1"/>
  <c r="AR57" i="4" s="1"/>
  <c r="AR58" i="4" a="1"/>
  <c r="AR58" i="4" s="1"/>
  <c r="AR59" i="4" a="1"/>
  <c r="AR59" i="4" s="1"/>
  <c r="AR60" i="4" a="1"/>
  <c r="AR60" i="4" s="1"/>
  <c r="AR61" i="4" a="1"/>
  <c r="AR61" i="4" s="1"/>
  <c r="AR62" i="4" a="1"/>
  <c r="AR62" i="4" s="1"/>
  <c r="AR63" i="4" a="1"/>
  <c r="AR63" i="4" s="1"/>
  <c r="AR64" i="4" a="1"/>
  <c r="AR64" i="4" s="1"/>
  <c r="AR44" i="4" a="1"/>
  <c r="AR44" i="4" s="1"/>
  <c r="AR45" i="4" a="1"/>
  <c r="AR45" i="4" s="1"/>
  <c r="AR46" i="4" a="1"/>
  <c r="AR46" i="4" s="1"/>
  <c r="AR47" i="4" a="1"/>
  <c r="AR47" i="4" s="1"/>
  <c r="AR48" i="4" a="1"/>
  <c r="AR48" i="4" s="1"/>
  <c r="AR49" i="4" a="1"/>
  <c r="AR49" i="4" s="1"/>
  <c r="AR50" i="4" a="1"/>
  <c r="AR50" i="4" s="1"/>
  <c r="AR51" i="4" a="1"/>
  <c r="AR51" i="4" s="1"/>
  <c r="AR52" i="4" a="1"/>
  <c r="AR52" i="4" s="1"/>
  <c r="AR53" i="4" a="1"/>
  <c r="AR53" i="4" s="1"/>
  <c r="AR54" i="4" a="1"/>
  <c r="AR54" i="4" s="1"/>
  <c r="AR35" i="4" a="1"/>
  <c r="AR35" i="4" s="1"/>
  <c r="AR36" i="4" a="1"/>
  <c r="AR36" i="4" s="1"/>
  <c r="AR37" i="4" a="1"/>
  <c r="AR37" i="4" s="1"/>
  <c r="AR38" i="4" a="1"/>
  <c r="AR38" i="4" s="1"/>
  <c r="AR39" i="4" a="1"/>
  <c r="AR39" i="4" s="1"/>
  <c r="AR40" i="4" a="1"/>
  <c r="AR40" i="4" s="1"/>
  <c r="AR41" i="4" a="1"/>
  <c r="AR41" i="4" s="1"/>
  <c r="AR42" i="4" a="1"/>
  <c r="AR42" i="4" s="1"/>
  <c r="AR43" i="4" a="1"/>
  <c r="AR43" i="4" s="1"/>
  <c r="AR16" i="4" a="1"/>
  <c r="AR16" i="4" s="1"/>
  <c r="AR17" i="4" a="1"/>
  <c r="AR17" i="4" s="1"/>
  <c r="AR18" i="4" a="1"/>
  <c r="AR18" i="4" s="1"/>
  <c r="AR19" i="4" a="1"/>
  <c r="AR19" i="4" s="1"/>
  <c r="AR20" i="4" a="1"/>
  <c r="AR20" i="4" s="1"/>
  <c r="AR21" i="4" a="1"/>
  <c r="AR21" i="4" s="1"/>
  <c r="AR22" i="4" a="1"/>
  <c r="AR22" i="4" s="1"/>
  <c r="AR23" i="4" a="1"/>
  <c r="AR23" i="4" s="1"/>
  <c r="AR24" i="4" a="1"/>
  <c r="AR24" i="4" s="1"/>
  <c r="AR25" i="4" a="1"/>
  <c r="AR25" i="4" s="1"/>
  <c r="AR26" i="4" a="1"/>
  <c r="AR26" i="4" s="1"/>
  <c r="AR27" i="4" a="1"/>
  <c r="AR27" i="4" s="1"/>
  <c r="AR28" i="4" a="1"/>
  <c r="AR28" i="4" s="1"/>
  <c r="AR29" i="4" a="1"/>
  <c r="AR29" i="4" s="1"/>
  <c r="AR30" i="4" a="1"/>
  <c r="AR30" i="4" s="1"/>
  <c r="AR31" i="4" a="1"/>
  <c r="AR31" i="4" s="1"/>
  <c r="AR32" i="4" a="1"/>
  <c r="AR32" i="4" s="1"/>
  <c r="AR33" i="4" a="1"/>
  <c r="AR33" i="4" s="1"/>
  <c r="AR34" i="4" a="1"/>
  <c r="AR34" i="4" s="1"/>
  <c r="AR11" i="4" a="1"/>
  <c r="AR11" i="4" s="1"/>
  <c r="AR12" i="4" a="1"/>
  <c r="AR12" i="4" s="1"/>
  <c r="AR13" i="4" a="1"/>
  <c r="AR13" i="4" s="1"/>
  <c r="AR14" i="4" a="1"/>
  <c r="AR14" i="4" s="1"/>
  <c r="AR15" i="4" a="1"/>
  <c r="AR15" i="4" s="1"/>
  <c r="AU10" i="4" l="1" a="1"/>
  <c r="AU10" i="4" s="1"/>
  <c r="I19" i="1"/>
  <c r="K19" i="1"/>
  <c r="A45" i="1" s="1"/>
  <c r="F19" i="1"/>
  <c r="G19" i="1" s="1"/>
  <c r="H19" i="1" s="1"/>
  <c r="AN11" i="4" a="1"/>
  <c r="AN11" i="4" s="1"/>
  <c r="AN12" i="4" a="1"/>
  <c r="AN12" i="4" s="1"/>
  <c r="AN13" i="4" a="1"/>
  <c r="AN13" i="4" s="1"/>
  <c r="AN14" i="4" a="1"/>
  <c r="AN14" i="4" s="1"/>
  <c r="AN15" i="4" a="1"/>
  <c r="AN15" i="4" s="1"/>
  <c r="AN16" i="4" a="1"/>
  <c r="AN16" i="4" s="1"/>
  <c r="AN17" i="4" a="1"/>
  <c r="AN17" i="4" s="1"/>
  <c r="AN18" i="4" a="1"/>
  <c r="AN18" i="4" s="1"/>
  <c r="AN19" i="4" a="1"/>
  <c r="AN19" i="4" s="1"/>
  <c r="AN20" i="4" a="1"/>
  <c r="AN20" i="4" s="1"/>
  <c r="AN21" i="4" a="1"/>
  <c r="AN21" i="4" s="1"/>
  <c r="AN22" i="4" a="1"/>
  <c r="AN22" i="4" s="1"/>
  <c r="AN23" i="4" a="1"/>
  <c r="AN23" i="4" s="1"/>
  <c r="AN24" i="4" a="1"/>
  <c r="AN24" i="4" s="1"/>
  <c r="AN25" i="4" a="1"/>
  <c r="AN25" i="4" s="1"/>
  <c r="AN26" i="4" a="1"/>
  <c r="AN26" i="4" s="1"/>
  <c r="AN27" i="4" a="1"/>
  <c r="AN27" i="4" s="1"/>
  <c r="AN28" i="4" a="1"/>
  <c r="AN28" i="4" s="1"/>
  <c r="AN29" i="4" a="1"/>
  <c r="AN29" i="4" s="1"/>
  <c r="AN30" i="4" a="1"/>
  <c r="AN30" i="4" s="1"/>
  <c r="AN31" i="4" a="1"/>
  <c r="AN31" i="4" s="1"/>
  <c r="AN32" i="4" a="1"/>
  <c r="AN32" i="4" s="1"/>
  <c r="AN33" i="4" a="1"/>
  <c r="AN33" i="4" s="1"/>
  <c r="AN34" i="4" a="1"/>
  <c r="AN34" i="4" s="1"/>
  <c r="AN35" i="4" a="1"/>
  <c r="AN35" i="4" s="1"/>
  <c r="AN36" i="4" a="1"/>
  <c r="AN36" i="4" s="1"/>
  <c r="AN37" i="4" a="1"/>
  <c r="AN37" i="4" s="1"/>
  <c r="AN38" i="4" a="1"/>
  <c r="AN38" i="4" s="1"/>
  <c r="AN39" i="4" a="1"/>
  <c r="AN39" i="4" s="1"/>
  <c r="AN40" i="4" a="1"/>
  <c r="AN40" i="4" s="1"/>
  <c r="AN41" i="4" a="1"/>
  <c r="AN41" i="4" s="1"/>
  <c r="AN42" i="4" a="1"/>
  <c r="AN42" i="4" s="1"/>
  <c r="AN43" i="4" a="1"/>
  <c r="AN43" i="4" s="1"/>
  <c r="AN44" i="4" a="1"/>
  <c r="AN44" i="4" s="1"/>
  <c r="AN45" i="4" a="1"/>
  <c r="AN45" i="4" s="1"/>
  <c r="AN46" i="4" a="1"/>
  <c r="AN46" i="4" s="1"/>
  <c r="AN47" i="4" a="1"/>
  <c r="AN47" i="4" s="1"/>
  <c r="AN48" i="4" a="1"/>
  <c r="AN48" i="4" s="1"/>
  <c r="AN49" i="4" a="1"/>
  <c r="AN49" i="4" s="1"/>
  <c r="AN50" i="4" a="1"/>
  <c r="AN50" i="4" s="1"/>
  <c r="AN51" i="4" a="1"/>
  <c r="AN51" i="4" s="1"/>
  <c r="AN52" i="4" a="1"/>
  <c r="AN52" i="4" s="1"/>
  <c r="AN53" i="4" a="1"/>
  <c r="AN53" i="4" s="1"/>
  <c r="AN54" i="4" a="1"/>
  <c r="AN54" i="4" s="1"/>
  <c r="AN55" i="4" a="1"/>
  <c r="AN55" i="4" s="1"/>
  <c r="AN56" i="4" a="1"/>
  <c r="AN56" i="4" s="1"/>
  <c r="AN57" i="4" a="1"/>
  <c r="AN57" i="4" s="1"/>
  <c r="AN58" i="4" a="1"/>
  <c r="AN58" i="4" s="1"/>
  <c r="AN59" i="4" a="1"/>
  <c r="AN59" i="4" s="1"/>
  <c r="AN60" i="4" a="1"/>
  <c r="AN60" i="4" s="1"/>
  <c r="AN61" i="4" a="1"/>
  <c r="AN61" i="4" s="1"/>
  <c r="AN62" i="4" a="1"/>
  <c r="AN62" i="4" s="1"/>
  <c r="AN63" i="4" a="1"/>
  <c r="AN63" i="4" s="1"/>
  <c r="AN64" i="4" a="1"/>
  <c r="AN64" i="4" s="1"/>
  <c r="AN65" i="4" a="1"/>
  <c r="AN65" i="4" s="1"/>
  <c r="AN66" i="4" a="1"/>
  <c r="AN66" i="4" s="1"/>
  <c r="AN67" i="4" a="1"/>
  <c r="AN67" i="4" s="1"/>
  <c r="AN68" i="4" a="1"/>
  <c r="AN68" i="4" s="1"/>
  <c r="AN69" i="4" a="1"/>
  <c r="AN69" i="4" s="1"/>
  <c r="AN70" i="4" a="1"/>
  <c r="AN70" i="4" s="1"/>
  <c r="AN71" i="4" a="1"/>
  <c r="AN71" i="4" s="1"/>
  <c r="AN72" i="4" a="1"/>
  <c r="AN72" i="4" s="1"/>
  <c r="AN73" i="4" a="1"/>
  <c r="AN73" i="4" s="1"/>
  <c r="AN74" i="4" a="1"/>
  <c r="AN74" i="4" s="1"/>
  <c r="AN75" i="4" a="1"/>
  <c r="AN75" i="4" s="1"/>
  <c r="AN76" i="4" a="1"/>
  <c r="AN76" i="4" s="1"/>
  <c r="AN77" i="4" a="1"/>
  <c r="AN77" i="4" s="1"/>
  <c r="AN78" i="4" a="1"/>
  <c r="AN78" i="4" s="1"/>
  <c r="AN79" i="4" a="1"/>
  <c r="AN79" i="4" s="1"/>
  <c r="AN80" i="4" a="1"/>
  <c r="AN80" i="4" s="1"/>
  <c r="AN81" i="4" a="1"/>
  <c r="AN81" i="4" s="1"/>
  <c r="AN82" i="4" a="1"/>
  <c r="AN82" i="4" s="1"/>
  <c r="AN83" i="4" a="1"/>
  <c r="AN83" i="4" s="1"/>
  <c r="AN84" i="4" a="1"/>
  <c r="AN84" i="4" s="1"/>
  <c r="AN85" i="4" a="1"/>
  <c r="AN85" i="4" s="1"/>
  <c r="AN86" i="4" a="1"/>
  <c r="AN86" i="4" s="1"/>
  <c r="AN87" i="4" a="1"/>
  <c r="AN87" i="4" s="1"/>
  <c r="AN88" i="4" a="1"/>
  <c r="AN88" i="4" s="1"/>
  <c r="AN89" i="4" a="1"/>
  <c r="AN89" i="4" s="1"/>
  <c r="AN90" i="4" a="1"/>
  <c r="AN90" i="4" s="1"/>
  <c r="AN91" i="4" a="1"/>
  <c r="AN91" i="4" s="1"/>
  <c r="AN92" i="4" a="1"/>
  <c r="AN92" i="4" s="1"/>
  <c r="AN93" i="4" a="1"/>
  <c r="AN93" i="4" s="1"/>
  <c r="AN94" i="4" a="1"/>
  <c r="AN94" i="4" s="1"/>
  <c r="AN95" i="4" a="1"/>
  <c r="AN95" i="4" s="1"/>
  <c r="AN96" i="4" a="1"/>
  <c r="AN96" i="4" s="1"/>
  <c r="AN97" i="4" a="1"/>
  <c r="AN97" i="4" s="1"/>
  <c r="AN98" i="4" a="1"/>
  <c r="AN98" i="4" s="1"/>
  <c r="AN99" i="4" a="1"/>
  <c r="AN99" i="4" s="1"/>
  <c r="AN100" i="4" a="1"/>
  <c r="AN100" i="4" s="1"/>
  <c r="AN101" i="4" a="1"/>
  <c r="AN101" i="4" s="1"/>
  <c r="AN102" i="4" a="1"/>
  <c r="AN102" i="4" s="1"/>
  <c r="AN103" i="4" a="1"/>
  <c r="AN103" i="4" s="1"/>
  <c r="AN104" i="4" a="1"/>
  <c r="AN104" i="4" s="1"/>
  <c r="AN105" i="4" a="1"/>
  <c r="AN105" i="4" s="1"/>
  <c r="AN106" i="4" a="1"/>
  <c r="AN106" i="4" s="1"/>
  <c r="AN107" i="4" a="1"/>
  <c r="AN107" i="4" s="1"/>
  <c r="AN108" i="4" a="1"/>
  <c r="AN108" i="4" s="1"/>
  <c r="AN109" i="4" a="1"/>
  <c r="AN109" i="4" s="1"/>
  <c r="AN110" i="4" a="1"/>
  <c r="AN110" i="4" s="1"/>
  <c r="AN111" i="4" a="1"/>
  <c r="AN111" i="4" s="1"/>
  <c r="AN112" i="4" a="1"/>
  <c r="AN112" i="4" s="1"/>
  <c r="AN113" i="4" a="1"/>
  <c r="AN113" i="4" s="1"/>
  <c r="AN114" i="4" a="1"/>
  <c r="AN114" i="4" s="1"/>
  <c r="AN10" i="4" a="1"/>
  <c r="AN10" i="4" s="1"/>
  <c r="Y11" i="4" a="1"/>
  <c r="Y11" i="4" s="1"/>
  <c r="Y12" i="4" a="1"/>
  <c r="Y12" i="4" s="1"/>
  <c r="Y13" i="4" a="1"/>
  <c r="Y13" i="4" s="1"/>
  <c r="Y14" i="4" a="1"/>
  <c r="Y14" i="4" s="1"/>
  <c r="Y15" i="4" a="1"/>
  <c r="Y15" i="4" s="1"/>
  <c r="Y16" i="4" a="1"/>
  <c r="Y16" i="4" s="1"/>
  <c r="Y17" i="4" a="1"/>
  <c r="Y17" i="4" s="1"/>
  <c r="Y18" i="4" a="1"/>
  <c r="Y18" i="4" s="1"/>
  <c r="Y19" i="4" a="1"/>
  <c r="Y19" i="4" s="1"/>
  <c r="Y20" i="4" a="1"/>
  <c r="Y20" i="4" s="1"/>
  <c r="Y21" i="4" a="1"/>
  <c r="Y21" i="4" s="1"/>
  <c r="Y22" i="4" a="1"/>
  <c r="Y22" i="4" s="1"/>
  <c r="Y23" i="4" a="1"/>
  <c r="Y23" i="4" s="1"/>
  <c r="Y24" i="4" a="1"/>
  <c r="Y24" i="4" s="1"/>
  <c r="Y25" i="4" a="1"/>
  <c r="Y25" i="4" s="1"/>
  <c r="Y26" i="4" a="1"/>
  <c r="Y26" i="4" s="1"/>
  <c r="Y27" i="4" a="1"/>
  <c r="Y27" i="4" s="1"/>
  <c r="Y28" i="4" a="1"/>
  <c r="Y28" i="4" s="1"/>
  <c r="Y29" i="4" a="1"/>
  <c r="Y29" i="4" s="1"/>
  <c r="Y30" i="4" a="1"/>
  <c r="Y30" i="4" s="1"/>
  <c r="Y31" i="4" a="1"/>
  <c r="Y31" i="4" s="1"/>
  <c r="Y32" i="4" a="1"/>
  <c r="Y32" i="4" s="1"/>
  <c r="Y33" i="4" a="1"/>
  <c r="Y33" i="4" s="1"/>
  <c r="Y34" i="4" a="1"/>
  <c r="Y34" i="4" s="1"/>
  <c r="Y35" i="4" a="1"/>
  <c r="Y35" i="4" s="1"/>
  <c r="Y36" i="4" a="1"/>
  <c r="Y36" i="4" s="1"/>
  <c r="Y37" i="4" a="1"/>
  <c r="Y37" i="4" s="1"/>
  <c r="Y38" i="4" a="1"/>
  <c r="Y38" i="4" s="1"/>
  <c r="Y39" i="4" a="1"/>
  <c r="Y39" i="4" s="1"/>
  <c r="Y40" i="4" a="1"/>
  <c r="Y40" i="4" s="1"/>
  <c r="Y41" i="4" a="1"/>
  <c r="Y41" i="4" s="1"/>
  <c r="Y42" i="4" a="1"/>
  <c r="Y42" i="4" s="1"/>
  <c r="Y43" i="4" a="1"/>
  <c r="Y43" i="4" s="1"/>
  <c r="Y44" i="4" a="1"/>
  <c r="Y44" i="4" s="1"/>
  <c r="Y45" i="4" a="1"/>
  <c r="Y45" i="4" s="1"/>
  <c r="Y46" i="4" a="1"/>
  <c r="Y46" i="4" s="1"/>
  <c r="Y47" i="4" a="1"/>
  <c r="Y47" i="4" s="1"/>
  <c r="Y48" i="4" a="1"/>
  <c r="Y48" i="4" s="1"/>
  <c r="Y49" i="4" a="1"/>
  <c r="Y49" i="4" s="1"/>
  <c r="Y50" i="4" a="1"/>
  <c r="Y50" i="4" s="1"/>
  <c r="Y51" i="4" a="1"/>
  <c r="Y51" i="4" s="1"/>
  <c r="Y52" i="4" a="1"/>
  <c r="Y52" i="4" s="1"/>
  <c r="Y53" i="4" a="1"/>
  <c r="Y53" i="4" s="1"/>
  <c r="Y54" i="4" a="1"/>
  <c r="Y54" i="4" s="1"/>
  <c r="Y55" i="4" a="1"/>
  <c r="Y55" i="4" s="1"/>
  <c r="Y56" i="4" a="1"/>
  <c r="Y56" i="4" s="1"/>
  <c r="Y57" i="4" a="1"/>
  <c r="Y57" i="4" s="1"/>
  <c r="Y58" i="4" a="1"/>
  <c r="Y58" i="4" s="1"/>
  <c r="Y59" i="4" a="1"/>
  <c r="Y59" i="4" s="1"/>
  <c r="Y60" i="4" a="1"/>
  <c r="Y60" i="4" s="1"/>
  <c r="Y61" i="4" a="1"/>
  <c r="Y61" i="4" s="1"/>
  <c r="Y62" i="4" a="1"/>
  <c r="Y62" i="4" s="1"/>
  <c r="Y63" i="4" a="1"/>
  <c r="Y63" i="4" s="1"/>
  <c r="Y64" i="4" a="1"/>
  <c r="Y64" i="4" s="1"/>
  <c r="Y65" i="4" a="1"/>
  <c r="Y65" i="4" s="1"/>
  <c r="Y66" i="4" a="1"/>
  <c r="Y66" i="4" s="1"/>
  <c r="Y67" i="4" a="1"/>
  <c r="Y67" i="4" s="1"/>
  <c r="Y68" i="4" a="1"/>
  <c r="Y68" i="4" s="1"/>
  <c r="Y69" i="4" a="1"/>
  <c r="Y69" i="4" s="1"/>
  <c r="Y70" i="4" a="1"/>
  <c r="Y70" i="4" s="1"/>
  <c r="Y71" i="4" a="1"/>
  <c r="Y71" i="4" s="1"/>
  <c r="Y72" i="4" a="1"/>
  <c r="Y72" i="4" s="1"/>
  <c r="Y73" i="4" a="1"/>
  <c r="Y73" i="4" s="1"/>
  <c r="Y74" i="4" a="1"/>
  <c r="Y74" i="4" s="1"/>
  <c r="Y75" i="4" a="1"/>
  <c r="Y75" i="4" s="1"/>
  <c r="Y76" i="4" a="1"/>
  <c r="Y76" i="4" s="1"/>
  <c r="Y77" i="4" a="1"/>
  <c r="Y77" i="4" s="1"/>
  <c r="Y78" i="4" a="1"/>
  <c r="Y78" i="4" s="1"/>
  <c r="Y79" i="4" a="1"/>
  <c r="Y79" i="4" s="1"/>
  <c r="Y80" i="4" a="1"/>
  <c r="Y80" i="4" s="1"/>
  <c r="Y81" i="4" a="1"/>
  <c r="Y81" i="4" s="1"/>
  <c r="Y82" i="4" a="1"/>
  <c r="Y82" i="4" s="1"/>
  <c r="Y83" i="4" a="1"/>
  <c r="Y83" i="4" s="1"/>
  <c r="Y84" i="4" a="1"/>
  <c r="Y84" i="4" s="1"/>
  <c r="Y85" i="4" a="1"/>
  <c r="Y85" i="4" s="1"/>
  <c r="Y86" i="4" a="1"/>
  <c r="Y86" i="4" s="1"/>
  <c r="Y87" i="4" a="1"/>
  <c r="Y87" i="4" s="1"/>
  <c r="Y88" i="4" a="1"/>
  <c r="Y88" i="4" s="1"/>
  <c r="Y89" i="4" a="1"/>
  <c r="Y89" i="4" s="1"/>
  <c r="Y90" i="4" a="1"/>
  <c r="Y90" i="4" s="1"/>
  <c r="Y91" i="4" a="1"/>
  <c r="Y91" i="4" s="1"/>
  <c r="Y92" i="4" a="1"/>
  <c r="Y92" i="4" s="1"/>
  <c r="Y93" i="4" a="1"/>
  <c r="Y93" i="4" s="1"/>
  <c r="Y94" i="4" a="1"/>
  <c r="Y94" i="4" s="1"/>
  <c r="Y95" i="4" a="1"/>
  <c r="Y95" i="4" s="1"/>
  <c r="Y96" i="4" a="1"/>
  <c r="Y96" i="4" s="1"/>
  <c r="Y97" i="4" a="1"/>
  <c r="Y97" i="4" s="1"/>
  <c r="Y98" i="4" a="1"/>
  <c r="Y98" i="4" s="1"/>
  <c r="Y99" i="4" a="1"/>
  <c r="Y99" i="4" s="1"/>
  <c r="Y100" i="4" a="1"/>
  <c r="Y100" i="4" s="1"/>
  <c r="Y101" i="4" a="1"/>
  <c r="Y101" i="4" s="1"/>
  <c r="Y102" i="4" a="1"/>
  <c r="Y102" i="4" s="1"/>
  <c r="Y103" i="4" a="1"/>
  <c r="Y103" i="4" s="1"/>
  <c r="Y104" i="4" a="1"/>
  <c r="Y104" i="4" s="1"/>
  <c r="Y105" i="4" a="1"/>
  <c r="Y105" i="4" s="1"/>
  <c r="Y106" i="4" a="1"/>
  <c r="Y106" i="4" s="1"/>
  <c r="Y107" i="4" a="1"/>
  <c r="Y107" i="4" s="1"/>
  <c r="Y108" i="4" a="1"/>
  <c r="Y108" i="4" s="1"/>
  <c r="Y109" i="4" a="1"/>
  <c r="Y109" i="4" s="1"/>
  <c r="Y110" i="4" a="1"/>
  <c r="Y110" i="4" s="1"/>
  <c r="Y111" i="4" a="1"/>
  <c r="Y111" i="4" s="1"/>
  <c r="Y112" i="4" a="1"/>
  <c r="Y112" i="4" s="1"/>
  <c r="Y113" i="4" a="1"/>
  <c r="Y113" i="4" s="1"/>
  <c r="Y114" i="4" a="1"/>
  <c r="Y114" i="4" s="1"/>
  <c r="Y10" i="4" a="1"/>
  <c r="Y10" i="4" s="1"/>
  <c r="AJ11" i="4" a="1"/>
  <c r="AJ11" i="4" s="1"/>
  <c r="AJ12" i="4" a="1"/>
  <c r="AJ12" i="4" s="1"/>
  <c r="AJ13" i="4" a="1"/>
  <c r="AJ13" i="4" s="1"/>
  <c r="AJ14" i="4" a="1"/>
  <c r="AJ14" i="4" s="1"/>
  <c r="AJ15" i="4" a="1"/>
  <c r="AJ15" i="4" s="1"/>
  <c r="AJ16" i="4" a="1"/>
  <c r="AJ16" i="4" s="1"/>
  <c r="AJ17" i="4" a="1"/>
  <c r="AJ17" i="4" s="1"/>
  <c r="AJ18" i="4" a="1"/>
  <c r="AJ18" i="4" s="1"/>
  <c r="AJ19" i="4" a="1"/>
  <c r="AJ19" i="4" s="1"/>
  <c r="AJ20" i="4" a="1"/>
  <c r="AJ20" i="4" s="1"/>
  <c r="AJ21" i="4" a="1"/>
  <c r="AJ21" i="4" s="1"/>
  <c r="AJ22" i="4" a="1"/>
  <c r="AJ22" i="4" s="1"/>
  <c r="AJ23" i="4" a="1"/>
  <c r="AJ23" i="4" s="1"/>
  <c r="AJ24" i="4" a="1"/>
  <c r="AJ24" i="4" s="1"/>
  <c r="AJ25" i="4" a="1"/>
  <c r="AJ25" i="4" s="1"/>
  <c r="AJ26" i="4" a="1"/>
  <c r="AJ26" i="4" s="1"/>
  <c r="AJ27" i="4" a="1"/>
  <c r="AJ27" i="4" s="1"/>
  <c r="AJ28" i="4" a="1"/>
  <c r="AJ28" i="4" s="1"/>
  <c r="AJ29" i="4" a="1"/>
  <c r="AJ29" i="4" s="1"/>
  <c r="AJ30" i="4" a="1"/>
  <c r="AJ30" i="4" s="1"/>
  <c r="AJ31" i="4" a="1"/>
  <c r="AJ31" i="4" s="1"/>
  <c r="AJ32" i="4" a="1"/>
  <c r="AJ32" i="4" s="1"/>
  <c r="AJ33" i="4" a="1"/>
  <c r="AJ33" i="4" s="1"/>
  <c r="AJ34" i="4" a="1"/>
  <c r="AJ34" i="4" s="1"/>
  <c r="AJ35" i="4" a="1"/>
  <c r="AJ35" i="4" s="1"/>
  <c r="AJ36" i="4" a="1"/>
  <c r="AJ36" i="4" s="1"/>
  <c r="AJ37" i="4" a="1"/>
  <c r="AJ37" i="4" s="1"/>
  <c r="AJ38" i="4" a="1"/>
  <c r="AJ38" i="4" s="1"/>
  <c r="AJ39" i="4" a="1"/>
  <c r="AJ39" i="4" s="1"/>
  <c r="AJ40" i="4" a="1"/>
  <c r="AJ40" i="4" s="1"/>
  <c r="AJ41" i="4" a="1"/>
  <c r="AJ41" i="4" s="1"/>
  <c r="AJ42" i="4" a="1"/>
  <c r="AJ42" i="4" s="1"/>
  <c r="AJ43" i="4" a="1"/>
  <c r="AJ43" i="4" s="1"/>
  <c r="AJ44" i="4" a="1"/>
  <c r="AJ44" i="4" s="1"/>
  <c r="AJ45" i="4" a="1"/>
  <c r="AJ45" i="4" s="1"/>
  <c r="AJ46" i="4" a="1"/>
  <c r="AJ46" i="4" s="1"/>
  <c r="AJ47" i="4" a="1"/>
  <c r="AJ47" i="4" s="1"/>
  <c r="AJ48" i="4" a="1"/>
  <c r="AJ48" i="4" s="1"/>
  <c r="AJ49" i="4" a="1"/>
  <c r="AJ49" i="4" s="1"/>
  <c r="AJ50" i="4" a="1"/>
  <c r="AJ50" i="4" s="1"/>
  <c r="AJ51" i="4" a="1"/>
  <c r="AJ51" i="4" s="1"/>
  <c r="AJ52" i="4" a="1"/>
  <c r="AJ52" i="4" s="1"/>
  <c r="AJ53" i="4" a="1"/>
  <c r="AJ53" i="4" s="1"/>
  <c r="AJ54" i="4" a="1"/>
  <c r="AJ54" i="4" s="1"/>
  <c r="AJ55" i="4" a="1"/>
  <c r="AJ55" i="4" s="1"/>
  <c r="AJ56" i="4" a="1"/>
  <c r="AJ56" i="4" s="1"/>
  <c r="AJ57" i="4" a="1"/>
  <c r="AJ57" i="4" s="1"/>
  <c r="AJ58" i="4" a="1"/>
  <c r="AJ58" i="4" s="1"/>
  <c r="AJ59" i="4" a="1"/>
  <c r="AJ59" i="4" s="1"/>
  <c r="AJ60" i="4" a="1"/>
  <c r="AJ60" i="4" s="1"/>
  <c r="AJ61" i="4" a="1"/>
  <c r="AJ61" i="4" s="1"/>
  <c r="AJ62" i="4" a="1"/>
  <c r="AJ62" i="4" s="1"/>
  <c r="AJ63" i="4" a="1"/>
  <c r="AJ63" i="4" s="1"/>
  <c r="AJ64" i="4" a="1"/>
  <c r="AJ64" i="4" s="1"/>
  <c r="AJ65" i="4" a="1"/>
  <c r="AJ65" i="4" s="1"/>
  <c r="AJ66" i="4" a="1"/>
  <c r="AJ66" i="4" s="1"/>
  <c r="AJ67" i="4" a="1"/>
  <c r="AJ67" i="4" s="1"/>
  <c r="AJ68" i="4" a="1"/>
  <c r="AJ68" i="4" s="1"/>
  <c r="AJ69" i="4" a="1"/>
  <c r="AJ69" i="4" s="1"/>
  <c r="AJ70" i="4" a="1"/>
  <c r="AJ70" i="4" s="1"/>
  <c r="AJ71" i="4" a="1"/>
  <c r="AJ71" i="4" s="1"/>
  <c r="AJ72" i="4" a="1"/>
  <c r="AJ72" i="4" s="1"/>
  <c r="AJ73" i="4" a="1"/>
  <c r="AJ73" i="4" s="1"/>
  <c r="AJ74" i="4" a="1"/>
  <c r="AJ74" i="4" s="1"/>
  <c r="AJ75" i="4" a="1"/>
  <c r="AJ75" i="4" s="1"/>
  <c r="AJ76" i="4" a="1"/>
  <c r="AJ76" i="4" s="1"/>
  <c r="AJ10" i="4" a="1"/>
  <c r="AJ10" i="4" s="1"/>
  <c r="Q114" i="4"/>
  <c r="N114" i="4"/>
  <c r="M114" i="4"/>
  <c r="Q113" i="4"/>
  <c r="N113" i="4"/>
  <c r="M113" i="4"/>
  <c r="Q112" i="4"/>
  <c r="N112" i="4"/>
  <c r="M112" i="4"/>
  <c r="Q111" i="4"/>
  <c r="N111" i="4"/>
  <c r="M111" i="4"/>
  <c r="Q110" i="4"/>
  <c r="N110" i="4"/>
  <c r="M110" i="4"/>
  <c r="Q104" i="4"/>
  <c r="N104" i="4"/>
  <c r="M104" i="4"/>
  <c r="Q103" i="4"/>
  <c r="N103" i="4"/>
  <c r="M103" i="4"/>
  <c r="Q102" i="4"/>
  <c r="N102" i="4"/>
  <c r="M102" i="4"/>
  <c r="Q101" i="4"/>
  <c r="N101" i="4"/>
  <c r="M101" i="4"/>
  <c r="Q100" i="4"/>
  <c r="N100" i="4"/>
  <c r="M100" i="4"/>
  <c r="Q99" i="4"/>
  <c r="N99" i="4"/>
  <c r="M99" i="4"/>
  <c r="Q98" i="4"/>
  <c r="N98" i="4"/>
  <c r="M98" i="4"/>
  <c r="Q97" i="4"/>
  <c r="N97" i="4"/>
  <c r="M97" i="4"/>
  <c r="Q96" i="4"/>
  <c r="N96" i="4"/>
  <c r="M96" i="4"/>
  <c r="Q91" i="4"/>
  <c r="N91" i="4"/>
  <c r="M91" i="4"/>
  <c r="Q90" i="4"/>
  <c r="N90" i="4"/>
  <c r="M90" i="4"/>
  <c r="Q86" i="4"/>
  <c r="Q83" i="4"/>
  <c r="Q80" i="4"/>
  <c r="Q77" i="4"/>
  <c r="Q76" i="4"/>
  <c r="Q75" i="4"/>
  <c r="Q72" i="4"/>
  <c r="Q69" i="4"/>
  <c r="O66" i="4"/>
  <c r="P66" i="4" s="1"/>
  <c r="N66" i="4"/>
  <c r="M66" i="4"/>
  <c r="Q65" i="4"/>
  <c r="Q62" i="4"/>
  <c r="Q61" i="4"/>
  <c r="Q60" i="4"/>
  <c r="Q59" i="4"/>
  <c r="Q58" i="4"/>
  <c r="Q57" i="4"/>
  <c r="Q56" i="4"/>
  <c r="Q55" i="4"/>
  <c r="Q54" i="4"/>
  <c r="Q53" i="4"/>
  <c r="Q52" i="4"/>
  <c r="Q51" i="4"/>
  <c r="Q50" i="4"/>
  <c r="Q49" i="4"/>
  <c r="Q48" i="4"/>
  <c r="Q47" i="4"/>
  <c r="Q46" i="4"/>
  <c r="Q45" i="4"/>
  <c r="Q44" i="4"/>
  <c r="Q43" i="4"/>
  <c r="Q42" i="4"/>
  <c r="Q41" i="4"/>
  <c r="Q40" i="4"/>
  <c r="O38" i="4"/>
  <c r="Q36" i="4"/>
  <c r="Q35" i="4"/>
  <c r="Q34" i="4"/>
  <c r="Q33" i="4"/>
  <c r="Q32" i="4"/>
  <c r="Q31" i="4"/>
  <c r="Q30" i="4"/>
  <c r="Q27" i="4"/>
  <c r="Q24" i="4"/>
  <c r="Q23" i="4"/>
  <c r="Q20" i="4"/>
  <c r="Q19" i="4"/>
  <c r="Q18" i="4"/>
  <c r="Q15" i="4"/>
  <c r="Q14" i="4"/>
  <c r="Q13" i="4"/>
  <c r="Q12" i="4"/>
  <c r="Q11" i="4"/>
  <c r="V10" i="4" a="1"/>
  <c r="V10" i="4" s="1"/>
  <c r="S10" i="4" a="1"/>
  <c r="S10" i="4" s="1"/>
  <c r="Q10" i="4"/>
  <c r="N7" i="4"/>
  <c r="N83" i="4" s="1"/>
  <c r="M7" i="4"/>
  <c r="M76" i="4" s="1"/>
  <c r="M40" i="1" l="1"/>
  <c r="AO10" i="4" a="1"/>
  <c r="AO10" i="4" s="1"/>
  <c r="AK10" i="4" a="1"/>
  <c r="AK10" i="4" s="1"/>
  <c r="O112" i="4"/>
  <c r="P112" i="4" s="1"/>
  <c r="O113" i="4"/>
  <c r="P113" i="4" s="1"/>
  <c r="M19" i="4"/>
  <c r="N19" i="4"/>
  <c r="M30" i="4"/>
  <c r="N76" i="4"/>
  <c r="O76" i="4" s="1"/>
  <c r="P76" i="4" s="1"/>
  <c r="N18" i="4"/>
  <c r="O110" i="4"/>
  <c r="P110" i="4" s="1"/>
  <c r="O104" i="4"/>
  <c r="P104" i="4" s="1"/>
  <c r="O90" i="4"/>
  <c r="P90" i="4" s="1"/>
  <c r="O99" i="4"/>
  <c r="P99" i="4" s="1"/>
  <c r="O100" i="4"/>
  <c r="P100" i="4" s="1"/>
  <c r="O98" i="4"/>
  <c r="P98" i="4" s="1"/>
  <c r="N14" i="4"/>
  <c r="M20" i="4"/>
  <c r="N57" i="4"/>
  <c r="O91" i="4"/>
  <c r="P91" i="4" s="1"/>
  <c r="O103" i="4"/>
  <c r="P103" i="4" s="1"/>
  <c r="O111" i="4"/>
  <c r="P111" i="4" s="1"/>
  <c r="M11" i="4"/>
  <c r="O101" i="4"/>
  <c r="P101" i="4" s="1"/>
  <c r="O114" i="4"/>
  <c r="P114" i="4" s="1"/>
  <c r="M40" i="4"/>
  <c r="O102" i="4"/>
  <c r="P102" i="4" s="1"/>
  <c r="M14" i="4"/>
  <c r="N27" i="4"/>
  <c r="N49" i="4"/>
  <c r="M56" i="4"/>
  <c r="O97" i="4"/>
  <c r="P97" i="4" s="1"/>
  <c r="M15" i="4"/>
  <c r="N31" i="4"/>
  <c r="M10" i="4"/>
  <c r="M13" i="4"/>
  <c r="N15" i="4"/>
  <c r="N10" i="4"/>
  <c r="N13" i="4"/>
  <c r="M18" i="4"/>
  <c r="N41" i="4"/>
  <c r="M48" i="4"/>
  <c r="O96" i="4"/>
  <c r="P96" i="4" s="1"/>
  <c r="S11" i="4" a="1"/>
  <c r="S11" i="4" s="1"/>
  <c r="S12" i="4" s="1" a="1"/>
  <c r="S12" i="4" s="1"/>
  <c r="V11" i="4" a="1"/>
  <c r="V11" i="4" s="1"/>
  <c r="V12" i="4" s="1" a="1"/>
  <c r="V12" i="4" s="1"/>
  <c r="N30" i="4"/>
  <c r="N40" i="4"/>
  <c r="M47" i="4"/>
  <c r="N48" i="4"/>
  <c r="M55" i="4"/>
  <c r="N56" i="4"/>
  <c r="M80" i="4"/>
  <c r="M36" i="4"/>
  <c r="M46" i="4"/>
  <c r="N47" i="4"/>
  <c r="M54" i="4"/>
  <c r="N55" i="4"/>
  <c r="M62" i="4"/>
  <c r="M75" i="4"/>
  <c r="N80" i="4"/>
  <c r="M35" i="4"/>
  <c r="N36" i="4"/>
  <c r="M45" i="4"/>
  <c r="N46" i="4"/>
  <c r="M53" i="4"/>
  <c r="N54" i="4"/>
  <c r="M61" i="4"/>
  <c r="N62" i="4"/>
  <c r="N75" i="4"/>
  <c r="M86" i="4"/>
  <c r="M34" i="4"/>
  <c r="N35" i="4"/>
  <c r="M44" i="4"/>
  <c r="N45" i="4"/>
  <c r="M52" i="4"/>
  <c r="N53" i="4"/>
  <c r="M60" i="4"/>
  <c r="N61" i="4"/>
  <c r="M77" i="4"/>
  <c r="N86" i="4"/>
  <c r="N20" i="4"/>
  <c r="M23" i="4"/>
  <c r="M33" i="4"/>
  <c r="N34" i="4"/>
  <c r="M43" i="4"/>
  <c r="N44" i="4"/>
  <c r="M51" i="4"/>
  <c r="N52" i="4"/>
  <c r="M59" i="4"/>
  <c r="N60" i="4"/>
  <c r="M65" i="4"/>
  <c r="M72" i="4"/>
  <c r="N77" i="4"/>
  <c r="N11" i="4"/>
  <c r="M12" i="4"/>
  <c r="N23" i="4"/>
  <c r="M24" i="4"/>
  <c r="M32" i="4"/>
  <c r="N33" i="4"/>
  <c r="M42" i="4"/>
  <c r="N43" i="4"/>
  <c r="M50" i="4"/>
  <c r="N51" i="4"/>
  <c r="M58" i="4"/>
  <c r="N59" i="4"/>
  <c r="N65" i="4"/>
  <c r="M69" i="4"/>
  <c r="N72" i="4"/>
  <c r="M83" i="4"/>
  <c r="O83" i="4" s="1"/>
  <c r="P83" i="4" s="1"/>
  <c r="N12" i="4"/>
  <c r="N24" i="4"/>
  <c r="M27" i="4"/>
  <c r="M31" i="4"/>
  <c r="N32" i="4"/>
  <c r="M41" i="4"/>
  <c r="N42" i="4"/>
  <c r="M49" i="4"/>
  <c r="N50" i="4"/>
  <c r="M57" i="4"/>
  <c r="N58" i="4"/>
  <c r="N69" i="4"/>
  <c r="M2" i="6" l="1"/>
  <c r="P2" i="6" s="1"/>
  <c r="O49" i="4"/>
  <c r="P49" i="4" s="1"/>
  <c r="L19" i="1"/>
  <c r="B45" i="1" s="1"/>
  <c r="O56" i="4"/>
  <c r="P56" i="4" s="1"/>
  <c r="O62" i="4"/>
  <c r="P62" i="4" s="1"/>
  <c r="M19" i="1"/>
  <c r="O19" i="4"/>
  <c r="P19" i="4" s="1"/>
  <c r="O18" i="4"/>
  <c r="P18" i="4" s="1"/>
  <c r="O30" i="4"/>
  <c r="P30" i="4" s="1"/>
  <c r="O41" i="4"/>
  <c r="P41" i="4" s="1"/>
  <c r="O55" i="4"/>
  <c r="P55" i="4" s="1"/>
  <c r="O13" i="4"/>
  <c r="P13" i="4" s="1"/>
  <c r="O15" i="4"/>
  <c r="P15" i="4" s="1"/>
  <c r="O27" i="4"/>
  <c r="P27" i="4" s="1"/>
  <c r="O57" i="4"/>
  <c r="P57" i="4" s="1"/>
  <c r="O12" i="4"/>
  <c r="P12" i="4" s="1"/>
  <c r="O40" i="4"/>
  <c r="P40" i="4" s="1"/>
  <c r="O31" i="4"/>
  <c r="P31" i="4" s="1"/>
  <c r="O11" i="4"/>
  <c r="P11" i="4" s="1"/>
  <c r="O61" i="4"/>
  <c r="P61" i="4" s="1"/>
  <c r="O43" i="4"/>
  <c r="P43" i="4" s="1"/>
  <c r="O10" i="4"/>
  <c r="P10" i="4" s="1"/>
  <c r="O24" i="4"/>
  <c r="P24" i="4" s="1"/>
  <c r="O20" i="4"/>
  <c r="P20" i="4" s="1"/>
  <c r="O44" i="4"/>
  <c r="P44" i="4" s="1"/>
  <c r="O48" i="4"/>
  <c r="P48" i="4" s="1"/>
  <c r="O14" i="4"/>
  <c r="P14" i="4" s="1"/>
  <c r="O47" i="4"/>
  <c r="P47" i="4" s="1"/>
  <c r="O77" i="4"/>
  <c r="P77" i="4" s="1"/>
  <c r="O34" i="4"/>
  <c r="P34" i="4" s="1"/>
  <c r="O75" i="4"/>
  <c r="P75" i="4" s="1"/>
  <c r="O23" i="4"/>
  <c r="P23" i="4" s="1"/>
  <c r="O53" i="4"/>
  <c r="P53" i="4" s="1"/>
  <c r="O58" i="4"/>
  <c r="P58" i="4" s="1"/>
  <c r="O54" i="4"/>
  <c r="P54" i="4" s="1"/>
  <c r="V13" i="4" a="1"/>
  <c r="V13" i="4" s="1"/>
  <c r="V14" i="4" s="1" a="1"/>
  <c r="V14" i="4" s="1"/>
  <c r="O50" i="4"/>
  <c r="P50" i="4" s="1"/>
  <c r="O86" i="4"/>
  <c r="P86" i="4" s="1"/>
  <c r="S13" i="4" a="1"/>
  <c r="S13" i="4" s="1"/>
  <c r="S14" i="4" s="1" a="1"/>
  <c r="S14" i="4" s="1"/>
  <c r="O46" i="4"/>
  <c r="P46" i="4" s="1"/>
  <c r="O60" i="4"/>
  <c r="P60" i="4" s="1"/>
  <c r="O35" i="4"/>
  <c r="P35" i="4" s="1"/>
  <c r="O36" i="4"/>
  <c r="P36" i="4" s="1"/>
  <c r="O42" i="4"/>
  <c r="P42" i="4" s="1"/>
  <c r="O72" i="4"/>
  <c r="P72" i="4" s="1"/>
  <c r="O80" i="4"/>
  <c r="P80" i="4" s="1"/>
  <c r="O32" i="4"/>
  <c r="P32" i="4" s="1"/>
  <c r="O51" i="4"/>
  <c r="P51" i="4" s="1"/>
  <c r="O45" i="4"/>
  <c r="P45" i="4" s="1"/>
  <c r="O69" i="4"/>
  <c r="P69" i="4" s="1"/>
  <c r="O65" i="4"/>
  <c r="P65" i="4" s="1"/>
  <c r="O33" i="4"/>
  <c r="P33" i="4" s="1"/>
  <c r="O52" i="4"/>
  <c r="P52" i="4" s="1"/>
  <c r="O59" i="4"/>
  <c r="P59" i="4" s="1"/>
  <c r="O2" i="6" l="1"/>
  <c r="N19" i="1"/>
  <c r="D45" i="1" s="1"/>
  <c r="C45" i="1"/>
  <c r="D41" i="1"/>
  <c r="F41" i="1" s="1"/>
  <c r="V15" i="4" a="1"/>
  <c r="V15" i="4" s="1"/>
  <c r="V16" i="4" s="1" a="1"/>
  <c r="V16" i="4" s="1"/>
  <c r="S15" i="4" a="1"/>
  <c r="S15" i="4" s="1"/>
  <c r="S16" i="4" s="1" a="1"/>
  <c r="S16" i="4" s="1"/>
  <c r="D40" i="1" l="1"/>
  <c r="F40" i="1" s="1"/>
  <c r="H45" i="1"/>
  <c r="M45" i="1" s="1"/>
  <c r="V17" i="4" a="1"/>
  <c r="V17" i="4" s="1"/>
  <c r="V18" i="4" s="1" a="1"/>
  <c r="V18" i="4" s="1"/>
  <c r="S17" i="4" a="1"/>
  <c r="S17" i="4" s="1"/>
  <c r="S18" i="4" s="1" a="1"/>
  <c r="S18" i="4" s="1"/>
  <c r="V19" i="4" l="1" a="1"/>
  <c r="V19" i="4" s="1"/>
  <c r="V20" i="4" s="1" a="1"/>
  <c r="V20" i="4" s="1"/>
  <c r="S19" i="4" a="1"/>
  <c r="S19" i="4" s="1"/>
  <c r="V21" i="4" l="1" a="1"/>
  <c r="V21" i="4" s="1"/>
  <c r="V22" i="4" s="1" a="1"/>
  <c r="V22" i="4" s="1"/>
  <c r="V23" i="4" s="1" a="1"/>
  <c r="V23" i="4" s="1"/>
  <c r="V24" i="4" s="1" a="1"/>
  <c r="V24" i="4" s="1"/>
  <c r="V25" i="4" s="1" a="1"/>
  <c r="V25" i="4" s="1"/>
  <c r="V26" i="4" s="1" a="1"/>
  <c r="V26" i="4" s="1"/>
  <c r="V27" i="4" s="1" a="1"/>
  <c r="V27" i="4" s="1"/>
  <c r="V28" i="4" s="1" a="1"/>
  <c r="V28" i="4" s="1"/>
  <c r="V29" i="4" s="1" a="1"/>
  <c r="V29" i="4" s="1"/>
  <c r="S20" i="4" a="1"/>
  <c r="S20" i="4" s="1"/>
  <c r="S21" i="4" s="1" a="1"/>
  <c r="S21" i="4" s="1"/>
  <c r="S22" i="4" s="1" a="1"/>
  <c r="S22" i="4" s="1"/>
  <c r="S23" i="4" s="1" a="1"/>
  <c r="S23" i="4" s="1"/>
  <c r="S24" i="4" s="1" a="1"/>
  <c r="S24" i="4" s="1"/>
  <c r="S25" i="4" s="1" a="1"/>
  <c r="S25" i="4" s="1"/>
  <c r="S26" i="4" s="1" a="1"/>
  <c r="S26" i="4" s="1"/>
  <c r="S27" i="4" s="1" a="1"/>
  <c r="S27" i="4" s="1"/>
  <c r="S28" i="4" s="1" a="1"/>
  <c r="S28" i="4" s="1"/>
  <c r="S29" i="4" s="1" a="1"/>
  <c r="S29" i="4" s="1"/>
  <c r="S30" i="4" s="1" a="1"/>
  <c r="S30" i="4" s="1"/>
  <c r="S31" i="4" s="1" a="1"/>
  <c r="S31" i="4" s="1"/>
  <c r="S32" i="4" s="1" a="1"/>
  <c r="S32" i="4" s="1"/>
  <c r="S33" i="4" s="1" a="1"/>
  <c r="S33" i="4" s="1"/>
  <c r="S34" i="4" s="1" a="1"/>
  <c r="S34" i="4" s="1"/>
  <c r="S35" i="4" s="1" a="1"/>
  <c r="S35" i="4" s="1"/>
  <c r="S36" i="4" s="1" a="1"/>
  <c r="S36" i="4" s="1"/>
  <c r="S37" i="4" s="1" a="1"/>
  <c r="S37" i="4" s="1"/>
  <c r="S38" i="4" s="1" a="1"/>
  <c r="S38" i="4" s="1"/>
  <c r="S39" i="4" s="1" a="1"/>
  <c r="S39" i="4" s="1"/>
  <c r="S40" i="4" s="1" a="1"/>
  <c r="S40" i="4" s="1"/>
  <c r="S41" i="4" s="1" a="1"/>
  <c r="S41" i="4" s="1"/>
  <c r="S42" i="4" s="1" a="1"/>
  <c r="S42" i="4" s="1"/>
  <c r="S43" i="4" s="1" a="1"/>
  <c r="S43" i="4" s="1"/>
  <c r="S44" i="4" s="1" a="1"/>
  <c r="S44" i="4" s="1"/>
  <c r="S45" i="4" s="1" a="1"/>
  <c r="S45" i="4" s="1"/>
  <c r="S46" i="4" s="1" a="1"/>
  <c r="S46" i="4" s="1"/>
  <c r="S47" i="4" s="1" a="1"/>
  <c r="S47" i="4" s="1"/>
  <c r="S48" i="4" s="1" a="1"/>
  <c r="S48" i="4" s="1"/>
  <c r="S49" i="4" s="1" a="1"/>
  <c r="S49" i="4" s="1"/>
  <c r="S50" i="4" s="1" a="1"/>
  <c r="S50" i="4" s="1"/>
  <c r="S51" i="4" s="1" a="1"/>
  <c r="S51" i="4" s="1"/>
  <c r="S52" i="4" s="1" a="1"/>
  <c r="S52" i="4" s="1"/>
  <c r="S53" i="4" s="1" a="1"/>
  <c r="S53" i="4" s="1"/>
  <c r="S54" i="4" s="1" a="1"/>
  <c r="S54" i="4" s="1"/>
  <c r="S55" i="4" s="1" a="1"/>
  <c r="S55" i="4" s="1"/>
  <c r="S56" i="4" s="1" a="1"/>
  <c r="S56" i="4" s="1"/>
  <c r="S57" i="4" s="1" a="1"/>
  <c r="S57" i="4" s="1"/>
  <c r="S58" i="4" s="1" a="1"/>
  <c r="S58" i="4" s="1"/>
  <c r="S59" i="4" s="1" a="1"/>
  <c r="S59" i="4" s="1"/>
  <c r="S60" i="4" s="1" a="1"/>
  <c r="S60" i="4" s="1"/>
  <c r="S61" i="4" s="1" a="1"/>
  <c r="S61" i="4" s="1"/>
  <c r="S62" i="4" s="1" a="1"/>
  <c r="S62" i="4" s="1"/>
  <c r="S63" i="4" s="1" a="1"/>
  <c r="S63" i="4" s="1"/>
  <c r="S64" i="4" s="1" a="1"/>
  <c r="S64" i="4" s="1"/>
  <c r="S65" i="4" s="1" a="1"/>
  <c r="S65" i="4" s="1"/>
  <c r="S66" i="4" s="1" a="1"/>
  <c r="S66" i="4" s="1"/>
  <c r="S67" i="4" s="1" a="1"/>
  <c r="S67" i="4" s="1"/>
  <c r="S68" i="4" s="1" a="1"/>
  <c r="S68" i="4" s="1"/>
  <c r="S69" i="4" s="1" a="1"/>
  <c r="S69" i="4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tc={A3D684CC-ED7D-4709-99BA-B0A09913B1B5}</author>
  </authors>
  <commentList>
    <comment ref="Q62" authorId="0" shapeId="0" xr:uid="{00000000-0006-0000-0100-000001000000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Formule intéressante!!!
Réponse :
    Adopté dans 1st time pour JGR ITEM "IT"
Réponse :
    IDEM pour cell TTC à gauche</t>
      </text>
    </comment>
  </commentList>
</comments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<sst xmlns="http://schemas.openxmlformats.org/spreadsheetml/2006/main" count="12134" uniqueCount="1392">
  <si>
    <t>TARIFS</t>
  </si>
  <si>
    <t>GROS</t>
  </si>
  <si>
    <t>EAN</t>
  </si>
  <si>
    <t>DESIGNATION</t>
  </si>
  <si>
    <t>CL</t>
  </si>
  <si>
    <t>D°</t>
  </si>
  <si>
    <t>NB</t>
  </si>
  <si>
    <t>PRIX ACQUITES</t>
  </si>
  <si>
    <t>Droits</t>
  </si>
  <si>
    <t>Vign</t>
  </si>
  <si>
    <t>TOTAL HT</t>
  </si>
  <si>
    <t>TOTAL TTC</t>
  </si>
  <si>
    <t>TVA</t>
  </si>
  <si>
    <t>CHR</t>
  </si>
  <si>
    <t>GMS</t>
  </si>
  <si>
    <t>Jägermeister</t>
  </si>
  <si>
    <t>Sambuca Molinari</t>
  </si>
  <si>
    <t>Sambuca Molinari Extra</t>
  </si>
  <si>
    <t xml:space="preserve">Sambuca Molinari Caffé </t>
  </si>
  <si>
    <t>Limoncello Di Capri</t>
  </si>
  <si>
    <t xml:space="preserve">Limoncello di Capri </t>
  </si>
  <si>
    <t>Danziger Goldwasser</t>
  </si>
  <si>
    <t xml:space="preserve">Danzinger Goldwasser </t>
  </si>
  <si>
    <t>Rhum Santiago</t>
  </si>
  <si>
    <t>Santiago de Cuba, Carta Blanca</t>
  </si>
  <si>
    <t>Santiago de Cuba Anejo</t>
  </si>
  <si>
    <t>Santiago de Cuba, 12 ans</t>
  </si>
  <si>
    <t>Santiago de Cuba, 20 ans</t>
  </si>
  <si>
    <t>Santiago de Cuba, 25 ans</t>
  </si>
  <si>
    <t>Cognac Meukow</t>
  </si>
  <si>
    <t>Meukow Vanilla</t>
  </si>
  <si>
    <t>Meukow Xpresso</t>
  </si>
  <si>
    <t xml:space="preserve">Meukow VS </t>
  </si>
  <si>
    <t>Meukow 90' boite métal</t>
  </si>
  <si>
    <t>Meukow VSOP</t>
  </si>
  <si>
    <t>Félin Arima sans étui</t>
  </si>
  <si>
    <t>Meukow XO Boite Métal</t>
  </si>
  <si>
    <t>Meukow XO Etui</t>
  </si>
  <si>
    <t>Meukow XO Grde Champagne Etui</t>
  </si>
  <si>
    <t>Meukow Extra Coffret</t>
  </si>
  <si>
    <t>Meukow Cognac Flavouring regular</t>
  </si>
  <si>
    <t>Meukow Cognac Flavouring xo</t>
  </si>
  <si>
    <t>Seve Feu de Joie</t>
  </si>
  <si>
    <t>Gin Ferdinand's</t>
  </si>
  <si>
    <t>Saar Dry Gin Ferdinand's</t>
  </si>
  <si>
    <t>Gin Sul</t>
  </si>
  <si>
    <t>Gin Blossom</t>
  </si>
  <si>
    <t>Gran Reserva</t>
  </si>
  <si>
    <t xml:space="preserve">London Dry Gin </t>
  </si>
  <si>
    <t>Peach</t>
  </si>
  <si>
    <t>Mezcal San Cosme</t>
  </si>
  <si>
    <t>Mezcal Nuestra Sol</t>
  </si>
  <si>
    <t>Mezcal Nuestra Soledad</t>
  </si>
  <si>
    <t>Vodka Imperial</t>
  </si>
  <si>
    <t>Vodka Imperial Gold</t>
  </si>
  <si>
    <t>Vermouth Guérin</t>
  </si>
  <si>
    <t>Guerin Blanc</t>
  </si>
  <si>
    <t>Gerin Rouge</t>
  </si>
  <si>
    <t>Thomas Henry</t>
  </si>
  <si>
    <t>Tonic Water</t>
  </si>
  <si>
    <t>Ginger Ale</t>
  </si>
  <si>
    <t>Soda Water</t>
  </si>
  <si>
    <t>Bitter Lemon</t>
  </si>
  <si>
    <t>Cherry Blossom</t>
  </si>
  <si>
    <t>Spicy Ginger Beer</t>
  </si>
  <si>
    <t>Elderflower</t>
  </si>
  <si>
    <t>Mate Mate</t>
  </si>
  <si>
    <t>Jägermeister Bar Items</t>
  </si>
  <si>
    <t>NB BT</t>
  </si>
  <si>
    <t>TAP MACHINE JÄGERMEISTER</t>
  </si>
  <si>
    <t>IT</t>
  </si>
  <si>
    <t>TAP MACHINE JÄGERMEISTER 1 bll</t>
  </si>
  <si>
    <t>SHOT GLASSES FREEZER JAGERMEIS</t>
  </si>
  <si>
    <t>TAP MACHINE JÄGER SPEED POURER</t>
  </si>
  <si>
    <t>FREEZER JÄGERMEISTER</t>
  </si>
  <si>
    <t>Code</t>
  </si>
  <si>
    <t xml:space="preserve"> </t>
  </si>
  <si>
    <t>Cols</t>
  </si>
  <si>
    <t>Désignation</t>
  </si>
  <si>
    <t>HL</t>
  </si>
  <si>
    <t>L</t>
  </si>
  <si>
    <t>PU</t>
  </si>
  <si>
    <t>Total</t>
  </si>
  <si>
    <t>HT</t>
  </si>
  <si>
    <t>Volume</t>
  </si>
  <si>
    <t>JGR-Jägermeister distributeur miniatures</t>
  </si>
  <si>
    <t>TRF</t>
  </si>
  <si>
    <t>Vign.(s)</t>
  </si>
  <si>
    <t>Deg°</t>
  </si>
  <si>
    <t>JGR-Jägermeister</t>
  </si>
  <si>
    <t>JGR-Jägermeister Scharf</t>
  </si>
  <si>
    <t>TH-Tonic Water</t>
  </si>
  <si>
    <t>TH-Ginger Ale</t>
  </si>
  <si>
    <t>TH-Soda Water</t>
  </si>
  <si>
    <t>TH-Bitter Lemon</t>
  </si>
  <si>
    <t>TH-Cherry Blossom</t>
  </si>
  <si>
    <t>TH-Spicy Ginger Beer</t>
  </si>
  <si>
    <t>TH-Elderflower</t>
  </si>
  <si>
    <t>TH-Mate Mate</t>
  </si>
  <si>
    <t>Taux/TVA</t>
  </si>
  <si>
    <t>Montant exonéré</t>
  </si>
  <si>
    <t>Base H.T.</t>
  </si>
  <si>
    <t>VERM-Guerin Blanc</t>
  </si>
  <si>
    <t>VERM-Gerin Rouge</t>
  </si>
  <si>
    <t>VODK-Imperial collection Gold</t>
  </si>
  <si>
    <t>MEZC-Nuestra Soledad</t>
  </si>
  <si>
    <t>MEZC-San Cosme</t>
  </si>
  <si>
    <t>GIN-Blossom Gran Reserva</t>
  </si>
  <si>
    <t xml:space="preserve">GIN-Blossom London Dry Gin </t>
  </si>
  <si>
    <t>GIN-Blossom Peach</t>
  </si>
  <si>
    <t>GIN-Dry Gin Sul</t>
  </si>
  <si>
    <t>GIN-Saar Dry Gin Ferdinand's</t>
  </si>
  <si>
    <t>LIQU-Seve Feu de Joie</t>
  </si>
  <si>
    <t xml:space="preserve">COGN-Meukow VS </t>
  </si>
  <si>
    <t>COGN-Meukow VS coffret 2 verres</t>
  </si>
  <si>
    <t>COGN-Meukow 90'</t>
  </si>
  <si>
    <t>COGN-Meukow 90' boite métal</t>
  </si>
  <si>
    <t>COGN-Meukow VSOP</t>
  </si>
  <si>
    <t>COGN-Meukow VSOP  boite métal</t>
  </si>
  <si>
    <t>COGN-Meukow VSOP coffret 2 verres</t>
  </si>
  <si>
    <t>COGN-Meukow Arima</t>
  </si>
  <si>
    <t>COGN-Meukow XO Boite Métal</t>
  </si>
  <si>
    <t>COGN-Meukow Icône Etui</t>
  </si>
  <si>
    <t>COGN-Meukow XO Etui</t>
  </si>
  <si>
    <t>COGN-Meukow XO Grde Champagne Etui</t>
  </si>
  <si>
    <t>COGN-Meukow Palme d OR 1978</t>
  </si>
  <si>
    <t>COGN-Meukow Esprit de Famille</t>
  </si>
  <si>
    <t>COGN-Meukow Baccarat Coffret</t>
  </si>
  <si>
    <t>COGN-Meukow Cognac Flavour. regular</t>
  </si>
  <si>
    <t>COGN-Meukow Cognac Flavour. Xo</t>
  </si>
  <si>
    <t>RHUM-Santiago de Cuba, Carta Blanca</t>
  </si>
  <si>
    <t>RHUM-Santiago de Cuba Anejo</t>
  </si>
  <si>
    <t>RHUM-Santiago de Cuba, 12 ans</t>
  </si>
  <si>
    <t>RHUM-Santiago de Cuba, 20 ans</t>
  </si>
  <si>
    <t>RHUM-Santiago de Cuba, 25 ans</t>
  </si>
  <si>
    <t xml:space="preserve">LIQU-Danzinger Goldwasser </t>
  </si>
  <si>
    <t xml:space="preserve">LIQU-Limoncello di Capri </t>
  </si>
  <si>
    <t xml:space="preserve">LIQU-Sambuca Molinari Caffé </t>
  </si>
  <si>
    <t>LIQU-Sambuca Molinari Extra</t>
  </si>
  <si>
    <t>Alcool pur total :</t>
  </si>
  <si>
    <t>COGN-Liqueur Meukow Vanilla</t>
  </si>
  <si>
    <t>COGN-Liqueur Meukow Xpresso</t>
  </si>
  <si>
    <t>COGN-Meukow Extra Coffret</t>
  </si>
  <si>
    <t>Total TVA</t>
  </si>
  <si>
    <t>PAPILLON A JOINDRE AU REGLEMENT</t>
  </si>
  <si>
    <t>NET A PAYER</t>
  </si>
  <si>
    <t>TOTAUX MONTANTS HT :</t>
  </si>
  <si>
    <t>Marchandise</t>
  </si>
  <si>
    <t>Vign.</t>
  </si>
  <si>
    <t>HORS TAXE</t>
  </si>
  <si>
    <t>Tiers_Nom_Ebt</t>
  </si>
  <si>
    <t>Tiers_ville</t>
  </si>
  <si>
    <t>Code Ebt</t>
  </si>
  <si>
    <t>Type ebt</t>
  </si>
  <si>
    <t>AVENIR 2000 HYPER U RUE DE LOIRE</t>
  </si>
  <si>
    <t>BAULE</t>
  </si>
  <si>
    <t>EPEE ROYALE</t>
  </si>
  <si>
    <t>NIGHTWAY</t>
  </si>
  <si>
    <t>SHANNON</t>
  </si>
  <si>
    <t>AU BUREAU</t>
  </si>
  <si>
    <t>LE RUBIS</t>
  </si>
  <si>
    <t>DO RE MI</t>
  </si>
  <si>
    <t>LE X</t>
  </si>
  <si>
    <t>GAROUDA</t>
  </si>
  <si>
    <t>FAUSTO</t>
  </si>
  <si>
    <t>O BASQUE</t>
  </si>
  <si>
    <t>TEO</t>
  </si>
  <si>
    <t>LES TROIS</t>
  </si>
  <si>
    <t>LE QG</t>
  </si>
  <si>
    <t>L'EXTASIA</t>
  </si>
  <si>
    <t>LE PLB</t>
  </si>
  <si>
    <t>RED TEAM</t>
  </si>
  <si>
    <t>ALMERIA</t>
  </si>
  <si>
    <t>LE CABANON</t>
  </si>
  <si>
    <t>LE CARTON</t>
  </si>
  <si>
    <t>L'ASCOT</t>
  </si>
  <si>
    <t>A FLEUR DE</t>
  </si>
  <si>
    <t>JAMES</t>
  </si>
  <si>
    <t>MAC COOL'S</t>
  </si>
  <si>
    <t>VICTORIA</t>
  </si>
  <si>
    <t>POITIERS</t>
  </si>
  <si>
    <t>Date_Cde</t>
  </si>
  <si>
    <t>Nu_Cde</t>
  </si>
  <si>
    <t>Tarificat° client</t>
  </si>
  <si>
    <t>Type_Produit</t>
  </si>
  <si>
    <t>Designation</t>
  </si>
  <si>
    <t>Prix_Unit_HT</t>
  </si>
  <si>
    <t>Prix_Unit_TTC</t>
  </si>
  <si>
    <t>Qte_commande</t>
  </si>
  <si>
    <t>CA_HT</t>
  </si>
  <si>
    <t>CA_TTC</t>
  </si>
  <si>
    <t>Qte_Unit_btl</t>
  </si>
  <si>
    <t>Qte_Unit_btl2</t>
  </si>
  <si>
    <t>16V05374</t>
  </si>
  <si>
    <t>SCHOEN</t>
  </si>
  <si>
    <t>JOUE LES TOURS</t>
  </si>
  <si>
    <t>Boisson_Soft</t>
  </si>
  <si>
    <t>16V06057</t>
  </si>
  <si>
    <t>FIGUEIREDO</t>
  </si>
  <si>
    <t>SAINT ROCH</t>
  </si>
  <si>
    <t>16V06401</t>
  </si>
  <si>
    <t>16V12182</t>
  </si>
  <si>
    <t>LGS</t>
  </si>
  <si>
    <t>BOURGES</t>
  </si>
  <si>
    <t>16V12302</t>
  </si>
  <si>
    <t>MESPOULET</t>
  </si>
  <si>
    <t>ARGENTAT</t>
  </si>
  <si>
    <t>17V01274</t>
  </si>
  <si>
    <t>UPPER</t>
  </si>
  <si>
    <t>TOURS</t>
  </si>
  <si>
    <t>17V03035</t>
  </si>
  <si>
    <t>FAYETTE</t>
  </si>
  <si>
    <t>AMBOISE</t>
  </si>
  <si>
    <t>17V03231</t>
  </si>
  <si>
    <t>REMY BREGE</t>
  </si>
  <si>
    <t>LA MOTTE BEUVRON</t>
  </si>
  <si>
    <t>17V04453</t>
  </si>
  <si>
    <t>17V05240</t>
  </si>
  <si>
    <t>17V06198</t>
  </si>
  <si>
    <t>PICHON DIS</t>
  </si>
  <si>
    <t>SAINT FIEL</t>
  </si>
  <si>
    <t>17V07122</t>
  </si>
  <si>
    <t>17V07328</t>
  </si>
  <si>
    <t>17V08050</t>
  </si>
  <si>
    <t>17V08210</t>
  </si>
  <si>
    <t>17V08228</t>
  </si>
  <si>
    <t>17V09316</t>
  </si>
  <si>
    <t>CCV VINS</t>
  </si>
  <si>
    <t>CHAMBRAY LES TOURS</t>
  </si>
  <si>
    <t>17V11384</t>
  </si>
  <si>
    <t>18V01375</t>
  </si>
  <si>
    <t>18V02267</t>
  </si>
  <si>
    <t>IRLANDAIS</t>
  </si>
  <si>
    <t>ANGERS</t>
  </si>
  <si>
    <t>18V03260</t>
  </si>
  <si>
    <t>18V05085</t>
  </si>
  <si>
    <t>18V05345</t>
  </si>
  <si>
    <t>18V06137</t>
  </si>
  <si>
    <t>18V06168</t>
  </si>
  <si>
    <t>18V06166</t>
  </si>
  <si>
    <t>LA TAB</t>
  </si>
  <si>
    <t>SAINT BENOIT</t>
  </si>
  <si>
    <t>18V07246</t>
  </si>
  <si>
    <t>18V08294</t>
  </si>
  <si>
    <t>18V11106</t>
  </si>
  <si>
    <t>19V02205</t>
  </si>
  <si>
    <t>19V03374</t>
  </si>
  <si>
    <t>19V04182</t>
  </si>
  <si>
    <t>CHAUVES SO</t>
  </si>
  <si>
    <t>19V05040</t>
  </si>
  <si>
    <t>19V05120</t>
  </si>
  <si>
    <t>L'APPART</t>
  </si>
  <si>
    <t>19V06007</t>
  </si>
  <si>
    <t>19V06083</t>
  </si>
  <si>
    <t>19V07296</t>
  </si>
  <si>
    <t>19V08043</t>
  </si>
  <si>
    <t>19V09301</t>
  </si>
  <si>
    <t>19V09233</t>
  </si>
  <si>
    <t>BAR N CO</t>
  </si>
  <si>
    <t>20V01286</t>
  </si>
  <si>
    <t>CHR_BAR</t>
  </si>
  <si>
    <t>16V11234</t>
  </si>
  <si>
    <t>SERRURERIE</t>
  </si>
  <si>
    <t>17V02231</t>
  </si>
  <si>
    <t>17V10454</t>
  </si>
  <si>
    <t>ANJOU BOIS</t>
  </si>
  <si>
    <t>AVRILLE</t>
  </si>
  <si>
    <t>18V02090</t>
  </si>
  <si>
    <t>18V02259</t>
  </si>
  <si>
    <t>HABANA</t>
  </si>
  <si>
    <t>SAUMUR</t>
  </si>
  <si>
    <t>18V06074</t>
  </si>
  <si>
    <t>LE BAR DES</t>
  </si>
  <si>
    <t>18V09218</t>
  </si>
  <si>
    <t>18V09421</t>
  </si>
  <si>
    <t>18V11433</t>
  </si>
  <si>
    <t>19V01296</t>
  </si>
  <si>
    <t>19V02026</t>
  </si>
  <si>
    <t>19V02220</t>
  </si>
  <si>
    <t>19V03095</t>
  </si>
  <si>
    <t>19V03098</t>
  </si>
  <si>
    <t>19V07225</t>
  </si>
  <si>
    <t>19V08026</t>
  </si>
  <si>
    <t>19V08027</t>
  </si>
  <si>
    <t>19V09232</t>
  </si>
  <si>
    <t>19V10001</t>
  </si>
  <si>
    <t>16V03389</t>
  </si>
  <si>
    <t>0000003300</t>
  </si>
  <si>
    <t>EGLETONS</t>
  </si>
  <si>
    <t>Boisson_Spirit</t>
  </si>
  <si>
    <t>COGNAC BRUGEROLLE VS</t>
  </si>
  <si>
    <t>17V02289</t>
  </si>
  <si>
    <t>16V02367</t>
  </si>
  <si>
    <t>WALLABY</t>
  </si>
  <si>
    <t>16V03045</t>
  </si>
  <si>
    <t>AMERICAN</t>
  </si>
  <si>
    <t>BEAUPREAU</t>
  </si>
  <si>
    <t>16V03340</t>
  </si>
  <si>
    <t>16V04450</t>
  </si>
  <si>
    <t>BIGWOOD'S</t>
  </si>
  <si>
    <t>16V05219</t>
  </si>
  <si>
    <t>CLIPPER</t>
  </si>
  <si>
    <t>BLOIS</t>
  </si>
  <si>
    <t>16V10032</t>
  </si>
  <si>
    <t>16V12114</t>
  </si>
  <si>
    <t>EST OUEST</t>
  </si>
  <si>
    <t>17V01031</t>
  </si>
  <si>
    <t>17V03080</t>
  </si>
  <si>
    <t>PLUMEJEAU</t>
  </si>
  <si>
    <t>LA POMMERAYE</t>
  </si>
  <si>
    <t>17V04294</t>
  </si>
  <si>
    <t>17V05437</t>
  </si>
  <si>
    <t>17V11201</t>
  </si>
  <si>
    <t>17V12171</t>
  </si>
  <si>
    <t>18V01067</t>
  </si>
  <si>
    <t>18V01349</t>
  </si>
  <si>
    <t>FROMAGET</t>
  </si>
  <si>
    <t>VIVONNE</t>
  </si>
  <si>
    <t>18V02009</t>
  </si>
  <si>
    <t>18V02081</t>
  </si>
  <si>
    <t>LES SAVEUR</t>
  </si>
  <si>
    <t>18V02102</t>
  </si>
  <si>
    <t>18V02224</t>
  </si>
  <si>
    <t>18V04049</t>
  </si>
  <si>
    <t>LE PUITS S</t>
  </si>
  <si>
    <t>18V04071</t>
  </si>
  <si>
    <t>18V04153</t>
  </si>
  <si>
    <t>18V04240</t>
  </si>
  <si>
    <t>18V04257</t>
  </si>
  <si>
    <t>18V06073</t>
  </si>
  <si>
    <t>CHOLET</t>
  </si>
  <si>
    <t>18V08026</t>
  </si>
  <si>
    <t>18V08192</t>
  </si>
  <si>
    <t>18V09164</t>
  </si>
  <si>
    <t>18V09242</t>
  </si>
  <si>
    <t>18V09332</t>
  </si>
  <si>
    <t>LE MAC GIL</t>
  </si>
  <si>
    <t>18V10071</t>
  </si>
  <si>
    <t>18V10383</t>
  </si>
  <si>
    <t>18V10510</t>
  </si>
  <si>
    <t>19V02004</t>
  </si>
  <si>
    <t>19V04015</t>
  </si>
  <si>
    <t>19V08189</t>
  </si>
  <si>
    <t>CHATEAUROUX</t>
  </si>
  <si>
    <t>19V08265</t>
  </si>
  <si>
    <t>19V08336</t>
  </si>
  <si>
    <t>19V10016</t>
  </si>
  <si>
    <t>19V10348</t>
  </si>
  <si>
    <t>HYPER U</t>
  </si>
  <si>
    <t>19V11182</t>
  </si>
  <si>
    <t>20V02072</t>
  </si>
  <si>
    <t>GROSSISTE</t>
  </si>
  <si>
    <t>17V02234</t>
  </si>
  <si>
    <t>17V08043</t>
  </si>
  <si>
    <t>17V11166</t>
  </si>
  <si>
    <t>17V11353</t>
  </si>
  <si>
    <t>18V04042</t>
  </si>
  <si>
    <t>18V04222</t>
  </si>
  <si>
    <t>18V06376</t>
  </si>
  <si>
    <t>18V09074</t>
  </si>
  <si>
    <t>18V09420</t>
  </si>
  <si>
    <t>LE GEORGES</t>
  </si>
  <si>
    <t>18V10336</t>
  </si>
  <si>
    <t>19V01112</t>
  </si>
  <si>
    <t>19V06441</t>
  </si>
  <si>
    <t>19V06313</t>
  </si>
  <si>
    <t>19V12286</t>
  </si>
  <si>
    <t>LECLERC LE</t>
  </si>
  <si>
    <t>LA VILLE AUX DAMES</t>
  </si>
  <si>
    <t>17V09126</t>
  </si>
  <si>
    <t>18V01386</t>
  </si>
  <si>
    <t>18V02225</t>
  </si>
  <si>
    <t>ONE SHOT</t>
  </si>
  <si>
    <t>NIORT</t>
  </si>
  <si>
    <t>18V05035</t>
  </si>
  <si>
    <t>LECLERC SA</t>
  </si>
  <si>
    <t>SAUMUR CEDEX</t>
  </si>
  <si>
    <t>18V06105</t>
  </si>
  <si>
    <t>AUCHAN</t>
  </si>
  <si>
    <t>18V08024</t>
  </si>
  <si>
    <t>CARAVAGE</t>
  </si>
  <si>
    <t>LOCHES</t>
  </si>
  <si>
    <t>18V08295</t>
  </si>
  <si>
    <t>LE POP BAR</t>
  </si>
  <si>
    <t>18V08347</t>
  </si>
  <si>
    <t>18V09140</t>
  </si>
  <si>
    <t>SAINT DOULCHARD</t>
  </si>
  <si>
    <t>18V09249</t>
  </si>
  <si>
    <t>LE BULC</t>
  </si>
  <si>
    <t>BRESSUIRE</t>
  </si>
  <si>
    <t>18V09251</t>
  </si>
  <si>
    <t>OXFORD PUB</t>
  </si>
  <si>
    <t>18V09248</t>
  </si>
  <si>
    <t>L'ANNEXE</t>
  </si>
  <si>
    <t>18V09252</t>
  </si>
  <si>
    <t>18V09419</t>
  </si>
  <si>
    <t>18V10014</t>
  </si>
  <si>
    <t>ROSE</t>
  </si>
  <si>
    <t>18V10076</t>
  </si>
  <si>
    <t>18V11112</t>
  </si>
  <si>
    <t>18V11211</t>
  </si>
  <si>
    <t>HYPER U PA</t>
  </si>
  <si>
    <t>PARTHENAY</t>
  </si>
  <si>
    <t>18V11212</t>
  </si>
  <si>
    <t>18V11344</t>
  </si>
  <si>
    <t>DUMAS</t>
  </si>
  <si>
    <t>SAINT MAIXENT L'ECOLE</t>
  </si>
  <si>
    <t>18V11381</t>
  </si>
  <si>
    <t>PRAIRIE</t>
  </si>
  <si>
    <t>BOURGUEIL</t>
  </si>
  <si>
    <t>18V12009</t>
  </si>
  <si>
    <t>18V12072</t>
  </si>
  <si>
    <t>BP SASU</t>
  </si>
  <si>
    <t>MONTARGIS</t>
  </si>
  <si>
    <t>18V12100</t>
  </si>
  <si>
    <t>18V12309</t>
  </si>
  <si>
    <t>19V01346</t>
  </si>
  <si>
    <t>19V02071</t>
  </si>
  <si>
    <t>19V03057</t>
  </si>
  <si>
    <t>19V05049</t>
  </si>
  <si>
    <t>19V05451</t>
  </si>
  <si>
    <t>19V06006</t>
  </si>
  <si>
    <t>TIA GOURME</t>
  </si>
  <si>
    <t>19V07436</t>
  </si>
  <si>
    <t>MANHATTAN</t>
  </si>
  <si>
    <t>19V05111</t>
  </si>
  <si>
    <t>DROP N SHO</t>
  </si>
  <si>
    <t>19V08370</t>
  </si>
  <si>
    <t>19V10219</t>
  </si>
  <si>
    <t>AVRILLE CEDEX</t>
  </si>
  <si>
    <t>19V11045</t>
  </si>
  <si>
    <t>SUPER U VE</t>
  </si>
  <si>
    <t>VERNOU SUR BRENNE</t>
  </si>
  <si>
    <t>19V11187</t>
  </si>
  <si>
    <t>JONADIS</t>
  </si>
  <si>
    <t>NEUILLE PONT PIERRE</t>
  </si>
  <si>
    <t>19V11232</t>
  </si>
  <si>
    <t>CHATELLERAULT</t>
  </si>
  <si>
    <t>19V12151</t>
  </si>
  <si>
    <t>19V12292</t>
  </si>
  <si>
    <t>HAUGMARD</t>
  </si>
  <si>
    <t>20V02107</t>
  </si>
  <si>
    <t>L'ANT'HIC</t>
  </si>
  <si>
    <t>ORLEANS</t>
  </si>
  <si>
    <t>20V02108</t>
  </si>
  <si>
    <t>LA GRAPPE D'OR</t>
  </si>
  <si>
    <t>19V11048</t>
  </si>
  <si>
    <t>FRAIS</t>
  </si>
  <si>
    <t xml:space="preserve">   </t>
  </si>
  <si>
    <t>16V02090</t>
  </si>
  <si>
    <t>MCLG</t>
  </si>
  <si>
    <t>JGR_TM</t>
  </si>
  <si>
    <t>16V04176</t>
  </si>
  <si>
    <t>16V04177</t>
  </si>
  <si>
    <t>L'ATELIER</t>
  </si>
  <si>
    <t>16V06066</t>
  </si>
  <si>
    <t>16V08226</t>
  </si>
  <si>
    <t>16V08229</t>
  </si>
  <si>
    <t>16V08222</t>
  </si>
  <si>
    <t>HIGH</t>
  </si>
  <si>
    <t>16V08223</t>
  </si>
  <si>
    <t>16V08224</t>
  </si>
  <si>
    <t>16V08225</t>
  </si>
  <si>
    <t>16V08221</t>
  </si>
  <si>
    <t>LA TABERNE</t>
  </si>
  <si>
    <t>16V08211</t>
  </si>
  <si>
    <t>16V08212</t>
  </si>
  <si>
    <t>LE SHELTER</t>
  </si>
  <si>
    <t>16V08337</t>
  </si>
  <si>
    <t>VENDOME</t>
  </si>
  <si>
    <t>16V09084</t>
  </si>
  <si>
    <t>16V09085</t>
  </si>
  <si>
    <t>16V09147</t>
  </si>
  <si>
    <t>NIGHT WAY</t>
  </si>
  <si>
    <t>SARAN</t>
  </si>
  <si>
    <t>16V09148</t>
  </si>
  <si>
    <t>16V09189</t>
  </si>
  <si>
    <t>BLUE DEVIL</t>
  </si>
  <si>
    <t>16V09194</t>
  </si>
  <si>
    <t>16V09190</t>
  </si>
  <si>
    <t>MEX CAFE</t>
  </si>
  <si>
    <t>16V09419</t>
  </si>
  <si>
    <t>16V10216</t>
  </si>
  <si>
    <t>THE SYL</t>
  </si>
  <si>
    <t>16V12135</t>
  </si>
  <si>
    <t>LE GAUDINA</t>
  </si>
  <si>
    <t>17V02369</t>
  </si>
  <si>
    <t>17V03592</t>
  </si>
  <si>
    <t>BISTROT</t>
  </si>
  <si>
    <t>ESVRES SUR INDRE</t>
  </si>
  <si>
    <t>17V03596</t>
  </si>
  <si>
    <t>0000003626</t>
  </si>
  <si>
    <t>17V03589</t>
  </si>
  <si>
    <t>L'ARCHANGE</t>
  </si>
  <si>
    <t>17V03578</t>
  </si>
  <si>
    <t>LE SAINT</t>
  </si>
  <si>
    <t>17V03590</t>
  </si>
  <si>
    <t>19V11188</t>
  </si>
  <si>
    <t>AUBERGE DE</t>
  </si>
  <si>
    <t>NEUILLÉ-LE-LIERRE</t>
  </si>
  <si>
    <t>19V11189</t>
  </si>
  <si>
    <t>20V02110</t>
  </si>
  <si>
    <t>AU JARDIN</t>
  </si>
  <si>
    <t>VOUVRAY</t>
  </si>
  <si>
    <t>CAVISTE</t>
  </si>
  <si>
    <t>16V05320</t>
  </si>
  <si>
    <t>LA DATCHA</t>
  </si>
  <si>
    <t>16V06053</t>
  </si>
  <si>
    <t>16V07330</t>
  </si>
  <si>
    <t>L'OLIVIER</t>
  </si>
  <si>
    <t>16V07376</t>
  </si>
  <si>
    <t>17V06177</t>
  </si>
  <si>
    <t>19V01358</t>
  </si>
  <si>
    <t>19V03430</t>
  </si>
  <si>
    <t>19V11387</t>
  </si>
  <si>
    <t>18V04447</t>
  </si>
  <si>
    <t>ROMVIN</t>
  </si>
  <si>
    <t>18V09250</t>
  </si>
  <si>
    <t>LE BARON</t>
  </si>
  <si>
    <t>18V09331</t>
  </si>
  <si>
    <t>18V10055</t>
  </si>
  <si>
    <t>18V10394</t>
  </si>
  <si>
    <t>LE LORD</t>
  </si>
  <si>
    <t>BRIVE LA GAILLARDE</t>
  </si>
  <si>
    <t>19V05119</t>
  </si>
  <si>
    <t>19V10239</t>
  </si>
  <si>
    <t>CAVE DES B</t>
  </si>
  <si>
    <t>VIERZON</t>
  </si>
  <si>
    <t>19V10416</t>
  </si>
  <si>
    <t>16V01213</t>
  </si>
  <si>
    <t>POITOU</t>
  </si>
  <si>
    <t>CHASSENEUIL DU POITOU</t>
  </si>
  <si>
    <t>16V01311</t>
  </si>
  <si>
    <t>16V01323</t>
  </si>
  <si>
    <t>16V01324</t>
  </si>
  <si>
    <t>16V01327</t>
  </si>
  <si>
    <t>LE JEAN</t>
  </si>
  <si>
    <t>CHATEAU RENAULT</t>
  </si>
  <si>
    <t>16V02016</t>
  </si>
  <si>
    <t>PROMOCASH</t>
  </si>
  <si>
    <t>SAINT PIERRE DES CORPS</t>
  </si>
  <si>
    <t>16V02122</t>
  </si>
  <si>
    <t>OUTBACK</t>
  </si>
  <si>
    <t>16V02116</t>
  </si>
  <si>
    <t>16V02226</t>
  </si>
  <si>
    <t>DIAMS TONIC</t>
  </si>
  <si>
    <t>JALLAIS</t>
  </si>
  <si>
    <t>CHR_CLUB</t>
  </si>
  <si>
    <t>16V02310</t>
  </si>
  <si>
    <t>16V02335</t>
  </si>
  <si>
    <t>16V02336</t>
  </si>
  <si>
    <t>16V02349</t>
  </si>
  <si>
    <t>16V02371</t>
  </si>
  <si>
    <t>16V03152</t>
  </si>
  <si>
    <t>16V03265</t>
  </si>
  <si>
    <t>16V03270</t>
  </si>
  <si>
    <t>16V03278</t>
  </si>
  <si>
    <t>CODIFRANCE</t>
  </si>
  <si>
    <t>CHATEAUNEUF LOIRE</t>
  </si>
  <si>
    <t>16V03388</t>
  </si>
  <si>
    <t>16V03411</t>
  </si>
  <si>
    <t>16V04121</t>
  </si>
  <si>
    <t>16V04207</t>
  </si>
  <si>
    <t>16V04444</t>
  </si>
  <si>
    <t>16V04279</t>
  </si>
  <si>
    <t>16V05073</t>
  </si>
  <si>
    <t>16V05210</t>
  </si>
  <si>
    <t>16V05336</t>
  </si>
  <si>
    <t>16V06197</t>
  </si>
  <si>
    <t>16V06216</t>
  </si>
  <si>
    <t>16V06198</t>
  </si>
  <si>
    <t>16V06352</t>
  </si>
  <si>
    <t>BISTROT 64</t>
  </si>
  <si>
    <t>16V06370</t>
  </si>
  <si>
    <t>16V07069</t>
  </si>
  <si>
    <t>16V07338</t>
  </si>
  <si>
    <t>16V08072</t>
  </si>
  <si>
    <t>16V08185</t>
  </si>
  <si>
    <t>16V08318</t>
  </si>
  <si>
    <t>SAULAIE</t>
  </si>
  <si>
    <t>DESCARTES</t>
  </si>
  <si>
    <t>16V09122</t>
  </si>
  <si>
    <t>16V09092</t>
  </si>
  <si>
    <t>16V09166</t>
  </si>
  <si>
    <t>16V09482</t>
  </si>
  <si>
    <t>16V09490</t>
  </si>
  <si>
    <t>16V10058</t>
  </si>
  <si>
    <t>16V10040</t>
  </si>
  <si>
    <t>16V10289</t>
  </si>
  <si>
    <t>16V11107</t>
  </si>
  <si>
    <t>16V11114</t>
  </si>
  <si>
    <t>16V11145</t>
  </si>
  <si>
    <t>16V11233</t>
  </si>
  <si>
    <t>16V12062</t>
  </si>
  <si>
    <t>16V12122</t>
  </si>
  <si>
    <t>16V12165</t>
  </si>
  <si>
    <t>16V12319</t>
  </si>
  <si>
    <t>17V01011</t>
  </si>
  <si>
    <t>17V01091</t>
  </si>
  <si>
    <t>17V01154</t>
  </si>
  <si>
    <t>17V01254</t>
  </si>
  <si>
    <t>17V01271</t>
  </si>
  <si>
    <t>17V02066</t>
  </si>
  <si>
    <t>17V02088</t>
  </si>
  <si>
    <t>17V02128</t>
  </si>
  <si>
    <t>17V02332</t>
  </si>
  <si>
    <t>17V03124</t>
  </si>
  <si>
    <t>17V03490</t>
  </si>
  <si>
    <t>17V04025</t>
  </si>
  <si>
    <t>17V04132</t>
  </si>
  <si>
    <t>17V04343</t>
  </si>
  <si>
    <t>17V04416</t>
  </si>
  <si>
    <t>17V05041</t>
  </si>
  <si>
    <t>17V05373</t>
  </si>
  <si>
    <t>17V06214</t>
  </si>
  <si>
    <t>17V06358</t>
  </si>
  <si>
    <t>17V07211</t>
  </si>
  <si>
    <t>17V07374</t>
  </si>
  <si>
    <t>17V08021</t>
  </si>
  <si>
    <t>17V08052</t>
  </si>
  <si>
    <t>17V08168</t>
  </si>
  <si>
    <t>17V08220</t>
  </si>
  <si>
    <t>17V08309</t>
  </si>
  <si>
    <t>17V09098</t>
  </si>
  <si>
    <t>17V09062</t>
  </si>
  <si>
    <t>17V09304</t>
  </si>
  <si>
    <t>17V10066</t>
  </si>
  <si>
    <t>17V10248</t>
  </si>
  <si>
    <t>17V10281</t>
  </si>
  <si>
    <t>17V10315</t>
  </si>
  <si>
    <t>17V11009</t>
  </si>
  <si>
    <t>17V11197</t>
  </si>
  <si>
    <t>17V11270</t>
  </si>
  <si>
    <t>17V11323</t>
  </si>
  <si>
    <t>17V12054</t>
  </si>
  <si>
    <t>17V12071</t>
  </si>
  <si>
    <t>17V12119</t>
  </si>
  <si>
    <t>17V12296</t>
  </si>
  <si>
    <t>18V01015</t>
  </si>
  <si>
    <t>NIORT BOIS</t>
  </si>
  <si>
    <t>18V01029</t>
  </si>
  <si>
    <t>CHATEAUROUX CEDEX</t>
  </si>
  <si>
    <t>18V01231</t>
  </si>
  <si>
    <t>18V01323</t>
  </si>
  <si>
    <t>18V01383</t>
  </si>
  <si>
    <t>18V01385</t>
  </si>
  <si>
    <t>18V01413</t>
  </si>
  <si>
    <t>18V01424</t>
  </si>
  <si>
    <t>18V02037</t>
  </si>
  <si>
    <t>18V02038</t>
  </si>
  <si>
    <t>18V02151</t>
  </si>
  <si>
    <t>LE CHAURAY</t>
  </si>
  <si>
    <t>SAINT MAIXENT</t>
  </si>
  <si>
    <t>18V02189</t>
  </si>
  <si>
    <t>AMERICAN B</t>
  </si>
  <si>
    <t>18V02187</t>
  </si>
  <si>
    <t>18V02186</t>
  </si>
  <si>
    <t>18V02226</t>
  </si>
  <si>
    <t>CHAKIB</t>
  </si>
  <si>
    <t>18V02243</t>
  </si>
  <si>
    <t>MAS CARRE</t>
  </si>
  <si>
    <t>18V02298</t>
  </si>
  <si>
    <t>18V03006</t>
  </si>
  <si>
    <t>18V03070</t>
  </si>
  <si>
    <t>ALEXANDRA</t>
  </si>
  <si>
    <t>18V03212</t>
  </si>
  <si>
    <t>SAINT REMY EN MAUGES</t>
  </si>
  <si>
    <t>18V03215</t>
  </si>
  <si>
    <t>18V03227</t>
  </si>
  <si>
    <t>18V03293</t>
  </si>
  <si>
    <t>18V04021</t>
  </si>
  <si>
    <t>18V04045</t>
  </si>
  <si>
    <t>18V04085</t>
  </si>
  <si>
    <t>18V04086</t>
  </si>
  <si>
    <t>18V04177</t>
  </si>
  <si>
    <t>18V04243</t>
  </si>
  <si>
    <t>18V04451</t>
  </si>
  <si>
    <t>18V04442</t>
  </si>
  <si>
    <t>18V05011</t>
  </si>
  <si>
    <t>18V05079</t>
  </si>
  <si>
    <t>18V05166</t>
  </si>
  <si>
    <t>18V05176</t>
  </si>
  <si>
    <t>LE NAUTILU</t>
  </si>
  <si>
    <t>VAUDELNAY</t>
  </si>
  <si>
    <t>18V05187</t>
  </si>
  <si>
    <t>18V05216</t>
  </si>
  <si>
    <t>LECLERC BR</t>
  </si>
  <si>
    <t>BRISSAC QUINCE</t>
  </si>
  <si>
    <t>18V05242</t>
  </si>
  <si>
    <t>18V01370</t>
  </si>
  <si>
    <t>18V06028</t>
  </si>
  <si>
    <t>18V06123</t>
  </si>
  <si>
    <t>18V06259</t>
  </si>
  <si>
    <t>18V06368</t>
  </si>
  <si>
    <t>18V06382</t>
  </si>
  <si>
    <t>18V06384</t>
  </si>
  <si>
    <t>18V06396</t>
  </si>
  <si>
    <t>LE HANGAR</t>
  </si>
  <si>
    <t>18V07040</t>
  </si>
  <si>
    <t>18V07291</t>
  </si>
  <si>
    <t>18V07327</t>
  </si>
  <si>
    <t>18V07330</t>
  </si>
  <si>
    <t>18V08105</t>
  </si>
  <si>
    <t>18V08264</t>
  </si>
  <si>
    <t>18V09068</t>
  </si>
  <si>
    <t>18V09132</t>
  </si>
  <si>
    <t>18V09133</t>
  </si>
  <si>
    <t>18V09264</t>
  </si>
  <si>
    <t>18V09310</t>
  </si>
  <si>
    <t>18V09316</t>
  </si>
  <si>
    <t>18V09315</t>
  </si>
  <si>
    <t>18V09333</t>
  </si>
  <si>
    <t>18V10042</t>
  </si>
  <si>
    <t>18V10043</t>
  </si>
  <si>
    <t>18V10072</t>
  </si>
  <si>
    <t>CHALON</t>
  </si>
  <si>
    <t>18V10077</t>
  </si>
  <si>
    <t>18V10343</t>
  </si>
  <si>
    <t>18V11065</t>
  </si>
  <si>
    <t>18V11180</t>
  </si>
  <si>
    <t>18V11178</t>
  </si>
  <si>
    <t>18V11209</t>
  </si>
  <si>
    <t>18V11197</t>
  </si>
  <si>
    <t>18V11343</t>
  </si>
  <si>
    <t>18V11417</t>
  </si>
  <si>
    <t>18V12065</t>
  </si>
  <si>
    <t>18V12227</t>
  </si>
  <si>
    <t>18V12219</t>
  </si>
  <si>
    <t>18V12359</t>
  </si>
  <si>
    <t>19V01043</t>
  </si>
  <si>
    <t>19V01078</t>
  </si>
  <si>
    <t>19V01317</t>
  </si>
  <si>
    <t>19V01339</t>
  </si>
  <si>
    <t>19V01415</t>
  </si>
  <si>
    <t>19V01413</t>
  </si>
  <si>
    <t>19V01404</t>
  </si>
  <si>
    <t>19V02038</t>
  </si>
  <si>
    <t>ROSE BONBO</t>
  </si>
  <si>
    <t>19V02070</t>
  </si>
  <si>
    <t>19V02202</t>
  </si>
  <si>
    <t>19V03101</t>
  </si>
  <si>
    <t>19V03136</t>
  </si>
  <si>
    <t>19V03376</t>
  </si>
  <si>
    <t>19V03432</t>
  </si>
  <si>
    <t>19V03409</t>
  </si>
  <si>
    <t>19V03478</t>
  </si>
  <si>
    <t>19V04170</t>
  </si>
  <si>
    <t>19V04191</t>
  </si>
  <si>
    <t>19V04423</t>
  </si>
  <si>
    <t>19V04218</t>
  </si>
  <si>
    <t>19V05044</t>
  </si>
  <si>
    <t>19V05278</t>
  </si>
  <si>
    <t>19V05365</t>
  </si>
  <si>
    <t>19V06119</t>
  </si>
  <si>
    <t>19V06286</t>
  </si>
  <si>
    <t>19V06336</t>
  </si>
  <si>
    <t>19V07159</t>
  </si>
  <si>
    <t>19V07166</t>
  </si>
  <si>
    <t>19V08013</t>
  </si>
  <si>
    <t>19V08069</t>
  </si>
  <si>
    <t>19V08096</t>
  </si>
  <si>
    <t>19V08262</t>
  </si>
  <si>
    <t>19V09074</t>
  </si>
  <si>
    <t>19V09102</t>
  </si>
  <si>
    <t>19V09298</t>
  </si>
  <si>
    <t>19V09388</t>
  </si>
  <si>
    <t>19V10002</t>
  </si>
  <si>
    <t>19V10038</t>
  </si>
  <si>
    <t>19V10181</t>
  </si>
  <si>
    <t>19V10224</t>
  </si>
  <si>
    <t>LE MERLE M</t>
  </si>
  <si>
    <t>19V10253</t>
  </si>
  <si>
    <t>19V10198</t>
  </si>
  <si>
    <t>19V10302</t>
  </si>
  <si>
    <t>19V10354</t>
  </si>
  <si>
    <t>19V10429</t>
  </si>
  <si>
    <t>19V11004</t>
  </si>
  <si>
    <t>19V11073</t>
  </si>
  <si>
    <t>19V11186</t>
  </si>
  <si>
    <t>19V11166</t>
  </si>
  <si>
    <t>19V11190</t>
  </si>
  <si>
    <t>ODAIN</t>
  </si>
  <si>
    <t>19V11368</t>
  </si>
  <si>
    <t>19V11463</t>
  </si>
  <si>
    <t>19V12163</t>
  </si>
  <si>
    <t>19V11410</t>
  </si>
  <si>
    <t>19V12335</t>
  </si>
  <si>
    <t>20V01151</t>
  </si>
  <si>
    <t>19V12523</t>
  </si>
  <si>
    <t>METRO</t>
  </si>
  <si>
    <t>CASH&amp;CARRY</t>
  </si>
  <si>
    <t>20V01087</t>
  </si>
  <si>
    <t>GD_HM</t>
  </si>
  <si>
    <t>20V02106</t>
  </si>
  <si>
    <t>Jägermeister distributeur miniatures</t>
  </si>
  <si>
    <t>19V12182</t>
  </si>
  <si>
    <t>Jägermeister Scharf</t>
  </si>
  <si>
    <t>16V05218</t>
  </si>
  <si>
    <t>19V09199</t>
  </si>
  <si>
    <t>19V11456</t>
  </si>
  <si>
    <t>LECLERC</t>
  </si>
  <si>
    <t>16V10012</t>
  </si>
  <si>
    <t>SCHOEN 45</t>
  </si>
  <si>
    <t>SAINT JEAN DE LA RUELLE</t>
  </si>
  <si>
    <t>LIQUEUR JÄGERMEISTER SPICE</t>
  </si>
  <si>
    <t>16V12117</t>
  </si>
  <si>
    <t>TES ROCK</t>
  </si>
  <si>
    <t>16V12303</t>
  </si>
  <si>
    <t>20V01165</t>
  </si>
  <si>
    <t>CHR_BRASS_CAV</t>
  </si>
  <si>
    <t>16V03170</t>
  </si>
  <si>
    <t>16V05379</t>
  </si>
  <si>
    <t>16V06194</t>
  </si>
  <si>
    <t>16V07320</t>
  </si>
  <si>
    <t>16V07209</t>
  </si>
  <si>
    <t>16V07230</t>
  </si>
  <si>
    <t>16V08091</t>
  </si>
  <si>
    <t>16V09037</t>
  </si>
  <si>
    <t>16V10382</t>
  </si>
  <si>
    <t>17V03185</t>
  </si>
  <si>
    <t>17V04199</t>
  </si>
  <si>
    <t>17V05429</t>
  </si>
  <si>
    <t>18V01393</t>
  </si>
  <si>
    <t>MR WRAPS</t>
  </si>
  <si>
    <t>18V06071</t>
  </si>
  <si>
    <t>18V07041</t>
  </si>
  <si>
    <t>18V08007</t>
  </si>
  <si>
    <t>18V08040</t>
  </si>
  <si>
    <t>18V08237</t>
  </si>
  <si>
    <t>18V09418</t>
  </si>
  <si>
    <t>18V11370</t>
  </si>
  <si>
    <t>GEORGES</t>
  </si>
  <si>
    <t>19V05175</t>
  </si>
  <si>
    <t>19V06073</t>
  </si>
  <si>
    <t>19V06174</t>
  </si>
  <si>
    <t>19V06237</t>
  </si>
  <si>
    <t>19V06236</t>
  </si>
  <si>
    <t>19V06427</t>
  </si>
  <si>
    <t>19V07015</t>
  </si>
  <si>
    <t>19V10217</t>
  </si>
  <si>
    <t>AROUND THE</t>
  </si>
  <si>
    <t>17V09177</t>
  </si>
  <si>
    <t>18V02190</t>
  </si>
  <si>
    <t>SKIPPER</t>
  </si>
  <si>
    <t>18V03123</t>
  </si>
  <si>
    <t>CAFE SAINT</t>
  </si>
  <si>
    <t>18V03333</t>
  </si>
  <si>
    <t>18V04015</t>
  </si>
  <si>
    <t>18V05167</t>
  </si>
  <si>
    <t>18V06075</t>
  </si>
  <si>
    <t>LEDOLITTLE</t>
  </si>
  <si>
    <t>18V06102</t>
  </si>
  <si>
    <t>LA TETE DA</t>
  </si>
  <si>
    <t>18V07332</t>
  </si>
  <si>
    <t>18V10017</t>
  </si>
  <si>
    <t>ROMORANTIN LANTHENAY</t>
  </si>
  <si>
    <t>18V10120</t>
  </si>
  <si>
    <t>18V10286</t>
  </si>
  <si>
    <t>MORINIERE</t>
  </si>
  <si>
    <t>MONCOUTANT</t>
  </si>
  <si>
    <t>18V11101</t>
  </si>
  <si>
    <t>18V12010</t>
  </si>
  <si>
    <t>18V12169</t>
  </si>
  <si>
    <t>18V12210</t>
  </si>
  <si>
    <t>WINE &amp; COF</t>
  </si>
  <si>
    <t>19V01224</t>
  </si>
  <si>
    <t>19V01225</t>
  </si>
  <si>
    <t>19V08369</t>
  </si>
  <si>
    <t>19V09262</t>
  </si>
  <si>
    <t>19V10218</t>
  </si>
  <si>
    <t>18V11342</t>
  </si>
  <si>
    <t>19V09007</t>
  </si>
  <si>
    <t>19V09263</t>
  </si>
  <si>
    <t>19V09261</t>
  </si>
  <si>
    <t>19V11184</t>
  </si>
  <si>
    <t>19V12221</t>
  </si>
  <si>
    <t>INTERMARCHE</t>
  </si>
  <si>
    <t>19V37373</t>
  </si>
  <si>
    <t>20V02207</t>
  </si>
  <si>
    <t>19V11233</t>
  </si>
  <si>
    <t>18V07333</t>
  </si>
  <si>
    <t>19V12223</t>
  </si>
  <si>
    <t>19V12111</t>
  </si>
  <si>
    <t>19V06067</t>
  </si>
  <si>
    <t>COMEVENTS</t>
  </si>
  <si>
    <t>19V11482</t>
  </si>
  <si>
    <t>18V03364</t>
  </si>
  <si>
    <t>RICHELIEU</t>
  </si>
  <si>
    <t>18V04023</t>
  </si>
  <si>
    <t>18V06086</t>
  </si>
  <si>
    <t>18V06167</t>
  </si>
  <si>
    <t>18V10119</t>
  </si>
  <si>
    <t>18V11419</t>
  </si>
  <si>
    <t>18V12234</t>
  </si>
  <si>
    <t>19V07429</t>
  </si>
  <si>
    <t>19V07428</t>
  </si>
  <si>
    <t>19V07450</t>
  </si>
  <si>
    <t>19V11185</t>
  </si>
  <si>
    <t>19V11196</t>
  </si>
  <si>
    <t>19V07451</t>
  </si>
  <si>
    <t>LE JEU DU</t>
  </si>
  <si>
    <t>20V01113</t>
  </si>
  <si>
    <t>GD_SM</t>
  </si>
  <si>
    <t>JM LAC</t>
  </si>
  <si>
    <t>PINEAU 2 PAYSANS BLANC</t>
  </si>
  <si>
    <t>PINEAU 2 PAYSANS ROSE</t>
  </si>
  <si>
    <t>17V11401</t>
  </si>
  <si>
    <t>18V04443</t>
  </si>
  <si>
    <t>18V07331</t>
  </si>
  <si>
    <t>LA VIDA LO</t>
  </si>
  <si>
    <t>19V05042</t>
  </si>
  <si>
    <t>19V07449</t>
  </si>
  <si>
    <t>19V08034</t>
  </si>
  <si>
    <t>19V11171</t>
  </si>
  <si>
    <t>19V12283</t>
  </si>
  <si>
    <t>19V12178</t>
  </si>
  <si>
    <t>16V01154</t>
  </si>
  <si>
    <t>16V04030</t>
  </si>
  <si>
    <t>16V05085</t>
  </si>
  <si>
    <t>16V06250</t>
  </si>
  <si>
    <t>16V06251</t>
  </si>
  <si>
    <t>17V04200</t>
  </si>
  <si>
    <t>17V04345</t>
  </si>
  <si>
    <t>17V06116</t>
  </si>
  <si>
    <t>DOAN</t>
  </si>
  <si>
    <t>17V11257</t>
  </si>
  <si>
    <t>18V08059</t>
  </si>
  <si>
    <t>17V12193</t>
  </si>
  <si>
    <t>17V12133</t>
  </si>
  <si>
    <t>17V04193</t>
  </si>
  <si>
    <t>19V07345</t>
  </si>
  <si>
    <t xml:space="preserve">Santiago de Cuba, Carta Blanca </t>
  </si>
  <si>
    <t>16V09406</t>
  </si>
  <si>
    <t>16V10050</t>
  </si>
  <si>
    <t>16V12119</t>
  </si>
  <si>
    <t>16V12155</t>
  </si>
  <si>
    <t>17V01378</t>
  </si>
  <si>
    <t>17V02230</t>
  </si>
  <si>
    <t>17V05418</t>
  </si>
  <si>
    <t>17V06044</t>
  </si>
  <si>
    <t>17V06045</t>
  </si>
  <si>
    <t>16V01220</t>
  </si>
  <si>
    <t>RLM DISTRI</t>
  </si>
  <si>
    <t>SAVIGNE</t>
  </si>
  <si>
    <t>16V07001</t>
  </si>
  <si>
    <t>17V06310</t>
  </si>
  <si>
    <t>18V05016</t>
  </si>
  <si>
    <t>19V01089</t>
  </si>
  <si>
    <t>16V08227</t>
  </si>
  <si>
    <t>16V08228</t>
  </si>
  <si>
    <t>16V09086</t>
  </si>
  <si>
    <t>16V09146</t>
  </si>
  <si>
    <t>16V09195</t>
  </si>
  <si>
    <t>16V09193</t>
  </si>
  <si>
    <t>16V09423</t>
  </si>
  <si>
    <t>LE MOOG</t>
  </si>
  <si>
    <t>17V02368</t>
  </si>
  <si>
    <t>16V12113</t>
  </si>
  <si>
    <t>17V06141</t>
  </si>
  <si>
    <t>18V05371</t>
  </si>
  <si>
    <t>18V10398</t>
  </si>
  <si>
    <t>18V12114</t>
  </si>
  <si>
    <t>19V06328</t>
  </si>
  <si>
    <t>19V05463</t>
  </si>
  <si>
    <t>16V01106</t>
  </si>
  <si>
    <t>16V01175</t>
  </si>
  <si>
    <t>16V02080</t>
  </si>
  <si>
    <t>16V03061</t>
  </si>
  <si>
    <t>16V03156</t>
  </si>
  <si>
    <t>16V03157</t>
  </si>
  <si>
    <t>AUBUSSON</t>
  </si>
  <si>
    <t>16V04178</t>
  </si>
  <si>
    <t>VILLEPERDUE</t>
  </si>
  <si>
    <t>16V04282</t>
  </si>
  <si>
    <t>16V04283</t>
  </si>
  <si>
    <t>16V04286</t>
  </si>
  <si>
    <t>BEAUGENCY</t>
  </si>
  <si>
    <t>16V06348</t>
  </si>
  <si>
    <t>16V06356</t>
  </si>
  <si>
    <t>BENAIS</t>
  </si>
  <si>
    <t>16V06361</t>
  </si>
  <si>
    <t>LA CHATRE</t>
  </si>
  <si>
    <t>16V07086</t>
  </si>
  <si>
    <t>16V07087</t>
  </si>
  <si>
    <t>ROCHECORBON</t>
  </si>
  <si>
    <t>16V07204</t>
  </si>
  <si>
    <t>16V08015</t>
  </si>
  <si>
    <t>SALBRIS</t>
  </si>
  <si>
    <t>16V08214</t>
  </si>
  <si>
    <t>16V08336</t>
  </si>
  <si>
    <t>16V09089</t>
  </si>
  <si>
    <t>LAVAUSSEAU</t>
  </si>
  <si>
    <t>CHR_BRASS</t>
  </si>
  <si>
    <t>16V09149</t>
  </si>
  <si>
    <t>16V09295</t>
  </si>
  <si>
    <t>ENTREPOTES</t>
  </si>
  <si>
    <t>16V09294</t>
  </si>
  <si>
    <t>16V10217</t>
  </si>
  <si>
    <t>LE RIVER</t>
  </si>
  <si>
    <t>LA ROCHE CLERMAULT</t>
  </si>
  <si>
    <t>16V12136</t>
  </si>
  <si>
    <t>JACOBINS</t>
  </si>
  <si>
    <t>16V12137</t>
  </si>
  <si>
    <t>TAPASOIF</t>
  </si>
  <si>
    <t>17V03075</t>
  </si>
  <si>
    <t>CAMPUS</t>
  </si>
  <si>
    <t>17V03598</t>
  </si>
  <si>
    <t>CARABOUILL</t>
  </si>
  <si>
    <t>17V03582</t>
  </si>
  <si>
    <t>ENVOL</t>
  </si>
  <si>
    <t>17V03599</t>
  </si>
  <si>
    <t>LE BUCKING</t>
  </si>
  <si>
    <t>17V03584</t>
  </si>
  <si>
    <t>17V03580</t>
  </si>
  <si>
    <t>SARL A2N</t>
  </si>
  <si>
    <t>LA CROIX EN TOURAINE</t>
  </si>
  <si>
    <t>17V03591</t>
  </si>
  <si>
    <t>17V03593</t>
  </si>
  <si>
    <t>17V03594</t>
  </si>
  <si>
    <t>17V03597</t>
  </si>
  <si>
    <t>UNIVERS</t>
  </si>
  <si>
    <t>ISSOUDUN</t>
  </si>
  <si>
    <t>17V03595</t>
  </si>
  <si>
    <t>L'HENDRIX</t>
  </si>
  <si>
    <t>17V04007</t>
  </si>
  <si>
    <t>17V04078</t>
  </si>
  <si>
    <t>17V04172</t>
  </si>
  <si>
    <t>17V04171</t>
  </si>
  <si>
    <t>LE PADDOCK</t>
  </si>
  <si>
    <t>SAINT AMAND MONTROND</t>
  </si>
  <si>
    <t>17V04232</t>
  </si>
  <si>
    <t>HEREFORD</t>
  </si>
  <si>
    <t>17V04233</t>
  </si>
  <si>
    <t>LE TITAN</t>
  </si>
  <si>
    <t>BRAYE SOUS FAYE</t>
  </si>
  <si>
    <t>17V04234</t>
  </si>
  <si>
    <t>L'IBIZA</t>
  </si>
  <si>
    <t>LA BREILLE LES PINS</t>
  </si>
  <si>
    <t>17V04235</t>
  </si>
  <si>
    <t>LIGHT CLUB</t>
  </si>
  <si>
    <t>17V04231</t>
  </si>
  <si>
    <t>NANA MIA</t>
  </si>
  <si>
    <t>17V04243</t>
  </si>
  <si>
    <t>LE FEELING</t>
  </si>
  <si>
    <t>SANCERRE</t>
  </si>
  <si>
    <t>17V04377</t>
  </si>
  <si>
    <t>OSS MIX</t>
  </si>
  <si>
    <t>SAINT LAURENT NOUAN</t>
  </si>
  <si>
    <t>17V05224</t>
  </si>
  <si>
    <t>PYRAMIDE</t>
  </si>
  <si>
    <t>LUBERSAC</t>
  </si>
  <si>
    <t>17V05336</t>
  </si>
  <si>
    <t>LE TEMPO</t>
  </si>
  <si>
    <t>17V05424</t>
  </si>
  <si>
    <t>LE MASTER</t>
  </si>
  <si>
    <t>MORTON</t>
  </si>
  <si>
    <t>17V05423</t>
  </si>
  <si>
    <t>LES COPAIN</t>
  </si>
  <si>
    <t>17V09121</t>
  </si>
  <si>
    <t>17V09118</t>
  </si>
  <si>
    <t>DZINGUE</t>
  </si>
  <si>
    <t>17V09117</t>
  </si>
  <si>
    <t>FACTORY</t>
  </si>
  <si>
    <t>SAINT DENIS EN VAL</t>
  </si>
  <si>
    <t>17V09123</t>
  </si>
  <si>
    <t>17V09124</t>
  </si>
  <si>
    <t>17V09120</t>
  </si>
  <si>
    <t>LES BONS</t>
  </si>
  <si>
    <t>SAINT PIERRE LES ETIEUX</t>
  </si>
  <si>
    <t>17V09110</t>
  </si>
  <si>
    <t>17V09122</t>
  </si>
  <si>
    <t>MELTDOWN</t>
  </si>
  <si>
    <t>17V09115</t>
  </si>
  <si>
    <t>17V09174</t>
  </si>
  <si>
    <t>17V09175</t>
  </si>
  <si>
    <t>BOWLING</t>
  </si>
  <si>
    <t>17V09171</t>
  </si>
  <si>
    <t>CUTTY SARK</t>
  </si>
  <si>
    <t>AUBIGNY SUR NERE</t>
  </si>
  <si>
    <t>17V09438</t>
  </si>
  <si>
    <t>ALPHONSE</t>
  </si>
  <si>
    <t>17V09436</t>
  </si>
  <si>
    <t>L'EURASIEN</t>
  </si>
  <si>
    <t>CHINON</t>
  </si>
  <si>
    <t>17V09437</t>
  </si>
  <si>
    <t>S3</t>
  </si>
  <si>
    <t>SENS BEAUJEU</t>
  </si>
  <si>
    <t>17V09449</t>
  </si>
  <si>
    <t>FHTAGN</t>
  </si>
  <si>
    <t>17V09447</t>
  </si>
  <si>
    <t>LA 25EME</t>
  </si>
  <si>
    <t>GUERET</t>
  </si>
  <si>
    <t>17V09448</t>
  </si>
  <si>
    <t>MAKINA</t>
  </si>
  <si>
    <t>NALLIERS</t>
  </si>
  <si>
    <t>17V09443</t>
  </si>
  <si>
    <t>MARCEAU</t>
  </si>
  <si>
    <t>17V09444</t>
  </si>
  <si>
    <t>PAVILLON</t>
  </si>
  <si>
    <t>OLIVET</t>
  </si>
  <si>
    <t>17V09446</t>
  </si>
  <si>
    <t>REST O</t>
  </si>
  <si>
    <t>17V10028</t>
  </si>
  <si>
    <t>SC CLUB</t>
  </si>
  <si>
    <t>17V10084</t>
  </si>
  <si>
    <t>FLEURY LES AUBRAIS</t>
  </si>
  <si>
    <t>17V10113</t>
  </si>
  <si>
    <t>L'ALIBI</t>
  </si>
  <si>
    <t>17V10343</t>
  </si>
  <si>
    <t>LES SALONS</t>
  </si>
  <si>
    <t>MIGNE AUXANCES</t>
  </si>
  <si>
    <t>17V10340</t>
  </si>
  <si>
    <t>OPEN BAR</t>
  </si>
  <si>
    <t>17V11066</t>
  </si>
  <si>
    <t>17V11064</t>
  </si>
  <si>
    <t>LE LOFT</t>
  </si>
  <si>
    <t>LA SOUTERRAINE</t>
  </si>
  <si>
    <t>17V12113</t>
  </si>
  <si>
    <t>CHAPELLE</t>
  </si>
  <si>
    <t>17V12111</t>
  </si>
  <si>
    <t>17V12109</t>
  </si>
  <si>
    <t>KHEOPS</t>
  </si>
  <si>
    <t>VIHIERS</t>
  </si>
  <si>
    <t>17V12206</t>
  </si>
  <si>
    <t>0000003070</t>
  </si>
  <si>
    <t>17V12346</t>
  </si>
  <si>
    <t>17V12340</t>
  </si>
  <si>
    <t>17V12344</t>
  </si>
  <si>
    <t>17V12334</t>
  </si>
  <si>
    <t>LE TWIST</t>
  </si>
  <si>
    <t>17V12339</t>
  </si>
  <si>
    <t>0000003682</t>
  </si>
  <si>
    <t>17V12341</t>
  </si>
  <si>
    <t>17V12343</t>
  </si>
  <si>
    <t>17V12336</t>
  </si>
  <si>
    <t>17V12342</t>
  </si>
  <si>
    <t>17V12337</t>
  </si>
  <si>
    <t>SKYBOWL</t>
  </si>
  <si>
    <t>NOTRE DAME D'OE</t>
  </si>
  <si>
    <t>17V12338</t>
  </si>
  <si>
    <t>SKYNIGHT</t>
  </si>
  <si>
    <t>17V12333</t>
  </si>
  <si>
    <t>STARS PROD</t>
  </si>
  <si>
    <t>BEAUFORT EN ANJOU</t>
  </si>
  <si>
    <t>18V01045</t>
  </si>
  <si>
    <t>18V01369</t>
  </si>
  <si>
    <t>18V02168</t>
  </si>
  <si>
    <t>LE VIP</t>
  </si>
  <si>
    <t>18V03305</t>
  </si>
  <si>
    <t>18V03303</t>
  </si>
  <si>
    <t>18V03304</t>
  </si>
  <si>
    <t>18V04417</t>
  </si>
  <si>
    <t>LE SAFARI</t>
  </si>
  <si>
    <t>18V04418</t>
  </si>
  <si>
    <t>NUGET NAVE</t>
  </si>
  <si>
    <t>NEUILLY EN DUN</t>
  </si>
  <si>
    <t>18V04419</t>
  </si>
  <si>
    <t>0000003477</t>
  </si>
  <si>
    <t>18V04420</t>
  </si>
  <si>
    <t>PERUZZI</t>
  </si>
  <si>
    <t>18V04421</t>
  </si>
  <si>
    <t>18V04399</t>
  </si>
  <si>
    <t>18V05322</t>
  </si>
  <si>
    <t>18V06171</t>
  </si>
  <si>
    <t>LA TAVERNE</t>
  </si>
  <si>
    <t>BELLEVILLE SUR LOIRE</t>
  </si>
  <si>
    <t>18V06178</t>
  </si>
  <si>
    <t>LE 49</t>
  </si>
  <si>
    <t>BEAUPREAU-EN-MAUGES</t>
  </si>
  <si>
    <t>18V06173</t>
  </si>
  <si>
    <t>18V06172</t>
  </si>
  <si>
    <t>18V06177</t>
  </si>
  <si>
    <t>18V06287</t>
  </si>
  <si>
    <t>18V06284</t>
  </si>
  <si>
    <t>18V06283</t>
  </si>
  <si>
    <t>LE CARA</t>
  </si>
  <si>
    <t>BEAUPREAU EN MAUGES</t>
  </si>
  <si>
    <t>18V06280</t>
  </si>
  <si>
    <t>18V06282</t>
  </si>
  <si>
    <t>0000003366</t>
  </si>
  <si>
    <t>18V06285</t>
  </si>
  <si>
    <t>NULLE PART</t>
  </si>
  <si>
    <t>18V06286</t>
  </si>
  <si>
    <t>18V06369</t>
  </si>
  <si>
    <t>18V10196</t>
  </si>
  <si>
    <t>AU FUT ET</t>
  </si>
  <si>
    <t>18V10192</t>
  </si>
  <si>
    <t>BISTROT DU</t>
  </si>
  <si>
    <t>MONTAMISE</t>
  </si>
  <si>
    <t>18V10188</t>
  </si>
  <si>
    <t>GALA POLYT</t>
  </si>
  <si>
    <t>18V10187</t>
  </si>
  <si>
    <t>18V10195</t>
  </si>
  <si>
    <t>18V10198</t>
  </si>
  <si>
    <t>18V10190</t>
  </si>
  <si>
    <t>18V10184</t>
  </si>
  <si>
    <t>18V10197</t>
  </si>
  <si>
    <t>18V10194</t>
  </si>
  <si>
    <t>18V10193</t>
  </si>
  <si>
    <t>18V10183</t>
  </si>
  <si>
    <t>18V10186</t>
  </si>
  <si>
    <t>18V10191</t>
  </si>
  <si>
    <t>18V10199</t>
  </si>
  <si>
    <t>FMDM</t>
  </si>
  <si>
    <t>18V10200</t>
  </si>
  <si>
    <t>18V10185</t>
  </si>
  <si>
    <t>18V10189</t>
  </si>
  <si>
    <t>VALYANIS</t>
  </si>
  <si>
    <t>18V11060</t>
  </si>
  <si>
    <t>AE MONSIEU</t>
  </si>
  <si>
    <t>SELLES SUR CHER</t>
  </si>
  <si>
    <t>18V11053</t>
  </si>
  <si>
    <t>18V11054</t>
  </si>
  <si>
    <t>18V11043</t>
  </si>
  <si>
    <t>L'HACIENDA</t>
  </si>
  <si>
    <t>SOUVIGNE</t>
  </si>
  <si>
    <t>18V11055</t>
  </si>
  <si>
    <t>18V11056</t>
  </si>
  <si>
    <t>18V11086</t>
  </si>
  <si>
    <t>18V11162</t>
  </si>
  <si>
    <t>18V11341</t>
  </si>
  <si>
    <t>18V11357</t>
  </si>
  <si>
    <t>18V12433</t>
  </si>
  <si>
    <t>18V12432</t>
  </si>
  <si>
    <t>18V12434</t>
  </si>
  <si>
    <t>18V12300</t>
  </si>
  <si>
    <t>19V03172</t>
  </si>
  <si>
    <t>19V03171</t>
  </si>
  <si>
    <t>LE DANDY</t>
  </si>
  <si>
    <t>19V03174</t>
  </si>
  <si>
    <t>PUB ORIAN'</t>
  </si>
  <si>
    <t>19V05077</t>
  </si>
  <si>
    <t>19V05109</t>
  </si>
  <si>
    <t>19V05471</t>
  </si>
  <si>
    <t>19V05501</t>
  </si>
  <si>
    <t>19V07116</t>
  </si>
  <si>
    <t>19V12430</t>
  </si>
  <si>
    <t>19V12431</t>
  </si>
  <si>
    <t>19V12429</t>
  </si>
  <si>
    <t>SARL DJ</t>
  </si>
  <si>
    <t>MONTREUIL BELAY</t>
  </si>
  <si>
    <t>LE ORLEANS</t>
  </si>
  <si>
    <t>LE LUCIFER</t>
  </si>
  <si>
    <t>ST HILAIRE ST FLORENT</t>
  </si>
  <si>
    <t>EIRL LA SOURCE</t>
  </si>
  <si>
    <t>ST AIGNY</t>
  </si>
  <si>
    <t>EIRL DESVAUX LUDOVIC, BERRY BREIZH</t>
  </si>
  <si>
    <t>20 / VIN</t>
  </si>
  <si>
    <t>ST AIGNAN</t>
  </si>
  <si>
    <t>19V03173</t>
  </si>
  <si>
    <t>LE NOCTURN</t>
  </si>
  <si>
    <t>19V03470</t>
  </si>
  <si>
    <t>LA VILLA</t>
  </si>
  <si>
    <t>19V04030</t>
  </si>
  <si>
    <t>19V05075</t>
  </si>
  <si>
    <t>19V05076</t>
  </si>
  <si>
    <t>19V05078</t>
  </si>
  <si>
    <t>RESTAURANT</t>
  </si>
  <si>
    <t>19V05470</t>
  </si>
  <si>
    <t>19V05468</t>
  </si>
  <si>
    <t>LE LYS D'O</t>
  </si>
  <si>
    <t>19V05469</t>
  </si>
  <si>
    <t>19V05465</t>
  </si>
  <si>
    <t>19V05467</t>
  </si>
  <si>
    <t>19V05466</t>
  </si>
  <si>
    <t>19V05504</t>
  </si>
  <si>
    <t>19V05507</t>
  </si>
  <si>
    <t>19V05506</t>
  </si>
  <si>
    <t>19V05505</t>
  </si>
  <si>
    <t>19V05503</t>
  </si>
  <si>
    <t>19V06199</t>
  </si>
  <si>
    <t>COLIBOWL</t>
  </si>
  <si>
    <t>19V06242</t>
  </si>
  <si>
    <t>19V06244</t>
  </si>
  <si>
    <t>19V06241</t>
  </si>
  <si>
    <t>19V06243</t>
  </si>
  <si>
    <t>19V06245</t>
  </si>
  <si>
    <t>19V06240</t>
  </si>
  <si>
    <t>19V06239</t>
  </si>
  <si>
    <t>PUB LE WAT</t>
  </si>
  <si>
    <t>BRIVE</t>
  </si>
  <si>
    <t>19V07113</t>
  </si>
  <si>
    <t>19V07112</t>
  </si>
  <si>
    <t>19V07114</t>
  </si>
  <si>
    <t>0000003624</t>
  </si>
  <si>
    <t>19V07115</t>
  </si>
  <si>
    <t>19V07361</t>
  </si>
  <si>
    <t>FAUBOURG</t>
  </si>
  <si>
    <t>SAINT HILAIRE ST FLORENT</t>
  </si>
  <si>
    <t>19V07360</t>
  </si>
  <si>
    <t>LE MANOIR</t>
  </si>
  <si>
    <t>DRACHE</t>
  </si>
  <si>
    <t>19V08206</t>
  </si>
  <si>
    <t>19V08291</t>
  </si>
  <si>
    <t>19V08292</t>
  </si>
  <si>
    <t>BISSON</t>
  </si>
  <si>
    <t>19V09087</t>
  </si>
  <si>
    <t>19V09085</t>
  </si>
  <si>
    <t>19V09088</t>
  </si>
  <si>
    <t>19V09086</t>
  </si>
  <si>
    <t>UNI VINS</t>
  </si>
  <si>
    <t>19V09333</t>
  </si>
  <si>
    <t>19V09334</t>
  </si>
  <si>
    <t>EURL GIA</t>
  </si>
  <si>
    <t>19V09330</t>
  </si>
  <si>
    <t>19V09331</t>
  </si>
  <si>
    <t>19V09336</t>
  </si>
  <si>
    <t>TROPI'K</t>
  </si>
  <si>
    <t>19V09332</t>
  </si>
  <si>
    <t>STEIB</t>
  </si>
  <si>
    <t>REIGNAC / INDRE</t>
  </si>
  <si>
    <t>19V09335</t>
  </si>
  <si>
    <t>19V09412</t>
  </si>
  <si>
    <t>19V10025</t>
  </si>
  <si>
    <t>19V10237</t>
  </si>
  <si>
    <t>LA CHAUMIE</t>
  </si>
  <si>
    <t>LE BLANC</t>
  </si>
  <si>
    <t>19V10236</t>
  </si>
  <si>
    <t>19V10231</t>
  </si>
  <si>
    <t>MAPICO</t>
  </si>
  <si>
    <t>19V10235</t>
  </si>
  <si>
    <t>TCHICO</t>
  </si>
  <si>
    <t>CENON SUR VIENNE</t>
  </si>
  <si>
    <t>19V10234</t>
  </si>
  <si>
    <t>SARL MOCA</t>
  </si>
  <si>
    <t>19V10233</t>
  </si>
  <si>
    <t>ODKA</t>
  </si>
  <si>
    <t>MONTBAZON</t>
  </si>
  <si>
    <t>19V10320</t>
  </si>
  <si>
    <t>19V11210</t>
  </si>
  <si>
    <t>LA MI TEMP</t>
  </si>
  <si>
    <t>19V11208</t>
  </si>
  <si>
    <t>19V11209</t>
  </si>
  <si>
    <t>19V11211</t>
  </si>
  <si>
    <t>19V12040</t>
  </si>
  <si>
    <t>19V12198</t>
  </si>
  <si>
    <t>LE 130</t>
  </si>
  <si>
    <t>19V12197</t>
  </si>
  <si>
    <t>LE GRAND C</t>
  </si>
  <si>
    <t>ECUEILLE</t>
  </si>
  <si>
    <t>19V12194</t>
  </si>
  <si>
    <t>LE PACIO</t>
  </si>
  <si>
    <t>19V12196</t>
  </si>
  <si>
    <t>SOPHIA</t>
  </si>
  <si>
    <t>19V12195</t>
  </si>
  <si>
    <t>19V12432</t>
  </si>
  <si>
    <t>18V06070</t>
  </si>
  <si>
    <t>19V04016</t>
  </si>
  <si>
    <t>TRANSPORT</t>
  </si>
  <si>
    <t>16V10424</t>
  </si>
  <si>
    <t>VERRE SHOOTER JÄGER</t>
  </si>
  <si>
    <t>16V02056</t>
  </si>
  <si>
    <t>VODKA IMPERIAL GOLD</t>
  </si>
  <si>
    <t>16V02265</t>
  </si>
  <si>
    <t>17V02251</t>
  </si>
  <si>
    <t>WILD TURKEY 101'</t>
  </si>
  <si>
    <t>18V06076</t>
  </si>
  <si>
    <t>WILD TURKEY 81'</t>
  </si>
  <si>
    <t>WILD TURKEY RYE 101'</t>
  </si>
  <si>
    <t>BAR ITEM-TAP MACHINE 3 btl</t>
  </si>
  <si>
    <t>BAR ITEM-TAP MACHINE 1 btl</t>
  </si>
  <si>
    <t>BAR ITEM-SG FREEZER</t>
  </si>
  <si>
    <t>BAR ITEM-SPEED POURER</t>
  </si>
  <si>
    <t>BAR ITEM-FREEZER</t>
  </si>
  <si>
    <t>TRI CL, selon Désignation</t>
  </si>
  <si>
    <t>Détail Formule</t>
  </si>
  <si>
    <t>LISTE A</t>
  </si>
  <si>
    <t>TRI Désignation, selon Catégorie</t>
  </si>
  <si>
    <t xml:space="preserve">Détail Formule </t>
  </si>
  <si>
    <t>, sans doublon et "&lt;"</t>
  </si>
  <si>
    <t>DECALER</t>
  </si>
  <si>
    <t>LISTE B</t>
  </si>
  <si>
    <t>MEZC</t>
  </si>
  <si>
    <t>LISTE C</t>
  </si>
  <si>
    <t>RHUM</t>
  </si>
  <si>
    <t>COGN</t>
  </si>
  <si>
    <t>Formule détaillée</t>
  </si>
  <si>
    <t>LIQU</t>
  </si>
  <si>
    <t>GIN</t>
  </si>
  <si>
    <t>Liste drlt</t>
  </si>
  <si>
    <t>a voir si Bar Item a Qte btl</t>
  </si>
  <si>
    <t>TRI selon Catégorie PDT sans code famille</t>
  </si>
  <si>
    <t>CAT</t>
  </si>
  <si>
    <t>Cat</t>
  </si>
  <si>
    <t>Cont</t>
  </si>
  <si>
    <t>Tri &lt; selon Cat</t>
  </si>
  <si>
    <t>Designation Liste</t>
  </si>
  <si>
    <t>Imperial collection Gold</t>
  </si>
  <si>
    <t>CL cont &gt;</t>
  </si>
  <si>
    <t>Cont Liste</t>
  </si>
  <si>
    <t>Dry Gin Sul</t>
  </si>
  <si>
    <t>Blossom Gran Reserva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</si>
</sst>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11">
    <numFmt numFmtId="44" formatCode="_-* #,##0.00\ &quot;€&quot;_-;\-* #,##0.00\ &quot;€&quot;_-;_-* &quot;-&quot;??\ &quot;€&quot;_-;_-@_-"/>
    <numFmt numFmtId="43" formatCode="_-* #,##0.00_-;\-* #,##0.00_-;_-* &quot;-&quot;??_-;_-@_-"/>
    <numFmt numFmtId="164" formatCode="0.0%"/>
    <numFmt numFmtId="165" formatCode="#,##0.00\ &quot;€&quot;"/>
    <numFmt numFmtId="166" formatCode="00&quot; %&quot;"/>
    <numFmt numFmtId="167" formatCode="0;\-0;;@"/>
    <numFmt numFmtId="168" formatCode="0.00;\-0.00;;@"/>
    <numFmt numFmtId="169" formatCode="0.000;\-0.000;;@"/>
    <numFmt numFmtId="170" formatCode="0.00;\-0.00;&quot;&quot;;@"/>
    <numFmt numFmtId="171" formatCode="0.0;\-0.0;;@"/>
    <numFmt numFmtId="172" formatCode="0.00_ ;\-0.00\ "/>
  </numFmts>
  <fonts count="2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6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theme="5" tint="-0.249977111117893"/>
      <name val="Calibri"/>
      <family val="2"/>
      <scheme val="minor"/>
    </font>
    <font>
      <b/>
      <sz val="11"/>
      <color theme="9" tint="-0.249977111117893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4"/>
      <color theme="9" tint="-0.499984740745262"/>
      <name val="Calibri"/>
      <family val="2"/>
      <scheme val="minor"/>
    </font>
    <font>
      <sz val="10"/>
      <name val="Arial"/>
    </font>
    <font>
      <b/>
      <sz val="11"/>
      <color theme="5" tint="-0.249977111117893"/>
      <name val="Calibri"/>
      <family val="2"/>
      <scheme val="minor"/>
    </font>
    <font>
      <sz val="10"/>
      <name val="Arial"/>
      <family val="2"/>
    </font>
    <font>
      <b/>
      <sz val="8"/>
      <color theme="1"/>
      <name val="Calibri"/>
      <family val="2"/>
      <scheme val="minor"/>
    </font>
    <font>
      <sz val="11"/>
      <name val="Calibri"/>
      <family val="2"/>
      <scheme val="minor"/>
    </font>
    <font>
      <sz val="8"/>
      <name val="Calibri"/>
      <family val="2"/>
      <scheme val="minor"/>
    </font>
    <font>
      <sz val="8"/>
      <color theme="1"/>
      <name val="Calibri"/>
      <family val="2"/>
      <scheme val="minor"/>
    </font>
    <font>
      <sz val="10"/>
      <name val="Calibri"/>
      <family val="2"/>
      <scheme val="minor"/>
    </font>
    <font>
      <u/>
      <sz val="10"/>
      <name val="Calibri"/>
      <family val="2"/>
      <scheme val="minor"/>
    </font>
    <font>
      <b/>
      <u/>
      <sz val="10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u/>
      <sz val="8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14"/>
      <color rgb="FFFF0000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gray125">
        <bgColor rgb="FF00B0F0"/>
      </patternFill>
    </fill>
    <fill>
      <patternFill patternType="solid">
        <fgColor rgb="FF66FF3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9" tint="0.59999389629810485"/>
        <bgColor indexed="64"/>
      </patternFill>
    </fill>
  </fills>
  <borders count="64">
    <border>
      <left/>
      <right/>
      <top/>
      <bottom/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auto="1"/>
      </left>
      <right style="thin">
        <color auto="1"/>
      </right>
      <top style="thick">
        <color auto="1"/>
      </top>
      <bottom/>
      <diagonal/>
    </border>
    <border>
      <left style="thin">
        <color auto="1"/>
      </left>
      <right style="thin">
        <color auto="1"/>
      </right>
      <top style="thick">
        <color auto="1"/>
      </top>
      <bottom/>
      <diagonal/>
    </border>
    <border>
      <left style="thin">
        <color auto="1"/>
      </left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/>
      <bottom/>
      <diagonal/>
    </border>
    <border>
      <left/>
      <right style="thick">
        <color auto="1"/>
      </right>
      <top/>
      <bottom/>
      <diagonal/>
    </border>
    <border>
      <left style="thick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ck">
        <color auto="1"/>
      </right>
      <top/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 style="thick">
        <color auto="1"/>
      </left>
      <right style="thin">
        <color auto="1"/>
      </right>
      <top/>
      <bottom style="thick">
        <color auto="1"/>
      </bottom>
      <diagonal/>
    </border>
    <border>
      <left style="thin">
        <color auto="1"/>
      </left>
      <right style="thin">
        <color auto="1"/>
      </right>
      <top/>
      <bottom style="thick">
        <color auto="1"/>
      </bottom>
      <diagonal/>
    </border>
    <border>
      <left style="thin">
        <color auto="1"/>
      </left>
      <right style="thick">
        <color auto="1"/>
      </right>
      <top/>
      <bottom style="thick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 style="medium">
        <color indexed="64"/>
      </bottom>
      <diagonal/>
    </border>
    <border>
      <left/>
      <right/>
      <top style="thick">
        <color auto="1"/>
      </top>
      <bottom style="medium">
        <color indexed="64"/>
      </bottom>
      <diagonal/>
    </border>
    <border>
      <left/>
      <right style="thick">
        <color auto="1"/>
      </right>
      <top style="thick">
        <color auto="1"/>
      </top>
      <bottom style="medium">
        <color indexed="64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medium">
        <color indexed="64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ck">
        <color auto="1"/>
      </right>
      <top/>
      <bottom style="medium">
        <color indexed="64"/>
      </bottom>
      <diagonal/>
    </border>
    <border>
      <left style="thick">
        <color auto="1"/>
      </left>
      <right/>
      <top/>
      <bottom style="medium">
        <color indexed="64"/>
      </bottom>
      <diagonal/>
    </border>
    <border>
      <left style="thick">
        <color auto="1"/>
      </left>
      <right style="thin">
        <color auto="1"/>
      </right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 style="medium">
        <color indexed="64"/>
      </bottom>
      <diagonal/>
    </border>
    <border>
      <left style="thin">
        <color auto="1"/>
      </left>
      <right style="thick">
        <color auto="1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dotted">
        <color indexed="64"/>
      </left>
      <right/>
      <top style="dotted">
        <color indexed="64"/>
      </top>
      <bottom/>
      <diagonal/>
    </border>
    <border>
      <left/>
      <right/>
      <top style="dotted">
        <color indexed="64"/>
      </top>
      <bottom/>
      <diagonal/>
    </border>
    <border>
      <left/>
      <right style="dotted">
        <color indexed="64"/>
      </right>
      <top style="dotted">
        <color indexed="64"/>
      </top>
      <bottom/>
      <diagonal/>
    </border>
    <border>
      <left style="dotted">
        <color indexed="64"/>
      </left>
      <right/>
      <top/>
      <bottom/>
      <diagonal/>
    </border>
    <border>
      <left/>
      <right style="dotted">
        <color indexed="64"/>
      </right>
      <top/>
      <bottom/>
      <diagonal/>
    </border>
    <border>
      <left style="dotted">
        <color indexed="64"/>
      </left>
      <right/>
      <top/>
      <bottom style="dotted">
        <color indexed="64"/>
      </bottom>
      <diagonal/>
    </border>
    <border>
      <left/>
      <right/>
      <top/>
      <bottom style="dotted">
        <color indexed="64"/>
      </bottom>
      <diagonal/>
    </border>
    <border>
      <left/>
      <right style="dotted">
        <color indexed="64"/>
      </right>
      <top/>
      <bottom style="dotted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</borders>
  <cellStyleXfs count="10">
    <xf numFmtId="0" fontId="0" fillId="0" borderId="0"/>
    <xf numFmtId="0" fontId="1" fillId="0" borderId="0"/>
    <xf numFmtId="0" fontId="11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9" fontId="13" fillId="0" borderId="0" applyFont="0" applyFill="0" applyBorder="0" applyAlignment="0" applyProtection="0"/>
    <xf numFmtId="44" fontId="13" fillId="0" borderId="0" applyFont="0" applyFill="0" applyBorder="0" applyAlignment="0" applyProtection="0"/>
    <xf numFmtId="0" fontId="13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279">
    <xf numFmtId="0" fontId="0" fillId="0" borderId="0" xfId="0"/>
    <xf numFmtId="0" fontId="3" fillId="0" borderId="0" xfId="1" applyFont="1" applyAlignment="1">
      <alignment horizontal="center" vertical="center"/>
    </xf>
    <xf numFmtId="0" fontId="1" fillId="0" borderId="0" xfId="1"/>
    <xf numFmtId="0" fontId="6" fillId="0" borderId="4" xfId="1" applyFont="1" applyBorder="1" applyAlignment="1">
      <alignment horizontal="center"/>
    </xf>
    <xf numFmtId="0" fontId="6" fillId="0" borderId="1" xfId="1" applyFont="1" applyBorder="1" applyAlignment="1">
      <alignment horizontal="left" indent="9"/>
    </xf>
    <xf numFmtId="0" fontId="6" fillId="0" borderId="5" xfId="1" applyFont="1" applyBorder="1" applyAlignment="1">
      <alignment horizontal="left" indent="9"/>
    </xf>
    <xf numFmtId="0" fontId="2" fillId="0" borderId="2" xfId="1" applyFont="1" applyBorder="1" applyAlignment="1">
      <alignment horizontal="left" indent="9"/>
    </xf>
    <xf numFmtId="0" fontId="7" fillId="0" borderId="4" xfId="1" applyFont="1" applyBorder="1" applyAlignment="1">
      <alignment horizontal="center"/>
    </xf>
    <xf numFmtId="0" fontId="6" fillId="4" borderId="1" xfId="1" applyFont="1" applyFill="1" applyBorder="1" applyAlignment="1">
      <alignment horizontal="left" indent="8"/>
    </xf>
    <xf numFmtId="0" fontId="1" fillId="4" borderId="5" xfId="1" applyFill="1" applyBorder="1"/>
    <xf numFmtId="0" fontId="1" fillId="4" borderId="2" xfId="1" applyFill="1" applyBorder="1"/>
    <xf numFmtId="0" fontId="8" fillId="0" borderId="4" xfId="1" applyFont="1" applyBorder="1" applyAlignment="1">
      <alignment horizontal="center" vertical="center"/>
    </xf>
    <xf numFmtId="0" fontId="2" fillId="0" borderId="4" xfId="1" applyFont="1" applyBorder="1" applyAlignment="1">
      <alignment horizontal="center" vertical="center"/>
    </xf>
    <xf numFmtId="0" fontId="2" fillId="5" borderId="1" xfId="1" applyFont="1" applyFill="1" applyBorder="1" applyAlignment="1">
      <alignment horizontal="center" vertical="center"/>
    </xf>
    <xf numFmtId="0" fontId="2" fillId="0" borderId="0" xfId="1" applyFont="1" applyAlignment="1">
      <alignment horizontal="center" vertical="center"/>
    </xf>
    <xf numFmtId="0" fontId="1" fillId="0" borderId="0" xfId="1" applyAlignment="1">
      <alignment horizontal="left" indent="9"/>
    </xf>
    <xf numFmtId="0" fontId="1" fillId="0" borderId="0" xfId="1" applyAlignment="1">
      <alignment horizontal="center"/>
    </xf>
    <xf numFmtId="0" fontId="9" fillId="4" borderId="4" xfId="1" applyFont="1" applyFill="1" applyBorder="1" applyAlignment="1">
      <alignment horizontal="right"/>
    </xf>
    <xf numFmtId="0" fontId="1" fillId="0" borderId="0" xfId="1" applyAlignment="1">
      <alignment horizontal="right"/>
    </xf>
    <xf numFmtId="0" fontId="10" fillId="0" borderId="1" xfId="1" applyFont="1" applyBorder="1" applyAlignment="1">
      <alignment horizontal="left" vertical="center" indent="4"/>
    </xf>
    <xf numFmtId="0" fontId="1" fillId="0" borderId="0" xfId="1" applyAlignment="1">
      <alignment horizontal="left" vertical="center" indent="8"/>
    </xf>
    <xf numFmtId="1" fontId="0" fillId="0" borderId="6" xfId="3" applyNumberFormat="1" applyFont="1" applyBorder="1" applyAlignment="1">
      <alignment horizontal="left"/>
    </xf>
    <xf numFmtId="0" fontId="1" fillId="0" borderId="7" xfId="1" applyBorder="1"/>
    <xf numFmtId="0" fontId="1" fillId="0" borderId="8" xfId="1" applyBorder="1"/>
    <xf numFmtId="0" fontId="12" fillId="0" borderId="6" xfId="1" applyFont="1" applyBorder="1" applyAlignment="1">
      <alignment horizontal="center"/>
    </xf>
    <xf numFmtId="0" fontId="12" fillId="0" borderId="7" xfId="1" applyFont="1" applyBorder="1" applyAlignment="1">
      <alignment horizontal="center"/>
    </xf>
    <xf numFmtId="0" fontId="1" fillId="4" borderId="9" xfId="1" applyFill="1" applyBorder="1"/>
    <xf numFmtId="44" fontId="0" fillId="4" borderId="10" xfId="4" applyFont="1" applyFill="1" applyBorder="1"/>
    <xf numFmtId="0" fontId="1" fillId="4" borderId="11" xfId="1" applyFill="1" applyBorder="1"/>
    <xf numFmtId="44" fontId="8" fillId="0" borderId="6" xfId="4" applyFont="1" applyBorder="1"/>
    <xf numFmtId="44" fontId="8" fillId="0" borderId="8" xfId="4" applyFont="1" applyBorder="1"/>
    <xf numFmtId="44" fontId="1" fillId="0" borderId="7" xfId="1" applyNumberFormat="1" applyBorder="1"/>
    <xf numFmtId="44" fontId="1" fillId="5" borderId="8" xfId="1" applyNumberFormat="1" applyFill="1" applyBorder="1"/>
    <xf numFmtId="164" fontId="1" fillId="0" borderId="0" xfId="5" applyNumberFormat="1" applyFont="1"/>
    <xf numFmtId="1" fontId="0" fillId="0" borderId="12" xfId="3" applyNumberFormat="1" applyFont="1" applyBorder="1" applyAlignment="1">
      <alignment horizontal="left"/>
    </xf>
    <xf numFmtId="0" fontId="1" fillId="0" borderId="13" xfId="1" applyBorder="1"/>
    <xf numFmtId="0" fontId="12" fillId="0" borderId="12" xfId="1" applyFont="1" applyBorder="1" applyAlignment="1">
      <alignment horizontal="center"/>
    </xf>
    <xf numFmtId="0" fontId="12" fillId="0" borderId="0" xfId="1" applyFont="1" applyAlignment="1">
      <alignment horizontal="center"/>
    </xf>
    <xf numFmtId="0" fontId="1" fillId="4" borderId="14" xfId="1" applyFill="1" applyBorder="1"/>
    <xf numFmtId="44" fontId="0" fillId="4" borderId="15" xfId="4" applyFont="1" applyFill="1" applyBorder="1"/>
    <xf numFmtId="0" fontId="1" fillId="4" borderId="16" xfId="1" applyFill="1" applyBorder="1"/>
    <xf numFmtId="44" fontId="8" fillId="0" borderId="12" xfId="4" applyFont="1" applyBorder="1"/>
    <xf numFmtId="44" fontId="8" fillId="0" borderId="13" xfId="4" applyFont="1" applyBorder="1"/>
    <xf numFmtId="44" fontId="1" fillId="0" borderId="0" xfId="1" applyNumberFormat="1"/>
    <xf numFmtId="44" fontId="1" fillId="5" borderId="13" xfId="1" applyNumberFormat="1" applyFill="1" applyBorder="1"/>
    <xf numFmtId="1" fontId="0" fillId="0" borderId="17" xfId="3" applyNumberFormat="1" applyFont="1" applyBorder="1" applyAlignment="1">
      <alignment horizontal="left"/>
    </xf>
    <xf numFmtId="0" fontId="1" fillId="0" borderId="3" xfId="1" applyBorder="1"/>
    <xf numFmtId="0" fontId="1" fillId="0" borderId="18" xfId="1" applyBorder="1"/>
    <xf numFmtId="0" fontId="12" fillId="0" borderId="17" xfId="1" applyFont="1" applyBorder="1" applyAlignment="1">
      <alignment horizontal="center"/>
    </xf>
    <xf numFmtId="0" fontId="12" fillId="0" borderId="3" xfId="1" applyFont="1" applyBorder="1" applyAlignment="1">
      <alignment horizontal="center"/>
    </xf>
    <xf numFmtId="0" fontId="1" fillId="4" borderId="19" xfId="1" applyFill="1" applyBorder="1"/>
    <xf numFmtId="44" fontId="0" fillId="4" borderId="20" xfId="4" applyFont="1" applyFill="1" applyBorder="1"/>
    <xf numFmtId="0" fontId="1" fillId="4" borderId="21" xfId="1" applyFill="1" applyBorder="1"/>
    <xf numFmtId="44" fontId="8" fillId="0" borderId="17" xfId="4" applyFont="1" applyBorder="1"/>
    <xf numFmtId="44" fontId="8" fillId="0" borderId="18" xfId="4" applyFont="1" applyBorder="1"/>
    <xf numFmtId="44" fontId="1" fillId="0" borderId="3" xfId="1" applyNumberFormat="1" applyBorder="1"/>
    <xf numFmtId="44" fontId="1" fillId="5" borderId="18" xfId="1" applyNumberFormat="1" applyFill="1" applyBorder="1"/>
    <xf numFmtId="1" fontId="0" fillId="0" borderId="0" xfId="3" applyNumberFormat="1" applyFont="1" applyBorder="1" applyAlignment="1">
      <alignment horizontal="left"/>
    </xf>
    <xf numFmtId="44" fontId="0" fillId="0" borderId="0" xfId="4" applyFont="1" applyFill="1" applyBorder="1"/>
    <xf numFmtId="44" fontId="8" fillId="0" borderId="0" xfId="4" applyFont="1" applyBorder="1"/>
    <xf numFmtId="1" fontId="10" fillId="0" borderId="6" xfId="1" applyNumberFormat="1" applyFont="1" applyBorder="1" applyAlignment="1">
      <alignment horizontal="left" vertical="center" indent="2"/>
    </xf>
    <xf numFmtId="0" fontId="1" fillId="0" borderId="8" xfId="1" applyBorder="1" applyAlignment="1">
      <alignment horizontal="left" vertical="center" indent="13"/>
    </xf>
    <xf numFmtId="44" fontId="8" fillId="0" borderId="0" xfId="4" applyFont="1" applyFill="1" applyBorder="1"/>
    <xf numFmtId="1" fontId="0" fillId="0" borderId="1" xfId="3" applyNumberFormat="1" applyFont="1" applyBorder="1" applyAlignment="1">
      <alignment horizontal="left"/>
    </xf>
    <xf numFmtId="0" fontId="1" fillId="0" borderId="5" xfId="1" applyBorder="1"/>
    <xf numFmtId="0" fontId="1" fillId="0" borderId="2" xfId="1" applyBorder="1"/>
    <xf numFmtId="0" fontId="12" fillId="0" borderId="1" xfId="1" applyFont="1" applyBorder="1" applyAlignment="1">
      <alignment horizontal="center"/>
    </xf>
    <xf numFmtId="0" fontId="12" fillId="0" borderId="5" xfId="1" applyFont="1" applyBorder="1" applyAlignment="1">
      <alignment horizontal="center"/>
    </xf>
    <xf numFmtId="44" fontId="0" fillId="4" borderId="22" xfId="4" applyFont="1" applyFill="1" applyBorder="1"/>
    <xf numFmtId="0" fontId="1" fillId="4" borderId="23" xfId="1" applyFill="1" applyBorder="1"/>
    <xf numFmtId="44" fontId="8" fillId="0" borderId="1" xfId="4" applyFont="1" applyBorder="1"/>
    <xf numFmtId="44" fontId="8" fillId="0" borderId="2" xfId="4" applyFont="1" applyBorder="1"/>
    <xf numFmtId="44" fontId="1" fillId="0" borderId="5" xfId="1" applyNumberFormat="1" applyBorder="1"/>
    <xf numFmtId="44" fontId="1" fillId="5" borderId="2" xfId="1" applyNumberFormat="1" applyFill="1" applyBorder="1"/>
    <xf numFmtId="1" fontId="10" fillId="0" borderId="6" xfId="1" applyNumberFormat="1" applyFont="1" applyBorder="1" applyAlignment="1">
      <alignment horizontal="left" vertical="center" indent="3"/>
    </xf>
    <xf numFmtId="44" fontId="1" fillId="4" borderId="9" xfId="6" applyFont="1" applyFill="1" applyBorder="1" applyAlignment="1">
      <alignment horizontal="left"/>
    </xf>
    <xf numFmtId="44" fontId="0" fillId="4" borderId="10" xfId="6" applyFont="1" applyFill="1" applyBorder="1"/>
    <xf numFmtId="44" fontId="1" fillId="4" borderId="11" xfId="6" applyFont="1" applyFill="1" applyBorder="1"/>
    <xf numFmtId="44" fontId="1" fillId="4" borderId="14" xfId="6" applyFont="1" applyFill="1" applyBorder="1" applyAlignment="1">
      <alignment horizontal="left"/>
    </xf>
    <xf numFmtId="44" fontId="0" fillId="4" borderId="15" xfId="6" applyFont="1" applyFill="1" applyBorder="1"/>
    <xf numFmtId="44" fontId="1" fillId="4" borderId="16" xfId="6" applyFont="1" applyFill="1" applyBorder="1"/>
    <xf numFmtId="44" fontId="1" fillId="4" borderId="14" xfId="6" applyFont="1" applyFill="1" applyBorder="1" applyAlignment="1">
      <alignment horizontal="left" indent="2"/>
    </xf>
    <xf numFmtId="44" fontId="1" fillId="4" borderId="19" xfId="6" applyFont="1" applyFill="1" applyBorder="1"/>
    <xf numFmtId="44" fontId="0" fillId="4" borderId="20" xfId="6" applyFont="1" applyFill="1" applyBorder="1"/>
    <xf numFmtId="44" fontId="1" fillId="4" borderId="21" xfId="6" applyFont="1" applyFill="1" applyBorder="1"/>
    <xf numFmtId="1" fontId="1" fillId="0" borderId="0" xfId="1" applyNumberFormat="1"/>
    <xf numFmtId="44" fontId="1" fillId="4" borderId="14" xfId="6" applyFont="1" applyFill="1" applyBorder="1"/>
    <xf numFmtId="44" fontId="1" fillId="0" borderId="0" xfId="6" applyFont="1"/>
    <xf numFmtId="44" fontId="1" fillId="5" borderId="13" xfId="6" applyFont="1" applyFill="1" applyBorder="1"/>
    <xf numFmtId="44" fontId="1" fillId="0" borderId="0" xfId="6" applyFont="1" applyAlignment="1">
      <alignment horizontal="center" vertical="center"/>
    </xf>
    <xf numFmtId="44" fontId="1" fillId="0" borderId="0" xfId="6" applyFont="1" applyFill="1" applyBorder="1"/>
    <xf numFmtId="44" fontId="0" fillId="0" borderId="0" xfId="6" applyFont="1" applyFill="1" applyBorder="1"/>
    <xf numFmtId="165" fontId="1" fillId="0" borderId="7" xfId="6" applyNumberFormat="1" applyFont="1" applyFill="1" applyBorder="1"/>
    <xf numFmtId="165" fontId="1" fillId="0" borderId="3" xfId="6" applyNumberFormat="1" applyFont="1" applyFill="1" applyBorder="1"/>
    <xf numFmtId="165" fontId="1" fillId="5" borderId="13" xfId="6" applyNumberFormat="1" applyFont="1" applyFill="1" applyBorder="1"/>
    <xf numFmtId="44" fontId="1" fillId="4" borderId="19" xfId="6" applyFont="1" applyFill="1" applyBorder="1" applyAlignment="1">
      <alignment horizontal="left"/>
    </xf>
    <xf numFmtId="165" fontId="1" fillId="5" borderId="18" xfId="6" applyNumberFormat="1" applyFont="1" applyFill="1" applyBorder="1"/>
    <xf numFmtId="44" fontId="1" fillId="4" borderId="24" xfId="6" applyFont="1" applyFill="1" applyBorder="1" applyAlignment="1">
      <alignment horizontal="left"/>
    </xf>
    <xf numFmtId="44" fontId="0" fillId="4" borderId="22" xfId="6" applyFont="1" applyFill="1" applyBorder="1"/>
    <xf numFmtId="44" fontId="1" fillId="4" borderId="23" xfId="6" applyFont="1" applyFill="1" applyBorder="1"/>
    <xf numFmtId="1" fontId="0" fillId="0" borderId="25" xfId="3" applyNumberFormat="1" applyFont="1" applyBorder="1" applyAlignment="1">
      <alignment horizontal="left"/>
    </xf>
    <xf numFmtId="0" fontId="1" fillId="0" borderId="26" xfId="1" applyBorder="1"/>
    <xf numFmtId="0" fontId="1" fillId="0" borderId="27" xfId="1" applyBorder="1"/>
    <xf numFmtId="0" fontId="12" fillId="0" borderId="25" xfId="1" applyFont="1" applyBorder="1" applyAlignment="1">
      <alignment horizontal="center"/>
    </xf>
    <xf numFmtId="0" fontId="12" fillId="0" borderId="26" xfId="1" applyFont="1" applyBorder="1" applyAlignment="1">
      <alignment horizontal="center"/>
    </xf>
    <xf numFmtId="44" fontId="1" fillId="4" borderId="28" xfId="6" applyFont="1" applyFill="1" applyBorder="1" applyAlignment="1">
      <alignment horizontal="left"/>
    </xf>
    <xf numFmtId="44" fontId="0" fillId="4" borderId="29" xfId="6" applyFont="1" applyFill="1" applyBorder="1"/>
    <xf numFmtId="44" fontId="1" fillId="4" borderId="30" xfId="6" applyFont="1" applyFill="1" applyBorder="1"/>
    <xf numFmtId="0" fontId="1" fillId="0" borderId="31" xfId="1" applyBorder="1"/>
    <xf numFmtId="44" fontId="8" fillId="0" borderId="25" xfId="4" applyFont="1" applyBorder="1"/>
    <xf numFmtId="44" fontId="8" fillId="0" borderId="27" xfId="4" applyFont="1" applyBorder="1"/>
    <xf numFmtId="44" fontId="1" fillId="0" borderId="26" xfId="1" applyNumberFormat="1" applyBorder="1"/>
    <xf numFmtId="165" fontId="1" fillId="5" borderId="32" xfId="6" applyNumberFormat="1" applyFont="1" applyFill="1" applyBorder="1"/>
    <xf numFmtId="1" fontId="0" fillId="0" borderId="33" xfId="3" applyNumberFormat="1" applyFont="1" applyBorder="1" applyAlignment="1">
      <alignment horizontal="left"/>
    </xf>
    <xf numFmtId="0" fontId="1" fillId="0" borderId="32" xfId="1" applyBorder="1"/>
    <xf numFmtId="0" fontId="12" fillId="0" borderId="33" xfId="1" applyFont="1" applyBorder="1" applyAlignment="1">
      <alignment horizontal="center"/>
    </xf>
    <xf numFmtId="0" fontId="12" fillId="0" borderId="31" xfId="1" applyFont="1" applyBorder="1" applyAlignment="1">
      <alignment horizontal="center"/>
    </xf>
    <xf numFmtId="44" fontId="0" fillId="4" borderId="34" xfId="6" applyFont="1" applyFill="1" applyBorder="1"/>
    <xf numFmtId="44" fontId="0" fillId="4" borderId="35" xfId="6" applyFont="1" applyFill="1" applyBorder="1"/>
    <xf numFmtId="44" fontId="1" fillId="4" borderId="36" xfId="6" applyFont="1" applyFill="1" applyBorder="1"/>
    <xf numFmtId="44" fontId="8" fillId="0" borderId="33" xfId="4" applyFont="1" applyBorder="1"/>
    <xf numFmtId="44" fontId="8" fillId="0" borderId="32" xfId="4" applyFont="1" applyBorder="1"/>
    <xf numFmtId="44" fontId="1" fillId="0" borderId="31" xfId="1" applyNumberFormat="1" applyBorder="1"/>
    <xf numFmtId="44" fontId="1" fillId="5" borderId="32" xfId="1" applyNumberFormat="1" applyFill="1" applyBorder="1"/>
    <xf numFmtId="44" fontId="1" fillId="4" borderId="0" xfId="6" applyFont="1" applyFill="1" applyBorder="1" applyAlignment="1">
      <alignment horizontal="left" indent="2"/>
    </xf>
    <xf numFmtId="44" fontId="0" fillId="4" borderId="0" xfId="6" applyFont="1" applyFill="1" applyBorder="1"/>
    <xf numFmtId="44" fontId="1" fillId="4" borderId="0" xfId="6" applyFont="1" applyFill="1" applyBorder="1"/>
    <xf numFmtId="44" fontId="1" fillId="5" borderId="27" xfId="1" applyNumberFormat="1" applyFill="1" applyBorder="1"/>
    <xf numFmtId="0" fontId="1" fillId="0" borderId="0" xfId="1" applyAlignment="1">
      <alignment horizontal="left"/>
    </xf>
    <xf numFmtId="44" fontId="1" fillId="4" borderId="0" xfId="6" applyFont="1" applyFill="1" applyBorder="1" applyAlignment="1">
      <alignment horizontal="left"/>
    </xf>
    <xf numFmtId="44" fontId="1" fillId="5" borderId="0" xfId="1" applyNumberFormat="1" applyFill="1"/>
    <xf numFmtId="44" fontId="1" fillId="4" borderId="34" xfId="6" applyFont="1" applyFill="1" applyBorder="1" applyAlignment="1">
      <alignment horizontal="left"/>
    </xf>
    <xf numFmtId="44" fontId="1" fillId="4" borderId="34" xfId="6" applyFont="1" applyFill="1" applyBorder="1"/>
    <xf numFmtId="1" fontId="10" fillId="0" borderId="1" xfId="1" applyNumberFormat="1" applyFont="1" applyBorder="1" applyAlignment="1">
      <alignment horizontal="left" vertical="center" indent="3"/>
    </xf>
    <xf numFmtId="0" fontId="1" fillId="0" borderId="2" xfId="1" applyBorder="1" applyAlignment="1">
      <alignment horizontal="left" vertical="center" indent="13"/>
    </xf>
    <xf numFmtId="0" fontId="14" fillId="0" borderId="4" xfId="1" applyFont="1" applyBorder="1" applyAlignment="1">
      <alignment vertical="center"/>
    </xf>
    <xf numFmtId="0" fontId="1" fillId="0" borderId="1" xfId="1" applyBorder="1"/>
    <xf numFmtId="0" fontId="4" fillId="6" borderId="0" xfId="1" applyFont="1" applyFill="1" applyAlignment="1">
      <alignment horizontal="left"/>
    </xf>
    <xf numFmtId="0" fontId="4" fillId="6" borderId="0" xfId="1" applyFont="1" applyFill="1"/>
    <xf numFmtId="0" fontId="4" fillId="6" borderId="8" xfId="1" applyFont="1" applyFill="1" applyBorder="1"/>
    <xf numFmtId="0" fontId="4" fillId="6" borderId="6" xfId="1" applyFont="1" applyFill="1" applyBorder="1" applyAlignment="1">
      <alignment horizontal="right"/>
    </xf>
    <xf numFmtId="0" fontId="4" fillId="6" borderId="7" xfId="1" applyFont="1" applyFill="1" applyBorder="1" applyAlignment="1">
      <alignment horizontal="right"/>
    </xf>
    <xf numFmtId="44" fontId="15" fillId="4" borderId="10" xfId="6" applyFont="1" applyFill="1" applyBorder="1"/>
    <xf numFmtId="0" fontId="4" fillId="6" borderId="13" xfId="1" applyFont="1" applyFill="1" applyBorder="1"/>
    <xf numFmtId="0" fontId="4" fillId="6" borderId="12" xfId="1" applyFont="1" applyFill="1" applyBorder="1" applyAlignment="1">
      <alignment horizontal="right"/>
    </xf>
    <xf numFmtId="0" fontId="4" fillId="6" borderId="0" xfId="1" applyFont="1" applyFill="1" applyAlignment="1">
      <alignment horizontal="right"/>
    </xf>
    <xf numFmtId="44" fontId="15" fillId="4" borderId="15" xfId="6" applyFont="1" applyFill="1" applyBorder="1"/>
    <xf numFmtId="0" fontId="4" fillId="6" borderId="31" xfId="1" applyFont="1" applyFill="1" applyBorder="1"/>
    <xf numFmtId="0" fontId="4" fillId="6" borderId="32" xfId="1" applyFont="1" applyFill="1" applyBorder="1"/>
    <xf numFmtId="0" fontId="4" fillId="6" borderId="31" xfId="1" applyFont="1" applyFill="1" applyBorder="1" applyAlignment="1">
      <alignment horizontal="right"/>
    </xf>
    <xf numFmtId="44" fontId="15" fillId="4" borderId="35" xfId="6" applyFont="1" applyFill="1" applyBorder="1"/>
    <xf numFmtId="0" fontId="0" fillId="0" borderId="37" xfId="0" applyBorder="1"/>
    <xf numFmtId="0" fontId="0" fillId="0" borderId="38" xfId="0" applyBorder="1"/>
    <xf numFmtId="0" fontId="0" fillId="0" borderId="39" xfId="0" applyBorder="1"/>
    <xf numFmtId="0" fontId="0" fillId="0" borderId="40" xfId="0" applyBorder="1"/>
    <xf numFmtId="0" fontId="0" fillId="0" borderId="0" xfId="0" applyBorder="1"/>
    <xf numFmtId="0" fontId="0" fillId="0" borderId="41" xfId="0" applyBorder="1"/>
    <xf numFmtId="0" fontId="0" fillId="0" borderId="42" xfId="0" applyBorder="1"/>
    <xf numFmtId="0" fontId="0" fillId="0" borderId="43" xfId="0" applyBorder="1"/>
    <xf numFmtId="0" fontId="0" fillId="0" borderId="44" xfId="0" applyBorder="1"/>
    <xf numFmtId="0" fontId="0" fillId="0" borderId="47" xfId="0" applyBorder="1"/>
    <xf numFmtId="0" fontId="0" fillId="0" borderId="48" xfId="0" applyBorder="1"/>
    <xf numFmtId="2" fontId="0" fillId="0" borderId="0" xfId="0" applyNumberFormat="1"/>
    <xf numFmtId="0" fontId="17" fillId="0" borderId="0" xfId="0" applyFont="1"/>
    <xf numFmtId="0" fontId="0" fillId="0" borderId="0" xfId="1" applyFont="1"/>
    <xf numFmtId="0" fontId="13" fillId="0" borderId="2" xfId="7" applyBorder="1"/>
    <xf numFmtId="0" fontId="13" fillId="0" borderId="0" xfId="7"/>
    <xf numFmtId="0" fontId="4" fillId="0" borderId="0" xfId="1" applyFont="1" applyFill="1" applyBorder="1" applyAlignment="1">
      <alignment horizontal="left"/>
    </xf>
    <xf numFmtId="0" fontId="1" fillId="0" borderId="0" xfId="1" applyBorder="1"/>
    <xf numFmtId="2" fontId="17" fillId="0" borderId="0" xfId="0" applyNumberFormat="1" applyFont="1"/>
    <xf numFmtId="0" fontId="17" fillId="0" borderId="0" xfId="0" applyFont="1" applyAlignment="1">
      <alignment horizontal="center" vertical="center"/>
    </xf>
    <xf numFmtId="0" fontId="0" fillId="0" borderId="7" xfId="1" applyFont="1" applyBorder="1"/>
    <xf numFmtId="0" fontId="0" fillId="0" borderId="3" xfId="1" applyFont="1" applyBorder="1"/>
    <xf numFmtId="166" fontId="17" fillId="0" borderId="0" xfId="0" applyNumberFormat="1" applyFont="1" applyAlignment="1">
      <alignment horizontal="center" vertical="center"/>
    </xf>
    <xf numFmtId="167" fontId="17" fillId="0" borderId="0" xfId="0" applyNumberFormat="1" applyFont="1"/>
    <xf numFmtId="167" fontId="17" fillId="0" borderId="0" xfId="0" applyNumberFormat="1" applyFont="1" applyAlignment="1">
      <alignment horizontal="center" vertical="center"/>
    </xf>
    <xf numFmtId="168" fontId="17" fillId="0" borderId="0" xfId="0" applyNumberFormat="1" applyFont="1"/>
    <xf numFmtId="169" fontId="17" fillId="0" borderId="0" xfId="0" applyNumberFormat="1" applyFont="1"/>
    <xf numFmtId="170" fontId="17" fillId="0" borderId="0" xfId="0" applyNumberFormat="1" applyFont="1"/>
    <xf numFmtId="0" fontId="21" fillId="0" borderId="0" xfId="0" applyFont="1"/>
    <xf numFmtId="167" fontId="21" fillId="0" borderId="0" xfId="0" applyNumberFormat="1" applyFont="1"/>
    <xf numFmtId="0" fontId="0" fillId="0" borderId="5" xfId="1" applyFont="1" applyBorder="1"/>
    <xf numFmtId="0" fontId="0" fillId="0" borderId="26" xfId="1" applyFont="1" applyBorder="1"/>
    <xf numFmtId="0" fontId="0" fillId="0" borderId="31" xfId="1" applyFont="1" applyBorder="1"/>
    <xf numFmtId="0" fontId="0" fillId="0" borderId="51" xfId="0" applyBorder="1"/>
    <xf numFmtId="0" fontId="0" fillId="0" borderId="52" xfId="0" applyBorder="1"/>
    <xf numFmtId="0" fontId="0" fillId="0" borderId="53" xfId="0" applyBorder="1"/>
    <xf numFmtId="0" fontId="0" fillId="0" borderId="54" xfId="0" applyBorder="1"/>
    <xf numFmtId="0" fontId="0" fillId="0" borderId="55" xfId="0" applyBorder="1"/>
    <xf numFmtId="0" fontId="0" fillId="0" borderId="56" xfId="0" applyBorder="1"/>
    <xf numFmtId="0" fontId="0" fillId="0" borderId="57" xfId="0" applyBorder="1"/>
    <xf numFmtId="0" fontId="18" fillId="7" borderId="58" xfId="0" applyFont="1" applyFill="1" applyBorder="1" applyAlignment="1">
      <alignment horizontal="center" vertical="center"/>
    </xf>
    <xf numFmtId="0" fontId="18" fillId="7" borderId="59" xfId="0" applyFont="1" applyFill="1" applyBorder="1" applyAlignment="1">
      <alignment horizontal="center" vertical="center"/>
    </xf>
    <xf numFmtId="0" fontId="20" fillId="7" borderId="59" xfId="0" applyFont="1" applyFill="1" applyBorder="1" applyAlignment="1">
      <alignment horizontal="center" vertical="center"/>
    </xf>
    <xf numFmtId="0" fontId="19" fillId="7" borderId="59" xfId="0" applyFont="1" applyFill="1" applyBorder="1" applyAlignment="1">
      <alignment horizontal="center" vertical="center"/>
    </xf>
    <xf numFmtId="0" fontId="20" fillId="7" borderId="59" xfId="0" applyFont="1" applyFill="1" applyBorder="1" applyAlignment="1">
      <alignment horizontal="left" indent="3"/>
    </xf>
    <xf numFmtId="0" fontId="19" fillId="7" borderId="59" xfId="0" applyFont="1" applyFill="1" applyBorder="1" applyAlignment="1">
      <alignment horizontal="left" indent="2"/>
    </xf>
    <xf numFmtId="0" fontId="20" fillId="7" borderId="60" xfId="0" applyFont="1" applyFill="1" applyBorder="1" applyAlignment="1">
      <alignment horizontal="center" vertical="center"/>
    </xf>
    <xf numFmtId="0" fontId="19" fillId="0" borderId="61" xfId="0" applyFont="1" applyBorder="1" applyAlignment="1">
      <alignment horizontal="center" vertical="top"/>
    </xf>
    <xf numFmtId="0" fontId="19" fillId="0" borderId="31" xfId="0" applyFont="1" applyBorder="1" applyAlignment="1">
      <alignment horizontal="center" vertical="center"/>
    </xf>
    <xf numFmtId="0" fontId="20" fillId="0" borderId="31" xfId="0" applyFont="1" applyBorder="1" applyAlignment="1">
      <alignment horizontal="center" vertical="center"/>
    </xf>
    <xf numFmtId="0" fontId="19" fillId="0" borderId="31" xfId="0" applyFont="1" applyBorder="1" applyAlignment="1">
      <alignment horizontal="center" vertical="top"/>
    </xf>
    <xf numFmtId="0" fontId="19" fillId="7" borderId="31" xfId="0" applyFont="1" applyFill="1" applyBorder="1" applyAlignment="1">
      <alignment horizontal="center" vertical="top"/>
    </xf>
    <xf numFmtId="0" fontId="19" fillId="7" borderId="62" xfId="0" applyFont="1" applyFill="1" applyBorder="1" applyAlignment="1">
      <alignment horizontal="center" vertical="center"/>
    </xf>
    <xf numFmtId="167" fontId="17" fillId="0" borderId="0" xfId="0" applyNumberFormat="1" applyFont="1" applyBorder="1" applyAlignment="1">
      <alignment horizontal="left" vertical="center"/>
    </xf>
    <xf numFmtId="167" fontId="17" fillId="0" borderId="59" xfId="0" applyNumberFormat="1" applyFont="1" applyBorder="1" applyAlignment="1">
      <alignment horizontal="left" vertical="center"/>
    </xf>
    <xf numFmtId="2" fontId="17" fillId="0" borderId="0" xfId="0" applyNumberFormat="1" applyFont="1" applyAlignment="1"/>
    <xf numFmtId="0" fontId="17" fillId="0" borderId="39" xfId="0" applyFont="1" applyBorder="1"/>
    <xf numFmtId="0" fontId="17" fillId="0" borderId="40" xfId="0" applyFont="1" applyBorder="1"/>
    <xf numFmtId="0" fontId="17" fillId="0" borderId="0" xfId="0" applyFont="1" applyBorder="1"/>
    <xf numFmtId="0" fontId="17" fillId="0" borderId="43" xfId="0" applyFont="1" applyBorder="1"/>
    <xf numFmtId="0" fontId="22" fillId="0" borderId="37" xfId="0" applyFont="1" applyBorder="1" applyAlignment="1">
      <alignment horizontal="center"/>
    </xf>
    <xf numFmtId="0" fontId="22" fillId="0" borderId="38" xfId="0" applyFont="1" applyBorder="1"/>
    <xf numFmtId="0" fontId="22" fillId="0" borderId="38" xfId="0" applyFont="1" applyBorder="1" applyAlignment="1">
      <alignment horizontal="center" vertical="center"/>
    </xf>
    <xf numFmtId="9" fontId="17" fillId="0" borderId="40" xfId="9" applyFont="1" applyBorder="1" applyAlignment="1">
      <alignment horizontal="center" vertical="center"/>
    </xf>
    <xf numFmtId="164" fontId="17" fillId="0" borderId="42" xfId="9" applyNumberFormat="1" applyFont="1" applyBorder="1" applyAlignment="1">
      <alignment horizontal="center" vertical="center"/>
    </xf>
    <xf numFmtId="2" fontId="17" fillId="0" borderId="0" xfId="8" applyNumberFormat="1" applyFont="1" applyBorder="1" applyAlignment="1">
      <alignment horizontal="center" vertical="center"/>
    </xf>
    <xf numFmtId="2" fontId="17" fillId="0" borderId="43" xfId="8" applyNumberFormat="1" applyFont="1" applyBorder="1" applyAlignment="1">
      <alignment horizontal="left" vertical="center" indent="10"/>
    </xf>
    <xf numFmtId="0" fontId="22" fillId="0" borderId="38" xfId="0" applyFont="1" applyBorder="1" applyAlignment="1"/>
    <xf numFmtId="168" fontId="17" fillId="0" borderId="0" xfId="0" applyNumberFormat="1" applyFont="1" applyBorder="1"/>
    <xf numFmtId="0" fontId="0" fillId="0" borderId="41" xfId="0" applyBorder="1" applyAlignment="1">
      <alignment horizontal="right" indent="3"/>
    </xf>
    <xf numFmtId="168" fontId="0" fillId="0" borderId="41" xfId="0" applyNumberFormat="1" applyFont="1" applyBorder="1" applyAlignment="1">
      <alignment horizontal="left" indent="12"/>
    </xf>
    <xf numFmtId="171" fontId="17" fillId="0" borderId="0" xfId="0" applyNumberFormat="1" applyFont="1" applyAlignment="1">
      <alignment horizontal="center" vertical="center"/>
    </xf>
    <xf numFmtId="2" fontId="0" fillId="0" borderId="43" xfId="0" applyNumberFormat="1" applyBorder="1"/>
    <xf numFmtId="0" fontId="13" fillId="0" borderId="0" xfId="7" applyProtection="1">
      <protection locked="0"/>
    </xf>
    <xf numFmtId="14" fontId="13" fillId="0" borderId="0" xfId="7" applyNumberFormat="1" applyProtection="1">
      <protection locked="0"/>
    </xf>
    <xf numFmtId="0" fontId="13" fillId="0" borderId="0" xfId="7" applyAlignment="1" applyProtection="1">
      <alignment horizontal="center" vertical="center"/>
      <protection locked="0"/>
    </xf>
    <xf numFmtId="1" fontId="13" fillId="0" borderId="0" xfId="7" applyNumberFormat="1" applyProtection="1">
      <protection locked="0"/>
    </xf>
    <xf numFmtId="2" fontId="13" fillId="0" borderId="0" xfId="7" applyNumberFormat="1" applyProtection="1">
      <protection locked="0"/>
    </xf>
    <xf numFmtId="1" fontId="13" fillId="0" borderId="0" xfId="7" applyNumberFormat="1" applyAlignment="1" applyProtection="1">
      <alignment horizontal="right"/>
      <protection locked="0"/>
    </xf>
    <xf numFmtId="0" fontId="13" fillId="0" borderId="0" xfId="7" applyNumberFormat="1" applyProtection="1">
      <protection locked="0"/>
    </xf>
    <xf numFmtId="0" fontId="23" fillId="0" borderId="0" xfId="1" applyFont="1"/>
    <xf numFmtId="0" fontId="5" fillId="8" borderId="0" xfId="1" applyFont="1" applyFill="1" applyAlignment="1">
      <alignment horizontal="center" vertical="center"/>
    </xf>
    <xf numFmtId="0" fontId="0" fillId="0" borderId="51" xfId="0" applyBorder="1" applyAlignment="1">
      <alignment horizontal="center"/>
    </xf>
    <xf numFmtId="0" fontId="5" fillId="8" borderId="0" xfId="1" applyFont="1" applyFill="1" applyAlignment="1">
      <alignment horizontal="center" vertical="center"/>
    </xf>
    <xf numFmtId="0" fontId="5" fillId="8" borderId="0" xfId="1" applyFont="1" applyFill="1" applyAlignment="1">
      <alignment vertical="center"/>
    </xf>
    <xf numFmtId="0" fontId="1" fillId="0" borderId="0" xfId="1" applyFill="1"/>
    <xf numFmtId="0" fontId="5" fillId="8" borderId="0" xfId="1" applyFont="1" applyFill="1" applyAlignment="1">
      <alignment horizontal="center"/>
    </xf>
    <xf numFmtId="0" fontId="25" fillId="0" borderId="0" xfId="1" applyFont="1" applyAlignment="1">
      <alignment horizontal="center"/>
    </xf>
    <xf numFmtId="0" fontId="3" fillId="2" borderId="0" xfId="1" applyFont="1" applyFill="1" applyAlignment="1">
      <alignment horizontal="center" vertical="center"/>
    </xf>
    <xf numFmtId="0" fontId="4" fillId="0" borderId="1" xfId="1" applyFont="1" applyBorder="1" applyAlignment="1">
      <alignment horizontal="center" vertical="center"/>
    </xf>
    <xf numFmtId="0" fontId="4" fillId="0" borderId="2" xfId="1" applyFont="1" applyBorder="1" applyAlignment="1">
      <alignment horizontal="center" vertical="center"/>
    </xf>
    <xf numFmtId="0" fontId="5" fillId="3" borderId="3" xfId="1" applyFont="1" applyFill="1" applyBorder="1" applyAlignment="1">
      <alignment horizontal="center"/>
    </xf>
    <xf numFmtId="0" fontId="5" fillId="8" borderId="0" xfId="1" applyFont="1" applyFill="1" applyAlignment="1">
      <alignment horizontal="center" vertical="center"/>
    </xf>
    <xf numFmtId="0" fontId="5" fillId="8" borderId="0" xfId="1" applyFont="1" applyFill="1" applyAlignment="1">
      <alignment horizontal="center"/>
    </xf>
    <xf numFmtId="2" fontId="0" fillId="0" borderId="0" xfId="0" applyNumberFormat="1" applyBorder="1" applyAlignment="1">
      <alignment horizontal="center"/>
    </xf>
    <xf numFmtId="0" fontId="0" fillId="0" borderId="50" xfId="0" applyBorder="1" applyAlignment="1">
      <alignment horizontal="center"/>
    </xf>
    <xf numFmtId="0" fontId="0" fillId="0" borderId="51" xfId="0" applyBorder="1" applyAlignment="1">
      <alignment horizontal="center"/>
    </xf>
    <xf numFmtId="172" fontId="0" fillId="0" borderId="0" xfId="0" applyNumberFormat="1" applyBorder="1" applyAlignment="1">
      <alignment horizontal="center"/>
    </xf>
    <xf numFmtId="0" fontId="0" fillId="0" borderId="41" xfId="0" applyBorder="1" applyAlignment="1">
      <alignment horizontal="center"/>
    </xf>
    <xf numFmtId="0" fontId="0" fillId="0" borderId="37" xfId="0" applyBorder="1" applyAlignment="1">
      <alignment horizontal="left"/>
    </xf>
    <xf numFmtId="0" fontId="0" fillId="0" borderId="38" xfId="0" applyBorder="1" applyAlignment="1">
      <alignment horizontal="left"/>
    </xf>
    <xf numFmtId="0" fontId="0" fillId="0" borderId="39" xfId="0" applyBorder="1" applyAlignment="1">
      <alignment horizontal="left"/>
    </xf>
    <xf numFmtId="0" fontId="0" fillId="0" borderId="40" xfId="0" applyBorder="1" applyAlignment="1">
      <alignment horizontal="left"/>
    </xf>
    <xf numFmtId="0" fontId="0" fillId="0" borderId="0" xfId="0" applyBorder="1" applyAlignment="1">
      <alignment horizontal="left"/>
    </xf>
    <xf numFmtId="0" fontId="0" fillId="0" borderId="41" xfId="0" applyBorder="1" applyAlignment="1">
      <alignment horizontal="left"/>
    </xf>
    <xf numFmtId="0" fontId="0" fillId="0" borderId="42" xfId="0" applyBorder="1" applyAlignment="1">
      <alignment horizontal="left"/>
    </xf>
    <xf numFmtId="0" fontId="0" fillId="0" borderId="43" xfId="0" applyBorder="1" applyAlignment="1">
      <alignment horizontal="left"/>
    </xf>
    <xf numFmtId="0" fontId="0" fillId="0" borderId="44" xfId="0" applyBorder="1" applyAlignment="1">
      <alignment horizontal="left"/>
    </xf>
    <xf numFmtId="2" fontId="17" fillId="0" borderId="0" xfId="8" applyNumberFormat="1" applyFont="1" applyBorder="1" applyAlignment="1">
      <alignment horizontal="left"/>
    </xf>
    <xf numFmtId="2" fontId="17" fillId="0" borderId="41" xfId="8" applyNumberFormat="1" applyFont="1" applyBorder="1" applyAlignment="1">
      <alignment horizontal="left"/>
    </xf>
    <xf numFmtId="2" fontId="17" fillId="0" borderId="43" xfId="8" applyNumberFormat="1" applyFont="1" applyBorder="1" applyAlignment="1">
      <alignment horizontal="left"/>
    </xf>
    <xf numFmtId="2" fontId="17" fillId="0" borderId="44" xfId="8" applyNumberFormat="1" applyFont="1" applyBorder="1" applyAlignment="1">
      <alignment horizontal="left"/>
    </xf>
    <xf numFmtId="0" fontId="2" fillId="0" borderId="45" xfId="0" applyFont="1" applyBorder="1" applyAlignment="1">
      <alignment horizontal="left" indent="1"/>
    </xf>
    <xf numFmtId="0" fontId="2" fillId="0" borderId="49" xfId="0" applyFont="1" applyBorder="1" applyAlignment="1">
      <alignment horizontal="left" indent="1"/>
    </xf>
    <xf numFmtId="2" fontId="0" fillId="0" borderId="49" xfId="0" applyNumberFormat="1" applyBorder="1" applyAlignment="1">
      <alignment horizontal="center"/>
    </xf>
    <xf numFmtId="2" fontId="0" fillId="0" borderId="46" xfId="0" applyNumberFormat="1" applyBorder="1" applyAlignment="1">
      <alignment horizontal="center"/>
    </xf>
    <xf numFmtId="0" fontId="24" fillId="0" borderId="37" xfId="0" applyFont="1" applyBorder="1" applyAlignment="1">
      <alignment horizontal="center"/>
    </xf>
    <xf numFmtId="0" fontId="24" fillId="0" borderId="38" xfId="0" applyFont="1" applyBorder="1" applyAlignment="1">
      <alignment horizontal="center"/>
    </xf>
    <xf numFmtId="0" fontId="24" fillId="0" borderId="39" xfId="0" applyFont="1" applyBorder="1" applyAlignment="1">
      <alignment horizontal="center"/>
    </xf>
    <xf numFmtId="0" fontId="5" fillId="0" borderId="0" xfId="1" applyFont="1" applyFill="1" applyAlignment="1">
      <alignment vertical="center"/>
    </xf>
    <xf numFmtId="0" fontId="26" fillId="8" borderId="0" xfId="1" applyFont="1" applyFill="1" applyAlignment="1">
      <alignment horizontal="center"/>
    </xf>
    <xf numFmtId="0" fontId="26" fillId="8" borderId="0" xfId="1" applyFont="1" applyFill="1" applyAlignment="1">
      <alignment horizontal="center"/>
    </xf>
    <xf numFmtId="1" fontId="13" fillId="0" borderId="0" xfId="7" quotePrefix="1" applyNumberFormat="1" applyProtection="1">
      <protection locked="0"/>
    </xf>
    <xf numFmtId="0" fontId="24" fillId="0" borderId="0" xfId="0" applyFont="1" applyBorder="1" applyAlignment="1">
      <alignment horizontal="center"/>
    </xf>
    <xf numFmtId="0" fontId="0" fillId="0" borderId="0" xfId="0" applyBorder="1" applyAlignment="1">
      <alignment horizontal="right" indent="3"/>
    </xf>
    <xf numFmtId="168" fontId="0" fillId="0" borderId="0" xfId="0" applyNumberFormat="1" applyFont="1" applyBorder="1" applyAlignment="1">
      <alignment horizontal="left" indent="12"/>
    </xf>
    <xf numFmtId="0" fontId="2" fillId="0" borderId="0" xfId="0" applyFont="1" applyAlignment="1">
      <alignment horizontal="center"/>
    </xf>
    <xf numFmtId="0" fontId="0" fillId="0" borderId="63" xfId="0" applyBorder="1"/>
  </cellXfs>
  <cellStyles count="10">
    <cellStyle name="Milliers 2" xfId="3" xr:uid="{00000000-0005-0000-0000-000000000000}"/>
    <cellStyle name="Monétaire" xfId="8" builtinId="4"/>
    <cellStyle name="Monétaire 2" xfId="4" xr:uid="{00000000-0005-0000-0000-000001000000}"/>
    <cellStyle name="Monétaire 3" xfId="6" xr:uid="{00000000-0005-0000-0000-000002000000}"/>
    <cellStyle name="Normal" xfId="0" builtinId="0"/>
    <cellStyle name="Normal 2" xfId="1" xr:uid="{00000000-0005-0000-0000-000004000000}"/>
    <cellStyle name="Normal 3" xfId="2" xr:uid="{00000000-0005-0000-0000-000005000000}"/>
    <cellStyle name="Normal 4" xfId="7" xr:uid="{00000000-0005-0000-0000-000006000000}"/>
    <cellStyle name="Pourcentage" xfId="9" builtinId="5"/>
    <cellStyle name="Pourcentage 2" xfId="5" xr:uid="{00000000-0005-0000-0000-000007000000}"/>
  </cellStyles>
  <dxfs count="48">
    <dxf>
      <font>
        <strike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168" formatCode="0.00;\-0.00;;@"/>
    </dxf>
    <dxf>
      <font>
        <strike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alignment horizontal="general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167" formatCode="0;\-0;;@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167" formatCode="0;\-0;;@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167" formatCode="0;\-0;;@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167" formatCode="0;\-0;;@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9"/>
        <color theme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167" formatCode="0;\-0;;@"/>
      <alignment horizontal="left" vertical="center" textRotation="0" wrapText="0" indent="0" justifyLastLine="0" shrinkToFit="0" readingOrder="0"/>
    </dxf>
    <dxf>
      <border>
        <bottom style="medium">
          <color indexed="64"/>
        </bottom>
      </border>
    </dxf>
    <dxf>
      <font>
        <strike val="0"/>
        <outline val="0"/>
        <shadow val="0"/>
        <u/>
        <vertAlign val="baseline"/>
        <sz val="10"/>
        <color auto="1"/>
        <name val="Calibri"/>
        <family val="2"/>
        <scheme val="minor"/>
      </font>
      <border diagonalUp="0" diagonalDown="0">
        <left/>
        <right/>
        <top/>
        <bottom/>
        <vertical/>
        <horizontal/>
      </border>
    </dxf>
    <dxf>
      <font>
        <b val="0"/>
        <i/>
        <color rgb="FFFFC000"/>
      </font>
    </dxf>
    <dxf>
      <font>
        <color rgb="FFC00000"/>
      </font>
    </dxf>
    <dxf>
      <numFmt numFmtId="2" formatCode="0.00"/>
      <protection locked="0" hidden="0"/>
    </dxf>
    <dxf>
      <protection locked="0" hidden="0"/>
    </dxf>
    <dxf>
      <numFmt numFmtId="0" formatCode="General"/>
      <protection locked="0" hidden="0"/>
    </dxf>
    <dxf>
      <numFmt numFmtId="0" formatCode="General"/>
      <protection locked="0" hidden="0"/>
    </dxf>
    <dxf>
      <protection locked="0" hidden="0"/>
    </dxf>
    <dxf>
      <numFmt numFmtId="2" formatCode="0.00"/>
      <protection locked="0" hidden="0"/>
    </dxf>
    <dxf>
      <numFmt numFmtId="2" formatCode="0.00"/>
      <protection locked="0" hidden="0"/>
    </dxf>
    <dxf>
      <numFmt numFmtId="1" formatCode="0"/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protection locked="0" hidden="0"/>
    </dxf>
    <dxf>
      <protection locked="0" hidden="0"/>
    </dxf>
    <dxf>
      <numFmt numFmtId="0" formatCode="General"/>
      <protection locked="0" hidden="0"/>
    </dxf>
    <dxf>
      <numFmt numFmtId="19" formatCode="dd/mm/yyyy"/>
      <protection locked="0" hidden="0"/>
    </dxf>
    <dxf>
      <protection locked="0" hidden="0"/>
    </dxf>
    <dxf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right" vertical="bottom" textRotation="0" wrapText="0" indent="0" justifyLastLine="0" shrinkToFit="0" readingOrder="0"/>
      <border diagonalUp="0" diagonalDown="0">
        <left style="thick">
          <color auto="1"/>
        </left>
        <right/>
        <top/>
        <bottom/>
        <vertical/>
        <horizontal/>
      </border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righ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left" vertical="bottom" textRotation="0" wrapText="0" indent="0" justifyLastLine="0" shrinkToFit="0" readingOrder="0"/>
    </dxf>
    <dxf>
      <alignment horizontal="left" vertical="center" textRotation="0" wrapText="0" indent="13" justifyLastLine="0" shrinkToFit="0" readingOrder="0"/>
      <border diagonalUp="0" diagonalDown="0" outline="0">
        <left/>
        <right style="thick">
          <color auto="1"/>
        </right>
        <top/>
        <bottom/>
      </border>
    </dxf>
    <dxf>
      <border outline="0">
        <top style="thick">
          <color auto="1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left" vertical="bottom" textRotation="0" wrapText="0" indent="0" justifyLastLine="0" shrinkToFit="0" readingOrder="0"/>
    </dxf>
    <dxf>
      <alignment horizontal="left" vertical="center" textRotation="0" wrapText="0" indent="13" justifyLastLine="0" shrinkToFit="0" readingOrder="0"/>
    </dxf>
    <dxf>
      <font>
        <b/>
        <i val="0"/>
        <color theme="1"/>
      </font>
    </dxf>
    <dxf>
      <font>
        <b/>
        <i val="0"/>
        <color auto="1"/>
      </font>
    </dxf>
  </dxfs>
  <tableStyles count="2" defaultTableStyle="TableStyleMedium2" defaultPivotStyle="PivotStyleLight16">
    <tableStyle name="Style de tableau 1" pivot="0" count="1" xr9:uid="{223A4CFB-6C44-4C57-89BC-1017DD5B5831}">
      <tableStyleElement type="headerRow" dxfId="47"/>
    </tableStyle>
    <tableStyle name="Style de tableau 2" pivot="0" count="1" xr9:uid="{1C95639A-B5C4-4C3F-8054-D7044E61A8B5}">
      <tableStyleElement type="wholeTable" dxfId="46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11" Type="http://schemas.microsoft.com/office/2017/10/relationships/person" Target="persons/person.xml"/><Relationship Id="rId5" Type="http://schemas.openxmlformats.org/officeDocument/2006/relationships/externalLink" Target="externalLinks/externalLink1.xml"/><Relationship Id="rId10" Type="http://schemas.openxmlformats.org/officeDocument/2006/relationships/sheetMetadata" Target="metadata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ropbox/PRO/SECTEUR%20REGION%20CENTRE/STATISTIQUES%20VENTES%20-%20REGION%20CENTRE/2020/STATS%20-%20REGION%20CENTRE%20SH%20since%202016%2001%20-%202020%200215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Dropbox/PRO/SECTEUR%20REGION%20CENTRE/STATISTIQUES%20VENTES%20-%20REGION%20CENTRE/2020/STATS%20-%20REGION%20CENTRE%20SH%20since%202016%2001-%20test%20regroup%20marques%20-%202020%2002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CD_Evol Qte btl par Cde"/>
      <sheetName val="Feuil10"/>
      <sheetName val="Evol_Volumétrie_Réfs Spi Prio"/>
      <sheetName val="Evol_CA_Réfs Spi Prio"/>
      <sheetName val="Evol_Vtes_JGM_TM"/>
      <sheetName val="Evol_CA_Global"/>
      <sheetName val="Feuil1"/>
      <sheetName val="MJGES01_00028_2"/>
      <sheetName val="Grille_Tarifs_Modulable"/>
      <sheetName val="Table_indices_Taxes_Alcool"/>
      <sheetName val="Références_Sélections_Champs"/>
      <sheetName val="Feuil6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>
        <row r="6">
          <cell r="B6" t="str">
            <v>EAN</v>
          </cell>
          <cell r="C6" t="str">
            <v>DESIGNATION</v>
          </cell>
          <cell r="F6" t="str">
            <v>CL</v>
          </cell>
        </row>
        <row r="7">
          <cell r="B7"/>
          <cell r="C7"/>
          <cell r="D7"/>
          <cell r="E7"/>
          <cell r="G7"/>
          <cell r="H7"/>
          <cell r="I7" t="str">
            <v>CHR</v>
          </cell>
          <cell r="J7" t="str">
            <v>GROS</v>
          </cell>
          <cell r="K7" t="str">
            <v>GMS</v>
          </cell>
          <cell r="M7">
            <v>1786.59</v>
          </cell>
          <cell r="N7">
            <v>573.64</v>
          </cell>
        </row>
        <row r="8">
          <cell r="B8"/>
          <cell r="C8"/>
          <cell r="D8"/>
          <cell r="E8"/>
          <cell r="G8"/>
          <cell r="H8"/>
          <cell r="I8"/>
          <cell r="J8"/>
          <cell r="K8"/>
          <cell r="M8">
            <v>193.73</v>
          </cell>
        </row>
        <row r="9">
          <cell r="B9" t="str">
            <v>Jägermeisteri</v>
          </cell>
          <cell r="C9"/>
          <cell r="D9"/>
          <cell r="F9"/>
        </row>
        <row r="10">
          <cell r="B10">
            <v>4067700013835</v>
          </cell>
          <cell r="C10" t="str">
            <v>Jägermeister</v>
          </cell>
          <cell r="D10"/>
          <cell r="E10"/>
          <cell r="F10">
            <v>175</v>
          </cell>
          <cell r="G10">
            <v>35</v>
          </cell>
          <cell r="H10">
            <v>6</v>
          </cell>
          <cell r="I10">
            <v>17.809999999999999</v>
          </cell>
          <cell r="J10">
            <v>14.46</v>
          </cell>
          <cell r="K10"/>
          <cell r="M10">
            <v>10.942863749999999</v>
          </cell>
          <cell r="N10">
            <v>3.5135449999999997</v>
          </cell>
          <cell r="O10">
            <v>28.916408750000002</v>
          </cell>
          <cell r="P10">
            <v>34.699690500000003</v>
          </cell>
          <cell r="Q10">
            <v>0.2</v>
          </cell>
          <cell r="T10" t="str">
            <v>Jägermeister</v>
          </cell>
          <cell r="AA10">
            <v>175</v>
          </cell>
        </row>
        <row r="11">
          <cell r="B11">
            <v>4067700013842</v>
          </cell>
          <cell r="C11" t="str">
            <v>Jägermeister</v>
          </cell>
          <cell r="E11"/>
          <cell r="F11">
            <v>100</v>
          </cell>
          <cell r="G11">
            <v>35</v>
          </cell>
          <cell r="H11">
            <v>6</v>
          </cell>
          <cell r="I11">
            <v>10.89</v>
          </cell>
          <cell r="J11">
            <v>8.84</v>
          </cell>
          <cell r="K11"/>
          <cell r="M11">
            <v>6.2530649999999994</v>
          </cell>
          <cell r="N11">
            <v>2.0077399999999996</v>
          </cell>
          <cell r="O11">
            <v>17.100804999999998</v>
          </cell>
          <cell r="P11">
            <v>20.520965999999998</v>
          </cell>
          <cell r="Q11">
            <v>0.2</v>
          </cell>
          <cell r="T11" t="str">
            <v>Jägermeister Scharf</v>
          </cell>
          <cell r="AA11">
            <v>100</v>
          </cell>
        </row>
        <row r="12">
          <cell r="B12">
            <v>4067700013859</v>
          </cell>
          <cell r="C12" t="str">
            <v>Jägermeister</v>
          </cell>
          <cell r="E12"/>
          <cell r="F12">
            <v>70</v>
          </cell>
          <cell r="G12">
            <v>35</v>
          </cell>
          <cell r="H12">
            <v>6</v>
          </cell>
          <cell r="I12">
            <v>8.16</v>
          </cell>
          <cell r="J12">
            <v>6.75</v>
          </cell>
          <cell r="K12"/>
          <cell r="M12">
            <v>4.3771454999999992</v>
          </cell>
          <cell r="N12">
            <v>1.4054180000000001</v>
          </cell>
          <cell r="O12">
            <v>12.532563499999998</v>
          </cell>
          <cell r="P12">
            <v>15.039076199999998</v>
          </cell>
          <cell r="Q12">
            <v>0.2</v>
          </cell>
          <cell r="T12" t="str">
            <v>Jägermeister distributeur miniatures</v>
          </cell>
          <cell r="AA12">
            <v>70</v>
          </cell>
        </row>
        <row r="13">
          <cell r="B13">
            <v>4067700012085</v>
          </cell>
          <cell r="C13" t="str">
            <v>Jägermeister Scharf</v>
          </cell>
          <cell r="E13"/>
          <cell r="F13">
            <v>70</v>
          </cell>
          <cell r="G13">
            <v>33</v>
          </cell>
          <cell r="H13">
            <v>6</v>
          </cell>
          <cell r="I13">
            <v>8.16</v>
          </cell>
          <cell r="J13">
            <v>6.75</v>
          </cell>
          <cell r="K13"/>
          <cell r="M13">
            <v>4.1270229</v>
          </cell>
          <cell r="N13">
            <v>1.3251084000000002</v>
          </cell>
          <cell r="O13">
            <v>12.2021313</v>
          </cell>
          <cell r="P13">
            <v>14.64255756</v>
          </cell>
          <cell r="Q13">
            <v>0.2</v>
          </cell>
          <cell r="T13" t="str">
            <v>Sambuca Molinari Extra</v>
          </cell>
          <cell r="AA13">
            <v>35</v>
          </cell>
        </row>
        <row r="14">
          <cell r="B14">
            <v>4067700013866</v>
          </cell>
          <cell r="C14" t="str">
            <v>Jägermeister</v>
          </cell>
          <cell r="E14"/>
          <cell r="F14">
            <v>35</v>
          </cell>
          <cell r="G14">
            <v>35</v>
          </cell>
          <cell r="H14">
            <v>6</v>
          </cell>
          <cell r="I14">
            <v>4.08</v>
          </cell>
          <cell r="J14">
            <v>3.38</v>
          </cell>
          <cell r="K14"/>
          <cell r="M14">
            <v>2.1885727499999996</v>
          </cell>
          <cell r="N14">
            <v>0.70270900000000003</v>
          </cell>
          <cell r="O14">
            <v>6.27128175</v>
          </cell>
          <cell r="P14">
            <v>7.5255381000000003</v>
          </cell>
          <cell r="Q14">
            <v>0.2</v>
          </cell>
          <cell r="T14" t="str">
            <v xml:space="preserve">Sambuca Molinari Caffé </v>
          </cell>
          <cell r="AA14">
            <v>2</v>
          </cell>
        </row>
        <row r="15">
          <cell r="B15">
            <v>4067700015884</v>
          </cell>
          <cell r="C15" t="str">
            <v>Jägermeister distributeur miniatures</v>
          </cell>
          <cell r="D15"/>
          <cell r="E15"/>
          <cell r="F15">
            <v>2</v>
          </cell>
          <cell r="G15">
            <v>35</v>
          </cell>
          <cell r="H15">
            <v>6</v>
          </cell>
          <cell r="I15">
            <v>0.56000000000000005</v>
          </cell>
          <cell r="J15">
            <v>0.47</v>
          </cell>
          <cell r="K15"/>
          <cell r="M15">
            <v>0.12506129999999999</v>
          </cell>
          <cell r="N15">
            <v>4.0154799999999997E-2</v>
          </cell>
          <cell r="O15">
            <v>0.63521610000000006</v>
          </cell>
          <cell r="P15">
            <v>0.76225932000000007</v>
          </cell>
          <cell r="Q15">
            <v>0.2</v>
          </cell>
          <cell r="T15" t="str">
            <v xml:space="preserve">Limoncello di Capri </v>
          </cell>
          <cell r="AA15">
            <v>50</v>
          </cell>
        </row>
        <row r="16">
          <cell r="B16"/>
          <cell r="C16"/>
          <cell r="D16"/>
          <cell r="E16"/>
          <cell r="F16"/>
          <cell r="G16"/>
          <cell r="H16"/>
          <cell r="I16"/>
          <cell r="J16"/>
          <cell r="K16"/>
          <cell r="M16"/>
          <cell r="N16"/>
          <cell r="T16" t="str">
            <v xml:space="preserve">Danzinger Goldwasser </v>
          </cell>
          <cell r="AA16">
            <v>75</v>
          </cell>
        </row>
        <row r="17">
          <cell r="B17" t="str">
            <v>Sambuca Molinari</v>
          </cell>
          <cell r="C17"/>
          <cell r="D17"/>
          <cell r="T17" t="str">
            <v>Santiago de Cuba, Carta Blanca</v>
          </cell>
          <cell r="AA17">
            <v>10</v>
          </cell>
        </row>
        <row r="18">
          <cell r="B18">
            <v>8002095200039</v>
          </cell>
          <cell r="C18" t="str">
            <v>Sambuca Molinari Extra</v>
          </cell>
          <cell r="D18"/>
          <cell r="E18"/>
          <cell r="F18">
            <v>100</v>
          </cell>
          <cell r="G18">
            <v>40</v>
          </cell>
          <cell r="H18">
            <v>6</v>
          </cell>
          <cell r="I18">
            <v>11.35</v>
          </cell>
          <cell r="J18">
            <v>11.35</v>
          </cell>
          <cell r="K18"/>
          <cell r="M18">
            <v>7.1463600000000005</v>
          </cell>
          <cell r="N18">
            <v>2.2945600000000002</v>
          </cell>
          <cell r="O18">
            <v>20.79092</v>
          </cell>
          <cell r="P18">
            <v>24.949103999999998</v>
          </cell>
          <cell r="Q18">
            <v>0.2</v>
          </cell>
          <cell r="T18" t="str">
            <v>Santiago de Cuba Anejo</v>
          </cell>
          <cell r="AA18">
            <v>5</v>
          </cell>
        </row>
        <row r="19">
          <cell r="B19">
            <v>8002095100001</v>
          </cell>
          <cell r="C19" t="str">
            <v>Sambuca Molinari Extra</v>
          </cell>
          <cell r="E19"/>
          <cell r="F19">
            <v>70</v>
          </cell>
          <cell r="G19">
            <v>40</v>
          </cell>
          <cell r="H19">
            <v>6</v>
          </cell>
          <cell r="I19">
            <v>9.42</v>
          </cell>
          <cell r="J19">
            <v>9.42</v>
          </cell>
          <cell r="K19"/>
          <cell r="M19">
            <v>5.0024519999999999</v>
          </cell>
          <cell r="N19">
            <v>1.6061920000000001</v>
          </cell>
          <cell r="O19">
            <v>16.028644</v>
          </cell>
          <cell r="P19">
            <v>19.234372799999999</v>
          </cell>
          <cell r="Q19">
            <v>0.2</v>
          </cell>
          <cell r="T19" t="str">
            <v>Santiago de Cuba, 12 ans</v>
          </cell>
          <cell r="AA19">
            <v>20</v>
          </cell>
        </row>
        <row r="20">
          <cell r="B20">
            <v>8002095736606</v>
          </cell>
          <cell r="C20" t="str">
            <v xml:space="preserve">Sambuca Molinari Caffé </v>
          </cell>
          <cell r="D20"/>
          <cell r="E20"/>
          <cell r="F20">
            <v>70</v>
          </cell>
          <cell r="G20">
            <v>36</v>
          </cell>
          <cell r="H20">
            <v>6</v>
          </cell>
          <cell r="I20">
            <v>9.8000000000000007</v>
          </cell>
          <cell r="J20">
            <v>9.8000000000000007</v>
          </cell>
          <cell r="K20"/>
          <cell r="L20"/>
          <cell r="M20">
            <v>4.5022067999999997</v>
          </cell>
          <cell r="N20">
            <v>1.4455728000000001</v>
          </cell>
          <cell r="O20">
            <v>15.747779600000001</v>
          </cell>
          <cell r="P20">
            <v>18.897335520000002</v>
          </cell>
          <cell r="Q20">
            <v>0.2</v>
          </cell>
          <cell r="T20" t="str">
            <v>Santiago de Cuba, 20 ans</v>
          </cell>
          <cell r="AA20">
            <v>3</v>
          </cell>
        </row>
        <row r="21">
          <cell r="B21"/>
          <cell r="C21"/>
          <cell r="E21"/>
          <cell r="F21"/>
          <cell r="G21"/>
          <cell r="H21"/>
          <cell r="I21"/>
          <cell r="J21"/>
          <cell r="K21"/>
          <cell r="M21"/>
          <cell r="N21"/>
          <cell r="T21" t="str">
            <v>Santiago de Cuba, 25 ans</v>
          </cell>
          <cell r="AA21">
            <v>1</v>
          </cell>
        </row>
        <row r="22">
          <cell r="B22" t="str">
            <v>Limoncello Di Capri</v>
          </cell>
          <cell r="C22"/>
          <cell r="D22"/>
          <cell r="T22" t="str">
            <v>Meukow Vanilla</v>
          </cell>
          <cell r="AA22">
            <v>4</v>
          </cell>
        </row>
        <row r="23">
          <cell r="B23">
            <v>8017450003507</v>
          </cell>
          <cell r="C23" t="str">
            <v xml:space="preserve">Limoncello di Capri </v>
          </cell>
          <cell r="D23"/>
          <cell r="E23"/>
          <cell r="F23">
            <v>50</v>
          </cell>
          <cell r="G23">
            <v>30</v>
          </cell>
          <cell r="H23">
            <v>6</v>
          </cell>
          <cell r="I23">
            <v>8.92</v>
          </cell>
          <cell r="J23">
            <v>8.92</v>
          </cell>
          <cell r="K23"/>
          <cell r="M23">
            <v>2.6798850000000001</v>
          </cell>
          <cell r="N23">
            <v>0.86045999999999989</v>
          </cell>
          <cell r="O23">
            <v>12.460345</v>
          </cell>
          <cell r="P23">
            <v>14.952414000000001</v>
          </cell>
          <cell r="Q23">
            <v>0.2</v>
          </cell>
          <cell r="T23" t="str">
            <v>Meukow Xpresso</v>
          </cell>
          <cell r="AA23">
            <v>6</v>
          </cell>
        </row>
        <row r="24">
          <cell r="B24">
            <v>8017450002104</v>
          </cell>
          <cell r="C24" t="str">
            <v xml:space="preserve">Limoncello di Capri </v>
          </cell>
          <cell r="D24"/>
          <cell r="E24"/>
          <cell r="F24">
            <v>70</v>
          </cell>
          <cell r="G24">
            <v>30</v>
          </cell>
          <cell r="H24">
            <v>6</v>
          </cell>
          <cell r="I24">
            <v>9.31</v>
          </cell>
          <cell r="J24">
            <v>9.31</v>
          </cell>
          <cell r="K24"/>
          <cell r="L24"/>
          <cell r="M24">
            <v>3.7518389999999995</v>
          </cell>
          <cell r="N24">
            <v>1.204644</v>
          </cell>
          <cell r="O24">
            <v>14.266482999999999</v>
          </cell>
          <cell r="P24">
            <v>17.119779600000001</v>
          </cell>
          <cell r="Q24">
            <v>0.2</v>
          </cell>
          <cell r="T24" t="str">
            <v xml:space="preserve">Meukow VS </v>
          </cell>
          <cell r="AA24" t="str">
            <v xml:space="preserve"> </v>
          </cell>
        </row>
        <row r="25">
          <cell r="B25"/>
          <cell r="C25"/>
          <cell r="E25"/>
          <cell r="F25"/>
          <cell r="G25"/>
          <cell r="H25"/>
          <cell r="I25"/>
          <cell r="J25"/>
          <cell r="K25"/>
          <cell r="L25"/>
          <cell r="M25"/>
          <cell r="N25"/>
          <cell r="T25" t="str">
            <v>Meukow VS coffret 2 verres</v>
          </cell>
          <cell r="AA25" t="str">
            <v xml:space="preserve"> </v>
          </cell>
        </row>
        <row r="26">
          <cell r="B26" t="str">
            <v>Danziger Goldwasser</v>
          </cell>
          <cell r="C26"/>
          <cell r="D26"/>
          <cell r="T26" t="str">
            <v>Meukow 90'</v>
          </cell>
          <cell r="AA26" t="str">
            <v xml:space="preserve"> </v>
          </cell>
        </row>
        <row r="27">
          <cell r="B27">
            <v>4055800060200</v>
          </cell>
          <cell r="C27" t="str">
            <v xml:space="preserve">Danzinger Goldwasser </v>
          </cell>
          <cell r="D27"/>
          <cell r="E27"/>
          <cell r="F27">
            <v>70</v>
          </cell>
          <cell r="G27">
            <v>40</v>
          </cell>
          <cell r="H27">
            <v>6</v>
          </cell>
          <cell r="I27">
            <v>11.98</v>
          </cell>
          <cell r="J27">
            <v>10.8</v>
          </cell>
          <cell r="K27"/>
          <cell r="L27"/>
          <cell r="M27">
            <v>5.0024519999999999</v>
          </cell>
          <cell r="N27">
            <v>1.6061920000000001</v>
          </cell>
          <cell r="O27">
            <v>17.408644000000002</v>
          </cell>
          <cell r="P27">
            <v>20.890372800000002</v>
          </cell>
          <cell r="Q27">
            <v>0.2</v>
          </cell>
          <cell r="T27" t="str">
            <v>Meukow 90' boite métal</v>
          </cell>
          <cell r="AA27" t="str">
            <v xml:space="preserve"> </v>
          </cell>
        </row>
        <row r="28">
          <cell r="B28"/>
          <cell r="C28"/>
          <cell r="D28"/>
          <cell r="E28"/>
          <cell r="F28"/>
          <cell r="G28"/>
          <cell r="H28"/>
          <cell r="I28"/>
          <cell r="J28"/>
          <cell r="K28"/>
          <cell r="M28"/>
          <cell r="N28"/>
          <cell r="T28" t="str">
            <v>Meukow VSOP</v>
          </cell>
          <cell r="AA28" t="str">
            <v xml:space="preserve"> </v>
          </cell>
        </row>
        <row r="29">
          <cell r="B29" t="str">
            <v>Rhum Santiago</v>
          </cell>
          <cell r="C29"/>
          <cell r="J29"/>
          <cell r="T29" t="str">
            <v>Meukow VSOP  boite métal</v>
          </cell>
          <cell r="AA29" t="str">
            <v xml:space="preserve"> </v>
          </cell>
        </row>
        <row r="30">
          <cell r="B30">
            <v>3257150410068</v>
          </cell>
          <cell r="C30" t="str">
            <v>Santiago de Cuba, Carta Blanca</v>
          </cell>
          <cell r="D30"/>
          <cell r="E30"/>
          <cell r="F30">
            <v>100</v>
          </cell>
          <cell r="G30">
            <v>38</v>
          </cell>
          <cell r="H30">
            <v>6</v>
          </cell>
          <cell r="I30">
            <v>5.77</v>
          </cell>
          <cell r="J30">
            <v>5.22</v>
          </cell>
          <cell r="K30"/>
          <cell r="M30">
            <v>6.7890420000000002</v>
          </cell>
          <cell r="N30">
            <v>2.1798319999999998</v>
          </cell>
          <cell r="O30">
            <v>14.188874</v>
          </cell>
          <cell r="P30">
            <v>17.0266488</v>
          </cell>
          <cell r="Q30">
            <v>0.2</v>
          </cell>
          <cell r="T30" t="str">
            <v>Meukow VSOP coffret 2 verres</v>
          </cell>
        </row>
        <row r="31">
          <cell r="B31">
            <v>8500000917008</v>
          </cell>
          <cell r="C31" t="str">
            <v>Santiago de Cuba, Carta Blanca</v>
          </cell>
          <cell r="E31"/>
          <cell r="F31">
            <v>70</v>
          </cell>
          <cell r="G31">
            <v>38</v>
          </cell>
          <cell r="H31">
            <v>6</v>
          </cell>
          <cell r="I31">
            <v>5.25</v>
          </cell>
          <cell r="J31">
            <v>4.75</v>
          </cell>
          <cell r="K31"/>
          <cell r="M31">
            <v>4.7523293999999998</v>
          </cell>
          <cell r="N31">
            <v>1.5258824</v>
          </cell>
          <cell r="O31">
            <v>11.028211800000001</v>
          </cell>
          <cell r="P31">
            <v>13.233854160000002</v>
          </cell>
          <cell r="Q31">
            <v>0.2</v>
          </cell>
          <cell r="T31" t="str">
            <v>Félin Arima sans étui</v>
          </cell>
        </row>
        <row r="32">
          <cell r="B32">
            <v>3257150410167</v>
          </cell>
          <cell r="C32" t="str">
            <v>Santiago de Cuba Anejo</v>
          </cell>
          <cell r="E32"/>
          <cell r="F32">
            <v>100</v>
          </cell>
          <cell r="G32">
            <v>38</v>
          </cell>
          <cell r="H32">
            <v>6</v>
          </cell>
          <cell r="I32">
            <v>7.52</v>
          </cell>
          <cell r="J32">
            <v>6.81</v>
          </cell>
          <cell r="K32"/>
          <cell r="M32">
            <v>6.7890420000000002</v>
          </cell>
          <cell r="N32">
            <v>2.1798319999999998</v>
          </cell>
          <cell r="O32">
            <v>15.778874</v>
          </cell>
          <cell r="P32">
            <v>18.934648800000002</v>
          </cell>
          <cell r="Q32">
            <v>0.2</v>
          </cell>
          <cell r="T32" t="str">
            <v>Meukow Icône Etui</v>
          </cell>
        </row>
        <row r="33">
          <cell r="B33">
            <v>8500000917015</v>
          </cell>
          <cell r="C33" t="str">
            <v>Santiago de Cuba Anejo</v>
          </cell>
          <cell r="E33"/>
          <cell r="F33">
            <v>70</v>
          </cell>
          <cell r="G33">
            <v>38</v>
          </cell>
          <cell r="H33">
            <v>6</v>
          </cell>
          <cell r="I33">
            <v>6.46</v>
          </cell>
          <cell r="J33">
            <v>5.62</v>
          </cell>
          <cell r="K33"/>
          <cell r="M33">
            <v>4.7523293999999998</v>
          </cell>
          <cell r="N33">
            <v>1.5258824</v>
          </cell>
          <cell r="O33">
            <v>11.8982118</v>
          </cell>
          <cell r="P33">
            <v>14.27785416</v>
          </cell>
          <cell r="Q33">
            <v>0.2</v>
          </cell>
          <cell r="T33" t="str">
            <v>Meukow XO Boite Métal</v>
          </cell>
        </row>
        <row r="34">
          <cell r="B34">
            <v>8500000916445</v>
          </cell>
          <cell r="C34" t="str">
            <v>Santiago de Cuba, 12 ans</v>
          </cell>
          <cell r="E34"/>
          <cell r="F34">
            <v>70</v>
          </cell>
          <cell r="G34">
            <v>40</v>
          </cell>
          <cell r="H34">
            <v>6</v>
          </cell>
          <cell r="I34">
            <v>37</v>
          </cell>
          <cell r="J34">
            <v>30.8</v>
          </cell>
          <cell r="K34"/>
          <cell r="M34">
            <v>5.0024519999999999</v>
          </cell>
          <cell r="N34">
            <v>1.6061920000000001</v>
          </cell>
          <cell r="O34">
            <v>37.408644000000002</v>
          </cell>
          <cell r="P34">
            <v>44.890372800000002</v>
          </cell>
          <cell r="Q34">
            <v>0.2</v>
          </cell>
          <cell r="T34" t="str">
            <v>Meukow XO Etui</v>
          </cell>
        </row>
        <row r="35">
          <cell r="B35">
            <v>8500000917022</v>
          </cell>
          <cell r="C35" t="str">
            <v>Santiago de Cuba, 20 ans</v>
          </cell>
          <cell r="E35"/>
          <cell r="F35">
            <v>70</v>
          </cell>
          <cell r="G35">
            <v>40</v>
          </cell>
          <cell r="H35">
            <v>6</v>
          </cell>
          <cell r="I35">
            <v>74</v>
          </cell>
          <cell r="J35">
            <v>61.6</v>
          </cell>
          <cell r="K35"/>
          <cell r="M35">
            <v>5.0024519999999999</v>
          </cell>
          <cell r="N35">
            <v>1.6061920000000001</v>
          </cell>
          <cell r="O35">
            <v>68.208643999999993</v>
          </cell>
          <cell r="P35">
            <v>81.850372799999988</v>
          </cell>
          <cell r="Q35">
            <v>0.2</v>
          </cell>
          <cell r="T35" t="str">
            <v>Meukow XO Grde Champagne Etui</v>
          </cell>
        </row>
        <row r="36">
          <cell r="B36">
            <v>8500000917039</v>
          </cell>
          <cell r="C36" t="str">
            <v>Santiago de Cuba, 25 ans</v>
          </cell>
          <cell r="D36"/>
          <cell r="E36"/>
          <cell r="F36">
            <v>70</v>
          </cell>
          <cell r="G36">
            <v>40</v>
          </cell>
          <cell r="H36">
            <v>4</v>
          </cell>
          <cell r="I36">
            <v>222</v>
          </cell>
          <cell r="J36">
            <v>184.8</v>
          </cell>
          <cell r="K36"/>
          <cell r="L36"/>
          <cell r="M36">
            <v>5.0024519999999999</v>
          </cell>
          <cell r="N36">
            <v>1.6061920000000001</v>
          </cell>
          <cell r="O36">
            <v>191.40864400000001</v>
          </cell>
          <cell r="P36">
            <v>229.69037280000001</v>
          </cell>
          <cell r="Q36">
            <v>0.2</v>
          </cell>
          <cell r="T36" t="str">
            <v>Meukow Palme d OR 1978</v>
          </cell>
        </row>
        <row r="37">
          <cell r="B37"/>
          <cell r="C37"/>
          <cell r="D37"/>
          <cell r="E37"/>
          <cell r="F37"/>
          <cell r="G37"/>
          <cell r="H37"/>
          <cell r="I37"/>
          <cell r="J37"/>
          <cell r="K37"/>
          <cell r="L37"/>
          <cell r="M37"/>
          <cell r="N37"/>
          <cell r="T37" t="str">
            <v>Meukow Esprit de Famille</v>
          </cell>
        </row>
        <row r="38">
          <cell r="B38"/>
          <cell r="O38" t="str">
            <v xml:space="preserve"> </v>
          </cell>
          <cell r="T38" t="str">
            <v>Meukow Extra Coffret</v>
          </cell>
        </row>
        <row r="39">
          <cell r="B39" t="str">
            <v>Cognac Meukow</v>
          </cell>
          <cell r="C39"/>
          <cell r="J39"/>
          <cell r="T39" t="str">
            <v>Meukow Baccarat Coffret</v>
          </cell>
        </row>
        <row r="40">
          <cell r="B40">
            <v>3257150101904</v>
          </cell>
          <cell r="C40" t="str">
            <v>Meukow Vanilla</v>
          </cell>
          <cell r="D40"/>
          <cell r="E40"/>
          <cell r="F40">
            <v>70</v>
          </cell>
          <cell r="G40">
            <v>30</v>
          </cell>
          <cell r="H40">
            <v>6</v>
          </cell>
          <cell r="I40">
            <v>13.55</v>
          </cell>
          <cell r="J40">
            <v>11.39</v>
          </cell>
          <cell r="K40"/>
          <cell r="M40">
            <v>3.7518389999999995</v>
          </cell>
          <cell r="N40">
            <v>1.204644</v>
          </cell>
          <cell r="O40">
            <v>16.346482999999999</v>
          </cell>
          <cell r="P40">
            <v>19.6157796</v>
          </cell>
          <cell r="Q40">
            <v>0.2</v>
          </cell>
          <cell r="T40" t="str">
            <v>Meukow Cognac Flavouring regular</v>
          </cell>
        </row>
        <row r="41">
          <cell r="B41">
            <v>3257150102017</v>
          </cell>
          <cell r="C41" t="str">
            <v>Meukow Xpresso</v>
          </cell>
          <cell r="E41"/>
          <cell r="F41">
            <v>70</v>
          </cell>
          <cell r="G41">
            <v>20</v>
          </cell>
          <cell r="H41">
            <v>6</v>
          </cell>
          <cell r="I41">
            <v>13.55</v>
          </cell>
          <cell r="J41">
            <v>11.39</v>
          </cell>
          <cell r="K41"/>
          <cell r="M41">
            <v>2.5012259999999999</v>
          </cell>
          <cell r="N41">
            <v>0.80309600000000003</v>
          </cell>
          <cell r="O41">
            <v>14.694322</v>
          </cell>
          <cell r="P41">
            <v>17.6331864</v>
          </cell>
          <cell r="Q41">
            <v>0.2</v>
          </cell>
          <cell r="T41" t="str">
            <v>Meukow Cognac Flavouring xo</v>
          </cell>
        </row>
        <row r="42">
          <cell r="B42">
            <v>3257150100228</v>
          </cell>
          <cell r="C42" t="str">
            <v xml:space="preserve">Meukow VS </v>
          </cell>
          <cell r="E42"/>
          <cell r="F42">
            <v>70</v>
          </cell>
          <cell r="G42">
            <v>40</v>
          </cell>
          <cell r="H42">
            <v>6</v>
          </cell>
          <cell r="I42">
            <v>14.88</v>
          </cell>
          <cell r="J42">
            <v>13.39</v>
          </cell>
          <cell r="K42">
            <v>12.4</v>
          </cell>
          <cell r="M42">
            <v>5.0024519999999999</v>
          </cell>
          <cell r="N42">
            <v>1.6061920000000001</v>
          </cell>
          <cell r="O42">
            <v>19.998643999999999</v>
          </cell>
          <cell r="P42">
            <v>23.998372799999999</v>
          </cell>
          <cell r="Q42">
            <v>0.2</v>
          </cell>
          <cell r="T42" t="str">
            <v>Seve Feu de Joie</v>
          </cell>
        </row>
        <row r="43">
          <cell r="B43">
            <v>3257150102130</v>
          </cell>
          <cell r="C43" t="str">
            <v>Meukow VS coffret 2 verres</v>
          </cell>
          <cell r="E43"/>
          <cell r="F43">
            <v>70</v>
          </cell>
          <cell r="G43">
            <v>40</v>
          </cell>
          <cell r="H43">
            <v>6</v>
          </cell>
          <cell r="I43">
            <v>24.09</v>
          </cell>
          <cell r="J43">
            <v>24.09</v>
          </cell>
          <cell r="K43"/>
          <cell r="M43">
            <v>5.0024519999999999</v>
          </cell>
          <cell r="N43">
            <v>1.6061920000000001</v>
          </cell>
          <cell r="O43">
            <v>30.698644000000002</v>
          </cell>
          <cell r="P43">
            <v>36.838372800000002</v>
          </cell>
          <cell r="Q43">
            <v>0.2</v>
          </cell>
          <cell r="T43" t="str">
            <v>Saar Dry Gin Ferdinand's</v>
          </cell>
        </row>
        <row r="44">
          <cell r="B44">
            <v>3257150100143</v>
          </cell>
          <cell r="C44" t="str">
            <v xml:space="preserve">Meukow VS </v>
          </cell>
          <cell r="E44"/>
          <cell r="F44">
            <v>35</v>
          </cell>
          <cell r="G44">
            <v>40</v>
          </cell>
          <cell r="H44">
            <v>12</v>
          </cell>
          <cell r="I44">
            <v>10.8</v>
          </cell>
          <cell r="J44">
            <v>9.7200000000000006</v>
          </cell>
          <cell r="K44"/>
          <cell r="M44">
            <v>2.5012259999999999</v>
          </cell>
          <cell r="N44">
            <v>0.80309600000000003</v>
          </cell>
          <cell r="O44">
            <v>13.024322000000002</v>
          </cell>
          <cell r="P44">
            <v>15.629186400000002</v>
          </cell>
          <cell r="Q44">
            <v>0.2</v>
          </cell>
          <cell r="T44" t="str">
            <v>Gin Dry Sul</v>
          </cell>
        </row>
        <row r="45">
          <cell r="B45">
            <v>3257150101485</v>
          </cell>
          <cell r="C45" t="str">
            <v>Meukow 90'</v>
          </cell>
          <cell r="E45"/>
          <cell r="F45">
            <v>70</v>
          </cell>
          <cell r="G45">
            <v>45</v>
          </cell>
          <cell r="H45">
            <v>6</v>
          </cell>
          <cell r="I45">
            <v>19</v>
          </cell>
          <cell r="J45">
            <v>23.04</v>
          </cell>
          <cell r="K45"/>
          <cell r="M45">
            <v>5.6277584999999997</v>
          </cell>
          <cell r="N45">
            <v>1.8069660000000001</v>
          </cell>
          <cell r="O45">
            <v>30.474724499999997</v>
          </cell>
          <cell r="P45">
            <v>36.569669399999995</v>
          </cell>
          <cell r="Q45">
            <v>0.2</v>
          </cell>
          <cell r="T45" t="str">
            <v>Gran Reserva</v>
          </cell>
        </row>
        <row r="46">
          <cell r="B46">
            <v>3257150101485</v>
          </cell>
          <cell r="C46" t="str">
            <v>Meukow 90' boite métal</v>
          </cell>
          <cell r="E46"/>
          <cell r="F46">
            <v>70</v>
          </cell>
          <cell r="G46">
            <v>45</v>
          </cell>
          <cell r="H46">
            <v>6</v>
          </cell>
          <cell r="I46">
            <v>25.9</v>
          </cell>
          <cell r="J46">
            <v>25.9</v>
          </cell>
          <cell r="K46"/>
          <cell r="M46">
            <v>5.6277584999999997</v>
          </cell>
          <cell r="N46">
            <v>1.8069660000000001</v>
          </cell>
          <cell r="O46">
            <v>33.3347245</v>
          </cell>
          <cell r="P46">
            <v>40.001669399999997</v>
          </cell>
          <cell r="Q46">
            <v>0.2</v>
          </cell>
          <cell r="T46" t="str">
            <v xml:space="preserve">London Dry Gin </v>
          </cell>
        </row>
        <row r="47">
          <cell r="B47">
            <v>3257150100167</v>
          </cell>
          <cell r="C47" t="str">
            <v>Meukow VSOP</v>
          </cell>
          <cell r="E47"/>
          <cell r="F47">
            <v>70</v>
          </cell>
          <cell r="G47">
            <v>40</v>
          </cell>
          <cell r="H47">
            <v>6</v>
          </cell>
          <cell r="I47">
            <v>23.34</v>
          </cell>
          <cell r="J47">
            <v>21.01</v>
          </cell>
          <cell r="K47"/>
          <cell r="M47">
            <v>5.0024519999999999</v>
          </cell>
          <cell r="N47">
            <v>1.6061920000000001</v>
          </cell>
          <cell r="O47">
            <v>27.618644000000003</v>
          </cell>
          <cell r="P47">
            <v>33.142372800000004</v>
          </cell>
          <cell r="Q47">
            <v>0.2</v>
          </cell>
          <cell r="T47" t="str">
            <v>Peach</v>
          </cell>
        </row>
        <row r="48">
          <cell r="B48">
            <v>3257150100419</v>
          </cell>
          <cell r="C48" t="str">
            <v>Meukow VSOP  boite métal</v>
          </cell>
          <cell r="E48"/>
          <cell r="F48">
            <v>70</v>
          </cell>
          <cell r="G48">
            <v>40</v>
          </cell>
          <cell r="H48">
            <v>6</v>
          </cell>
          <cell r="I48">
            <v>25.9</v>
          </cell>
          <cell r="J48">
            <v>25.9</v>
          </cell>
          <cell r="K48"/>
          <cell r="M48">
            <v>5.0024519999999999</v>
          </cell>
          <cell r="N48">
            <v>1.6061920000000001</v>
          </cell>
          <cell r="O48">
            <v>32.508643999999997</v>
          </cell>
          <cell r="P48">
            <v>39.010372799999999</v>
          </cell>
          <cell r="Q48">
            <v>0.2</v>
          </cell>
          <cell r="T48" t="str">
            <v>Mezcal San Cosme</v>
          </cell>
        </row>
        <row r="49">
          <cell r="B49">
            <v>3257150100341</v>
          </cell>
          <cell r="C49" t="str">
            <v>Meukow VSOP coffret 2 verres</v>
          </cell>
          <cell r="E49"/>
          <cell r="F49">
            <v>70</v>
          </cell>
          <cell r="G49">
            <v>40</v>
          </cell>
          <cell r="H49">
            <v>6</v>
          </cell>
          <cell r="I49">
            <v>34.130000000000003</v>
          </cell>
          <cell r="J49">
            <v>34.130000000000003</v>
          </cell>
          <cell r="K49"/>
          <cell r="M49">
            <v>5.0024519999999999</v>
          </cell>
          <cell r="N49">
            <v>1.6061920000000001</v>
          </cell>
          <cell r="O49">
            <v>40.738644000000001</v>
          </cell>
          <cell r="P49">
            <v>48.886372800000004</v>
          </cell>
          <cell r="Q49">
            <v>0.2</v>
          </cell>
          <cell r="T49" t="str">
            <v>Mezcal Nuestra Soledad</v>
          </cell>
        </row>
        <row r="50">
          <cell r="B50">
            <v>3257150107012</v>
          </cell>
          <cell r="C50" t="str">
            <v>Félin Arima sans étui</v>
          </cell>
          <cell r="E50"/>
          <cell r="F50">
            <v>70</v>
          </cell>
          <cell r="G50">
            <v>40</v>
          </cell>
          <cell r="H50">
            <v>6</v>
          </cell>
          <cell r="I50">
            <v>25.8</v>
          </cell>
          <cell r="J50">
            <v>23.22</v>
          </cell>
          <cell r="K50">
            <v>18</v>
          </cell>
          <cell r="M50">
            <v>5.0024519999999999</v>
          </cell>
          <cell r="N50">
            <v>1.6061920000000001</v>
          </cell>
          <cell r="O50">
            <v>29.828643999999997</v>
          </cell>
          <cell r="P50">
            <v>35.794372799999998</v>
          </cell>
          <cell r="Q50">
            <v>0.2</v>
          </cell>
          <cell r="T50" t="str">
            <v>Vodka Imperial Gold</v>
          </cell>
        </row>
        <row r="51">
          <cell r="B51">
            <v>3257150101249</v>
          </cell>
          <cell r="C51" t="str">
            <v>Meukow Icône Etui</v>
          </cell>
          <cell r="E51"/>
          <cell r="F51">
            <v>70</v>
          </cell>
          <cell r="G51">
            <v>40</v>
          </cell>
          <cell r="H51">
            <v>12</v>
          </cell>
          <cell r="I51">
            <v>25.8</v>
          </cell>
          <cell r="J51">
            <v>23.22</v>
          </cell>
          <cell r="K51"/>
          <cell r="M51">
            <v>5.0024519999999999</v>
          </cell>
          <cell r="N51">
            <v>1.6061920000000001</v>
          </cell>
          <cell r="O51">
            <v>29.828643999999997</v>
          </cell>
          <cell r="P51">
            <v>35.794372799999998</v>
          </cell>
          <cell r="Q51">
            <v>0.2</v>
          </cell>
          <cell r="T51" t="str">
            <v>Guerin Blanc</v>
          </cell>
        </row>
        <row r="52">
          <cell r="B52">
            <v>3257150100792</v>
          </cell>
          <cell r="C52" t="str">
            <v>Meukow XO Boite Métal</v>
          </cell>
          <cell r="E52"/>
          <cell r="F52">
            <v>70</v>
          </cell>
          <cell r="G52">
            <v>40</v>
          </cell>
          <cell r="H52">
            <v>6</v>
          </cell>
          <cell r="I52">
            <v>72</v>
          </cell>
          <cell r="J52">
            <v>64.8</v>
          </cell>
          <cell r="K52"/>
          <cell r="M52">
            <v>5.0024519999999999</v>
          </cell>
          <cell r="N52">
            <v>1.6061920000000001</v>
          </cell>
          <cell r="O52">
            <v>71.40864400000001</v>
          </cell>
          <cell r="P52">
            <v>85.690372800000006</v>
          </cell>
          <cell r="Q52">
            <v>0.2</v>
          </cell>
          <cell r="T52" t="str">
            <v>Gerin Rouge</v>
          </cell>
        </row>
        <row r="53">
          <cell r="B53">
            <v>3257150100822</v>
          </cell>
          <cell r="C53" t="str">
            <v>Meukow XO Etui</v>
          </cell>
          <cell r="E53"/>
          <cell r="F53">
            <v>35</v>
          </cell>
          <cell r="G53">
            <v>40</v>
          </cell>
          <cell r="H53">
            <v>6</v>
          </cell>
          <cell r="I53">
            <v>50.5</v>
          </cell>
          <cell r="J53">
            <v>124.2</v>
          </cell>
          <cell r="K53"/>
          <cell r="M53">
            <v>2.5012259999999999</v>
          </cell>
          <cell r="N53">
            <v>0.80309600000000003</v>
          </cell>
          <cell r="O53">
            <v>127.504322</v>
          </cell>
          <cell r="P53">
            <v>153.00518640000001</v>
          </cell>
          <cell r="Q53">
            <v>0.2</v>
          </cell>
          <cell r="T53" t="str">
            <v>Tonic Water</v>
          </cell>
        </row>
        <row r="54">
          <cell r="B54">
            <v>3257150101300</v>
          </cell>
          <cell r="C54" t="str">
            <v>Meukow XO Grde Champagne Etui</v>
          </cell>
          <cell r="E54"/>
          <cell r="F54">
            <v>70</v>
          </cell>
          <cell r="G54">
            <v>40</v>
          </cell>
          <cell r="H54">
            <v>6</v>
          </cell>
          <cell r="I54">
            <v>84</v>
          </cell>
          <cell r="J54">
            <v>75.599999999999994</v>
          </cell>
          <cell r="K54"/>
          <cell r="M54">
            <v>5.0024519999999999</v>
          </cell>
          <cell r="N54">
            <v>1.6061920000000001</v>
          </cell>
          <cell r="O54">
            <v>82.208643999999993</v>
          </cell>
          <cell r="P54">
            <v>98.650372799999985</v>
          </cell>
          <cell r="Q54">
            <v>0.2</v>
          </cell>
          <cell r="T54" t="str">
            <v>Ginger Ale</v>
          </cell>
        </row>
        <row r="55">
          <cell r="B55">
            <v>3257150100969</v>
          </cell>
          <cell r="C55" t="str">
            <v>Meukow XO Etui</v>
          </cell>
          <cell r="E55"/>
          <cell r="F55">
            <v>175</v>
          </cell>
          <cell r="G55">
            <v>40</v>
          </cell>
          <cell r="H55">
            <v>6</v>
          </cell>
          <cell r="I55">
            <v>124.2</v>
          </cell>
          <cell r="J55">
            <v>124.2</v>
          </cell>
          <cell r="K55"/>
          <cell r="M55">
            <v>12.506129999999999</v>
          </cell>
          <cell r="N55">
            <v>4.0154800000000002</v>
          </cell>
          <cell r="O55">
            <v>140.72161</v>
          </cell>
          <cell r="P55">
            <v>168.86593199999999</v>
          </cell>
          <cell r="Q55">
            <v>0.2</v>
          </cell>
          <cell r="T55" t="str">
            <v>Soda Water</v>
          </cell>
        </row>
        <row r="56">
          <cell r="B56">
            <v>3257150101737</v>
          </cell>
          <cell r="C56" t="str">
            <v>Meukow Palme d OR 1978</v>
          </cell>
          <cell r="E56"/>
          <cell r="F56">
            <v>70</v>
          </cell>
          <cell r="G56">
            <v>40</v>
          </cell>
          <cell r="H56">
            <v>6</v>
          </cell>
          <cell r="I56">
            <v>120</v>
          </cell>
          <cell r="J56">
            <v>120</v>
          </cell>
          <cell r="K56"/>
          <cell r="M56">
            <v>5.0024519999999999</v>
          </cell>
          <cell r="N56">
            <v>1.6061920000000001</v>
          </cell>
          <cell r="O56">
            <v>126.608644</v>
          </cell>
          <cell r="P56">
            <v>151.93037279999999</v>
          </cell>
          <cell r="Q56">
            <v>0.2</v>
          </cell>
          <cell r="T56" t="str">
            <v>Bitter Lemon</v>
          </cell>
        </row>
        <row r="57">
          <cell r="B57">
            <v>3257150101607</v>
          </cell>
          <cell r="C57" t="str">
            <v>Meukow Esprit de Famille</v>
          </cell>
          <cell r="E57"/>
          <cell r="F57">
            <v>70</v>
          </cell>
          <cell r="G57">
            <v>40</v>
          </cell>
          <cell r="H57">
            <v>4</v>
          </cell>
          <cell r="I57">
            <v>460</v>
          </cell>
          <cell r="J57">
            <v>460</v>
          </cell>
          <cell r="K57"/>
          <cell r="M57">
            <v>5.0024519999999999</v>
          </cell>
          <cell r="N57">
            <v>1.6061920000000001</v>
          </cell>
          <cell r="O57">
            <v>466.60864400000003</v>
          </cell>
          <cell r="P57">
            <v>559.93037279999999</v>
          </cell>
          <cell r="Q57">
            <v>0.2</v>
          </cell>
          <cell r="T57" t="str">
            <v>Cherry Blossom</v>
          </cell>
        </row>
        <row r="58">
          <cell r="B58">
            <v>3257150100945</v>
          </cell>
          <cell r="C58" t="str">
            <v>Meukow Extra Coffret</v>
          </cell>
          <cell r="E58"/>
          <cell r="F58">
            <v>70</v>
          </cell>
          <cell r="G58">
            <v>40</v>
          </cell>
          <cell r="H58">
            <v>6</v>
          </cell>
          <cell r="I58">
            <v>130</v>
          </cell>
          <cell r="J58">
            <v>117</v>
          </cell>
          <cell r="K58"/>
          <cell r="M58">
            <v>5.0024519999999999</v>
          </cell>
          <cell r="N58">
            <v>1.6061920000000001</v>
          </cell>
          <cell r="O58">
            <v>123.608644</v>
          </cell>
          <cell r="P58">
            <v>148.33037279999999</v>
          </cell>
          <cell r="Q58">
            <v>0.2</v>
          </cell>
          <cell r="T58" t="str">
            <v>Spicy Ginger Beer</v>
          </cell>
        </row>
        <row r="59">
          <cell r="B59">
            <v>3257150100907</v>
          </cell>
          <cell r="C59" t="str">
            <v>Meukow Baccarat Coffret</v>
          </cell>
          <cell r="E59"/>
          <cell r="F59">
            <v>75</v>
          </cell>
          <cell r="G59">
            <v>41</v>
          </cell>
          <cell r="H59">
            <v>1</v>
          </cell>
          <cell r="I59">
            <v>1839.6</v>
          </cell>
          <cell r="J59">
            <v>1795.8</v>
          </cell>
          <cell r="K59"/>
          <cell r="M59">
            <v>5.493764249999999</v>
          </cell>
          <cell r="N59">
            <v>1.7639429999999998</v>
          </cell>
          <cell r="O59">
            <v>1803.0577072499998</v>
          </cell>
          <cell r="P59">
            <v>2163.6692487</v>
          </cell>
          <cell r="Q59">
            <v>0.2</v>
          </cell>
          <cell r="T59" t="str">
            <v>Elderflower</v>
          </cell>
        </row>
        <row r="60">
          <cell r="B60">
            <v>3257150102314</v>
          </cell>
          <cell r="C60" t="str">
            <v>Meukow Cognac Flavouring regular</v>
          </cell>
          <cell r="E60"/>
          <cell r="F60">
            <v>10</v>
          </cell>
          <cell r="G60">
            <v>60</v>
          </cell>
          <cell r="H60">
            <v>6</v>
          </cell>
          <cell r="I60">
            <v>16.649999999999999</v>
          </cell>
          <cell r="J60">
            <v>13.86</v>
          </cell>
          <cell r="K60"/>
          <cell r="M60">
            <v>1.0719539999999999</v>
          </cell>
          <cell r="N60">
            <v>0.34418399999999993</v>
          </cell>
          <cell r="O60">
            <v>15.276138</v>
          </cell>
          <cell r="P60">
            <v>18.331365599999998</v>
          </cell>
          <cell r="Q60">
            <v>0.2</v>
          </cell>
          <cell r="T60" t="str">
            <v>Mate Mate</v>
          </cell>
        </row>
        <row r="61">
          <cell r="B61">
            <v>3257150102284</v>
          </cell>
          <cell r="C61" t="str">
            <v>Meukow Cognac Flavouring xo</v>
          </cell>
          <cell r="E61"/>
          <cell r="F61">
            <v>10</v>
          </cell>
          <cell r="G61">
            <v>60</v>
          </cell>
          <cell r="H61">
            <v>6</v>
          </cell>
          <cell r="I61">
            <v>23.13</v>
          </cell>
          <cell r="J61">
            <v>19.25</v>
          </cell>
          <cell r="K61"/>
          <cell r="M61">
            <v>1.0719539999999999</v>
          </cell>
          <cell r="N61">
            <v>0.34418399999999993</v>
          </cell>
          <cell r="O61">
            <v>20.666137999999997</v>
          </cell>
          <cell r="P61">
            <v>24.799365599999994</v>
          </cell>
          <cell r="Q61">
            <v>0.2</v>
          </cell>
          <cell r="T61" t="str">
            <v>TAP MACHINE JÄGERMEISTER</v>
          </cell>
        </row>
        <row r="62">
          <cell r="B62">
            <v>3257150100821</v>
          </cell>
          <cell r="C62" t="str">
            <v>Meukow XO Etui</v>
          </cell>
          <cell r="D62"/>
          <cell r="E62"/>
          <cell r="F62">
            <v>5</v>
          </cell>
          <cell r="G62">
            <v>40</v>
          </cell>
          <cell r="H62"/>
          <cell r="I62">
            <v>7.4</v>
          </cell>
          <cell r="J62"/>
          <cell r="K62">
            <v>2.04</v>
          </cell>
          <cell r="M62">
            <v>0.35731800000000002</v>
          </cell>
          <cell r="N62">
            <v>0.114728</v>
          </cell>
          <cell r="O62" t="str">
            <v xml:space="preserve"> </v>
          </cell>
          <cell r="P62">
            <v>0</v>
          </cell>
          <cell r="Q62">
            <v>0.2</v>
          </cell>
          <cell r="T62" t="str">
            <v>TAP MACHINE JÄGERMEISTER 1 bll</v>
          </cell>
        </row>
        <row r="63">
          <cell r="B63"/>
          <cell r="C63"/>
          <cell r="D63"/>
          <cell r="E63"/>
          <cell r="F63"/>
          <cell r="G63"/>
          <cell r="H63"/>
          <cell r="I63"/>
          <cell r="J63"/>
          <cell r="K63"/>
          <cell r="L63"/>
          <cell r="M63"/>
          <cell r="N63"/>
          <cell r="T63" t="str">
            <v>SHOT GLASSES FREEZER JAGERMEIS</v>
          </cell>
        </row>
        <row r="64">
          <cell r="B64" t="str">
            <v>Seve Feu de Joie</v>
          </cell>
          <cell r="C64"/>
          <cell r="J64"/>
          <cell r="T64" t="str">
            <v>TAP MACHINE JÄGER SPEED POURER</v>
          </cell>
        </row>
        <row r="65">
          <cell r="B65">
            <v>3257150688009</v>
          </cell>
          <cell r="C65" t="str">
            <v>Seve Feu de Joie</v>
          </cell>
          <cell r="D65"/>
          <cell r="E65"/>
          <cell r="F65">
            <v>70</v>
          </cell>
          <cell r="G65">
            <v>32</v>
          </cell>
          <cell r="H65">
            <v>6</v>
          </cell>
          <cell r="I65">
            <v>9.23</v>
          </cell>
          <cell r="J65">
            <v>7.27</v>
          </cell>
          <cell r="K65"/>
          <cell r="M65">
            <v>4.0019615999999996</v>
          </cell>
          <cell r="N65">
            <v>1.2849536000000001</v>
          </cell>
          <cell r="O65">
            <v>12.556915199999999</v>
          </cell>
          <cell r="P65">
            <v>15.068298239999999</v>
          </cell>
          <cell r="Q65">
            <v>0.2</v>
          </cell>
          <cell r="T65" t="str">
            <v>FREEZER JÄGERMEISTER</v>
          </cell>
        </row>
        <row r="66">
          <cell r="B66"/>
          <cell r="C66"/>
          <cell r="D66"/>
          <cell r="E66"/>
          <cell r="F66"/>
          <cell r="G66"/>
          <cell r="H66"/>
          <cell r="I66"/>
          <cell r="J66"/>
          <cell r="K66"/>
          <cell r="L66"/>
          <cell r="M66">
            <v>0</v>
          </cell>
          <cell r="N66">
            <v>0</v>
          </cell>
          <cell r="O66" t="str">
            <v xml:space="preserve"> </v>
          </cell>
          <cell r="P66">
            <v>0</v>
          </cell>
          <cell r="T66" t="str">
            <v>zzzzz</v>
          </cell>
        </row>
        <row r="67">
          <cell r="B67"/>
          <cell r="T67" t="str">
            <v/>
          </cell>
        </row>
        <row r="68">
          <cell r="B68" t="str">
            <v>Gin Ferdinand's</v>
          </cell>
          <cell r="C68"/>
          <cell r="J68"/>
          <cell r="T68" t="str">
            <v/>
          </cell>
        </row>
        <row r="69">
          <cell r="B69">
            <v>4260270192645</v>
          </cell>
          <cell r="C69" t="str">
            <v>Saar Dry Gin Ferdinand's</v>
          </cell>
          <cell r="D69"/>
          <cell r="E69"/>
          <cell r="F69">
            <v>50</v>
          </cell>
          <cell r="G69">
            <v>44</v>
          </cell>
          <cell r="H69">
            <v>6</v>
          </cell>
          <cell r="I69">
            <v>22.86</v>
          </cell>
          <cell r="J69">
            <v>20</v>
          </cell>
          <cell r="K69">
            <v>20</v>
          </cell>
          <cell r="L69"/>
          <cell r="M69">
            <v>3.930498</v>
          </cell>
          <cell r="N69">
            <v>1.262008</v>
          </cell>
          <cell r="O69">
            <v>25.192506000000002</v>
          </cell>
          <cell r="P69">
            <v>30.231007200000001</v>
          </cell>
          <cell r="Q69">
            <v>0.2</v>
          </cell>
          <cell r="T69" t="str">
            <v/>
          </cell>
        </row>
        <row r="70">
          <cell r="B70"/>
        </row>
        <row r="71">
          <cell r="B71" t="str">
            <v>Gin Sul</v>
          </cell>
          <cell r="C71"/>
          <cell r="J71"/>
        </row>
        <row r="72">
          <cell r="B72">
            <v>4260372980010</v>
          </cell>
          <cell r="C72" t="str">
            <v>Gin Dry Sul</v>
          </cell>
          <cell r="D72"/>
          <cell r="E72"/>
          <cell r="F72">
            <v>50</v>
          </cell>
          <cell r="G72">
            <v>43</v>
          </cell>
          <cell r="H72">
            <v>6</v>
          </cell>
          <cell r="I72">
            <v>22.86</v>
          </cell>
          <cell r="J72">
            <v>20</v>
          </cell>
          <cell r="K72"/>
          <cell r="L72"/>
          <cell r="M72">
            <v>3.8411684999999998</v>
          </cell>
          <cell r="N72">
            <v>1.2333259999999999</v>
          </cell>
          <cell r="O72">
            <v>25.0744945</v>
          </cell>
          <cell r="P72">
            <v>30.089393399999999</v>
          </cell>
          <cell r="Q72">
            <v>0.2</v>
          </cell>
        </row>
        <row r="73">
          <cell r="B73"/>
        </row>
        <row r="74">
          <cell r="B74" t="str">
            <v>Gin Blossom</v>
          </cell>
          <cell r="C74"/>
          <cell r="J74"/>
        </row>
        <row r="75">
          <cell r="B75">
            <v>3257150673005</v>
          </cell>
          <cell r="C75" t="str">
            <v>Gran Reserva</v>
          </cell>
          <cell r="D75"/>
          <cell r="E75"/>
          <cell r="F75">
            <v>70</v>
          </cell>
          <cell r="G75">
            <v>40</v>
          </cell>
          <cell r="H75">
            <v>6</v>
          </cell>
          <cell r="I75">
            <v>20.239999999999998</v>
          </cell>
          <cell r="J75">
            <v>13.55</v>
          </cell>
          <cell r="K75"/>
          <cell r="M75">
            <v>5.0024519999999999</v>
          </cell>
          <cell r="N75">
            <v>1.6061920000000001</v>
          </cell>
          <cell r="O75">
            <v>20.158644000000002</v>
          </cell>
          <cell r="P75">
            <v>24.190372800000002</v>
          </cell>
          <cell r="Q75">
            <v>0.2</v>
          </cell>
        </row>
        <row r="76">
          <cell r="B76">
            <v>3257150673029</v>
          </cell>
          <cell r="C76" t="str">
            <v xml:space="preserve">London Dry Gin </v>
          </cell>
          <cell r="E76"/>
          <cell r="F76">
            <v>70</v>
          </cell>
          <cell r="G76">
            <v>44</v>
          </cell>
          <cell r="H76">
            <v>6</v>
          </cell>
          <cell r="I76">
            <v>16</v>
          </cell>
          <cell r="J76">
            <v>10.5</v>
          </cell>
          <cell r="K76"/>
          <cell r="M76">
            <v>5.5026971999999992</v>
          </cell>
          <cell r="N76">
            <v>1.7668112</v>
          </cell>
          <cell r="O76">
            <v>17.769508399999999</v>
          </cell>
          <cell r="P76">
            <v>21.323410079999999</v>
          </cell>
          <cell r="Q76">
            <v>0.2</v>
          </cell>
        </row>
        <row r="77">
          <cell r="B77">
            <v>3257150673043</v>
          </cell>
          <cell r="C77" t="str">
            <v>Peach</v>
          </cell>
          <cell r="D77"/>
          <cell r="E77"/>
          <cell r="F77">
            <v>70</v>
          </cell>
          <cell r="G77">
            <v>45</v>
          </cell>
          <cell r="H77">
            <v>6</v>
          </cell>
          <cell r="I77">
            <v>16</v>
          </cell>
          <cell r="J77">
            <v>12.5</v>
          </cell>
          <cell r="K77"/>
          <cell r="L77"/>
          <cell r="M77">
            <v>5.6277584999999997</v>
          </cell>
          <cell r="N77">
            <v>1.8069660000000001</v>
          </cell>
          <cell r="O77">
            <v>19.934724499999998</v>
          </cell>
          <cell r="P77">
            <v>23.921669399999999</v>
          </cell>
          <cell r="Q77">
            <v>0.2</v>
          </cell>
        </row>
        <row r="78">
          <cell r="B78"/>
          <cell r="C78"/>
          <cell r="E78"/>
          <cell r="F78"/>
          <cell r="G78"/>
          <cell r="H78"/>
          <cell r="I78"/>
          <cell r="J78"/>
          <cell r="K78"/>
          <cell r="M78"/>
          <cell r="N78"/>
        </row>
        <row r="79">
          <cell r="B79" t="str">
            <v>Mezcal San Cosme</v>
          </cell>
          <cell r="C79"/>
          <cell r="J79"/>
        </row>
        <row r="80">
          <cell r="B80">
            <v>7503016693004</v>
          </cell>
          <cell r="C80" t="str">
            <v>Mezcal San Cosme</v>
          </cell>
          <cell r="D80"/>
          <cell r="E80"/>
          <cell r="F80">
            <v>70</v>
          </cell>
          <cell r="G80">
            <v>40</v>
          </cell>
          <cell r="H80">
            <v>6</v>
          </cell>
          <cell r="I80">
            <v>19</v>
          </cell>
          <cell r="J80">
            <v>18</v>
          </cell>
          <cell r="K80"/>
          <cell r="L80"/>
          <cell r="M80">
            <v>5.0024519999999999</v>
          </cell>
          <cell r="N80">
            <v>1.6061920000000001</v>
          </cell>
          <cell r="O80">
            <v>24.608643999999998</v>
          </cell>
          <cell r="P80">
            <v>29.530372799999999</v>
          </cell>
          <cell r="Q80">
            <v>0.2</v>
          </cell>
        </row>
        <row r="81">
          <cell r="B81"/>
          <cell r="C81"/>
          <cell r="E81"/>
          <cell r="F81"/>
          <cell r="G81"/>
          <cell r="H81"/>
          <cell r="I81"/>
          <cell r="J81"/>
          <cell r="K81"/>
          <cell r="M81"/>
          <cell r="N81"/>
        </row>
        <row r="82">
          <cell r="B82" t="str">
            <v>Mezcal Nuestra Sol</v>
          </cell>
          <cell r="C82"/>
          <cell r="J82"/>
        </row>
        <row r="83">
          <cell r="B83">
            <v>7503011641413</v>
          </cell>
          <cell r="C83" t="str">
            <v>Mezcal Nuestra Soledad</v>
          </cell>
          <cell r="D83"/>
          <cell r="E83"/>
          <cell r="F83">
            <v>75</v>
          </cell>
          <cell r="G83">
            <v>41</v>
          </cell>
          <cell r="H83">
            <v>6</v>
          </cell>
          <cell r="I83">
            <v>19</v>
          </cell>
          <cell r="J83">
            <v>18</v>
          </cell>
          <cell r="K83"/>
          <cell r="L83"/>
          <cell r="M83">
            <v>5.493764249999999</v>
          </cell>
          <cell r="N83">
            <v>1.7639429999999998</v>
          </cell>
          <cell r="O83">
            <v>25.257707249999999</v>
          </cell>
          <cell r="P83">
            <v>30.309248699999998</v>
          </cell>
          <cell r="Q83">
            <v>0.2</v>
          </cell>
        </row>
        <row r="84">
          <cell r="B84"/>
          <cell r="C84"/>
          <cell r="D84"/>
          <cell r="E84"/>
          <cell r="F84"/>
          <cell r="G84"/>
          <cell r="H84"/>
          <cell r="I84"/>
          <cell r="J84"/>
          <cell r="K84"/>
          <cell r="L84"/>
          <cell r="M84"/>
          <cell r="N84"/>
        </row>
        <row r="85">
          <cell r="B85" t="str">
            <v>Vodka Imperial</v>
          </cell>
          <cell r="C85"/>
          <cell r="J85"/>
        </row>
        <row r="86">
          <cell r="B86">
            <v>4603514006849</v>
          </cell>
          <cell r="C86" t="str">
            <v>Vodka Imperial Gold</v>
          </cell>
          <cell r="D86"/>
          <cell r="E86"/>
          <cell r="F86">
            <v>100</v>
          </cell>
          <cell r="G86">
            <v>40</v>
          </cell>
          <cell r="H86">
            <v>6</v>
          </cell>
          <cell r="I86">
            <v>7.93</v>
          </cell>
          <cell r="J86">
            <v>7.93</v>
          </cell>
          <cell r="K86"/>
          <cell r="L86"/>
          <cell r="M86">
            <v>7.1463600000000005</v>
          </cell>
          <cell r="N86">
            <v>2.2945600000000002</v>
          </cell>
          <cell r="O86">
            <v>17.370920000000002</v>
          </cell>
          <cell r="P86">
            <v>20.845104000000003</v>
          </cell>
          <cell r="Q86">
            <v>0.2</v>
          </cell>
        </row>
        <row r="87">
          <cell r="B87"/>
          <cell r="C87"/>
          <cell r="D87"/>
          <cell r="E87"/>
          <cell r="F87"/>
          <cell r="G87"/>
          <cell r="H87"/>
          <cell r="I87"/>
          <cell r="J87"/>
          <cell r="K87"/>
          <cell r="L87"/>
          <cell r="M87"/>
          <cell r="N87"/>
        </row>
        <row r="88">
          <cell r="B88"/>
        </row>
        <row r="89">
          <cell r="B89" t="str">
            <v>Vermouth Guérin</v>
          </cell>
          <cell r="C89"/>
          <cell r="J89"/>
        </row>
        <row r="90">
          <cell r="B90">
            <v>3242890008019</v>
          </cell>
          <cell r="C90" t="str">
            <v>Guerin Blanc</v>
          </cell>
          <cell r="D90"/>
          <cell r="E90"/>
          <cell r="F90">
            <v>75</v>
          </cell>
          <cell r="G90">
            <v>17</v>
          </cell>
          <cell r="H90">
            <v>6</v>
          </cell>
          <cell r="I90">
            <v>9.89</v>
          </cell>
          <cell r="J90">
            <v>7.74</v>
          </cell>
          <cell r="K90"/>
          <cell r="M90">
            <v>1.4529749999999999</v>
          </cell>
          <cell r="N90">
            <v>0</v>
          </cell>
          <cell r="O90">
            <v>9.1929750000000006</v>
          </cell>
          <cell r="P90">
            <v>11.03157</v>
          </cell>
          <cell r="Q90">
            <v>0.2</v>
          </cell>
        </row>
        <row r="91">
          <cell r="B91">
            <v>3242890008026</v>
          </cell>
          <cell r="C91" t="str">
            <v>Gerin Rouge</v>
          </cell>
          <cell r="D91"/>
          <cell r="E91"/>
          <cell r="F91">
            <v>75</v>
          </cell>
          <cell r="G91">
            <v>17</v>
          </cell>
          <cell r="H91">
            <v>6</v>
          </cell>
          <cell r="I91">
            <v>9.89</v>
          </cell>
          <cell r="J91">
            <v>7.74</v>
          </cell>
          <cell r="K91"/>
          <cell r="L91"/>
          <cell r="M91">
            <v>1.4529749999999999</v>
          </cell>
          <cell r="N91">
            <v>0</v>
          </cell>
          <cell r="O91">
            <v>9.1929750000000006</v>
          </cell>
          <cell r="P91">
            <v>11.03157</v>
          </cell>
          <cell r="Q91">
            <v>0.2</v>
          </cell>
        </row>
        <row r="92">
          <cell r="B92"/>
        </row>
        <row r="93">
          <cell r="B93"/>
        </row>
        <row r="94">
          <cell r="B94"/>
        </row>
        <row r="95">
          <cell r="B95" t="str">
            <v>Thomas Henry</v>
          </cell>
          <cell r="C95"/>
          <cell r="J95"/>
        </row>
        <row r="96">
          <cell r="B96">
            <v>4260310553818</v>
          </cell>
          <cell r="C96" t="str">
            <v>Tonic Water</v>
          </cell>
          <cell r="D96"/>
          <cell r="E96"/>
          <cell r="F96">
            <v>20</v>
          </cell>
          <cell r="G96">
            <v>0</v>
          </cell>
          <cell r="H96">
            <v>24</v>
          </cell>
          <cell r="I96">
            <v>0.89</v>
          </cell>
          <cell r="J96">
            <v>0.81</v>
          </cell>
          <cell r="K96"/>
          <cell r="M96">
            <v>0</v>
          </cell>
          <cell r="N96">
            <v>0</v>
          </cell>
          <cell r="O96">
            <v>0.81</v>
          </cell>
          <cell r="P96">
            <v>0.85455000000000003</v>
          </cell>
          <cell r="Q96">
            <v>5.5E-2</v>
          </cell>
        </row>
        <row r="97">
          <cell r="B97">
            <v>4260310553832</v>
          </cell>
          <cell r="C97" t="str">
            <v>Ginger Ale</v>
          </cell>
          <cell r="E97"/>
          <cell r="F97">
            <v>20</v>
          </cell>
          <cell r="G97">
            <v>0</v>
          </cell>
          <cell r="H97">
            <v>24</v>
          </cell>
          <cell r="I97">
            <v>0.89</v>
          </cell>
          <cell r="J97">
            <v>0.81</v>
          </cell>
          <cell r="K97"/>
          <cell r="M97">
            <v>0</v>
          </cell>
          <cell r="N97">
            <v>0</v>
          </cell>
          <cell r="O97">
            <v>0.81</v>
          </cell>
          <cell r="P97">
            <v>0.85455000000000003</v>
          </cell>
          <cell r="Q97">
            <v>5.5E-2</v>
          </cell>
        </row>
        <row r="98">
          <cell r="B98">
            <v>4260310553856</v>
          </cell>
          <cell r="C98" t="str">
            <v>Soda Water</v>
          </cell>
          <cell r="E98"/>
          <cell r="F98">
            <v>20</v>
          </cell>
          <cell r="G98">
            <v>0</v>
          </cell>
          <cell r="H98">
            <v>24</v>
          </cell>
          <cell r="I98">
            <v>0.89</v>
          </cell>
          <cell r="J98">
            <v>0.81</v>
          </cell>
          <cell r="K98"/>
          <cell r="M98">
            <v>0</v>
          </cell>
          <cell r="N98">
            <v>0</v>
          </cell>
          <cell r="O98">
            <v>0.81</v>
          </cell>
          <cell r="P98">
            <v>0.85455000000000003</v>
          </cell>
          <cell r="Q98">
            <v>5.5E-2</v>
          </cell>
        </row>
        <row r="99">
          <cell r="B99">
            <v>4260310550305</v>
          </cell>
          <cell r="C99" t="str">
            <v>Bitter Lemon</v>
          </cell>
          <cell r="E99"/>
          <cell r="F99">
            <v>20</v>
          </cell>
          <cell r="G99">
            <v>0</v>
          </cell>
          <cell r="H99">
            <v>24</v>
          </cell>
          <cell r="I99">
            <v>0.89</v>
          </cell>
          <cell r="J99">
            <v>0.81</v>
          </cell>
          <cell r="K99">
            <v>0.75</v>
          </cell>
          <cell r="M99">
            <v>0</v>
          </cell>
          <cell r="N99">
            <v>0</v>
          </cell>
          <cell r="O99">
            <v>0.81</v>
          </cell>
          <cell r="P99">
            <v>0.85455000000000003</v>
          </cell>
          <cell r="Q99">
            <v>5.5E-2</v>
          </cell>
        </row>
        <row r="100">
          <cell r="B100">
            <v>4260310552941</v>
          </cell>
          <cell r="C100" t="str">
            <v>Cherry Blossom</v>
          </cell>
          <cell r="E100"/>
          <cell r="F100">
            <v>20</v>
          </cell>
          <cell r="G100">
            <v>0</v>
          </cell>
          <cell r="H100">
            <v>24</v>
          </cell>
          <cell r="I100">
            <v>0.89</v>
          </cell>
          <cell r="J100">
            <v>0.81</v>
          </cell>
          <cell r="K100"/>
          <cell r="M100">
            <v>0</v>
          </cell>
          <cell r="N100">
            <v>0</v>
          </cell>
          <cell r="O100">
            <v>0.81</v>
          </cell>
          <cell r="P100">
            <v>0.85455000000000003</v>
          </cell>
          <cell r="Q100">
            <v>5.5E-2</v>
          </cell>
        </row>
        <row r="101">
          <cell r="B101">
            <v>4260310553849</v>
          </cell>
          <cell r="C101" t="str">
            <v>Spicy Ginger Beer</v>
          </cell>
          <cell r="E101"/>
          <cell r="F101">
            <v>20</v>
          </cell>
          <cell r="G101">
            <v>0</v>
          </cell>
          <cell r="H101">
            <v>24</v>
          </cell>
          <cell r="I101">
            <v>0.89</v>
          </cell>
          <cell r="J101">
            <v>0.81</v>
          </cell>
          <cell r="K101"/>
          <cell r="M101">
            <v>0</v>
          </cell>
          <cell r="N101">
            <v>0</v>
          </cell>
          <cell r="O101">
            <v>0.81</v>
          </cell>
          <cell r="P101">
            <v>0.85455000000000003</v>
          </cell>
          <cell r="Q101">
            <v>5.5E-2</v>
          </cell>
        </row>
        <row r="102">
          <cell r="B102">
            <v>4260310553863</v>
          </cell>
          <cell r="C102" t="str">
            <v>Elderflower</v>
          </cell>
          <cell r="E102"/>
          <cell r="F102">
            <v>20</v>
          </cell>
          <cell r="G102">
            <v>0</v>
          </cell>
          <cell r="H102">
            <v>24</v>
          </cell>
          <cell r="I102">
            <v>0.89</v>
          </cell>
          <cell r="J102">
            <v>0.81</v>
          </cell>
          <cell r="K102"/>
          <cell r="M102">
            <v>0</v>
          </cell>
          <cell r="N102">
            <v>0</v>
          </cell>
          <cell r="O102">
            <v>0.81</v>
          </cell>
          <cell r="P102">
            <v>0.85455000000000003</v>
          </cell>
          <cell r="Q102">
            <v>5.5E-2</v>
          </cell>
        </row>
        <row r="103">
          <cell r="B103">
            <v>4260310554785</v>
          </cell>
          <cell r="C103" t="str">
            <v>Mate Mate</v>
          </cell>
          <cell r="E103"/>
          <cell r="F103">
            <v>20</v>
          </cell>
          <cell r="G103">
            <v>0</v>
          </cell>
          <cell r="H103">
            <v>24</v>
          </cell>
          <cell r="I103">
            <v>0.89</v>
          </cell>
          <cell r="J103">
            <v>0.81</v>
          </cell>
          <cell r="K103"/>
          <cell r="M103">
            <v>0</v>
          </cell>
          <cell r="N103">
            <v>0</v>
          </cell>
          <cell r="O103">
            <v>0.81</v>
          </cell>
          <cell r="P103">
            <v>0.85455000000000003</v>
          </cell>
          <cell r="Q103">
            <v>5.5E-2</v>
          </cell>
        </row>
        <row r="104">
          <cell r="B104">
            <v>4260310553382</v>
          </cell>
          <cell r="C104" t="str">
            <v>Mate Mate</v>
          </cell>
          <cell r="D104"/>
          <cell r="E104"/>
          <cell r="F104">
            <v>50</v>
          </cell>
          <cell r="G104">
            <v>0</v>
          </cell>
          <cell r="H104">
            <v>20</v>
          </cell>
          <cell r="I104">
            <v>1.1000000000000001</v>
          </cell>
          <cell r="J104">
            <v>1</v>
          </cell>
          <cell r="K104"/>
          <cell r="L104"/>
          <cell r="M104">
            <v>0</v>
          </cell>
          <cell r="N104">
            <v>0</v>
          </cell>
          <cell r="O104">
            <v>1</v>
          </cell>
          <cell r="P104">
            <v>1.0549999999999999</v>
          </cell>
          <cell r="Q104">
            <v>5.5E-2</v>
          </cell>
        </row>
        <row r="105">
          <cell r="B105"/>
        </row>
        <row r="106">
          <cell r="B106"/>
        </row>
        <row r="107">
          <cell r="B107"/>
        </row>
        <row r="108">
          <cell r="B108"/>
        </row>
        <row r="109">
          <cell r="B109" t="str">
            <v>Jägermeister Bar Items</v>
          </cell>
          <cell r="C109"/>
          <cell r="D109"/>
          <cell r="F109" t="str">
            <v>NB BT</v>
          </cell>
          <cell r="G109"/>
          <cell r="J109"/>
        </row>
        <row r="110">
          <cell r="B110">
            <v>121</v>
          </cell>
          <cell r="C110" t="str">
            <v>TAP MACHINE JÄGERMEISTER</v>
          </cell>
          <cell r="D110"/>
          <cell r="E110"/>
          <cell r="F110">
            <v>3</v>
          </cell>
          <cell r="G110"/>
          <cell r="H110" t="str">
            <v>IT</v>
          </cell>
          <cell r="I110">
            <v>299</v>
          </cell>
          <cell r="J110">
            <v>299</v>
          </cell>
          <cell r="K110">
            <v>299</v>
          </cell>
          <cell r="M110">
            <v>0</v>
          </cell>
          <cell r="N110">
            <v>0</v>
          </cell>
          <cell r="O110">
            <v>299</v>
          </cell>
          <cell r="P110">
            <v>358.8</v>
          </cell>
          <cell r="Q110">
            <v>0.2</v>
          </cell>
        </row>
        <row r="111">
          <cell r="B111">
            <v>122</v>
          </cell>
          <cell r="C111" t="str">
            <v>TAP MACHINE JÄGERMEISTER 1 bll</v>
          </cell>
          <cell r="D111"/>
          <cell r="E111"/>
          <cell r="F111">
            <v>1</v>
          </cell>
          <cell r="G111"/>
          <cell r="H111" t="str">
            <v>IT</v>
          </cell>
          <cell r="I111">
            <v>299</v>
          </cell>
          <cell r="J111">
            <v>299</v>
          </cell>
          <cell r="K111">
            <v>299</v>
          </cell>
          <cell r="M111">
            <v>0</v>
          </cell>
          <cell r="N111">
            <v>0</v>
          </cell>
          <cell r="O111">
            <v>299</v>
          </cell>
          <cell r="P111">
            <v>358.8</v>
          </cell>
          <cell r="Q111">
            <v>0.2</v>
          </cell>
        </row>
        <row r="112">
          <cell r="B112">
            <v>123</v>
          </cell>
          <cell r="C112" t="str">
            <v>SHOT GLASSES FREEZER JAGERMEIS</v>
          </cell>
          <cell r="D112"/>
          <cell r="E112"/>
          <cell r="F112">
            <v>4</v>
          </cell>
          <cell r="G112"/>
          <cell r="H112" t="str">
            <v>IT</v>
          </cell>
          <cell r="I112">
            <v>139</v>
          </cell>
          <cell r="J112">
            <v>139</v>
          </cell>
          <cell r="K112">
            <v>139</v>
          </cell>
          <cell r="M112">
            <v>0</v>
          </cell>
          <cell r="N112">
            <v>0</v>
          </cell>
          <cell r="O112">
            <v>139</v>
          </cell>
          <cell r="P112">
            <v>166.8</v>
          </cell>
          <cell r="Q112">
            <v>0.2</v>
          </cell>
        </row>
        <row r="113">
          <cell r="B113">
            <v>124</v>
          </cell>
          <cell r="C113" t="str">
            <v>TAP MACHINE JÄGER SPEED POURER</v>
          </cell>
          <cell r="D113"/>
          <cell r="E113"/>
          <cell r="F113">
            <v>2</v>
          </cell>
          <cell r="G113"/>
          <cell r="H113" t="str">
            <v>IT</v>
          </cell>
          <cell r="I113">
            <v>249</v>
          </cell>
          <cell r="J113">
            <v>249</v>
          </cell>
          <cell r="K113">
            <v>249</v>
          </cell>
          <cell r="M113">
            <v>0</v>
          </cell>
          <cell r="N113">
            <v>0</v>
          </cell>
          <cell r="O113">
            <v>249</v>
          </cell>
          <cell r="P113">
            <v>298.8</v>
          </cell>
          <cell r="Q113">
            <v>0.2</v>
          </cell>
        </row>
        <row r="114">
          <cell r="B114">
            <v>125</v>
          </cell>
          <cell r="C114" t="str">
            <v>FREEZER JÄGERMEISTER</v>
          </cell>
          <cell r="D114"/>
          <cell r="E114"/>
          <cell r="F114">
            <v>6</v>
          </cell>
          <cell r="G114"/>
          <cell r="H114" t="str">
            <v>IT</v>
          </cell>
          <cell r="I114">
            <v>139</v>
          </cell>
          <cell r="J114">
            <v>139</v>
          </cell>
          <cell r="K114">
            <v>139</v>
          </cell>
          <cell r="L114"/>
          <cell r="M114">
            <v>0</v>
          </cell>
          <cell r="N114">
            <v>0</v>
          </cell>
          <cell r="O114">
            <v>139</v>
          </cell>
          <cell r="P114">
            <v>166.8</v>
          </cell>
          <cell r="Q114">
            <v>0.2</v>
          </cell>
        </row>
        <row r="115">
          <cell r="C115" t="str">
            <v>zzzzz</v>
          </cell>
        </row>
      </sheetData>
      <sheetData sheetId="9"/>
      <sheetData sheetId="10"/>
      <sheetData sheetId="1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CD_Evol Qte btl par Cde"/>
      <sheetName val="Feuil10"/>
      <sheetName val="Evol_Volumétrie_Réfs Spi Prio"/>
      <sheetName val="Evol_CA_Réfs Spi Prio"/>
      <sheetName val="Evol_Vtes_JGM_TM"/>
      <sheetName val="Evol_CA_Global"/>
      <sheetName val="Feuil1"/>
      <sheetName val="Feuil2"/>
      <sheetName val="Feuil3"/>
      <sheetName val="MJGES01_00028_2"/>
      <sheetName val="Grille_Tarifs_Modulable"/>
      <sheetName val="Table_indices_Taxes_Alcool"/>
      <sheetName val="Références_Sélections_Champs"/>
      <sheetName val="Feuil6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>
        <row r="5">
          <cell r="A5">
            <v>2016</v>
          </cell>
          <cell r="B5"/>
          <cell r="C5"/>
        </row>
        <row r="6">
          <cell r="A6">
            <v>2017</v>
          </cell>
          <cell r="B6"/>
          <cell r="C6"/>
        </row>
        <row r="7">
          <cell r="A7">
            <v>2018</v>
          </cell>
          <cell r="B7"/>
          <cell r="C7"/>
        </row>
        <row r="8">
          <cell r="A8">
            <v>2019</v>
          </cell>
          <cell r="B8">
            <v>1758.45</v>
          </cell>
          <cell r="C8">
            <v>564.61</v>
          </cell>
        </row>
        <row r="9">
          <cell r="A9">
            <v>2020</v>
          </cell>
          <cell r="B9">
            <v>1786.59</v>
          </cell>
          <cell r="C9">
            <v>573.64</v>
          </cell>
        </row>
      </sheetData>
      <sheetData sheetId="12" refreshError="1"/>
      <sheetData sheetId="13" refreshError="1"/>
    </sheetDataSet>
  </externalBook>
</externalLink>
</file>

<file path=xl/persons/person.xml><?xml version="1.0" encoding="utf-8"?>
<personList xmlns="http://schemas.microsoft.com/office/spreadsheetml/2018/threadedcomments" xmlns:x="http://schemas.openxmlformats.org/spreadsheetml/2006/main">
  <person displayName="Sébastien Haugmard" id="{379B0669-1742-42DD-8A94-C23E1C17EA74}" userId="582d5c6a0c064e98" providerId="Windows Live"/>
</personList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B771F41-7DAA-4E2A-BDC2-9E9BF8D8DE61}" name="Tableau14" displayName="Tableau14" ref="A1:R1979" totalsRowShown="0" headerRowDxfId="37" dataDxfId="36">
  <autoFilter ref="A1:R1979" xr:uid="{7A1FE91C-0030-4267-83D8-66074FC53EF4}"/>
  <sortState xmlns:xlrd2="http://schemas.microsoft.com/office/spreadsheetml/2017/richdata2" ref="A2:R1979">
    <sortCondition ref="A1:A1979"/>
  </sortState>
  <tableColumns count="18">
    <tableColumn id="2" xr3:uid="{419ED0B2-1E7B-4229-B481-A838F7F88295}" name="Date_Cde" dataDxfId="35"/>
    <tableColumn id="1" xr3:uid="{0D83BFD0-59EB-4C2B-B363-92990636B4A9}" name="Nu_Cde" dataDxfId="34"/>
    <tableColumn id="3" xr3:uid="{55709B90-BA3E-4B8F-89C2-F96073CF95CD}" name="Tiers_Nom_Ebt" dataDxfId="33"/>
    <tableColumn id="4" xr3:uid="{7CB470C9-86BD-4AF1-B1D6-733F9FA3ED33}" name="Tiers_ville" dataDxfId="32"/>
    <tableColumn id="17" xr3:uid="{D83BC5FA-6570-4B12-8770-35AB0E972841}" name="Code Ebt" dataDxfId="31"/>
    <tableColumn id="10" xr3:uid="{8CB597E3-9CD6-4C6B-8BAE-665C87DA1866}" name="Type ebt" dataDxfId="30"/>
    <tableColumn id="9" xr3:uid="{599EC63B-1677-4464-AD0A-17C039DBD8E8}" name="Tarificat° client" dataDxfId="29"/>
    <tableColumn id="15" xr3:uid="{D000BBB5-23AB-4FA6-951A-874E5F08C9DB}" name="Type_Produit" dataDxfId="28"/>
    <tableColumn id="5" xr3:uid="{1BFC0889-873F-4B93-9390-BBE2D1F8DAD9}" name="Designation" dataDxfId="27"/>
    <tableColumn id="6" xr3:uid="{D0B36A45-4772-4924-B50F-2A3D341E69A3}" name="CL" dataDxfId="26"/>
    <tableColumn id="11" xr3:uid="{A9CE47DE-DAFB-4A65-9575-2593D135F5E3}" name="EAN" dataDxfId="25">
      <calculatedColumnFormula array="1">IFERROR(INDEX([1]Grille_Tarifs_Modulable!$B$2:$B$204,MATCH(Tableau14[[#This Row],[Designation]]&amp;Tableau14[[#This Row],[CL]],[1]Grille_Tarifs_Modulable!$C$2:$C$204&amp;[1]Grille_Tarifs_Modulable!$F$2:$F$204,0)),0)</calculatedColumnFormula>
    </tableColumn>
    <tableColumn id="14" xr3:uid="{6BD9AF75-159C-4264-962A-55A31A379687}" name="Prix_Unit_HT" dataDxfId="24">
      <calculatedColumnFormula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calculatedColumnFormula>
    </tableColumn>
    <tableColumn id="12" xr3:uid="{48678200-B66B-4688-87A8-18C4F462A5B6}" name="Prix_Unit_TTC" dataDxfId="23">
      <calculatedColumnFormula>IF(Tableau14[[#This Row],[Prix_Unit_HT]]=0,0,Tableau14[[#This Row],[Prix_Unit_HT]]+(Tableau14[[#This Row],[Prix_Unit_HT]]*VLOOKUP(Tableau14[[#This Row],[EAN]],[1]Grille_Tarifs_Modulable!$B$10:$Q$204,16,FALSE)))</calculatedColumnFormula>
    </tableColumn>
    <tableColumn id="7" xr3:uid="{D0BB43D8-547F-491E-A287-85B406C8A200}" name="Qte_commande" dataDxfId="22"/>
    <tableColumn id="13" xr3:uid="{D67621E7-1460-4662-81DA-F6AF295A1F20}" name="CA_HT" dataDxfId="21">
      <calculatedColumnFormula>ROUND(Tableau14[[#This Row],[Prix_Unit_HT]],2)*Tableau14[[#This Row],[Qte_commande]]</calculatedColumnFormula>
    </tableColumn>
    <tableColumn id="16" xr3:uid="{03D7E665-9425-42EE-80E4-EC0227340580}" name="CA_TTC" dataDxfId="20">
      <calculatedColumnFormula>ROUND(Tableau14[[#This Row],[Prix_Unit_TTC]],2)*Tableau14[[#This Row],[Qte_commande]]</calculatedColumnFormula>
    </tableColumn>
    <tableColumn id="8" xr3:uid="{A8F82AA9-71D1-4111-AD30-7B0EDE6E96A1}" name="Qte_Unit_btl" dataDxfId="19"/>
    <tableColumn id="18" xr3:uid="{EEB32834-4CFF-44AF-ABE9-2BE9EF1970F9}" name="Qte_Unit_btl2" dataDxfId="18">
      <calculatedColumnFormula>VALUE(IF(COUNTIF(Tableau14[[#This Row],[Type_Produit]],"*Boisson*"),PRODUCT(Tableau14[[#This Row],[CL]],Tableau14[[#This Row],[Qte_commande]])/100/0.7,IF(COUNTIF(Tableau14[[#This Row],[Type_Produit]],"*JGR*"),Tableau14[[#This Row],[Qte_commande]],0)))</calculatedColumnFormula>
    </tableColumn>
  </tableColumns>
  <tableStyleInfo name="TableStyleLight16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0" xr:uid="{00000000-000C-0000-FFFF-FFFF01000000}" name="Designation" displayName="Designation" ref="C10:C114" headerRowCount="0" totalsRowShown="0" headerRowDxfId="45" dataDxfId="44" tableBorderDxfId="43" headerRowCellStyle="Normal 2" dataCellStyle="Normal 2">
  <tableColumns count="1">
    <tableColumn id="1" xr3:uid="{00000000-0010-0000-0100-000001000000}" name="Colonne1" headerRowDxfId="42" dataDxfId="41" headerRowCellStyle="Normal 2" dataCellStyle="Normal 2"/>
  </tableColumns>
  <tableStyleInfo name="TableStyleLight1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1" xr:uid="{00000000-000C-0000-FFFF-FFFF02000000}" name="CL" displayName="CL" ref="F10:F114" headerRowCount="0" totalsRowShown="0" dataDxfId="40" tableBorderDxfId="39" headerRowCellStyle="Normal 2" dataCellStyle="Normal 2">
  <tableColumns count="1">
    <tableColumn id="1" xr3:uid="{00000000-0010-0000-0200-000001000000}" name="Colonne1" dataDxfId="38" headerRowCellStyle="Normal 2" dataCellStyle="Normal 2"/>
  </tableColumns>
  <tableStyleInfo name="TableStyleLight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9" xr:uid="{00000000-000C-0000-FFFF-FFFF00000000}" name="Tableau19" displayName="Tableau19" ref="A18:N20" totalsRowShown="0" headerRowDxfId="15" headerRowBorderDxfId="14">
  <autoFilter ref="A18:N20" xr:uid="{00000000-0009-0000-0100-000013000000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</autoFilter>
  <tableColumns count="14">
    <tableColumn id="1" xr3:uid="{00000000-0010-0000-0000-000001000000}" name="Code" dataDxfId="13">
      <calculatedColumnFormula array="1">IFERROR(INDEX(Grille_Tarifs_Modulable!$B$10:$B$114,MATCH(Tableau19[[#This Row],[Désignation]]&amp;Tableau19[[#This Row],[Cat]],Designation[[#All],[Colonne1]]&amp;CL[[#All],[Colonne1]],0)),"")</calculatedColumnFormula>
    </tableColumn>
    <tableColumn id="2" xr3:uid="{00000000-0010-0000-0000-000002000000}" name="Cols" dataDxfId="12"/>
    <tableColumn id="3" xr3:uid="{00000000-0010-0000-0000-000003000000}" name="Cat" dataDxfId="11"/>
    <tableColumn id="4" xr3:uid="{00000000-0010-0000-0000-000004000000}" name="Désignation" dataDxfId="10"/>
    <tableColumn id="14" xr3:uid="{198CBA65-8F79-4CE7-AC82-D09425DB88F6}" name="Cont" dataDxfId="9"/>
    <tableColumn id="5" xr3:uid="{00000000-0010-0000-0000-000005000000}" name="HL" dataDxfId="8">
      <calculatedColumnFormula>INT((B19*C19)/10000)</calculatedColumnFormula>
    </tableColumn>
    <tableColumn id="6" xr3:uid="{00000000-0010-0000-0000-000006000000}" name="L" dataDxfId="7">
      <calculatedColumnFormula>INT((B19*C19-10000*Tableau19[[#This Row],[HL]])/100)</calculatedColumnFormula>
    </tableColumn>
    <tableColumn id="7" xr3:uid="{00000000-0010-0000-0000-000007000000}" name="CL" dataDxfId="6">
      <calculatedColumnFormula>INT((B19*C19)-10000*Tableau19[[#This Row],[HL]]-100*Tableau19[[#This Row],[L]])</calculatedColumnFormula>
    </tableColumn>
    <tableColumn id="11" xr3:uid="{00000000-0010-0000-0000-00000B000000}" name="Deg°" dataDxfId="5">
      <calculatedColumnFormula>IFERROR(INDEX(Grille_Tarifs_Modulable!$G$10:$G$114,MATCH(Tableau19[[#This Row],[Désignation]],Designation[[#All],[Colonne1]],0)),"")</calculatedColumnFormula>
    </tableColumn>
    <tableColumn id="12" xr3:uid="{00000000-0010-0000-0000-00000C000000}" name="TRF" dataDxfId="4"/>
    <tableColumn id="8" xr3:uid="{00000000-0010-0000-0000-000008000000}" name="PU" dataDxfId="3">
      <calculatedColumnFormula>IFERROR(IF(INDEX(Grille_Tarifs_Modulable!$B$10:$K$114,MATCH(Tableau19[[#This Row],[Code]],Grille_Tarifs_Modulable!$B$10:$B$114,0),MATCH(Tableau19[[#This Row],[TRF]],Grille_Tarifs_Modulable!$B$7:$K$7,0))&gt;0,INDEX(Grille_Tarifs_Modulable!$B$10:$K$114,MATCH(Tableau19[[#This Row],[Code]],Grille_Tarifs_Modulable!$B$10:$B$114,0),MATCH(Tableau19[[#This Row],[TRF]],Grille_Tarifs_Modulable!$B$7:$K$7,0)),""),"")</calculatedColumnFormula>
    </tableColumn>
    <tableColumn id="13" xr3:uid="{00000000-0010-0000-0000-00000D000000}" name="Droits" dataDxfId="2">
      <calculatedColumnFormula>IFERROR(INDEX(Grille_Tarifs_Modulable!$B$9:$N$114,MATCH(Tableau19[[#This Row],[Code]],Grille_Tarifs_Modulable!$B$9:$B$114,0),12)*Tableau19[[#This Row],[Cols]],"")</calculatedColumnFormula>
    </tableColumn>
    <tableColumn id="9" xr3:uid="{00000000-0010-0000-0000-000009000000}" name="Vign.(s)" dataDxfId="1">
      <calculatedColumnFormula>IFERROR(INDEX(Grille_Tarifs_Modulable!$B$9:$N$114,MATCH(Tableau19[[#This Row],[Code]],Grille_Tarifs_Modulable!$B$9:$B$114,0),13)*Tableau19[[#This Row],[Cols]],"")</calculatedColumnFormula>
    </tableColumn>
    <tableColumn id="10" xr3:uid="{00000000-0010-0000-0000-00000A000000}" name="HT" dataDxfId="0">
      <calculatedColumnFormula>IFERROR(Tableau19[[#This Row],[Cols]]*Tableau19[[#This Row],[PU]]+Tableau19[[#This Row],[Droits]]+Tableau19[[#This Row],[Vign.(s)]],"")</calculatedColumnFormula>
    </tableColumn>
  </tableColumns>
  <tableStyleInfo name="TableStyleLight11" showFirstColumn="0" showLastColumn="0" showRowStripes="1" showColumnStripes="1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threadedComments/threadedComment1.xml><?xml version="1.0" encoding="utf-8"?>
<ThreadedComments xmlns="http://schemas.microsoft.com/office/spreadsheetml/2018/threadedcomments" xmlns:x="http://schemas.openxmlformats.org/spreadsheetml/2006/main">
  <threadedComment ref="Q62" dT="2020-01-04T13:39:46.60" personId="{379B0669-1742-42DD-8A94-C23E1C17EA74}" id="{A3D684CC-ED7D-4709-99BA-B0A09913B1B5}">
    <text>Formule intéressante!!!</text>
  </threadedComment>
  <threadedComment ref="Q62" dT="2020-01-04T13:40:17.79" personId="{379B0669-1742-42DD-8A94-C23E1C17EA74}" id="{200ECA05-592D-4C5B-8D83-9E5A41863C83}" parentId="{A3D684CC-ED7D-4709-99BA-B0A09913B1B5}">
    <text>Adopté dans 1st time pour JGR ITEM "IT"</text>
  </threadedComment>
  <threadedComment ref="Q62" dT="2020-01-04T13:57:43.34" personId="{379B0669-1742-42DD-8A94-C23E1C17EA74}" id="{E1EBEC73-CDAC-4D23-8138-9A0B11ACEB56}" parentId="{A3D684CC-ED7D-4709-99BA-B0A09913B1B5}">
    <text>IDEM pour cell TTC à gauche</text>
  </threadedComment>
</ThreadedComments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6" Type="http://schemas.microsoft.com/office/2017/10/relationships/threadedComment" Target="../threadedComments/threadedComment1.xml"/><Relationship Id="rId5" Type="http://schemas.openxmlformats.org/officeDocument/2006/relationships/comments" Target="../comments1.xml"/><Relationship Id="rId4" Type="http://schemas.openxmlformats.org/officeDocument/2006/relationships/table" Target="../tables/table3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70C9D55-4447-41D4-8D40-1664232402E7}">
  <dimension ref="A1:V3094"/>
  <sheetViews>
    <sheetView topLeftCell="G1" workbookViewId="0">
      <selection activeCell="I2" sqref="I2"/>
    </sheetView>
  </sheetViews>
  <sheetFormatPr baseColWidth="10" defaultColWidth="10.85546875" defaultRowHeight="14.65" customHeight="1" x14ac:dyDescent="0.2"/>
  <cols>
    <col min="1" max="1" width="14.7109375" style="166" bestFit="1" customWidth="1"/>
    <col min="2" max="2" width="16.85546875" style="224" bestFit="1" customWidth="1"/>
    <col min="3" max="3" width="38.28515625" style="224" bestFit="1" customWidth="1"/>
    <col min="4" max="4" width="28.140625" style="224" bestFit="1" customWidth="1"/>
    <col min="5" max="5" width="16.7109375" style="224" customWidth="1"/>
    <col min="6" max="6" width="18.140625" style="224" customWidth="1"/>
    <col min="7" max="7" width="10.85546875" style="166"/>
    <col min="8" max="8" width="15.28515625" style="166" bestFit="1" customWidth="1"/>
    <col min="9" max="9" width="36.42578125" style="224" bestFit="1" customWidth="1"/>
    <col min="10" max="10" width="10.85546875" style="166"/>
    <col min="11" max="11" width="36.42578125" style="224" bestFit="1" customWidth="1"/>
    <col min="12" max="12" width="15.28515625" style="224" bestFit="1" customWidth="1"/>
    <col min="13" max="13" width="14.85546875" style="224" bestFit="1" customWidth="1"/>
    <col min="14" max="14" width="20" style="224" customWidth="1"/>
    <col min="15" max="15" width="14.28515625" style="224" customWidth="1"/>
    <col min="16" max="16" width="18.7109375" style="224" customWidth="1"/>
    <col min="17" max="17" width="13.42578125" style="224" customWidth="1"/>
    <col min="18" max="19" width="18.28515625" style="224" customWidth="1"/>
    <col min="20" max="20" width="15.7109375" style="224" customWidth="1"/>
    <col min="21" max="22" width="10.85546875" style="166"/>
    <col min="23" max="16384" width="10.85546875" style="224"/>
  </cols>
  <sheetData>
    <row r="1" spans="1:22" ht="12.75" x14ac:dyDescent="0.2">
      <c r="A1" s="224" t="s">
        <v>181</v>
      </c>
      <c r="B1" s="224" t="s">
        <v>182</v>
      </c>
      <c r="C1" s="224" t="s">
        <v>150</v>
      </c>
      <c r="D1" s="224" t="s">
        <v>151</v>
      </c>
      <c r="E1" s="224" t="s">
        <v>152</v>
      </c>
      <c r="F1" s="224" t="s">
        <v>153</v>
      </c>
      <c r="G1" s="224" t="s">
        <v>183</v>
      </c>
      <c r="H1" s="224" t="s">
        <v>184</v>
      </c>
      <c r="I1" s="224" t="s">
        <v>185</v>
      </c>
      <c r="J1" s="224" t="s">
        <v>4</v>
      </c>
      <c r="K1" s="224" t="s">
        <v>2</v>
      </c>
      <c r="L1" s="224" t="s">
        <v>186</v>
      </c>
      <c r="M1" s="224" t="s">
        <v>187</v>
      </c>
      <c r="N1" s="224" t="s">
        <v>188</v>
      </c>
      <c r="O1" s="224" t="s">
        <v>189</v>
      </c>
      <c r="P1" s="224" t="s">
        <v>190</v>
      </c>
      <c r="Q1" s="224" t="s">
        <v>191</v>
      </c>
      <c r="R1" s="224" t="s">
        <v>192</v>
      </c>
      <c r="U1" s="224"/>
      <c r="V1" s="224"/>
    </row>
    <row r="2" spans="1:22" ht="12.75" x14ac:dyDescent="0.2">
      <c r="A2" s="225">
        <v>42381</v>
      </c>
      <c r="B2" s="224" t="s">
        <v>964</v>
      </c>
      <c r="C2" s="224" t="s">
        <v>157</v>
      </c>
      <c r="D2" s="224" t="s">
        <v>443</v>
      </c>
      <c r="E2" s="226"/>
      <c r="G2" s="224" t="s">
        <v>14</v>
      </c>
      <c r="H2" s="224" t="s">
        <v>1377</v>
      </c>
      <c r="I2" s="224" t="s">
        <v>20</v>
      </c>
      <c r="J2" s="273">
        <v>100</v>
      </c>
      <c r="K2" s="227" t="str" cm="1">
        <f t="array" ref="K2">IFERROR(IF(Tableau14[[#This Row],[Type_Produit]]="BAR ITEM",INDEX(Grille_Tarifs_Modulable!$B$6:$Q$114,MATCH(Tableau14[[#This Row],[Type_Produit]]&amp;"-"&amp;Tableau14[[#This Row],[Designation]],Grille_Tarifs_Modulable!C$6:C$114,0),1),INDEX(Grille_Tarifs_Modulable!$B$6:$Q$114,MATCH(Tableau14[[#This Row],[Type_Produit]]&amp;"-"&amp;Tableau14[[#This Row],[Designation]]&amp;Tableau14[[#This Row],[CL]],Grille_Tarifs_Modulable!$C$6:$C$114&amp;Grille_Tarifs_Modulable!$F$6:$F$114,0),1)),"")</f>
        <v/>
      </c>
      <c r="L2" s="228" t="e">
        <f>IF(INDEX(Grille_Tarifs_Modulable!$B$6:$Q$114,MATCH(Tableau14[[#This Row],[EAN]],Grille_Tarifs_Modulable!$B$6:$B$114,0),MATCH(Tableau14[[#This Row],[Tarificat° client]],Grille_Tarifs_Modulable!$B$7:$Q$7,0))&gt;0,INDEX(Grille_Tarifs_Modulable!$B$6:$Q$114,MATCH(Tableau14[[#This Row],[EAN]],Grille_Tarifs_Modulable!$B$6:$B$114,0),MATCH(Tableau14[[#This Row],[Tarificat° client]],Grille_Tarifs_Modulable!$B$7:$Q$7,0))+INDEX(Grille_Tarifs_Modulable!$B$6:$Q$114,MATCH(Tableau14[[#This Row],[EAN]],Grille_Tarifs_Modulable!$B$6:$B$114,0),12)+INDEX(Grille_Tarifs_Modulable!$B$6:$Q$114,MATCH(Tableau14[[#This Row],[EAN]],Grille_Tarifs_Modulable!$B$6:$B$114,0),13),0)</f>
        <v>#N/A</v>
      </c>
      <c r="M2" s="228" t="e">
        <f>IF(Tableau14[[#This Row],[Prix_Unit_HT]]=0,0,Tableau14[[#This Row],[Prix_Unit_HT]]+(Tableau14[[#This Row],[Prix_Unit_HT]]*INDEX(Grille_Tarifs_Modulable!$B$6:$Q$114,MATCH(Tableau14[[#This Row],[EAN]],Grille_Tarifs_Modulable!$B$6:$B$114,0),MATCH(Grille_Tarifs_Modulable!$Q$6,Grille_Tarifs_Modulable!$B$6:$Q$6,0))))</f>
        <v>#N/A</v>
      </c>
      <c r="N2" s="224">
        <v>2</v>
      </c>
      <c r="O2" s="228" t="e">
        <f>ROUND(Tableau14[[#This Row],[Prix_Unit_HT]],2)*Tableau14[[#This Row],[Qte_commande]]</f>
        <v>#N/A</v>
      </c>
      <c r="P2" s="228" t="e">
        <f>ROUND(Tableau14[[#This Row],[Prix_Unit_TTC]],2)*Tableau14[[#This Row],[Qte_commande]]</f>
        <v>#N/A</v>
      </c>
      <c r="Q2" s="224">
        <v>2</v>
      </c>
      <c r="R2" s="228">
        <f>IF(COUNTIF(Tableau14[[#This Row],[Type_Produit]],"*BAR ITEM*"),0,PRODUCT(Tableau14[[#This Row],[CL]],Tableau14[[#This Row],[Qte_commande]])/70)</f>
        <v>2.8571428571428572</v>
      </c>
      <c r="S2" s="224" t="s">
        <v>1380</v>
      </c>
      <c r="U2" s="224"/>
      <c r="V2" s="224"/>
    </row>
    <row r="3" spans="1:22" ht="12.75" x14ac:dyDescent="0.2">
      <c r="A3" s="225">
        <v>42384</v>
      </c>
      <c r="B3" s="224" t="s">
        <v>916</v>
      </c>
      <c r="C3" s="224" t="s">
        <v>159</v>
      </c>
      <c r="D3" s="224" t="s">
        <v>209</v>
      </c>
      <c r="E3" s="226"/>
      <c r="G3" s="224" t="s">
        <v>14</v>
      </c>
      <c r="H3" s="224" t="s">
        <v>1378</v>
      </c>
      <c r="I3" s="224" t="s">
        <v>1387</v>
      </c>
      <c r="J3" s="224">
        <v>100</v>
      </c>
      <c r="K3" s="227">
        <f t="array" ref="K3">IFERROR(INDEX([1]Grille_Tarifs_Modulable!$B$2:$B$204,MATCH(Tableau14[[#This Row],[Designation]]&amp;Tableau14[[#This Row],[CL]],[1]Grille_Tarifs_Modulable!$C$2:$C$204&amp;[1]Grille_Tarifs_Modulable!$F$2:$F$204,0)),0)</f>
        <v>0</v>
      </c>
      <c r="L3" s="228">
        <f>IF(Tableau14[[#This Row],[EAN]]=0,0,INDEX(Grille_Tarifs_Modulable!$B$7:$N$114,MATCH(Tableau14[[#This Row],[EAN]],Grille_Tarifs_Modulable!$B$7:$B$114,0),MATCH(Tableau14[[#This Row],[Tarificat° client]],Grille_Tarifs_Modulable!$7:$7,0)-1)+INDEX([1]Grille_Tarifs_Modulable!$M$7:$N$114,MATCH(Tableau14[[#This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</v>
      </c>
      <c r="M3" s="228">
        <f>IF(Tableau14[[#This Row],[Prix_Unit_HT]]=0,0,Tableau14[[#This Row],[Prix_Unit_HT]]+(Tableau14[[#This Row],[Prix_Unit_HT]]*VLOOKUP(Tableau14[[#This Row],[EAN]],Grille_Tarifs_Modulable!$B$10:$Q$204,16,FALSE)))</f>
        <v>0</v>
      </c>
      <c r="N3" s="224">
        <v>48</v>
      </c>
      <c r="O3" s="228">
        <f>ROUND(Tableau14[[#This Row],[Prix_Unit_HT]],2)*Tableau14[[#This Row],[Qte_commande]]</f>
        <v>0</v>
      </c>
      <c r="P3" s="228">
        <f>ROUND(Tableau14[[#This Row],[Prix_Unit_TTC]],2)*Tableau14[[#This Row],[Qte_commande]]</f>
        <v>0</v>
      </c>
      <c r="Q3" s="224">
        <v>68.569999999999993</v>
      </c>
      <c r="R3" s="228">
        <f>IF(COUNTIF(Tableau14[[#This Row],[Type_Produit]],"*BAR ITEM*"),0,PRODUCT(Tableau14[[#This Row],[CL]],Tableau14[[#This Row],[Qte_commande]])/70)</f>
        <v>68.571428571428569</v>
      </c>
      <c r="U3" s="224"/>
      <c r="V3" s="224"/>
    </row>
    <row r="4" spans="1:22" ht="12.75" x14ac:dyDescent="0.2">
      <c r="A4" s="225">
        <v>42384</v>
      </c>
      <c r="B4" s="224" t="s">
        <v>965</v>
      </c>
      <c r="C4" s="224" t="s">
        <v>158</v>
      </c>
      <c r="D4" s="224" t="s">
        <v>443</v>
      </c>
      <c r="E4" s="226"/>
      <c r="G4" s="224" t="s">
        <v>1</v>
      </c>
      <c r="H4" s="224" t="s">
        <v>451</v>
      </c>
      <c r="I4" s="224" t="s">
        <v>69</v>
      </c>
      <c r="J4" s="227">
        <v>3</v>
      </c>
      <c r="K4" s="227">
        <f t="array" ref="K4">IFERROR(INDEX([1]Grille_Tarifs_Modulable!$B$2:$B$204,MATCH(Tableau14[[#This Row],[Designation]]&amp;Tableau14[[#This Row],[CL]],[1]Grille_Tarifs_Modulable!$C$2:$C$204&amp;[1]Grille_Tarifs_Modulable!$F$2:$F$204,0)),0)</f>
        <v>121</v>
      </c>
      <c r="L4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299</v>
      </c>
      <c r="M4" s="228">
        <f>IF(Tableau14[[#This Row],[Prix_Unit_HT]]=0,0,Tableau14[[#This Row],[Prix_Unit_HT]]+(Tableau14[[#This Row],[Prix_Unit_HT]]*VLOOKUP(Tableau14[[#This Row],[EAN]],[1]Grille_Tarifs_Modulable!$B$10:$Q$204,16,FALSE)))</f>
        <v>358.8</v>
      </c>
      <c r="N4" s="224">
        <v>1</v>
      </c>
      <c r="O4" s="228">
        <f>ROUND(Tableau14[[#This Row],[Prix_Unit_HT]],2)*Tableau14[[#This Row],[Qte_commande]]</f>
        <v>299</v>
      </c>
      <c r="P4" s="228">
        <f>ROUND(Tableau14[[#This Row],[Prix_Unit_TTC]],2)*Tableau14[[#This Row],[Qte_commande]]</f>
        <v>358.8</v>
      </c>
      <c r="Q4" s="224">
        <v>1</v>
      </c>
      <c r="R4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</v>
      </c>
      <c r="U4" s="224"/>
      <c r="V4" s="224"/>
    </row>
    <row r="5" spans="1:22" ht="12.75" x14ac:dyDescent="0.2">
      <c r="A5" s="225">
        <v>42390</v>
      </c>
      <c r="B5" s="224" t="s">
        <v>529</v>
      </c>
      <c r="C5" s="224" t="s">
        <v>530</v>
      </c>
      <c r="D5" s="224" t="s">
        <v>531</v>
      </c>
      <c r="E5" s="226"/>
      <c r="G5" s="224" t="s">
        <v>1</v>
      </c>
      <c r="H5" s="224" t="s">
        <v>289</v>
      </c>
      <c r="I5" s="224" t="s">
        <v>15</v>
      </c>
      <c r="J5" s="224">
        <v>70</v>
      </c>
      <c r="K5" s="227">
        <f t="array" ref="K5">IFERROR(INDEX([1]Grille_Tarifs_Modulable!$B$2:$B$204,MATCH(Tableau14[[#This Row],[Designation]]&amp;Tableau14[[#This Row],[CL]],[1]Grille_Tarifs_Modulable!$C$2:$C$204&amp;[1]Grille_Tarifs_Modulable!$F$2:$F$204,0)),0)</f>
        <v>4067700013859</v>
      </c>
      <c r="L5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12.532563499999998</v>
      </c>
      <c r="M5" s="228">
        <f>IF(Tableau14[[#This Row],[Prix_Unit_HT]]=0,0,Tableau14[[#This Row],[Prix_Unit_HT]]+(Tableau14[[#This Row],[Prix_Unit_HT]]*VLOOKUP(Tableau14[[#This Row],[EAN]],[1]Grille_Tarifs_Modulable!$B$10:$Q$204,16,FALSE)))</f>
        <v>15.039076199999998</v>
      </c>
      <c r="N5" s="224">
        <v>150</v>
      </c>
      <c r="O5" s="228">
        <f>ROUND(Tableau14[[#This Row],[Prix_Unit_HT]],2)*Tableau14[[#This Row],[Qte_commande]]</f>
        <v>1879.5</v>
      </c>
      <c r="P5" s="228">
        <f>ROUND(Tableau14[[#This Row],[Prix_Unit_TTC]],2)*Tableau14[[#This Row],[Qte_commande]]</f>
        <v>2256</v>
      </c>
      <c r="Q5" s="224">
        <v>150</v>
      </c>
      <c r="R5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150</v>
      </c>
      <c r="U5" s="224"/>
      <c r="V5" s="224"/>
    </row>
    <row r="6" spans="1:22" ht="12.75" x14ac:dyDescent="0.2">
      <c r="A6" s="225">
        <v>42391</v>
      </c>
      <c r="B6" s="224" t="s">
        <v>941</v>
      </c>
      <c r="C6" s="224" t="s">
        <v>942</v>
      </c>
      <c r="D6" s="224" t="s">
        <v>943</v>
      </c>
      <c r="E6" s="226"/>
      <c r="G6" s="224" t="s">
        <v>14</v>
      </c>
      <c r="H6" s="224" t="s">
        <v>289</v>
      </c>
      <c r="I6" s="224" t="s">
        <v>42</v>
      </c>
      <c r="J6" s="224">
        <v>70</v>
      </c>
      <c r="K6" s="227">
        <f t="array" ref="K6">IFERROR(INDEX([1]Grille_Tarifs_Modulable!$B$2:$B$204,MATCH(Tableau14[[#This Row],[Designation]]&amp;Tableau14[[#This Row],[CL]],[1]Grille_Tarifs_Modulable!$C$2:$C$204&amp;[1]Grille_Tarifs_Modulable!$F$2:$F$204,0)),0)</f>
        <v>3257150688009</v>
      </c>
      <c r="L6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5.2869151999999993</v>
      </c>
      <c r="M6" s="228">
        <f>IF(Tableau14[[#This Row],[Prix_Unit_HT]]=0,0,Tableau14[[#This Row],[Prix_Unit_HT]]+(Tableau14[[#This Row],[Prix_Unit_HT]]*VLOOKUP(Tableau14[[#This Row],[EAN]],[1]Grille_Tarifs_Modulable!$B$10:$Q$204,16,FALSE)))</f>
        <v>6.3442982399999988</v>
      </c>
      <c r="N6" s="224">
        <v>18</v>
      </c>
      <c r="O6" s="228">
        <f>ROUND(Tableau14[[#This Row],[Prix_Unit_HT]],2)*Tableau14[[#This Row],[Qte_commande]]</f>
        <v>95.22</v>
      </c>
      <c r="P6" s="228">
        <f>ROUND(Tableau14[[#This Row],[Prix_Unit_TTC]],2)*Tableau14[[#This Row],[Qte_commande]]</f>
        <v>114.12</v>
      </c>
      <c r="Q6" s="224">
        <v>18</v>
      </c>
      <c r="R6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18</v>
      </c>
      <c r="U6" s="224"/>
      <c r="V6" s="224"/>
    </row>
    <row r="7" spans="1:22" ht="12.75" x14ac:dyDescent="0.2">
      <c r="A7" s="225">
        <v>42397</v>
      </c>
      <c r="B7" s="224" t="s">
        <v>532</v>
      </c>
      <c r="C7" s="224" t="s">
        <v>194</v>
      </c>
      <c r="D7" s="224" t="s">
        <v>343</v>
      </c>
      <c r="E7" s="226"/>
      <c r="G7" s="224" t="s">
        <v>1</v>
      </c>
      <c r="H7" s="224" t="s">
        <v>289</v>
      </c>
      <c r="I7" s="224" t="s">
        <v>15</v>
      </c>
      <c r="J7" s="224">
        <v>175</v>
      </c>
      <c r="K7" s="227">
        <f t="array" ref="K7">IFERROR(INDEX([1]Grille_Tarifs_Modulable!$B$2:$B$204,MATCH(Tableau14[[#This Row],[Designation]]&amp;Tableau14[[#This Row],[CL]],[1]Grille_Tarifs_Modulable!$C$2:$C$204&amp;[1]Grille_Tarifs_Modulable!$F$2:$F$204,0)),0)</f>
        <v>4067700013835</v>
      </c>
      <c r="L7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28.916408750000002</v>
      </c>
      <c r="M7" s="228">
        <f>IF(Tableau14[[#This Row],[Prix_Unit_HT]]=0,0,Tableau14[[#This Row],[Prix_Unit_HT]]+(Tableau14[[#This Row],[Prix_Unit_HT]]*VLOOKUP(Tableau14[[#This Row],[EAN]],[1]Grille_Tarifs_Modulable!$B$10:$Q$204,16,FALSE)))</f>
        <v>34.699690500000003</v>
      </c>
      <c r="N7" s="224">
        <v>36</v>
      </c>
      <c r="O7" s="228">
        <f>ROUND(Tableau14[[#This Row],[Prix_Unit_HT]],2)*Tableau14[[#This Row],[Qte_commande]]</f>
        <v>1041.1200000000001</v>
      </c>
      <c r="P7" s="228">
        <f>ROUND(Tableau14[[#This Row],[Prix_Unit_TTC]],2)*Tableau14[[#This Row],[Qte_commande]]</f>
        <v>1249.2</v>
      </c>
      <c r="Q7" s="224">
        <v>90</v>
      </c>
      <c r="R7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90</v>
      </c>
      <c r="U7" s="224"/>
      <c r="V7" s="224"/>
    </row>
    <row r="8" spans="1:22" ht="12.75" x14ac:dyDescent="0.2">
      <c r="A8" s="225">
        <v>42398</v>
      </c>
      <c r="B8" s="224" t="s">
        <v>533</v>
      </c>
      <c r="C8" s="224" t="s">
        <v>194</v>
      </c>
      <c r="D8" s="224" t="s">
        <v>195</v>
      </c>
      <c r="E8" s="226"/>
      <c r="G8" s="224" t="s">
        <v>1</v>
      </c>
      <c r="H8" s="224" t="s">
        <v>289</v>
      </c>
      <c r="I8" s="224" t="s">
        <v>15</v>
      </c>
      <c r="J8" s="224">
        <v>70</v>
      </c>
      <c r="K8" s="227">
        <f t="array" ref="K8">IFERROR(INDEX([1]Grille_Tarifs_Modulable!$B$2:$B$204,MATCH(Tableau14[[#This Row],[Designation]]&amp;Tableau14[[#This Row],[CL]],[1]Grille_Tarifs_Modulable!$C$2:$C$204&amp;[1]Grille_Tarifs_Modulable!$F$2:$F$204,0)),0)</f>
        <v>4067700013859</v>
      </c>
      <c r="L8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12.532563499999998</v>
      </c>
      <c r="M8" s="228">
        <f>IF(Tableau14[[#This Row],[Prix_Unit_HT]]=0,0,Tableau14[[#This Row],[Prix_Unit_HT]]+(Tableau14[[#This Row],[Prix_Unit_HT]]*VLOOKUP(Tableau14[[#This Row],[EAN]],[1]Grille_Tarifs_Modulable!$B$10:$Q$204,16,FALSE)))</f>
        <v>15.039076199999998</v>
      </c>
      <c r="N8" s="224">
        <v>60</v>
      </c>
      <c r="O8" s="228">
        <f>ROUND(Tableau14[[#This Row],[Prix_Unit_HT]],2)*Tableau14[[#This Row],[Qte_commande]]</f>
        <v>751.8</v>
      </c>
      <c r="P8" s="228">
        <f>ROUND(Tableau14[[#This Row],[Prix_Unit_TTC]],2)*Tableau14[[#This Row],[Qte_commande]]</f>
        <v>902.4</v>
      </c>
      <c r="Q8" s="224">
        <v>60</v>
      </c>
      <c r="R8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60.000000000000007</v>
      </c>
      <c r="U8" s="224"/>
      <c r="V8" s="224"/>
    </row>
    <row r="9" spans="1:22" ht="12.75" x14ac:dyDescent="0.2">
      <c r="A9" s="225">
        <v>42398</v>
      </c>
      <c r="B9" s="224" t="s">
        <v>534</v>
      </c>
      <c r="C9" s="224" t="s">
        <v>308</v>
      </c>
      <c r="D9" s="224" t="s">
        <v>309</v>
      </c>
      <c r="E9" s="226"/>
      <c r="G9" s="224" t="s">
        <v>1</v>
      </c>
      <c r="H9" s="224" t="s">
        <v>289</v>
      </c>
      <c r="I9" s="224" t="s">
        <v>15</v>
      </c>
      <c r="J9" s="224">
        <v>70</v>
      </c>
      <c r="K9" s="227">
        <f t="array" ref="K9">IFERROR(INDEX([1]Grille_Tarifs_Modulable!$B$2:$B$204,MATCH(Tableau14[[#This Row],[Designation]]&amp;Tableau14[[#This Row],[CL]],[1]Grille_Tarifs_Modulable!$C$2:$C$204&amp;[1]Grille_Tarifs_Modulable!$F$2:$F$204,0)),0)</f>
        <v>4067700013859</v>
      </c>
      <c r="L9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12.532563499999998</v>
      </c>
      <c r="M9" s="228">
        <f>IF(Tableau14[[#This Row],[Prix_Unit_HT]]=0,0,Tableau14[[#This Row],[Prix_Unit_HT]]+(Tableau14[[#This Row],[Prix_Unit_HT]]*VLOOKUP(Tableau14[[#This Row],[EAN]],[1]Grille_Tarifs_Modulable!$B$10:$Q$204,16,FALSE)))</f>
        <v>15.039076199999998</v>
      </c>
      <c r="N9" s="224">
        <v>180</v>
      </c>
      <c r="O9" s="228">
        <f>ROUND(Tableau14[[#This Row],[Prix_Unit_HT]],2)*Tableau14[[#This Row],[Qte_commande]]</f>
        <v>2255.4</v>
      </c>
      <c r="P9" s="228">
        <f>ROUND(Tableau14[[#This Row],[Prix_Unit_TTC]],2)*Tableau14[[#This Row],[Qte_commande]]</f>
        <v>2707.2</v>
      </c>
      <c r="Q9" s="224">
        <v>180</v>
      </c>
      <c r="R9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180</v>
      </c>
      <c r="U9" s="224"/>
      <c r="V9" s="224"/>
    </row>
    <row r="10" spans="1:22" ht="12.75" x14ac:dyDescent="0.2">
      <c r="A10" s="225">
        <v>42398</v>
      </c>
      <c r="B10" s="224" t="s">
        <v>533</v>
      </c>
      <c r="C10" s="224" t="s">
        <v>194</v>
      </c>
      <c r="D10" s="224" t="s">
        <v>195</v>
      </c>
      <c r="E10" s="226"/>
      <c r="G10" s="224" t="s">
        <v>1</v>
      </c>
      <c r="H10" s="224" t="s">
        <v>289</v>
      </c>
      <c r="I10" s="224" t="s">
        <v>15</v>
      </c>
      <c r="J10" s="224">
        <v>100</v>
      </c>
      <c r="K10" s="227">
        <f t="array" ref="K10">IFERROR(INDEX([1]Grille_Tarifs_Modulable!$B$2:$B$204,MATCH(Tableau14[[#This Row],[Designation]]&amp;Tableau14[[#This Row],[CL]],[1]Grille_Tarifs_Modulable!$C$2:$C$204&amp;[1]Grille_Tarifs_Modulable!$F$2:$F$204,0)),0)</f>
        <v>4067700013842</v>
      </c>
      <c r="L10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17.100804999999998</v>
      </c>
      <c r="M10" s="228">
        <f>IF(Tableau14[[#This Row],[Prix_Unit_HT]]=0,0,Tableau14[[#This Row],[Prix_Unit_HT]]+(Tableau14[[#This Row],[Prix_Unit_HT]]*VLOOKUP(Tableau14[[#This Row],[EAN]],[1]Grille_Tarifs_Modulable!$B$10:$Q$204,16,FALSE)))</f>
        <v>20.520965999999998</v>
      </c>
      <c r="N10" s="224">
        <v>120</v>
      </c>
      <c r="O10" s="228">
        <f>ROUND(Tableau14[[#This Row],[Prix_Unit_HT]],2)*Tableau14[[#This Row],[Qte_commande]]</f>
        <v>2052</v>
      </c>
      <c r="P10" s="228">
        <f>ROUND(Tableau14[[#This Row],[Prix_Unit_TTC]],2)*Tableau14[[#This Row],[Qte_commande]]</f>
        <v>2462.4</v>
      </c>
      <c r="Q10" s="224">
        <v>171.43</v>
      </c>
      <c r="R10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171.42857142857144</v>
      </c>
      <c r="U10" s="224"/>
      <c r="V10" s="224"/>
    </row>
    <row r="11" spans="1:22" ht="12.75" x14ac:dyDescent="0.2">
      <c r="A11" s="225">
        <v>42402</v>
      </c>
      <c r="B11" s="224" t="s">
        <v>535</v>
      </c>
      <c r="C11" s="224" t="s">
        <v>536</v>
      </c>
      <c r="D11" s="224" t="s">
        <v>537</v>
      </c>
      <c r="E11" s="226"/>
      <c r="G11" s="224" t="s">
        <v>13</v>
      </c>
      <c r="H11" s="224" t="s">
        <v>289</v>
      </c>
      <c r="I11" s="224" t="s">
        <v>15</v>
      </c>
      <c r="J11" s="224">
        <v>100</v>
      </c>
      <c r="K11" s="227">
        <f t="array" ref="K11">IFERROR(INDEX([1]Grille_Tarifs_Modulable!$B$2:$B$204,MATCH(Tableau14[[#This Row],[Designation]]&amp;Tableau14[[#This Row],[CL]],[1]Grille_Tarifs_Modulable!$C$2:$C$204&amp;[1]Grille_Tarifs_Modulable!$F$2:$F$204,0)),0)</f>
        <v>4067700013842</v>
      </c>
      <c r="L11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19.150804999999998</v>
      </c>
      <c r="M11" s="228">
        <f>IF(Tableau14[[#This Row],[Prix_Unit_HT]]=0,0,Tableau14[[#This Row],[Prix_Unit_HT]]+(Tableau14[[#This Row],[Prix_Unit_HT]]*VLOOKUP(Tableau14[[#This Row],[EAN]],[1]Grille_Tarifs_Modulable!$B$10:$Q$204,16,FALSE)))</f>
        <v>22.980965999999999</v>
      </c>
      <c r="N11" s="224">
        <v>30</v>
      </c>
      <c r="O11" s="228">
        <f>ROUND(Tableau14[[#This Row],[Prix_Unit_HT]],2)*Tableau14[[#This Row],[Qte_commande]]</f>
        <v>574.5</v>
      </c>
      <c r="P11" s="228">
        <f>ROUND(Tableau14[[#This Row],[Prix_Unit_TTC]],2)*Tableau14[[#This Row],[Qte_commande]]</f>
        <v>689.4</v>
      </c>
      <c r="Q11" s="224">
        <v>42.86</v>
      </c>
      <c r="R11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42.857142857142861</v>
      </c>
      <c r="U11" s="224"/>
      <c r="V11" s="224"/>
    </row>
    <row r="12" spans="1:22" ht="12.75" x14ac:dyDescent="0.2">
      <c r="A12" s="225">
        <v>42402</v>
      </c>
      <c r="B12" s="224" t="s">
        <v>538</v>
      </c>
      <c r="C12" s="224" t="s">
        <v>539</v>
      </c>
      <c r="D12" s="224" t="s">
        <v>540</v>
      </c>
      <c r="E12" s="226"/>
      <c r="G12" s="224" t="s">
        <v>1</v>
      </c>
      <c r="H12" s="224" t="s">
        <v>289</v>
      </c>
      <c r="I12" s="224" t="s">
        <v>15</v>
      </c>
      <c r="J12" s="224">
        <v>100</v>
      </c>
      <c r="K12" s="227">
        <f t="array" ref="K12">IFERROR(INDEX([1]Grille_Tarifs_Modulable!$B$2:$B$204,MATCH(Tableau14[[#This Row],[Designation]]&amp;Tableau14[[#This Row],[CL]],[1]Grille_Tarifs_Modulable!$C$2:$C$204&amp;[1]Grille_Tarifs_Modulable!$F$2:$F$204,0)),0)</f>
        <v>4067700013842</v>
      </c>
      <c r="L12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17.100804999999998</v>
      </c>
      <c r="M12" s="228">
        <f>IF(Tableau14[[#This Row],[Prix_Unit_HT]]=0,0,Tableau14[[#This Row],[Prix_Unit_HT]]+(Tableau14[[#This Row],[Prix_Unit_HT]]*VLOOKUP(Tableau14[[#This Row],[EAN]],[1]Grille_Tarifs_Modulable!$B$10:$Q$204,16,FALSE)))</f>
        <v>20.520965999999998</v>
      </c>
      <c r="N12" s="224">
        <v>120</v>
      </c>
      <c r="O12" s="228">
        <f>ROUND(Tableau14[[#This Row],[Prix_Unit_HT]],2)*Tableau14[[#This Row],[Qte_commande]]</f>
        <v>2052</v>
      </c>
      <c r="P12" s="228">
        <f>ROUND(Tableau14[[#This Row],[Prix_Unit_TTC]],2)*Tableau14[[#This Row],[Qte_commande]]</f>
        <v>2462.4</v>
      </c>
      <c r="Q12" s="224">
        <v>171.43</v>
      </c>
      <c r="R12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171.42857142857144</v>
      </c>
      <c r="U12" s="224"/>
      <c r="V12" s="224"/>
    </row>
    <row r="13" spans="1:22" ht="12.75" x14ac:dyDescent="0.2">
      <c r="A13" s="225">
        <v>42402</v>
      </c>
      <c r="B13" s="224" t="s">
        <v>535</v>
      </c>
      <c r="C13" s="224" t="s">
        <v>536</v>
      </c>
      <c r="D13" s="224" t="s">
        <v>537</v>
      </c>
      <c r="E13" s="226"/>
      <c r="G13" s="224" t="s">
        <v>13</v>
      </c>
      <c r="H13" s="224" t="s">
        <v>289</v>
      </c>
      <c r="I13" s="224" t="s">
        <v>25</v>
      </c>
      <c r="J13" s="224">
        <v>70</v>
      </c>
      <c r="K13" s="227">
        <f t="array" ref="K13">IFERROR(INDEX([1]Grille_Tarifs_Modulable!$B$2:$B$204,MATCH(Tableau14[[#This Row],[Designation]]&amp;Tableau14[[#This Row],[CL]],[1]Grille_Tarifs_Modulable!$C$2:$C$204&amp;[1]Grille_Tarifs_Modulable!$F$2:$F$204,0)),0)</f>
        <v>8500000917015</v>
      </c>
      <c r="L13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12.7382118</v>
      </c>
      <c r="M13" s="228">
        <f>IF(Tableau14[[#This Row],[Prix_Unit_HT]]=0,0,Tableau14[[#This Row],[Prix_Unit_HT]]+(Tableau14[[#This Row],[Prix_Unit_HT]]*VLOOKUP(Tableau14[[#This Row],[EAN]],[1]Grille_Tarifs_Modulable!$B$10:$Q$204,16,FALSE)))</f>
        <v>15.28585416</v>
      </c>
      <c r="N13" s="224">
        <v>6</v>
      </c>
      <c r="O13" s="228">
        <f>ROUND(Tableau14[[#This Row],[Prix_Unit_HT]],2)*Tableau14[[#This Row],[Qte_commande]]</f>
        <v>76.44</v>
      </c>
      <c r="P13" s="228">
        <f>ROUND(Tableau14[[#This Row],[Prix_Unit_TTC]],2)*Tableau14[[#This Row],[Qte_commande]]</f>
        <v>91.74</v>
      </c>
      <c r="Q13" s="224">
        <v>6</v>
      </c>
      <c r="R13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6.0000000000000009</v>
      </c>
      <c r="U13" s="224"/>
      <c r="V13" s="224"/>
    </row>
    <row r="14" spans="1:22" ht="12.75" x14ac:dyDescent="0.2">
      <c r="A14" s="225">
        <v>42402</v>
      </c>
      <c r="B14" s="224" t="s">
        <v>535</v>
      </c>
      <c r="C14" s="224" t="s">
        <v>536</v>
      </c>
      <c r="D14" s="224" t="s">
        <v>537</v>
      </c>
      <c r="E14" s="226"/>
      <c r="G14" s="224" t="s">
        <v>13</v>
      </c>
      <c r="H14" s="224" t="s">
        <v>289</v>
      </c>
      <c r="I14" s="224" t="s">
        <v>1355</v>
      </c>
      <c r="J14" s="224">
        <v>70</v>
      </c>
      <c r="K14" s="227">
        <f t="array" ref="K14">IFERROR(INDEX([1]Grille_Tarifs_Modulable!$B$2:$B$204,MATCH(Tableau14[[#This Row],[Designation]]&amp;Tableau14[[#This Row],[CL]],[1]Grille_Tarifs_Modulable!$C$2:$C$204&amp;[1]Grille_Tarifs_Modulable!$F$2:$F$204,0)),0)</f>
        <v>0</v>
      </c>
      <c r="L14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</v>
      </c>
      <c r="M14" s="228">
        <f>IF(Tableau14[[#This Row],[Prix_Unit_HT]]=0,0,Tableau14[[#This Row],[Prix_Unit_HT]]+(Tableau14[[#This Row],[Prix_Unit_HT]]*VLOOKUP(Tableau14[[#This Row],[EAN]],[1]Grille_Tarifs_Modulable!$B$10:$Q$204,16,FALSE)))</f>
        <v>0</v>
      </c>
      <c r="N14" s="224">
        <v>6</v>
      </c>
      <c r="O14" s="228">
        <f>ROUND(Tableau14[[#This Row],[Prix_Unit_HT]],2)*Tableau14[[#This Row],[Qte_commande]]</f>
        <v>0</v>
      </c>
      <c r="P14" s="228">
        <f>ROUND(Tableau14[[#This Row],[Prix_Unit_TTC]],2)*Tableau14[[#This Row],[Qte_commande]]</f>
        <v>0</v>
      </c>
      <c r="Q14" s="224">
        <v>6</v>
      </c>
      <c r="R14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6.0000000000000009</v>
      </c>
      <c r="U14" s="224"/>
      <c r="V14" s="224"/>
    </row>
    <row r="15" spans="1:22" ht="12.75" x14ac:dyDescent="0.2">
      <c r="A15" s="225">
        <v>42402</v>
      </c>
      <c r="B15" s="224" t="s">
        <v>535</v>
      </c>
      <c r="C15" s="224" t="s">
        <v>536</v>
      </c>
      <c r="D15" s="224" t="s">
        <v>537</v>
      </c>
      <c r="E15" s="226"/>
      <c r="G15" s="224" t="s">
        <v>13</v>
      </c>
      <c r="H15" s="224" t="s">
        <v>289</v>
      </c>
      <c r="I15" s="224" t="s">
        <v>1357</v>
      </c>
      <c r="J15" s="224">
        <v>70</v>
      </c>
      <c r="K15" s="227">
        <f t="array" ref="K15">IFERROR(INDEX([1]Grille_Tarifs_Modulable!$B$2:$B$204,MATCH(Tableau14[[#This Row],[Designation]]&amp;Tableau14[[#This Row],[CL]],[1]Grille_Tarifs_Modulable!$C$2:$C$204&amp;[1]Grille_Tarifs_Modulable!$F$2:$F$204,0)),0)</f>
        <v>0</v>
      </c>
      <c r="L15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</v>
      </c>
      <c r="M15" s="228">
        <f>IF(Tableau14[[#This Row],[Prix_Unit_HT]]=0,0,Tableau14[[#This Row],[Prix_Unit_HT]]+(Tableau14[[#This Row],[Prix_Unit_HT]]*VLOOKUP(Tableau14[[#This Row],[EAN]],[1]Grille_Tarifs_Modulable!$B$10:$Q$204,16,FALSE)))</f>
        <v>0</v>
      </c>
      <c r="N15" s="224">
        <v>6</v>
      </c>
      <c r="O15" s="228">
        <f>ROUND(Tableau14[[#This Row],[Prix_Unit_HT]],2)*Tableau14[[#This Row],[Qte_commande]]</f>
        <v>0</v>
      </c>
      <c r="P15" s="228">
        <f>ROUND(Tableau14[[#This Row],[Prix_Unit_TTC]],2)*Tableau14[[#This Row],[Qte_commande]]</f>
        <v>0</v>
      </c>
      <c r="Q15" s="224">
        <v>6</v>
      </c>
      <c r="R15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6.0000000000000009</v>
      </c>
      <c r="U15" s="224"/>
      <c r="V15" s="224"/>
    </row>
    <row r="16" spans="1:22" ht="12.75" x14ac:dyDescent="0.2">
      <c r="A16" s="225">
        <v>42404</v>
      </c>
      <c r="B16" s="224" t="s">
        <v>449</v>
      </c>
      <c r="C16" s="224" t="s">
        <v>450</v>
      </c>
      <c r="D16" s="224" t="s">
        <v>203</v>
      </c>
      <c r="E16" s="226"/>
      <c r="G16" s="224" t="s">
        <v>13</v>
      </c>
      <c r="H16" s="224" t="s">
        <v>451</v>
      </c>
      <c r="I16" s="224" t="s">
        <v>74</v>
      </c>
      <c r="J16" s="229">
        <v>6</v>
      </c>
      <c r="K16" s="227">
        <f t="array" ref="K16">IFERROR(INDEX([1]Grille_Tarifs_Modulable!$B$2:$B$204,MATCH(Tableau14[[#This Row],[Designation]]&amp;Tableau14[[#This Row],[CL]],[1]Grille_Tarifs_Modulable!$C$2:$C$204&amp;[1]Grille_Tarifs_Modulable!$F$2:$F$204,0)),0)</f>
        <v>125</v>
      </c>
      <c r="L16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139</v>
      </c>
      <c r="M16" s="228">
        <f>IF(Tableau14[[#This Row],[Prix_Unit_HT]]=0,0,Tableau14[[#This Row],[Prix_Unit_HT]]+(Tableau14[[#This Row],[Prix_Unit_HT]]*VLOOKUP(Tableau14[[#This Row],[EAN]],[1]Grille_Tarifs_Modulable!$B$10:$Q$204,16,FALSE)))</f>
        <v>166.8</v>
      </c>
      <c r="N16" s="224">
        <v>1</v>
      </c>
      <c r="O16" s="228">
        <f>ROUND(Tableau14[[#This Row],[Prix_Unit_HT]],2)*Tableau14[[#This Row],[Qte_commande]]</f>
        <v>139</v>
      </c>
      <c r="P16" s="228">
        <f>ROUND(Tableau14[[#This Row],[Prix_Unit_TTC]],2)*Tableau14[[#This Row],[Qte_commande]]</f>
        <v>166.8</v>
      </c>
      <c r="Q16" s="224">
        <v>1</v>
      </c>
      <c r="R16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</v>
      </c>
      <c r="U16" s="224"/>
      <c r="V16" s="224"/>
    </row>
    <row r="17" spans="1:22" ht="12.75" x14ac:dyDescent="0.2">
      <c r="A17" s="225">
        <v>42404</v>
      </c>
      <c r="B17" s="224" t="s">
        <v>966</v>
      </c>
      <c r="C17" s="224" t="s">
        <v>159</v>
      </c>
      <c r="D17" s="224" t="s">
        <v>209</v>
      </c>
      <c r="E17" s="226"/>
      <c r="G17" s="224" t="s">
        <v>1</v>
      </c>
      <c r="H17" s="224" t="s">
        <v>451</v>
      </c>
      <c r="I17" s="224" t="s">
        <v>69</v>
      </c>
      <c r="J17" s="227">
        <v>3</v>
      </c>
      <c r="K17" s="227">
        <f t="array" ref="K17">IFERROR(INDEX([1]Grille_Tarifs_Modulable!$B$2:$B$204,MATCH(Tableau14[[#This Row],[Designation]]&amp;Tableau14[[#This Row],[CL]],[1]Grille_Tarifs_Modulable!$C$2:$C$204&amp;[1]Grille_Tarifs_Modulable!$F$2:$F$204,0)),0)</f>
        <v>121</v>
      </c>
      <c r="L17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299</v>
      </c>
      <c r="M17" s="228">
        <f>IF(Tableau14[[#This Row],[Prix_Unit_HT]]=0,0,Tableau14[[#This Row],[Prix_Unit_HT]]+(Tableau14[[#This Row],[Prix_Unit_HT]]*VLOOKUP(Tableau14[[#This Row],[EAN]],[1]Grille_Tarifs_Modulable!$B$10:$Q$204,16,FALSE)))</f>
        <v>358.8</v>
      </c>
      <c r="N17" s="224">
        <v>1</v>
      </c>
      <c r="O17" s="228">
        <f>ROUND(Tableau14[[#This Row],[Prix_Unit_HT]],2)*Tableau14[[#This Row],[Qte_commande]]</f>
        <v>299</v>
      </c>
      <c r="P17" s="228">
        <f>ROUND(Tableau14[[#This Row],[Prix_Unit_TTC]],2)*Tableau14[[#This Row],[Qte_commande]]</f>
        <v>358.8</v>
      </c>
      <c r="Q17" s="224">
        <v>1</v>
      </c>
      <c r="R17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</v>
      </c>
      <c r="U17" s="224"/>
      <c r="V17" s="224"/>
    </row>
    <row r="18" spans="1:22" ht="12.75" x14ac:dyDescent="0.2">
      <c r="A18" s="225">
        <v>42405</v>
      </c>
      <c r="B18" s="224" t="s">
        <v>1351</v>
      </c>
      <c r="C18" s="224" t="s">
        <v>473</v>
      </c>
      <c r="D18" s="224" t="s">
        <v>474</v>
      </c>
      <c r="E18" s="226"/>
      <c r="G18" s="224" t="s">
        <v>13</v>
      </c>
      <c r="H18" s="224" t="s">
        <v>289</v>
      </c>
      <c r="I18" s="224" t="s">
        <v>1352</v>
      </c>
      <c r="J18" s="224">
        <v>70</v>
      </c>
      <c r="K18" s="227">
        <f t="array" ref="K18">IFERROR(INDEX([1]Grille_Tarifs_Modulable!$B$2:$B$204,MATCH(Tableau14[[#This Row],[Designation]]&amp;Tableau14[[#This Row],[CL]],[1]Grille_Tarifs_Modulable!$C$2:$C$204&amp;[1]Grille_Tarifs_Modulable!$F$2:$F$204,0)),0)</f>
        <v>0</v>
      </c>
      <c r="L18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</v>
      </c>
      <c r="M18" s="228">
        <f>IF(Tableau14[[#This Row],[Prix_Unit_HT]]=0,0,Tableau14[[#This Row],[Prix_Unit_HT]]+(Tableau14[[#This Row],[Prix_Unit_HT]]*VLOOKUP(Tableau14[[#This Row],[EAN]],[1]Grille_Tarifs_Modulable!$B$10:$Q$204,16,FALSE)))</f>
        <v>0</v>
      </c>
      <c r="N18" s="224">
        <v>18</v>
      </c>
      <c r="O18" s="228">
        <f>ROUND(Tableau14[[#This Row],[Prix_Unit_HT]],2)*Tableau14[[#This Row],[Qte_commande]]</f>
        <v>0</v>
      </c>
      <c r="P18" s="228">
        <f>ROUND(Tableau14[[#This Row],[Prix_Unit_TTC]],2)*Tableau14[[#This Row],[Qte_commande]]</f>
        <v>0</v>
      </c>
      <c r="Q18" s="224">
        <v>18</v>
      </c>
      <c r="R18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18</v>
      </c>
      <c r="U18" s="224"/>
      <c r="V18" s="224"/>
    </row>
    <row r="19" spans="1:22" ht="12.75" x14ac:dyDescent="0.2">
      <c r="A19" s="225">
        <v>42405</v>
      </c>
      <c r="B19" s="224" t="s">
        <v>1351</v>
      </c>
      <c r="C19" s="224" t="s">
        <v>473</v>
      </c>
      <c r="D19" s="224" t="s">
        <v>474</v>
      </c>
      <c r="E19" s="226"/>
      <c r="G19" s="224" t="s">
        <v>13</v>
      </c>
      <c r="H19" s="224" t="s">
        <v>289</v>
      </c>
      <c r="I19" s="224" t="s">
        <v>1352</v>
      </c>
      <c r="J19" s="224">
        <v>175</v>
      </c>
      <c r="K19" s="227">
        <f t="array" ref="K19">IFERROR(INDEX([1]Grille_Tarifs_Modulable!$B$2:$B$204,MATCH(Tableau14[[#This Row],[Designation]]&amp;Tableau14[[#This Row],[CL]],[1]Grille_Tarifs_Modulable!$C$2:$C$204&amp;[1]Grille_Tarifs_Modulable!$F$2:$F$204,0)),0)</f>
        <v>0</v>
      </c>
      <c r="L19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</v>
      </c>
      <c r="M19" s="228">
        <f>IF(Tableau14[[#This Row],[Prix_Unit_HT]]=0,0,Tableau14[[#This Row],[Prix_Unit_HT]]+(Tableau14[[#This Row],[Prix_Unit_HT]]*VLOOKUP(Tableau14[[#This Row],[EAN]],[1]Grille_Tarifs_Modulable!$B$10:$Q$204,16,FALSE)))</f>
        <v>0</v>
      </c>
      <c r="N19" s="224">
        <v>4</v>
      </c>
      <c r="O19" s="228">
        <f>ROUND(Tableau14[[#This Row],[Prix_Unit_HT]],2)*Tableau14[[#This Row],[Qte_commande]]</f>
        <v>0</v>
      </c>
      <c r="P19" s="228">
        <f>ROUND(Tableau14[[#This Row],[Prix_Unit_TTC]],2)*Tableau14[[#This Row],[Qte_commande]]</f>
        <v>0</v>
      </c>
      <c r="Q19" s="224">
        <v>10</v>
      </c>
      <c r="R19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10</v>
      </c>
      <c r="U19" s="224"/>
      <c r="V19" s="224"/>
    </row>
    <row r="20" spans="1:22" ht="12.75" x14ac:dyDescent="0.2">
      <c r="A20" s="225">
        <v>42405</v>
      </c>
      <c r="B20" s="224" t="s">
        <v>1351</v>
      </c>
      <c r="C20" s="224" t="s">
        <v>473</v>
      </c>
      <c r="D20" s="224" t="s">
        <v>474</v>
      </c>
      <c r="E20" s="226"/>
      <c r="G20" s="224" t="s">
        <v>13</v>
      </c>
      <c r="H20" s="224" t="s">
        <v>289</v>
      </c>
      <c r="I20" s="224" t="s">
        <v>1352</v>
      </c>
      <c r="J20" s="224">
        <v>600</v>
      </c>
      <c r="K20" s="227">
        <f t="array" ref="K20">IFERROR(INDEX([1]Grille_Tarifs_Modulable!$B$2:$B$204,MATCH(Tableau14[[#This Row],[Designation]]&amp;Tableau14[[#This Row],[CL]],[1]Grille_Tarifs_Modulable!$C$2:$C$204&amp;[1]Grille_Tarifs_Modulable!$F$2:$F$204,0)),0)</f>
        <v>0</v>
      </c>
      <c r="L20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</v>
      </c>
      <c r="M20" s="228">
        <f>IF(Tableau14[[#This Row],[Prix_Unit_HT]]=0,0,Tableau14[[#This Row],[Prix_Unit_HT]]+(Tableau14[[#This Row],[Prix_Unit_HT]]*VLOOKUP(Tableau14[[#This Row],[EAN]],[1]Grille_Tarifs_Modulable!$B$10:$Q$204,16,FALSE)))</f>
        <v>0</v>
      </c>
      <c r="N20" s="224">
        <v>1</v>
      </c>
      <c r="O20" s="228">
        <f>ROUND(Tableau14[[#This Row],[Prix_Unit_HT]],2)*Tableau14[[#This Row],[Qte_commande]]</f>
        <v>0</v>
      </c>
      <c r="P20" s="228">
        <f>ROUND(Tableau14[[#This Row],[Prix_Unit_TTC]],2)*Tableau14[[#This Row],[Qte_commande]]</f>
        <v>0</v>
      </c>
      <c r="Q20" s="224">
        <v>8.57</v>
      </c>
      <c r="R20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8.5714285714285712</v>
      </c>
      <c r="U20" s="224"/>
      <c r="V20" s="224"/>
    </row>
    <row r="21" spans="1:22" ht="12.75" x14ac:dyDescent="0.2">
      <c r="A21" s="225">
        <v>42409</v>
      </c>
      <c r="B21" s="224" t="s">
        <v>541</v>
      </c>
      <c r="C21" s="224" t="s">
        <v>542</v>
      </c>
      <c r="D21" s="224" t="s">
        <v>209</v>
      </c>
      <c r="E21" s="226"/>
      <c r="G21" s="224" t="s">
        <v>13</v>
      </c>
      <c r="H21" s="224" t="s">
        <v>289</v>
      </c>
      <c r="I21" s="224" t="s">
        <v>15</v>
      </c>
      <c r="J21" s="224">
        <v>100</v>
      </c>
      <c r="K21" s="227">
        <f t="array" ref="K21">IFERROR(INDEX([1]Grille_Tarifs_Modulable!$B$2:$B$204,MATCH(Tableau14[[#This Row],[Designation]]&amp;Tableau14[[#This Row],[CL]],[1]Grille_Tarifs_Modulable!$C$2:$C$204&amp;[1]Grille_Tarifs_Modulable!$F$2:$F$204,0)),0)</f>
        <v>4067700013842</v>
      </c>
      <c r="L21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19.150804999999998</v>
      </c>
      <c r="M21" s="228">
        <f>IF(Tableau14[[#This Row],[Prix_Unit_HT]]=0,0,Tableau14[[#This Row],[Prix_Unit_HT]]+(Tableau14[[#This Row],[Prix_Unit_HT]]*VLOOKUP(Tableau14[[#This Row],[EAN]],[1]Grille_Tarifs_Modulable!$B$10:$Q$204,16,FALSE)))</f>
        <v>22.980965999999999</v>
      </c>
      <c r="N21" s="224">
        <v>6</v>
      </c>
      <c r="O21" s="228">
        <f>ROUND(Tableau14[[#This Row],[Prix_Unit_HT]],2)*Tableau14[[#This Row],[Qte_commande]]</f>
        <v>114.89999999999999</v>
      </c>
      <c r="P21" s="228">
        <f>ROUND(Tableau14[[#This Row],[Prix_Unit_TTC]],2)*Tableau14[[#This Row],[Qte_commande]]</f>
        <v>137.88</v>
      </c>
      <c r="Q21" s="224">
        <v>8.57</v>
      </c>
      <c r="R21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8.5714285714285712</v>
      </c>
      <c r="U21" s="224"/>
      <c r="V21" s="224"/>
    </row>
    <row r="22" spans="1:22" ht="12.75" x14ac:dyDescent="0.2">
      <c r="A22" s="225">
        <v>42409</v>
      </c>
      <c r="B22" s="224" t="s">
        <v>541</v>
      </c>
      <c r="C22" s="224" t="s">
        <v>542</v>
      </c>
      <c r="D22" s="224" t="s">
        <v>209</v>
      </c>
      <c r="E22" s="226"/>
      <c r="G22" s="224" t="s">
        <v>13</v>
      </c>
      <c r="H22" s="224" t="s">
        <v>289</v>
      </c>
      <c r="I22" s="224" t="s">
        <v>931</v>
      </c>
      <c r="J22" s="224">
        <v>100</v>
      </c>
      <c r="K22" s="227">
        <f t="array" ref="K22">IFERROR(INDEX([1]Grille_Tarifs_Modulable!$B$2:$B$204,MATCH(Tableau14[[#This Row],[Designation]]&amp;Tableau14[[#This Row],[CL]],[1]Grille_Tarifs_Modulable!$C$2:$C$204&amp;[1]Grille_Tarifs_Modulable!$F$2:$F$204,0)),0)</f>
        <v>0</v>
      </c>
      <c r="L22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</v>
      </c>
      <c r="M22" s="228">
        <f>IF(Tableau14[[#This Row],[Prix_Unit_HT]]=0,0,Tableau14[[#This Row],[Prix_Unit_HT]]+(Tableau14[[#This Row],[Prix_Unit_HT]]*VLOOKUP(Tableau14[[#This Row],[EAN]],[1]Grille_Tarifs_Modulable!$B$10:$Q$204,16,FALSE)))</f>
        <v>0</v>
      </c>
      <c r="N22" s="224">
        <v>36</v>
      </c>
      <c r="O22" s="228">
        <f>ROUND(Tableau14[[#This Row],[Prix_Unit_HT]],2)*Tableau14[[#This Row],[Qte_commande]]</f>
        <v>0</v>
      </c>
      <c r="P22" s="228">
        <f>ROUND(Tableau14[[#This Row],[Prix_Unit_TTC]],2)*Tableau14[[#This Row],[Qte_commande]]</f>
        <v>0</v>
      </c>
      <c r="Q22" s="224">
        <v>51.43</v>
      </c>
      <c r="R22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51.428571428571431</v>
      </c>
      <c r="U22" s="224"/>
      <c r="V22" s="224"/>
    </row>
    <row r="23" spans="1:22" ht="12.75" x14ac:dyDescent="0.2">
      <c r="A23" s="225">
        <v>42410</v>
      </c>
      <c r="B23" s="224" t="s">
        <v>543</v>
      </c>
      <c r="C23" s="224" t="s">
        <v>530</v>
      </c>
      <c r="D23" s="224" t="s">
        <v>531</v>
      </c>
      <c r="E23" s="226"/>
      <c r="G23" s="224" t="s">
        <v>1</v>
      </c>
      <c r="H23" s="224" t="s">
        <v>289</v>
      </c>
      <c r="I23" s="224" t="s">
        <v>15</v>
      </c>
      <c r="J23" s="224">
        <v>70</v>
      </c>
      <c r="K23" s="227">
        <f t="array" ref="K23">IFERROR(INDEX([1]Grille_Tarifs_Modulable!$B$2:$B$204,MATCH(Tableau14[[#This Row],[Designation]]&amp;Tableau14[[#This Row],[CL]],[1]Grille_Tarifs_Modulable!$C$2:$C$204&amp;[1]Grille_Tarifs_Modulable!$F$2:$F$204,0)),0)</f>
        <v>4067700013859</v>
      </c>
      <c r="L23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12.532563499999998</v>
      </c>
      <c r="M23" s="228">
        <f>IF(Tableau14[[#This Row],[Prix_Unit_HT]]=0,0,Tableau14[[#This Row],[Prix_Unit_HT]]+(Tableau14[[#This Row],[Prix_Unit_HT]]*VLOOKUP(Tableau14[[#This Row],[EAN]],[1]Grille_Tarifs_Modulable!$B$10:$Q$204,16,FALSE)))</f>
        <v>15.039076199999998</v>
      </c>
      <c r="N23" s="224">
        <v>150</v>
      </c>
      <c r="O23" s="228">
        <f>ROUND(Tableau14[[#This Row],[Prix_Unit_HT]],2)*Tableau14[[#This Row],[Qte_commande]]</f>
        <v>1879.5</v>
      </c>
      <c r="P23" s="228">
        <f>ROUND(Tableau14[[#This Row],[Prix_Unit_TTC]],2)*Tableau14[[#This Row],[Qte_commande]]</f>
        <v>2256</v>
      </c>
      <c r="Q23" s="224">
        <v>150</v>
      </c>
      <c r="R23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150</v>
      </c>
      <c r="U23" s="224"/>
      <c r="V23" s="224"/>
    </row>
    <row r="24" spans="1:22" ht="12.75" x14ac:dyDescent="0.2">
      <c r="A24" s="225">
        <v>42416</v>
      </c>
      <c r="B24" s="224" t="s">
        <v>544</v>
      </c>
      <c r="C24" s="224" t="s">
        <v>545</v>
      </c>
      <c r="D24" s="224" t="s">
        <v>546</v>
      </c>
      <c r="E24" s="226"/>
      <c r="F24" s="224" t="s">
        <v>547</v>
      </c>
      <c r="G24" s="224" t="s">
        <v>13</v>
      </c>
      <c r="H24" s="224" t="s">
        <v>289</v>
      </c>
      <c r="I24" s="224" t="s">
        <v>15</v>
      </c>
      <c r="J24" s="224">
        <v>175</v>
      </c>
      <c r="K24" s="227">
        <f t="array" ref="K24">IFERROR(INDEX([1]Grille_Tarifs_Modulable!$B$2:$B$204,MATCH(Tableau14[[#This Row],[Designation]]&amp;Tableau14[[#This Row],[CL]],[1]Grille_Tarifs_Modulable!$C$2:$C$204&amp;[1]Grille_Tarifs_Modulable!$F$2:$F$204,0)),0)</f>
        <v>4067700013835</v>
      </c>
      <c r="L24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32.266408749999997</v>
      </c>
      <c r="M24" s="228">
        <f>IF(Tableau14[[#This Row],[Prix_Unit_HT]]=0,0,Tableau14[[#This Row],[Prix_Unit_HT]]+(Tableau14[[#This Row],[Prix_Unit_HT]]*VLOOKUP(Tableau14[[#This Row],[EAN]],[1]Grille_Tarifs_Modulable!$B$10:$Q$204,16,FALSE)))</f>
        <v>38.719690499999999</v>
      </c>
      <c r="N24" s="224">
        <v>36</v>
      </c>
      <c r="O24" s="228">
        <f>ROUND(Tableau14[[#This Row],[Prix_Unit_HT]],2)*Tableau14[[#This Row],[Qte_commande]]</f>
        <v>1161.72</v>
      </c>
      <c r="P24" s="228">
        <f>ROUND(Tableau14[[#This Row],[Prix_Unit_TTC]],2)*Tableau14[[#This Row],[Qte_commande]]</f>
        <v>1393.92</v>
      </c>
      <c r="Q24" s="224">
        <v>90</v>
      </c>
      <c r="R24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90</v>
      </c>
      <c r="U24" s="224"/>
      <c r="V24" s="224"/>
    </row>
    <row r="25" spans="1:22" ht="12.75" x14ac:dyDescent="0.2">
      <c r="A25" s="225">
        <v>42419</v>
      </c>
      <c r="B25" s="224" t="s">
        <v>548</v>
      </c>
      <c r="C25" s="224" t="s">
        <v>545</v>
      </c>
      <c r="D25" s="224" t="s">
        <v>546</v>
      </c>
      <c r="E25" s="226"/>
      <c r="F25" s="224" t="s">
        <v>547</v>
      </c>
      <c r="G25" s="224" t="s">
        <v>13</v>
      </c>
      <c r="H25" s="224" t="s">
        <v>289</v>
      </c>
      <c r="I25" s="224" t="s">
        <v>15</v>
      </c>
      <c r="J25" s="224">
        <v>175</v>
      </c>
      <c r="K25" s="227">
        <f t="array" ref="K25">IFERROR(INDEX([1]Grille_Tarifs_Modulable!$B$2:$B$204,MATCH(Tableau14[[#This Row],[Designation]]&amp;Tableau14[[#This Row],[CL]],[1]Grille_Tarifs_Modulable!$C$2:$C$204&amp;[1]Grille_Tarifs_Modulable!$F$2:$F$204,0)),0)</f>
        <v>4067700013835</v>
      </c>
      <c r="L25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32.266408749999997</v>
      </c>
      <c r="M25" s="228">
        <f>IF(Tableau14[[#This Row],[Prix_Unit_HT]]=0,0,Tableau14[[#This Row],[Prix_Unit_HT]]+(Tableau14[[#This Row],[Prix_Unit_HT]]*VLOOKUP(Tableau14[[#This Row],[EAN]],[1]Grille_Tarifs_Modulable!$B$10:$Q$204,16,FALSE)))</f>
        <v>38.719690499999999</v>
      </c>
      <c r="N25" s="224">
        <v>36</v>
      </c>
      <c r="O25" s="228">
        <f>ROUND(Tableau14[[#This Row],[Prix_Unit_HT]],2)*Tableau14[[#This Row],[Qte_commande]]</f>
        <v>1161.72</v>
      </c>
      <c r="P25" s="228">
        <f>ROUND(Tableau14[[#This Row],[Prix_Unit_TTC]],2)*Tableau14[[#This Row],[Qte_commande]]</f>
        <v>1393.92</v>
      </c>
      <c r="Q25" s="224">
        <v>90</v>
      </c>
      <c r="R25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90</v>
      </c>
      <c r="U25" s="224"/>
      <c r="V25" s="224"/>
    </row>
    <row r="26" spans="1:22" ht="12.75" x14ac:dyDescent="0.2">
      <c r="A26" s="225">
        <v>42419</v>
      </c>
      <c r="B26" s="224" t="s">
        <v>1353</v>
      </c>
      <c r="C26" s="224" t="s">
        <v>473</v>
      </c>
      <c r="D26" s="224" t="s">
        <v>474</v>
      </c>
      <c r="E26" s="226"/>
      <c r="G26" s="224" t="s">
        <v>13</v>
      </c>
      <c r="H26" s="224" t="s">
        <v>289</v>
      </c>
      <c r="I26" s="224" t="s">
        <v>1352</v>
      </c>
      <c r="J26" s="224">
        <v>70</v>
      </c>
      <c r="K26" s="227">
        <f t="array" ref="K26">IFERROR(INDEX([1]Grille_Tarifs_Modulable!$B$2:$B$204,MATCH(Tableau14[[#This Row],[Designation]]&amp;Tableau14[[#This Row],[CL]],[1]Grille_Tarifs_Modulable!$C$2:$C$204&amp;[1]Grille_Tarifs_Modulable!$F$2:$F$204,0)),0)</f>
        <v>0</v>
      </c>
      <c r="L26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</v>
      </c>
      <c r="M26" s="228">
        <f>IF(Tableau14[[#This Row],[Prix_Unit_HT]]=0,0,Tableau14[[#This Row],[Prix_Unit_HT]]+(Tableau14[[#This Row],[Prix_Unit_HT]]*VLOOKUP(Tableau14[[#This Row],[EAN]],[1]Grille_Tarifs_Modulable!$B$10:$Q$204,16,FALSE)))</f>
        <v>0</v>
      </c>
      <c r="N26" s="224">
        <v>18</v>
      </c>
      <c r="O26" s="228">
        <f>ROUND(Tableau14[[#This Row],[Prix_Unit_HT]],2)*Tableau14[[#This Row],[Qte_commande]]</f>
        <v>0</v>
      </c>
      <c r="P26" s="228">
        <f>ROUND(Tableau14[[#This Row],[Prix_Unit_TTC]],2)*Tableau14[[#This Row],[Qte_commande]]</f>
        <v>0</v>
      </c>
      <c r="Q26" s="224">
        <v>18</v>
      </c>
      <c r="R26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18</v>
      </c>
      <c r="U26" s="224"/>
      <c r="V26" s="224"/>
    </row>
    <row r="27" spans="1:22" ht="12.75" x14ac:dyDescent="0.2">
      <c r="A27" s="225">
        <v>42419</v>
      </c>
      <c r="B27" s="224" t="s">
        <v>1353</v>
      </c>
      <c r="C27" s="224" t="s">
        <v>473</v>
      </c>
      <c r="D27" s="224" t="s">
        <v>474</v>
      </c>
      <c r="E27" s="226"/>
      <c r="G27" s="224" t="s">
        <v>13</v>
      </c>
      <c r="H27" s="224" t="s">
        <v>289</v>
      </c>
      <c r="I27" s="224" t="s">
        <v>1352</v>
      </c>
      <c r="J27" s="224">
        <v>175</v>
      </c>
      <c r="K27" s="227">
        <f t="array" ref="K27">IFERROR(INDEX([1]Grille_Tarifs_Modulable!$B$2:$B$204,MATCH(Tableau14[[#This Row],[Designation]]&amp;Tableau14[[#This Row],[CL]],[1]Grille_Tarifs_Modulable!$C$2:$C$204&amp;[1]Grille_Tarifs_Modulable!$F$2:$F$204,0)),0)</f>
        <v>0</v>
      </c>
      <c r="L27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</v>
      </c>
      <c r="M27" s="228">
        <f>IF(Tableau14[[#This Row],[Prix_Unit_HT]]=0,0,Tableau14[[#This Row],[Prix_Unit_HT]]+(Tableau14[[#This Row],[Prix_Unit_HT]]*VLOOKUP(Tableau14[[#This Row],[EAN]],[1]Grille_Tarifs_Modulable!$B$10:$Q$204,16,FALSE)))</f>
        <v>0</v>
      </c>
      <c r="N27" s="224">
        <v>4</v>
      </c>
      <c r="O27" s="228">
        <f>ROUND(Tableau14[[#This Row],[Prix_Unit_HT]],2)*Tableau14[[#This Row],[Qte_commande]]</f>
        <v>0</v>
      </c>
      <c r="P27" s="228">
        <f>ROUND(Tableau14[[#This Row],[Prix_Unit_TTC]],2)*Tableau14[[#This Row],[Qte_commande]]</f>
        <v>0</v>
      </c>
      <c r="Q27" s="224">
        <v>10</v>
      </c>
      <c r="R27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10</v>
      </c>
      <c r="U27" s="224"/>
      <c r="V27" s="224"/>
    </row>
    <row r="28" spans="1:22" ht="12.75" x14ac:dyDescent="0.2">
      <c r="A28" s="225">
        <v>42419</v>
      </c>
      <c r="B28" s="224" t="s">
        <v>1353</v>
      </c>
      <c r="C28" s="224" t="s">
        <v>473</v>
      </c>
      <c r="D28" s="224" t="s">
        <v>474</v>
      </c>
      <c r="E28" s="226"/>
      <c r="G28" s="224" t="s">
        <v>13</v>
      </c>
      <c r="H28" s="224" t="s">
        <v>289</v>
      </c>
      <c r="I28" s="224" t="s">
        <v>1352</v>
      </c>
      <c r="J28" s="224">
        <v>600</v>
      </c>
      <c r="K28" s="227">
        <f t="array" ref="K28">IFERROR(INDEX([1]Grille_Tarifs_Modulable!$B$2:$B$204,MATCH(Tableau14[[#This Row],[Designation]]&amp;Tableau14[[#This Row],[CL]],[1]Grille_Tarifs_Modulable!$C$2:$C$204&amp;[1]Grille_Tarifs_Modulable!$F$2:$F$204,0)),0)</f>
        <v>0</v>
      </c>
      <c r="L28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</v>
      </c>
      <c r="M28" s="228">
        <f>IF(Tableau14[[#This Row],[Prix_Unit_HT]]=0,0,Tableau14[[#This Row],[Prix_Unit_HT]]+(Tableau14[[#This Row],[Prix_Unit_HT]]*VLOOKUP(Tableau14[[#This Row],[EAN]],[1]Grille_Tarifs_Modulable!$B$10:$Q$204,16,FALSE)))</f>
        <v>0</v>
      </c>
      <c r="N28" s="224">
        <v>1</v>
      </c>
      <c r="O28" s="228">
        <f>ROUND(Tableau14[[#This Row],[Prix_Unit_HT]],2)*Tableau14[[#This Row],[Qte_commande]]</f>
        <v>0</v>
      </c>
      <c r="P28" s="228">
        <f>ROUND(Tableau14[[#This Row],[Prix_Unit_TTC]],2)*Tableau14[[#This Row],[Qte_commande]]</f>
        <v>0</v>
      </c>
      <c r="Q28" s="224">
        <v>8.57</v>
      </c>
      <c r="R28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8.5714285714285712</v>
      </c>
      <c r="U28" s="224"/>
      <c r="V28" s="224"/>
    </row>
    <row r="29" spans="1:22" ht="12.75" x14ac:dyDescent="0.2">
      <c r="A29" s="225">
        <v>42422</v>
      </c>
      <c r="B29" s="224" t="s">
        <v>549</v>
      </c>
      <c r="C29" s="224" t="s">
        <v>545</v>
      </c>
      <c r="D29" s="224" t="s">
        <v>546</v>
      </c>
      <c r="E29" s="226"/>
      <c r="F29" s="224" t="s">
        <v>547</v>
      </c>
      <c r="G29" s="224" t="s">
        <v>13</v>
      </c>
      <c r="H29" s="224" t="s">
        <v>289</v>
      </c>
      <c r="I29" s="224" t="s">
        <v>15</v>
      </c>
      <c r="J29" s="224">
        <v>175</v>
      </c>
      <c r="K29" s="227">
        <f t="array" ref="K29">IFERROR(INDEX([1]Grille_Tarifs_Modulable!$B$2:$B$204,MATCH(Tableau14[[#This Row],[Designation]]&amp;Tableau14[[#This Row],[CL]],[1]Grille_Tarifs_Modulable!$C$2:$C$204&amp;[1]Grille_Tarifs_Modulable!$F$2:$F$204,0)),0)</f>
        <v>4067700013835</v>
      </c>
      <c r="L29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32.266408749999997</v>
      </c>
      <c r="M29" s="228">
        <f>IF(Tableau14[[#This Row],[Prix_Unit_HT]]=0,0,Tableau14[[#This Row],[Prix_Unit_HT]]+(Tableau14[[#This Row],[Prix_Unit_HT]]*VLOOKUP(Tableau14[[#This Row],[EAN]],[1]Grille_Tarifs_Modulable!$B$10:$Q$204,16,FALSE)))</f>
        <v>38.719690499999999</v>
      </c>
      <c r="N29" s="224">
        <v>-24</v>
      </c>
      <c r="O29" s="228">
        <f>ROUND(Tableau14[[#This Row],[Prix_Unit_HT]],2)*Tableau14[[#This Row],[Qte_commande]]</f>
        <v>-774.48</v>
      </c>
      <c r="P29" s="228">
        <f>ROUND(Tableau14[[#This Row],[Prix_Unit_TTC]],2)*Tableau14[[#This Row],[Qte_commande]]</f>
        <v>-929.28</v>
      </c>
      <c r="Q29" s="224">
        <v>-60</v>
      </c>
      <c r="R29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-60.000000000000007</v>
      </c>
      <c r="U29" s="224"/>
      <c r="V29" s="224"/>
    </row>
    <row r="30" spans="1:22" ht="12.75" x14ac:dyDescent="0.2">
      <c r="A30" s="225">
        <v>42422</v>
      </c>
      <c r="B30" s="224" t="s">
        <v>550</v>
      </c>
      <c r="C30" s="224" t="s">
        <v>545</v>
      </c>
      <c r="D30" s="224" t="s">
        <v>546</v>
      </c>
      <c r="E30" s="226"/>
      <c r="F30" s="224" t="s">
        <v>547</v>
      </c>
      <c r="G30" s="224" t="s">
        <v>13</v>
      </c>
      <c r="H30" s="224" t="s">
        <v>289</v>
      </c>
      <c r="I30" s="224" t="s">
        <v>15</v>
      </c>
      <c r="J30" s="224">
        <v>175</v>
      </c>
      <c r="K30" s="227">
        <f t="array" ref="K30">IFERROR(INDEX([1]Grille_Tarifs_Modulable!$B$2:$B$204,MATCH(Tableau14[[#This Row],[Designation]]&amp;Tableau14[[#This Row],[CL]],[1]Grille_Tarifs_Modulable!$C$2:$C$204&amp;[1]Grille_Tarifs_Modulable!$F$2:$F$204,0)),0)</f>
        <v>4067700013835</v>
      </c>
      <c r="L30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32.266408749999997</v>
      </c>
      <c r="M30" s="228">
        <f>IF(Tableau14[[#This Row],[Prix_Unit_HT]]=0,0,Tableau14[[#This Row],[Prix_Unit_HT]]+(Tableau14[[#This Row],[Prix_Unit_HT]]*VLOOKUP(Tableau14[[#This Row],[EAN]],[1]Grille_Tarifs_Modulable!$B$10:$Q$204,16,FALSE)))</f>
        <v>38.719690499999999</v>
      </c>
      <c r="N30" s="224">
        <v>0</v>
      </c>
      <c r="O30" s="228">
        <f>ROUND(Tableau14[[#This Row],[Prix_Unit_HT]],2)*Tableau14[[#This Row],[Qte_commande]]</f>
        <v>0</v>
      </c>
      <c r="P30" s="228">
        <f>ROUND(Tableau14[[#This Row],[Prix_Unit_TTC]],2)*Tableau14[[#This Row],[Qte_commande]]</f>
        <v>0</v>
      </c>
      <c r="Q30" s="224">
        <v>0</v>
      </c>
      <c r="R30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0</v>
      </c>
      <c r="U30" s="224"/>
      <c r="V30" s="224"/>
    </row>
    <row r="31" spans="1:22" ht="12.75" x14ac:dyDescent="0.2">
      <c r="A31" s="225">
        <v>42422</v>
      </c>
      <c r="B31" s="224" t="s">
        <v>549</v>
      </c>
      <c r="C31" s="224" t="s">
        <v>545</v>
      </c>
      <c r="D31" s="224" t="s">
        <v>546</v>
      </c>
      <c r="E31" s="226"/>
      <c r="F31" s="224" t="s">
        <v>547</v>
      </c>
      <c r="G31" s="224" t="s">
        <v>13</v>
      </c>
      <c r="H31" s="224" t="s">
        <v>289</v>
      </c>
      <c r="I31" s="224" t="s">
        <v>15</v>
      </c>
      <c r="J31" s="224">
        <v>175</v>
      </c>
      <c r="K31" s="227">
        <f t="array" ref="K31">IFERROR(INDEX([1]Grille_Tarifs_Modulable!$B$2:$B$204,MATCH(Tableau14[[#This Row],[Designation]]&amp;Tableau14[[#This Row],[CL]],[1]Grille_Tarifs_Modulable!$C$2:$C$204&amp;[1]Grille_Tarifs_Modulable!$F$2:$F$204,0)),0)</f>
        <v>4067700013835</v>
      </c>
      <c r="L31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32.266408749999997</v>
      </c>
      <c r="M31" s="228">
        <f>IF(Tableau14[[#This Row],[Prix_Unit_HT]]=0,0,Tableau14[[#This Row],[Prix_Unit_HT]]+(Tableau14[[#This Row],[Prix_Unit_HT]]*VLOOKUP(Tableau14[[#This Row],[EAN]],[1]Grille_Tarifs_Modulable!$B$10:$Q$204,16,FALSE)))</f>
        <v>38.719690499999999</v>
      </c>
      <c r="N31" s="224">
        <v>-4</v>
      </c>
      <c r="O31" s="228">
        <f>ROUND(Tableau14[[#This Row],[Prix_Unit_HT]],2)*Tableau14[[#This Row],[Qte_commande]]</f>
        <v>-129.08000000000001</v>
      </c>
      <c r="P31" s="228">
        <f>ROUND(Tableau14[[#This Row],[Prix_Unit_TTC]],2)*Tableau14[[#This Row],[Qte_commande]]</f>
        <v>-154.88</v>
      </c>
      <c r="Q31" s="224">
        <v>-10</v>
      </c>
      <c r="R31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-10</v>
      </c>
      <c r="U31" s="224"/>
      <c r="V31" s="224"/>
    </row>
    <row r="32" spans="1:22" ht="12.75" x14ac:dyDescent="0.2">
      <c r="A32" s="225">
        <v>42422</v>
      </c>
      <c r="B32" s="224" t="s">
        <v>550</v>
      </c>
      <c r="C32" s="224" t="s">
        <v>545</v>
      </c>
      <c r="D32" s="224" t="s">
        <v>546</v>
      </c>
      <c r="E32" s="226"/>
      <c r="F32" s="224" t="s">
        <v>547</v>
      </c>
      <c r="G32" s="224" t="s">
        <v>13</v>
      </c>
      <c r="H32" s="224" t="s">
        <v>289</v>
      </c>
      <c r="I32" s="224" t="s">
        <v>15</v>
      </c>
      <c r="J32" s="224">
        <v>175</v>
      </c>
      <c r="K32" s="227">
        <f t="array" ref="K32">IFERROR(INDEX([1]Grille_Tarifs_Modulable!$B$2:$B$204,MATCH(Tableau14[[#This Row],[Designation]]&amp;Tableau14[[#This Row],[CL]],[1]Grille_Tarifs_Modulable!$C$2:$C$204&amp;[1]Grille_Tarifs_Modulable!$F$2:$F$204,0)),0)</f>
        <v>4067700013835</v>
      </c>
      <c r="L32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32.266408749999997</v>
      </c>
      <c r="M32" s="228">
        <f>IF(Tableau14[[#This Row],[Prix_Unit_HT]]=0,0,Tableau14[[#This Row],[Prix_Unit_HT]]+(Tableau14[[#This Row],[Prix_Unit_HT]]*VLOOKUP(Tableau14[[#This Row],[EAN]],[1]Grille_Tarifs_Modulable!$B$10:$Q$204,16,FALSE)))</f>
        <v>38.719690499999999</v>
      </c>
      <c r="N32" s="224">
        <v>0</v>
      </c>
      <c r="O32" s="228">
        <f>ROUND(Tableau14[[#This Row],[Prix_Unit_HT]],2)*Tableau14[[#This Row],[Qte_commande]]</f>
        <v>0</v>
      </c>
      <c r="P32" s="228">
        <f>ROUND(Tableau14[[#This Row],[Prix_Unit_TTC]],2)*Tableau14[[#This Row],[Qte_commande]]</f>
        <v>0</v>
      </c>
      <c r="Q32" s="224">
        <v>0</v>
      </c>
      <c r="R32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0</v>
      </c>
      <c r="U32" s="224"/>
      <c r="V32" s="224"/>
    </row>
    <row r="33" spans="1:22" ht="12.75" x14ac:dyDescent="0.2">
      <c r="A33" s="225">
        <v>42424</v>
      </c>
      <c r="B33" s="224" t="s">
        <v>292</v>
      </c>
      <c r="C33" s="224" t="s">
        <v>293</v>
      </c>
      <c r="D33" s="224" t="s">
        <v>233</v>
      </c>
      <c r="E33" s="226"/>
      <c r="G33" s="224" t="s">
        <v>13</v>
      </c>
      <c r="H33" s="224" t="s">
        <v>289</v>
      </c>
      <c r="I33" s="224" t="s">
        <v>22</v>
      </c>
      <c r="J33" s="224">
        <v>70</v>
      </c>
      <c r="K33" s="227">
        <f t="array" ref="K33">IFERROR(INDEX([1]Grille_Tarifs_Modulable!$B$2:$B$204,MATCH(Tableau14[[#This Row],[Designation]]&amp;Tableau14[[#This Row],[CL]],[1]Grille_Tarifs_Modulable!$C$2:$C$204&amp;[1]Grille_Tarifs_Modulable!$F$2:$F$204,0)),0)</f>
        <v>4055800060200</v>
      </c>
      <c r="L33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18.588644000000002</v>
      </c>
      <c r="M33" s="228">
        <f>IF(Tableau14[[#This Row],[Prix_Unit_HT]]=0,0,Tableau14[[#This Row],[Prix_Unit_HT]]+(Tableau14[[#This Row],[Prix_Unit_HT]]*VLOOKUP(Tableau14[[#This Row],[EAN]],[1]Grille_Tarifs_Modulable!$B$10:$Q$204,16,FALSE)))</f>
        <v>22.306372800000002</v>
      </c>
      <c r="N33" s="224">
        <v>12</v>
      </c>
      <c r="O33" s="228">
        <f>ROUND(Tableau14[[#This Row],[Prix_Unit_HT]],2)*Tableau14[[#This Row],[Qte_commande]]</f>
        <v>223.07999999999998</v>
      </c>
      <c r="P33" s="228">
        <f>ROUND(Tableau14[[#This Row],[Prix_Unit_TTC]],2)*Tableau14[[#This Row],[Qte_commande]]</f>
        <v>267.71999999999997</v>
      </c>
      <c r="Q33" s="224">
        <v>12</v>
      </c>
      <c r="R33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12.000000000000002</v>
      </c>
      <c r="U33" s="224"/>
      <c r="V33" s="224"/>
    </row>
    <row r="34" spans="1:22" ht="12.75" x14ac:dyDescent="0.2">
      <c r="A34" s="225">
        <v>42424</v>
      </c>
      <c r="B34" s="224" t="s">
        <v>551</v>
      </c>
      <c r="C34" s="224" t="s">
        <v>194</v>
      </c>
      <c r="D34" s="224" t="s">
        <v>195</v>
      </c>
      <c r="E34" s="226"/>
      <c r="G34" s="224" t="s">
        <v>1</v>
      </c>
      <c r="H34" s="224" t="s">
        <v>289</v>
      </c>
      <c r="I34" s="224" t="s">
        <v>15</v>
      </c>
      <c r="J34" s="224">
        <v>70</v>
      </c>
      <c r="K34" s="227">
        <f t="array" ref="K34">IFERROR(INDEX([1]Grille_Tarifs_Modulable!$B$2:$B$204,MATCH(Tableau14[[#This Row],[Designation]]&amp;Tableau14[[#This Row],[CL]],[1]Grille_Tarifs_Modulable!$C$2:$C$204&amp;[1]Grille_Tarifs_Modulable!$F$2:$F$204,0)),0)</f>
        <v>4067700013859</v>
      </c>
      <c r="L34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12.532563499999998</v>
      </c>
      <c r="M34" s="228">
        <f>IF(Tableau14[[#This Row],[Prix_Unit_HT]]=0,0,Tableau14[[#This Row],[Prix_Unit_HT]]+(Tableau14[[#This Row],[Prix_Unit_HT]]*VLOOKUP(Tableau14[[#This Row],[EAN]],[1]Grille_Tarifs_Modulable!$B$10:$Q$204,16,FALSE)))</f>
        <v>15.039076199999998</v>
      </c>
      <c r="N34" s="224">
        <v>120</v>
      </c>
      <c r="O34" s="228">
        <f>ROUND(Tableau14[[#This Row],[Prix_Unit_HT]],2)*Tableau14[[#This Row],[Qte_commande]]</f>
        <v>1503.6</v>
      </c>
      <c r="P34" s="228">
        <f>ROUND(Tableau14[[#This Row],[Prix_Unit_TTC]],2)*Tableau14[[#This Row],[Qte_commande]]</f>
        <v>1804.8</v>
      </c>
      <c r="Q34" s="224">
        <v>120</v>
      </c>
      <c r="R34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120.00000000000001</v>
      </c>
      <c r="U34" s="224"/>
      <c r="V34" s="224"/>
    </row>
    <row r="35" spans="1:22" ht="12.75" x14ac:dyDescent="0.2">
      <c r="A35" s="225">
        <v>42424</v>
      </c>
      <c r="B35" s="224" t="s">
        <v>551</v>
      </c>
      <c r="C35" s="224" t="s">
        <v>194</v>
      </c>
      <c r="D35" s="224" t="s">
        <v>195</v>
      </c>
      <c r="E35" s="226"/>
      <c r="G35" s="224" t="s">
        <v>1</v>
      </c>
      <c r="H35" s="224" t="s">
        <v>289</v>
      </c>
      <c r="I35" s="224" t="s">
        <v>15</v>
      </c>
      <c r="J35" s="224">
        <v>100</v>
      </c>
      <c r="K35" s="227">
        <f t="array" ref="K35">IFERROR(INDEX([1]Grille_Tarifs_Modulable!$B$2:$B$204,MATCH(Tableau14[[#This Row],[Designation]]&amp;Tableau14[[#This Row],[CL]],[1]Grille_Tarifs_Modulable!$C$2:$C$204&amp;[1]Grille_Tarifs_Modulable!$F$2:$F$204,0)),0)</f>
        <v>4067700013842</v>
      </c>
      <c r="L35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17.100804999999998</v>
      </c>
      <c r="M35" s="228">
        <f>IF(Tableau14[[#This Row],[Prix_Unit_HT]]=0,0,Tableau14[[#This Row],[Prix_Unit_HT]]+(Tableau14[[#This Row],[Prix_Unit_HT]]*VLOOKUP(Tableau14[[#This Row],[EAN]],[1]Grille_Tarifs_Modulable!$B$10:$Q$204,16,FALSE)))</f>
        <v>20.520965999999998</v>
      </c>
      <c r="N35" s="224">
        <v>90</v>
      </c>
      <c r="O35" s="228">
        <f>ROUND(Tableau14[[#This Row],[Prix_Unit_HT]],2)*Tableau14[[#This Row],[Qte_commande]]</f>
        <v>1539.0000000000002</v>
      </c>
      <c r="P35" s="228">
        <f>ROUND(Tableau14[[#This Row],[Prix_Unit_TTC]],2)*Tableau14[[#This Row],[Qte_commande]]</f>
        <v>1846.8</v>
      </c>
      <c r="Q35" s="224">
        <v>128.57</v>
      </c>
      <c r="R35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128.57142857142858</v>
      </c>
      <c r="U35" s="224"/>
      <c r="V35" s="224"/>
    </row>
    <row r="36" spans="1:22" ht="12.75" x14ac:dyDescent="0.2">
      <c r="A36" s="225">
        <v>42424</v>
      </c>
      <c r="B36" s="224" t="s">
        <v>551</v>
      </c>
      <c r="C36" s="224" t="s">
        <v>194</v>
      </c>
      <c r="D36" s="224" t="s">
        <v>195</v>
      </c>
      <c r="E36" s="226"/>
      <c r="G36" s="224" t="s">
        <v>1</v>
      </c>
      <c r="H36" s="224" t="s">
        <v>289</v>
      </c>
      <c r="I36" s="224" t="s">
        <v>15</v>
      </c>
      <c r="J36" s="224">
        <v>100</v>
      </c>
      <c r="K36" s="227">
        <f t="array" ref="K36">IFERROR(INDEX([1]Grille_Tarifs_Modulable!$B$2:$B$204,MATCH(Tableau14[[#This Row],[Designation]]&amp;Tableau14[[#This Row],[CL]],[1]Grille_Tarifs_Modulable!$C$2:$C$204&amp;[1]Grille_Tarifs_Modulable!$F$2:$F$204,0)),0)</f>
        <v>4067700013842</v>
      </c>
      <c r="L36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17.100804999999998</v>
      </c>
      <c r="M36" s="228">
        <f>IF(Tableau14[[#This Row],[Prix_Unit_HT]]=0,0,Tableau14[[#This Row],[Prix_Unit_HT]]+(Tableau14[[#This Row],[Prix_Unit_HT]]*VLOOKUP(Tableau14[[#This Row],[EAN]],[1]Grille_Tarifs_Modulable!$B$10:$Q$204,16,FALSE)))</f>
        <v>20.520965999999998</v>
      </c>
      <c r="N36" s="224">
        <v>30</v>
      </c>
      <c r="O36" s="228">
        <f>ROUND(Tableau14[[#This Row],[Prix_Unit_HT]],2)*Tableau14[[#This Row],[Qte_commande]]</f>
        <v>513</v>
      </c>
      <c r="P36" s="228">
        <f>ROUND(Tableau14[[#This Row],[Prix_Unit_TTC]],2)*Tableau14[[#This Row],[Qte_commande]]</f>
        <v>615.6</v>
      </c>
      <c r="Q36" s="224">
        <v>42.86</v>
      </c>
      <c r="R36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42.857142857142861</v>
      </c>
      <c r="U36" s="224"/>
      <c r="V36" s="224"/>
    </row>
    <row r="37" spans="1:22" ht="12.75" x14ac:dyDescent="0.2">
      <c r="A37" s="225">
        <v>42424</v>
      </c>
      <c r="B37" s="224" t="s">
        <v>292</v>
      </c>
      <c r="C37" s="224" t="s">
        <v>293</v>
      </c>
      <c r="D37" s="224" t="s">
        <v>233</v>
      </c>
      <c r="E37" s="226"/>
      <c r="G37" s="224" t="s">
        <v>13</v>
      </c>
      <c r="H37" s="224" t="s">
        <v>289</v>
      </c>
      <c r="I37" s="224" t="s">
        <v>15</v>
      </c>
      <c r="J37" s="224">
        <v>100</v>
      </c>
      <c r="K37" s="227">
        <f t="array" ref="K37">IFERROR(INDEX([1]Grille_Tarifs_Modulable!$B$2:$B$204,MATCH(Tableau14[[#This Row],[Designation]]&amp;Tableau14[[#This Row],[CL]],[1]Grille_Tarifs_Modulable!$C$2:$C$204&amp;[1]Grille_Tarifs_Modulable!$F$2:$F$204,0)),0)</f>
        <v>4067700013842</v>
      </c>
      <c r="L37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19.150804999999998</v>
      </c>
      <c r="M37" s="228">
        <f>IF(Tableau14[[#This Row],[Prix_Unit_HT]]=0,0,Tableau14[[#This Row],[Prix_Unit_HT]]+(Tableau14[[#This Row],[Prix_Unit_HT]]*VLOOKUP(Tableau14[[#This Row],[EAN]],[1]Grille_Tarifs_Modulable!$B$10:$Q$204,16,FALSE)))</f>
        <v>22.980965999999999</v>
      </c>
      <c r="N37" s="224">
        <v>36</v>
      </c>
      <c r="O37" s="228">
        <f>ROUND(Tableau14[[#This Row],[Prix_Unit_HT]],2)*Tableau14[[#This Row],[Qte_commande]]</f>
        <v>689.4</v>
      </c>
      <c r="P37" s="228">
        <f>ROUND(Tableau14[[#This Row],[Prix_Unit_TTC]],2)*Tableau14[[#This Row],[Qte_commande]]</f>
        <v>827.28</v>
      </c>
      <c r="Q37" s="224">
        <v>51.43</v>
      </c>
      <c r="R37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51.428571428571431</v>
      </c>
      <c r="U37" s="224"/>
      <c r="V37" s="224"/>
    </row>
    <row r="38" spans="1:22" ht="12.75" x14ac:dyDescent="0.2">
      <c r="A38" s="225">
        <v>42424</v>
      </c>
      <c r="B38" s="224" t="s">
        <v>292</v>
      </c>
      <c r="C38" s="224" t="s">
        <v>293</v>
      </c>
      <c r="D38" s="224" t="s">
        <v>233</v>
      </c>
      <c r="E38" s="226"/>
      <c r="G38" s="224" t="s">
        <v>13</v>
      </c>
      <c r="H38" s="224" t="s">
        <v>289</v>
      </c>
      <c r="I38" s="224" t="s">
        <v>20</v>
      </c>
      <c r="J38" s="224">
        <v>70</v>
      </c>
      <c r="K38" s="227">
        <f t="array" ref="K38">IFERROR(INDEX([1]Grille_Tarifs_Modulable!$B$2:$B$204,MATCH(Tableau14[[#This Row],[Designation]]&amp;Tableau14[[#This Row],[CL]],[1]Grille_Tarifs_Modulable!$C$2:$C$204&amp;[1]Grille_Tarifs_Modulable!$F$2:$F$204,0)),0)</f>
        <v>8017450002104</v>
      </c>
      <c r="L38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14.266482999999999</v>
      </c>
      <c r="M38" s="228">
        <f>IF(Tableau14[[#This Row],[Prix_Unit_HT]]=0,0,Tableau14[[#This Row],[Prix_Unit_HT]]+(Tableau14[[#This Row],[Prix_Unit_HT]]*VLOOKUP(Tableau14[[#This Row],[EAN]],[1]Grille_Tarifs_Modulable!$B$10:$Q$204,16,FALSE)))</f>
        <v>17.119779600000001</v>
      </c>
      <c r="N38" s="224">
        <v>6</v>
      </c>
      <c r="O38" s="228">
        <f>ROUND(Tableau14[[#This Row],[Prix_Unit_HT]],2)*Tableau14[[#This Row],[Qte_commande]]</f>
        <v>85.62</v>
      </c>
      <c r="P38" s="228">
        <f>ROUND(Tableau14[[#This Row],[Prix_Unit_TTC]],2)*Tableau14[[#This Row],[Qte_commande]]</f>
        <v>102.72</v>
      </c>
      <c r="Q38" s="224">
        <v>6</v>
      </c>
      <c r="R38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6.0000000000000009</v>
      </c>
      <c r="U38" s="224"/>
      <c r="V38" s="224"/>
    </row>
    <row r="39" spans="1:22" ht="12.75" x14ac:dyDescent="0.2">
      <c r="A39" s="225">
        <v>42429</v>
      </c>
      <c r="B39" s="224" t="s">
        <v>552</v>
      </c>
      <c r="C39" s="224" t="s">
        <v>530</v>
      </c>
      <c r="D39" s="224" t="s">
        <v>531</v>
      </c>
      <c r="E39" s="226"/>
      <c r="G39" s="224" t="s">
        <v>1</v>
      </c>
      <c r="H39" s="224" t="s">
        <v>289</v>
      </c>
      <c r="I39" s="224" t="s">
        <v>15</v>
      </c>
      <c r="J39" s="224">
        <v>70</v>
      </c>
      <c r="K39" s="227">
        <f t="array" ref="K39">IFERROR(INDEX([1]Grille_Tarifs_Modulable!$B$2:$B$204,MATCH(Tableau14[[#This Row],[Designation]]&amp;Tableau14[[#This Row],[CL]],[1]Grille_Tarifs_Modulable!$C$2:$C$204&amp;[1]Grille_Tarifs_Modulable!$F$2:$F$204,0)),0)</f>
        <v>4067700013859</v>
      </c>
      <c r="L39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12.532563499999998</v>
      </c>
      <c r="M39" s="228">
        <f>IF(Tableau14[[#This Row],[Prix_Unit_HT]]=0,0,Tableau14[[#This Row],[Prix_Unit_HT]]+(Tableau14[[#This Row],[Prix_Unit_HT]]*VLOOKUP(Tableau14[[#This Row],[EAN]],[1]Grille_Tarifs_Modulable!$B$10:$Q$204,16,FALSE)))</f>
        <v>15.039076199999998</v>
      </c>
      <c r="N39" s="224">
        <v>150</v>
      </c>
      <c r="O39" s="228">
        <f>ROUND(Tableau14[[#This Row],[Prix_Unit_HT]],2)*Tableau14[[#This Row],[Qte_commande]]</f>
        <v>1879.5</v>
      </c>
      <c r="P39" s="228">
        <f>ROUND(Tableau14[[#This Row],[Prix_Unit_TTC]],2)*Tableau14[[#This Row],[Qte_commande]]</f>
        <v>2256</v>
      </c>
      <c r="Q39" s="224">
        <v>150</v>
      </c>
      <c r="R39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150</v>
      </c>
      <c r="U39" s="224"/>
      <c r="V39" s="224"/>
    </row>
    <row r="40" spans="1:22" ht="12.75" x14ac:dyDescent="0.2">
      <c r="A40" s="225">
        <v>42432</v>
      </c>
      <c r="B40" s="224" t="s">
        <v>967</v>
      </c>
      <c r="C40" s="224" t="s">
        <v>160</v>
      </c>
      <c r="D40" s="224" t="s">
        <v>330</v>
      </c>
      <c r="E40" s="226"/>
      <c r="G40" s="224" t="s">
        <v>13</v>
      </c>
      <c r="H40" s="224" t="s">
        <v>451</v>
      </c>
      <c r="I40" s="224" t="s">
        <v>69</v>
      </c>
      <c r="J40" s="227">
        <v>3</v>
      </c>
      <c r="K40" s="227">
        <f t="array" ref="K40">IFERROR(INDEX([1]Grille_Tarifs_Modulable!$B$2:$B$204,MATCH(Tableau14[[#This Row],[Designation]]&amp;Tableau14[[#This Row],[CL]],[1]Grille_Tarifs_Modulable!$C$2:$C$204&amp;[1]Grille_Tarifs_Modulable!$F$2:$F$204,0)),0)</f>
        <v>121</v>
      </c>
      <c r="L40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299</v>
      </c>
      <c r="M40" s="228">
        <f>IF(Tableau14[[#This Row],[Prix_Unit_HT]]=0,0,Tableau14[[#This Row],[Prix_Unit_HT]]+(Tableau14[[#This Row],[Prix_Unit_HT]]*VLOOKUP(Tableau14[[#This Row],[EAN]],[1]Grille_Tarifs_Modulable!$B$10:$Q$204,16,FALSE)))</f>
        <v>358.8</v>
      </c>
      <c r="N40" s="224">
        <v>1</v>
      </c>
      <c r="O40" s="228">
        <f>ROUND(Tableau14[[#This Row],[Prix_Unit_HT]],2)*Tableau14[[#This Row],[Qte_commande]]</f>
        <v>299</v>
      </c>
      <c r="P40" s="228">
        <f>ROUND(Tableau14[[#This Row],[Prix_Unit_TTC]],2)*Tableau14[[#This Row],[Qte_commande]]</f>
        <v>358.8</v>
      </c>
      <c r="Q40" s="224">
        <v>1</v>
      </c>
      <c r="R40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</v>
      </c>
      <c r="U40" s="224"/>
      <c r="V40" s="224"/>
    </row>
    <row r="41" spans="1:22" ht="12.75" x14ac:dyDescent="0.2">
      <c r="A41" s="225">
        <v>42436</v>
      </c>
      <c r="B41" s="224" t="s">
        <v>294</v>
      </c>
      <c r="C41" s="224" t="s">
        <v>295</v>
      </c>
      <c r="D41" s="224" t="s">
        <v>296</v>
      </c>
      <c r="E41" s="226"/>
      <c r="G41" s="224" t="s">
        <v>13</v>
      </c>
      <c r="H41" s="224" t="s">
        <v>289</v>
      </c>
      <c r="I41" s="224" t="s">
        <v>22</v>
      </c>
      <c r="J41" s="224">
        <v>70</v>
      </c>
      <c r="K41" s="227">
        <f t="array" ref="K41">IFERROR(INDEX([1]Grille_Tarifs_Modulable!$B$2:$B$204,MATCH(Tableau14[[#This Row],[Designation]]&amp;Tableau14[[#This Row],[CL]],[1]Grille_Tarifs_Modulable!$C$2:$C$204&amp;[1]Grille_Tarifs_Modulable!$F$2:$F$204,0)),0)</f>
        <v>4055800060200</v>
      </c>
      <c r="L41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18.588644000000002</v>
      </c>
      <c r="M41" s="228">
        <f>IF(Tableau14[[#This Row],[Prix_Unit_HT]]=0,0,Tableau14[[#This Row],[Prix_Unit_HT]]+(Tableau14[[#This Row],[Prix_Unit_HT]]*VLOOKUP(Tableau14[[#This Row],[EAN]],[1]Grille_Tarifs_Modulable!$B$10:$Q$204,16,FALSE)))</f>
        <v>22.306372800000002</v>
      </c>
      <c r="N41" s="224">
        <v>6</v>
      </c>
      <c r="O41" s="228">
        <f>ROUND(Tableau14[[#This Row],[Prix_Unit_HT]],2)*Tableau14[[#This Row],[Qte_commande]]</f>
        <v>111.53999999999999</v>
      </c>
      <c r="P41" s="228">
        <f>ROUND(Tableau14[[#This Row],[Prix_Unit_TTC]],2)*Tableau14[[#This Row],[Qte_commande]]</f>
        <v>133.85999999999999</v>
      </c>
      <c r="Q41" s="224">
        <v>6</v>
      </c>
      <c r="R41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6.0000000000000009</v>
      </c>
      <c r="U41" s="224"/>
      <c r="V41" s="224"/>
    </row>
    <row r="42" spans="1:22" ht="12.75" x14ac:dyDescent="0.2">
      <c r="A42" s="225">
        <v>42436</v>
      </c>
      <c r="B42" s="224" t="s">
        <v>294</v>
      </c>
      <c r="C42" s="224" t="s">
        <v>295</v>
      </c>
      <c r="D42" s="224" t="s">
        <v>296</v>
      </c>
      <c r="E42" s="226"/>
      <c r="G42" s="224" t="s">
        <v>13</v>
      </c>
      <c r="H42" s="224" t="s">
        <v>289</v>
      </c>
      <c r="I42" s="224" t="s">
        <v>15</v>
      </c>
      <c r="J42" s="224">
        <v>70</v>
      </c>
      <c r="K42" s="227">
        <f t="array" ref="K42">IFERROR(INDEX([1]Grille_Tarifs_Modulable!$B$2:$B$204,MATCH(Tableau14[[#This Row],[Designation]]&amp;Tableau14[[#This Row],[CL]],[1]Grille_Tarifs_Modulable!$C$2:$C$204&amp;[1]Grille_Tarifs_Modulable!$F$2:$F$204,0)),0)</f>
        <v>4067700013859</v>
      </c>
      <c r="L42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13.942563499999999</v>
      </c>
      <c r="M42" s="228">
        <f>IF(Tableau14[[#This Row],[Prix_Unit_HT]]=0,0,Tableau14[[#This Row],[Prix_Unit_HT]]+(Tableau14[[#This Row],[Prix_Unit_HT]]*VLOOKUP(Tableau14[[#This Row],[EAN]],[1]Grille_Tarifs_Modulable!$B$10:$Q$204,16,FALSE)))</f>
        <v>16.731076199999997</v>
      </c>
      <c r="N42" s="224">
        <v>30</v>
      </c>
      <c r="O42" s="228">
        <f>ROUND(Tableau14[[#This Row],[Prix_Unit_HT]],2)*Tableau14[[#This Row],[Qte_commande]]</f>
        <v>418.2</v>
      </c>
      <c r="P42" s="228">
        <f>ROUND(Tableau14[[#This Row],[Prix_Unit_TTC]],2)*Tableau14[[#This Row],[Qte_commande]]</f>
        <v>501.90000000000003</v>
      </c>
      <c r="Q42" s="224">
        <v>30</v>
      </c>
      <c r="R42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30.000000000000004</v>
      </c>
      <c r="U42" s="224"/>
      <c r="V42" s="224"/>
    </row>
    <row r="43" spans="1:22" ht="12.75" x14ac:dyDescent="0.2">
      <c r="A43" s="225">
        <v>42436</v>
      </c>
      <c r="B43" s="224" t="s">
        <v>294</v>
      </c>
      <c r="C43" s="224" t="s">
        <v>295</v>
      </c>
      <c r="D43" s="224" t="s">
        <v>296</v>
      </c>
      <c r="E43" s="226"/>
      <c r="G43" s="224" t="s">
        <v>13</v>
      </c>
      <c r="H43" s="224" t="s">
        <v>289</v>
      </c>
      <c r="I43" s="224" t="s">
        <v>42</v>
      </c>
      <c r="J43" s="224">
        <v>70</v>
      </c>
      <c r="K43" s="227">
        <f t="array" ref="K43">IFERROR(INDEX([1]Grille_Tarifs_Modulable!$B$2:$B$204,MATCH(Tableau14[[#This Row],[Designation]]&amp;Tableau14[[#This Row],[CL]],[1]Grille_Tarifs_Modulable!$C$2:$C$204&amp;[1]Grille_Tarifs_Modulable!$F$2:$F$204,0)),0)</f>
        <v>3257150688009</v>
      </c>
      <c r="L43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14.5169152</v>
      </c>
      <c r="M43" s="228">
        <f>IF(Tableau14[[#This Row],[Prix_Unit_HT]]=0,0,Tableau14[[#This Row],[Prix_Unit_HT]]+(Tableau14[[#This Row],[Prix_Unit_HT]]*VLOOKUP(Tableau14[[#This Row],[EAN]],[1]Grille_Tarifs_Modulable!$B$10:$Q$204,16,FALSE)))</f>
        <v>17.420298240000001</v>
      </c>
      <c r="N43" s="224">
        <v>6</v>
      </c>
      <c r="O43" s="228">
        <f>ROUND(Tableau14[[#This Row],[Prix_Unit_HT]],2)*Tableau14[[#This Row],[Qte_commande]]</f>
        <v>87.12</v>
      </c>
      <c r="P43" s="228">
        <f>ROUND(Tableau14[[#This Row],[Prix_Unit_TTC]],2)*Tableau14[[#This Row],[Qte_commande]]</f>
        <v>104.52000000000001</v>
      </c>
      <c r="Q43" s="224">
        <v>6</v>
      </c>
      <c r="R43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6.0000000000000009</v>
      </c>
      <c r="U43" s="224"/>
      <c r="V43" s="224"/>
    </row>
    <row r="44" spans="1:22" ht="12.75" x14ac:dyDescent="0.2">
      <c r="A44" s="225">
        <v>42436</v>
      </c>
      <c r="B44" s="224" t="s">
        <v>294</v>
      </c>
      <c r="C44" s="224" t="s">
        <v>295</v>
      </c>
      <c r="D44" s="224" t="s">
        <v>296</v>
      </c>
      <c r="E44" s="226"/>
      <c r="G44" s="224" t="s">
        <v>13</v>
      </c>
      <c r="H44" s="224" t="s">
        <v>289</v>
      </c>
      <c r="I44" s="224" t="s">
        <v>1355</v>
      </c>
      <c r="J44" s="224">
        <v>70</v>
      </c>
      <c r="K44" s="227">
        <f t="array" ref="K44">IFERROR(INDEX([1]Grille_Tarifs_Modulable!$B$2:$B$204,MATCH(Tableau14[[#This Row],[Designation]]&amp;Tableau14[[#This Row],[CL]],[1]Grille_Tarifs_Modulable!$C$2:$C$204&amp;[1]Grille_Tarifs_Modulable!$F$2:$F$204,0)),0)</f>
        <v>0</v>
      </c>
      <c r="L44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</v>
      </c>
      <c r="M44" s="228">
        <f>IF(Tableau14[[#This Row],[Prix_Unit_HT]]=0,0,Tableau14[[#This Row],[Prix_Unit_HT]]+(Tableau14[[#This Row],[Prix_Unit_HT]]*VLOOKUP(Tableau14[[#This Row],[EAN]],[1]Grille_Tarifs_Modulable!$B$10:$Q$204,16,FALSE)))</f>
        <v>0</v>
      </c>
      <c r="N44" s="224">
        <v>6</v>
      </c>
      <c r="O44" s="228">
        <f>ROUND(Tableau14[[#This Row],[Prix_Unit_HT]],2)*Tableau14[[#This Row],[Qte_commande]]</f>
        <v>0</v>
      </c>
      <c r="P44" s="228">
        <f>ROUND(Tableau14[[#This Row],[Prix_Unit_TTC]],2)*Tableau14[[#This Row],[Qte_commande]]</f>
        <v>0</v>
      </c>
      <c r="Q44" s="224">
        <v>6</v>
      </c>
      <c r="R44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6.0000000000000009</v>
      </c>
      <c r="U44" s="224"/>
      <c r="V44" s="224"/>
    </row>
    <row r="45" spans="1:22" ht="12.75" x14ac:dyDescent="0.2">
      <c r="A45" s="225">
        <v>42439</v>
      </c>
      <c r="B45" s="224" t="s">
        <v>968</v>
      </c>
      <c r="C45" s="224" t="s">
        <v>161</v>
      </c>
      <c r="D45" s="224" t="s">
        <v>666</v>
      </c>
      <c r="E45" s="226"/>
      <c r="G45" s="224" t="s">
        <v>1</v>
      </c>
      <c r="H45" s="224" t="s">
        <v>451</v>
      </c>
      <c r="I45" s="224" t="s">
        <v>69</v>
      </c>
      <c r="J45" s="227">
        <v>3</v>
      </c>
      <c r="K45" s="227">
        <f t="array" ref="K45">IFERROR(INDEX([1]Grille_Tarifs_Modulable!$B$2:$B$204,MATCH(Tableau14[[#This Row],[Designation]]&amp;Tableau14[[#This Row],[CL]],[1]Grille_Tarifs_Modulable!$C$2:$C$204&amp;[1]Grille_Tarifs_Modulable!$F$2:$F$204,0)),0)</f>
        <v>121</v>
      </c>
      <c r="L45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299</v>
      </c>
      <c r="M45" s="228">
        <f>IF(Tableau14[[#This Row],[Prix_Unit_HT]]=0,0,Tableau14[[#This Row],[Prix_Unit_HT]]+(Tableau14[[#This Row],[Prix_Unit_HT]]*VLOOKUP(Tableau14[[#This Row],[EAN]],[1]Grille_Tarifs_Modulable!$B$10:$Q$204,16,FALSE)))</f>
        <v>358.8</v>
      </c>
      <c r="N45" s="224">
        <v>1</v>
      </c>
      <c r="O45" s="228">
        <f>ROUND(Tableau14[[#This Row],[Prix_Unit_HT]],2)*Tableau14[[#This Row],[Qte_commande]]</f>
        <v>299</v>
      </c>
      <c r="P45" s="228">
        <f>ROUND(Tableau14[[#This Row],[Prix_Unit_TTC]],2)*Tableau14[[#This Row],[Qte_commande]]</f>
        <v>358.8</v>
      </c>
      <c r="Q45" s="224">
        <v>1</v>
      </c>
      <c r="R45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</v>
      </c>
      <c r="U45" s="224"/>
      <c r="V45" s="224"/>
    </row>
    <row r="46" spans="1:22" ht="12.75" x14ac:dyDescent="0.2">
      <c r="A46" s="225">
        <v>42439</v>
      </c>
      <c r="B46" s="224" t="s">
        <v>969</v>
      </c>
      <c r="C46" s="224" t="s">
        <v>162</v>
      </c>
      <c r="D46" s="224" t="s">
        <v>970</v>
      </c>
      <c r="E46" s="226"/>
      <c r="G46" s="224" t="s">
        <v>13</v>
      </c>
      <c r="H46" s="224" t="s">
        <v>451</v>
      </c>
      <c r="I46" s="224" t="s">
        <v>69</v>
      </c>
      <c r="J46" s="227">
        <v>3</v>
      </c>
      <c r="K46" s="227">
        <f t="array" ref="K46">IFERROR(INDEX([1]Grille_Tarifs_Modulable!$B$2:$B$204,MATCH(Tableau14[[#This Row],[Designation]]&amp;Tableau14[[#This Row],[CL]],[1]Grille_Tarifs_Modulable!$C$2:$C$204&amp;[1]Grille_Tarifs_Modulable!$F$2:$F$204,0)),0)</f>
        <v>121</v>
      </c>
      <c r="L46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299</v>
      </c>
      <c r="M46" s="228">
        <f>IF(Tableau14[[#This Row],[Prix_Unit_HT]]=0,0,Tableau14[[#This Row],[Prix_Unit_HT]]+(Tableau14[[#This Row],[Prix_Unit_HT]]*VLOOKUP(Tableau14[[#This Row],[EAN]],[1]Grille_Tarifs_Modulable!$B$10:$Q$204,16,FALSE)))</f>
        <v>358.8</v>
      </c>
      <c r="N46" s="224">
        <v>1</v>
      </c>
      <c r="O46" s="228">
        <f>ROUND(Tableau14[[#This Row],[Prix_Unit_HT]],2)*Tableau14[[#This Row],[Qte_commande]]</f>
        <v>299</v>
      </c>
      <c r="P46" s="228">
        <f>ROUND(Tableau14[[#This Row],[Prix_Unit_TTC]],2)*Tableau14[[#This Row],[Qte_commande]]</f>
        <v>358.8</v>
      </c>
      <c r="Q46" s="224">
        <v>1</v>
      </c>
      <c r="R46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</v>
      </c>
      <c r="U46" s="224"/>
      <c r="V46" s="224"/>
    </row>
    <row r="47" spans="1:22" ht="12.75" x14ac:dyDescent="0.2">
      <c r="A47" s="225">
        <v>42440</v>
      </c>
      <c r="B47" s="224" t="s">
        <v>553</v>
      </c>
      <c r="C47" s="224" t="s">
        <v>308</v>
      </c>
      <c r="D47" s="224" t="s">
        <v>309</v>
      </c>
      <c r="E47" s="226"/>
      <c r="G47" s="224" t="s">
        <v>1</v>
      </c>
      <c r="H47" s="224" t="s">
        <v>289</v>
      </c>
      <c r="I47" s="224" t="s">
        <v>15</v>
      </c>
      <c r="J47" s="224">
        <v>70</v>
      </c>
      <c r="K47" s="227">
        <f t="array" ref="K47">IFERROR(INDEX([1]Grille_Tarifs_Modulable!$B$2:$B$204,MATCH(Tableau14[[#This Row],[Designation]]&amp;Tableau14[[#This Row],[CL]],[1]Grille_Tarifs_Modulable!$C$2:$C$204&amp;[1]Grille_Tarifs_Modulable!$F$2:$F$204,0)),0)</f>
        <v>4067700013859</v>
      </c>
      <c r="L47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12.532563499999998</v>
      </c>
      <c r="M47" s="228">
        <f>IF(Tableau14[[#This Row],[Prix_Unit_HT]]=0,0,Tableau14[[#This Row],[Prix_Unit_HT]]+(Tableau14[[#This Row],[Prix_Unit_HT]]*VLOOKUP(Tableau14[[#This Row],[EAN]],[1]Grille_Tarifs_Modulable!$B$10:$Q$204,16,FALSE)))</f>
        <v>15.039076199999998</v>
      </c>
      <c r="N47" s="224">
        <v>240</v>
      </c>
      <c r="O47" s="228">
        <f>ROUND(Tableau14[[#This Row],[Prix_Unit_HT]],2)*Tableau14[[#This Row],[Qte_commande]]</f>
        <v>3007.2</v>
      </c>
      <c r="P47" s="228">
        <f>ROUND(Tableau14[[#This Row],[Prix_Unit_TTC]],2)*Tableau14[[#This Row],[Qte_commande]]</f>
        <v>3609.6</v>
      </c>
      <c r="Q47" s="224">
        <v>240</v>
      </c>
      <c r="R47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240.00000000000003</v>
      </c>
      <c r="U47" s="224"/>
      <c r="V47" s="224"/>
    </row>
    <row r="48" spans="1:22" ht="12.75" x14ac:dyDescent="0.2">
      <c r="A48" s="225">
        <v>42443</v>
      </c>
      <c r="B48" s="224" t="s">
        <v>810</v>
      </c>
      <c r="C48" s="224" t="s">
        <v>305</v>
      </c>
      <c r="D48" s="224" t="s">
        <v>180</v>
      </c>
      <c r="E48" s="226"/>
      <c r="G48" s="224" t="s">
        <v>1</v>
      </c>
      <c r="H48" s="224" t="s">
        <v>196</v>
      </c>
      <c r="I48" s="224" t="s">
        <v>66</v>
      </c>
      <c r="J48" s="224">
        <v>50</v>
      </c>
      <c r="K48" s="227">
        <f t="array" ref="K48">IFERROR(INDEX([1]Grille_Tarifs_Modulable!$B$2:$B$204,MATCH(Tableau14[[#This Row],[Designation]]&amp;Tableau14[[#This Row],[CL]],[1]Grille_Tarifs_Modulable!$C$2:$C$204&amp;[1]Grille_Tarifs_Modulable!$F$2:$F$204,0)),0)</f>
        <v>4260310553382</v>
      </c>
      <c r="L48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</v>
      </c>
      <c r="M48" s="228">
        <f>IF(Tableau14[[#This Row],[Prix_Unit_HT]]=0,0,Tableau14[[#This Row],[Prix_Unit_HT]]+(Tableau14[[#This Row],[Prix_Unit_HT]]*VLOOKUP(Tableau14[[#This Row],[EAN]],[1]Grille_Tarifs_Modulable!$B$10:$Q$204,16,FALSE)))</f>
        <v>1.0549999999999999</v>
      </c>
      <c r="N48" s="224">
        <v>100</v>
      </c>
      <c r="O48" s="228">
        <f>ROUND(Tableau14[[#This Row],[Prix_Unit_HT]],2)*Tableau14[[#This Row],[Qte_commande]]</f>
        <v>100</v>
      </c>
      <c r="P48" s="228">
        <f>ROUND(Tableau14[[#This Row],[Prix_Unit_TTC]],2)*Tableau14[[#This Row],[Qte_commande]]</f>
        <v>106</v>
      </c>
      <c r="Q48" s="224">
        <v>71.430000000000007</v>
      </c>
      <c r="R48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71.428571428571431</v>
      </c>
      <c r="U48" s="224"/>
      <c r="V48" s="224"/>
    </row>
    <row r="49" spans="1:22" ht="12.75" x14ac:dyDescent="0.2">
      <c r="A49" s="225">
        <v>42447</v>
      </c>
      <c r="B49" s="224" t="s">
        <v>554</v>
      </c>
      <c r="C49" s="224" t="s">
        <v>194</v>
      </c>
      <c r="D49" s="224" t="s">
        <v>343</v>
      </c>
      <c r="E49" s="226"/>
      <c r="G49" s="224" t="s">
        <v>1</v>
      </c>
      <c r="H49" s="224" t="s">
        <v>289</v>
      </c>
      <c r="I49" s="224" t="s">
        <v>15</v>
      </c>
      <c r="J49" s="224">
        <v>175</v>
      </c>
      <c r="K49" s="227">
        <f t="array" ref="K49">IFERROR(INDEX([1]Grille_Tarifs_Modulable!$B$2:$B$204,MATCH(Tableau14[[#This Row],[Designation]]&amp;Tableau14[[#This Row],[CL]],[1]Grille_Tarifs_Modulable!$C$2:$C$204&amp;[1]Grille_Tarifs_Modulable!$F$2:$F$204,0)),0)</f>
        <v>4067700013835</v>
      </c>
      <c r="L49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28.916408750000002</v>
      </c>
      <c r="M49" s="228">
        <f>IF(Tableau14[[#This Row],[Prix_Unit_HT]]=0,0,Tableau14[[#This Row],[Prix_Unit_HT]]+(Tableau14[[#This Row],[Prix_Unit_HT]]*VLOOKUP(Tableau14[[#This Row],[EAN]],[1]Grille_Tarifs_Modulable!$B$10:$Q$204,16,FALSE)))</f>
        <v>34.699690500000003</v>
      </c>
      <c r="N49" s="224">
        <v>60</v>
      </c>
      <c r="O49" s="228">
        <f>ROUND(Tableau14[[#This Row],[Prix_Unit_HT]],2)*Tableau14[[#This Row],[Qte_commande]]</f>
        <v>1735.2</v>
      </c>
      <c r="P49" s="228">
        <f>ROUND(Tableau14[[#This Row],[Prix_Unit_TTC]],2)*Tableau14[[#This Row],[Qte_commande]]</f>
        <v>2082</v>
      </c>
      <c r="Q49" s="224">
        <v>150</v>
      </c>
      <c r="R49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150</v>
      </c>
      <c r="U49" s="224"/>
      <c r="V49" s="224"/>
    </row>
    <row r="50" spans="1:22" ht="12.75" x14ac:dyDescent="0.2">
      <c r="A50" s="225">
        <v>42451</v>
      </c>
      <c r="B50" s="224" t="s">
        <v>555</v>
      </c>
      <c r="C50" s="224" t="s">
        <v>530</v>
      </c>
      <c r="D50" s="224" t="s">
        <v>531</v>
      </c>
      <c r="E50" s="226"/>
      <c r="G50" s="224" t="s">
        <v>1</v>
      </c>
      <c r="H50" s="224" t="s">
        <v>289</v>
      </c>
      <c r="I50" s="224" t="s">
        <v>15</v>
      </c>
      <c r="J50" s="224">
        <v>70</v>
      </c>
      <c r="K50" s="227">
        <f t="array" ref="K50">IFERROR(INDEX([1]Grille_Tarifs_Modulable!$B$2:$B$204,MATCH(Tableau14[[#This Row],[Designation]]&amp;Tableau14[[#This Row],[CL]],[1]Grille_Tarifs_Modulable!$C$2:$C$204&amp;[1]Grille_Tarifs_Modulable!$F$2:$F$204,0)),0)</f>
        <v>4067700013859</v>
      </c>
      <c r="L50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12.532563499999998</v>
      </c>
      <c r="M50" s="228">
        <f>IF(Tableau14[[#This Row],[Prix_Unit_HT]]=0,0,Tableau14[[#This Row],[Prix_Unit_HT]]+(Tableau14[[#This Row],[Prix_Unit_HT]]*VLOOKUP(Tableau14[[#This Row],[EAN]],[1]Grille_Tarifs_Modulable!$B$10:$Q$204,16,FALSE)))</f>
        <v>15.039076199999998</v>
      </c>
      <c r="N50" s="224">
        <v>150</v>
      </c>
      <c r="O50" s="228">
        <f>ROUND(Tableau14[[#This Row],[Prix_Unit_HT]],2)*Tableau14[[#This Row],[Qte_commande]]</f>
        <v>1879.5</v>
      </c>
      <c r="P50" s="228">
        <f>ROUND(Tableau14[[#This Row],[Prix_Unit_TTC]],2)*Tableau14[[#This Row],[Qte_commande]]</f>
        <v>2256</v>
      </c>
      <c r="Q50" s="224">
        <v>150</v>
      </c>
      <c r="R50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150</v>
      </c>
      <c r="U50" s="224"/>
      <c r="V50" s="224"/>
    </row>
    <row r="51" spans="1:22" ht="12.75" x14ac:dyDescent="0.2">
      <c r="A51" s="225">
        <v>42451</v>
      </c>
      <c r="B51" s="224" t="s">
        <v>556</v>
      </c>
      <c r="C51" s="224" t="s">
        <v>557</v>
      </c>
      <c r="D51" s="224" t="s">
        <v>558</v>
      </c>
      <c r="E51" s="226"/>
      <c r="G51" s="224" t="s">
        <v>1</v>
      </c>
      <c r="H51" s="224" t="s">
        <v>289</v>
      </c>
      <c r="I51" s="224" t="s">
        <v>15</v>
      </c>
      <c r="J51" s="224">
        <v>70</v>
      </c>
      <c r="K51" s="227">
        <f t="array" ref="K51">IFERROR(INDEX([1]Grille_Tarifs_Modulable!$B$2:$B$204,MATCH(Tableau14[[#This Row],[Designation]]&amp;Tableau14[[#This Row],[CL]],[1]Grille_Tarifs_Modulable!$C$2:$C$204&amp;[1]Grille_Tarifs_Modulable!$F$2:$F$204,0)),0)</f>
        <v>4067700013859</v>
      </c>
      <c r="L51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12.532563499999998</v>
      </c>
      <c r="M51" s="228">
        <f>IF(Tableau14[[#This Row],[Prix_Unit_HT]]=0,0,Tableau14[[#This Row],[Prix_Unit_HT]]+(Tableau14[[#This Row],[Prix_Unit_HT]]*VLOOKUP(Tableau14[[#This Row],[EAN]],[1]Grille_Tarifs_Modulable!$B$10:$Q$204,16,FALSE)))</f>
        <v>15.039076199999998</v>
      </c>
      <c r="N51" s="224">
        <v>480</v>
      </c>
      <c r="O51" s="228">
        <f>ROUND(Tableau14[[#This Row],[Prix_Unit_HT]],2)*Tableau14[[#This Row],[Qte_commande]]</f>
        <v>6014.4</v>
      </c>
      <c r="P51" s="228">
        <f>ROUND(Tableau14[[#This Row],[Prix_Unit_TTC]],2)*Tableau14[[#This Row],[Qte_commande]]</f>
        <v>7219.2</v>
      </c>
      <c r="Q51" s="224">
        <v>480</v>
      </c>
      <c r="R51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480.00000000000006</v>
      </c>
      <c r="U51" s="224"/>
      <c r="V51" s="224"/>
    </row>
    <row r="52" spans="1:22" ht="12.75" x14ac:dyDescent="0.2">
      <c r="A52" s="225">
        <v>42454</v>
      </c>
      <c r="B52" s="224" t="s">
        <v>297</v>
      </c>
      <c r="C52" s="224" t="s">
        <v>198</v>
      </c>
      <c r="D52" s="224" t="s">
        <v>199</v>
      </c>
      <c r="E52" s="226"/>
      <c r="G52" s="224" t="s">
        <v>1</v>
      </c>
      <c r="H52" s="224" t="s">
        <v>289</v>
      </c>
      <c r="I52" s="224" t="s">
        <v>22</v>
      </c>
      <c r="J52" s="224">
        <v>70</v>
      </c>
      <c r="K52" s="227">
        <f t="array" ref="K52">IFERROR(INDEX([1]Grille_Tarifs_Modulable!$B$2:$B$204,MATCH(Tableau14[[#This Row],[Designation]]&amp;Tableau14[[#This Row],[CL]],[1]Grille_Tarifs_Modulable!$C$2:$C$204&amp;[1]Grille_Tarifs_Modulable!$F$2:$F$204,0)),0)</f>
        <v>4055800060200</v>
      </c>
      <c r="L52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17.408644000000002</v>
      </c>
      <c r="M52" s="228">
        <f>IF(Tableau14[[#This Row],[Prix_Unit_HT]]=0,0,Tableau14[[#This Row],[Prix_Unit_HT]]+(Tableau14[[#This Row],[Prix_Unit_HT]]*VLOOKUP(Tableau14[[#This Row],[EAN]],[1]Grille_Tarifs_Modulable!$B$10:$Q$204,16,FALSE)))</f>
        <v>20.890372800000002</v>
      </c>
      <c r="N52" s="224">
        <v>12</v>
      </c>
      <c r="O52" s="228">
        <f>ROUND(Tableau14[[#This Row],[Prix_Unit_HT]],2)*Tableau14[[#This Row],[Qte_commande]]</f>
        <v>208.92000000000002</v>
      </c>
      <c r="P52" s="228">
        <f>ROUND(Tableau14[[#This Row],[Prix_Unit_TTC]],2)*Tableau14[[#This Row],[Qte_commande]]</f>
        <v>250.68</v>
      </c>
      <c r="Q52" s="224">
        <v>12</v>
      </c>
      <c r="R52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12.000000000000002</v>
      </c>
      <c r="U52" s="224"/>
      <c r="V52" s="224"/>
    </row>
    <row r="53" spans="1:22" ht="12.75" x14ac:dyDescent="0.2">
      <c r="A53" s="225">
        <v>42454</v>
      </c>
      <c r="B53" s="224" t="s">
        <v>297</v>
      </c>
      <c r="C53" s="224" t="s">
        <v>198</v>
      </c>
      <c r="D53" s="224" t="s">
        <v>199</v>
      </c>
      <c r="E53" s="226"/>
      <c r="G53" s="224" t="s">
        <v>1</v>
      </c>
      <c r="H53" s="224" t="s">
        <v>289</v>
      </c>
      <c r="I53" s="224" t="s">
        <v>15</v>
      </c>
      <c r="J53" s="224">
        <v>70</v>
      </c>
      <c r="K53" s="227">
        <f t="array" ref="K53">IFERROR(INDEX([1]Grille_Tarifs_Modulable!$B$2:$B$204,MATCH(Tableau14[[#This Row],[Designation]]&amp;Tableau14[[#This Row],[CL]],[1]Grille_Tarifs_Modulable!$C$2:$C$204&amp;[1]Grille_Tarifs_Modulable!$F$2:$F$204,0)),0)</f>
        <v>4067700013859</v>
      </c>
      <c r="L53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12.532563499999998</v>
      </c>
      <c r="M53" s="228">
        <f>IF(Tableau14[[#This Row],[Prix_Unit_HT]]=0,0,Tableau14[[#This Row],[Prix_Unit_HT]]+(Tableau14[[#This Row],[Prix_Unit_HT]]*VLOOKUP(Tableau14[[#This Row],[EAN]],[1]Grille_Tarifs_Modulable!$B$10:$Q$204,16,FALSE)))</f>
        <v>15.039076199999998</v>
      </c>
      <c r="N53" s="224">
        <v>60</v>
      </c>
      <c r="O53" s="228">
        <f>ROUND(Tableau14[[#This Row],[Prix_Unit_HT]],2)*Tableau14[[#This Row],[Qte_commande]]</f>
        <v>751.8</v>
      </c>
      <c r="P53" s="228">
        <f>ROUND(Tableau14[[#This Row],[Prix_Unit_TTC]],2)*Tableau14[[#This Row],[Qte_commande]]</f>
        <v>902.4</v>
      </c>
      <c r="Q53" s="224">
        <v>60</v>
      </c>
      <c r="R53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60.000000000000007</v>
      </c>
      <c r="U53" s="224"/>
      <c r="V53" s="224"/>
    </row>
    <row r="54" spans="1:22" ht="12.75" x14ac:dyDescent="0.2">
      <c r="A54" s="225">
        <v>42454</v>
      </c>
      <c r="B54" s="224" t="s">
        <v>297</v>
      </c>
      <c r="C54" s="224" t="s">
        <v>198</v>
      </c>
      <c r="D54" s="224" t="s">
        <v>199</v>
      </c>
      <c r="E54" s="226"/>
      <c r="G54" s="224" t="s">
        <v>1</v>
      </c>
      <c r="H54" s="224" t="s">
        <v>289</v>
      </c>
      <c r="I54" s="224" t="s">
        <v>15</v>
      </c>
      <c r="J54" s="224">
        <v>100</v>
      </c>
      <c r="K54" s="227">
        <f t="array" ref="K54">IFERROR(INDEX([1]Grille_Tarifs_Modulable!$B$2:$B$204,MATCH(Tableau14[[#This Row],[Designation]]&amp;Tableau14[[#This Row],[CL]],[1]Grille_Tarifs_Modulable!$C$2:$C$204&amp;[1]Grille_Tarifs_Modulable!$F$2:$F$204,0)),0)</f>
        <v>4067700013842</v>
      </c>
      <c r="L54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17.100804999999998</v>
      </c>
      <c r="M54" s="228">
        <f>IF(Tableau14[[#This Row],[Prix_Unit_HT]]=0,0,Tableau14[[#This Row],[Prix_Unit_HT]]+(Tableau14[[#This Row],[Prix_Unit_HT]]*VLOOKUP(Tableau14[[#This Row],[EAN]],[1]Grille_Tarifs_Modulable!$B$10:$Q$204,16,FALSE)))</f>
        <v>20.520965999999998</v>
      </c>
      <c r="N54" s="224">
        <v>36</v>
      </c>
      <c r="O54" s="228">
        <f>ROUND(Tableau14[[#This Row],[Prix_Unit_HT]],2)*Tableau14[[#This Row],[Qte_commande]]</f>
        <v>615.6</v>
      </c>
      <c r="P54" s="228">
        <f>ROUND(Tableau14[[#This Row],[Prix_Unit_TTC]],2)*Tableau14[[#This Row],[Qte_commande]]</f>
        <v>738.72</v>
      </c>
      <c r="Q54" s="224">
        <v>51.43</v>
      </c>
      <c r="R54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51.428571428571431</v>
      </c>
      <c r="U54" s="224"/>
      <c r="V54" s="224"/>
    </row>
    <row r="55" spans="1:22" ht="12.75" x14ac:dyDescent="0.2">
      <c r="A55" s="225">
        <v>42454</v>
      </c>
      <c r="B55" s="224" t="s">
        <v>297</v>
      </c>
      <c r="C55" s="224" t="s">
        <v>198</v>
      </c>
      <c r="D55" s="224" t="s">
        <v>199</v>
      </c>
      <c r="E55" s="226"/>
      <c r="G55" s="224" t="s">
        <v>1</v>
      </c>
      <c r="H55" s="224" t="s">
        <v>289</v>
      </c>
      <c r="I55" s="224" t="s">
        <v>17</v>
      </c>
      <c r="J55" s="224">
        <v>100</v>
      </c>
      <c r="K55" s="227">
        <f t="array" ref="K55">IFERROR(INDEX([1]Grille_Tarifs_Modulable!$B$2:$B$204,MATCH(Tableau14[[#This Row],[Designation]]&amp;Tableau14[[#This Row],[CL]],[1]Grille_Tarifs_Modulable!$C$2:$C$204&amp;[1]Grille_Tarifs_Modulable!$F$2:$F$204,0)),0)</f>
        <v>8002095200039</v>
      </c>
      <c r="L55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20.79092</v>
      </c>
      <c r="M55" s="228">
        <f>IF(Tableau14[[#This Row],[Prix_Unit_HT]]=0,0,Tableau14[[#This Row],[Prix_Unit_HT]]+(Tableau14[[#This Row],[Prix_Unit_HT]]*VLOOKUP(Tableau14[[#This Row],[EAN]],[1]Grille_Tarifs_Modulable!$B$10:$Q$204,16,FALSE)))</f>
        <v>24.949103999999998</v>
      </c>
      <c r="N55" s="224">
        <v>6</v>
      </c>
      <c r="O55" s="228">
        <f>ROUND(Tableau14[[#This Row],[Prix_Unit_HT]],2)*Tableau14[[#This Row],[Qte_commande]]</f>
        <v>124.74</v>
      </c>
      <c r="P55" s="228">
        <f>ROUND(Tableau14[[#This Row],[Prix_Unit_TTC]],2)*Tableau14[[#This Row],[Qte_commande]]</f>
        <v>149.69999999999999</v>
      </c>
      <c r="Q55" s="224">
        <v>8.57</v>
      </c>
      <c r="R55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8.5714285714285712</v>
      </c>
      <c r="U55" s="224"/>
      <c r="V55" s="224"/>
    </row>
    <row r="56" spans="1:22" ht="12.75" x14ac:dyDescent="0.2">
      <c r="A56" s="225">
        <v>42454</v>
      </c>
      <c r="B56" s="224" t="s">
        <v>297</v>
      </c>
      <c r="C56" s="224" t="s">
        <v>198</v>
      </c>
      <c r="D56" s="224" t="s">
        <v>199</v>
      </c>
      <c r="E56" s="226"/>
      <c r="G56" s="224" t="s">
        <v>1</v>
      </c>
      <c r="H56" s="224" t="s">
        <v>289</v>
      </c>
      <c r="I56" s="224" t="s">
        <v>1352</v>
      </c>
      <c r="J56" s="224">
        <v>70</v>
      </c>
      <c r="K56" s="227">
        <f t="array" ref="K56">IFERROR(INDEX([1]Grille_Tarifs_Modulable!$B$2:$B$204,MATCH(Tableau14[[#This Row],[Designation]]&amp;Tableau14[[#This Row],[CL]],[1]Grille_Tarifs_Modulable!$C$2:$C$204&amp;[1]Grille_Tarifs_Modulable!$F$2:$F$204,0)),0)</f>
        <v>0</v>
      </c>
      <c r="L56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</v>
      </c>
      <c r="M56" s="228">
        <f>IF(Tableau14[[#This Row],[Prix_Unit_HT]]=0,0,Tableau14[[#This Row],[Prix_Unit_HT]]+(Tableau14[[#This Row],[Prix_Unit_HT]]*VLOOKUP(Tableau14[[#This Row],[EAN]],[1]Grille_Tarifs_Modulable!$B$10:$Q$204,16,FALSE)))</f>
        <v>0</v>
      </c>
      <c r="N56" s="224">
        <v>12</v>
      </c>
      <c r="O56" s="228">
        <f>ROUND(Tableau14[[#This Row],[Prix_Unit_HT]],2)*Tableau14[[#This Row],[Qte_commande]]</f>
        <v>0</v>
      </c>
      <c r="P56" s="228">
        <f>ROUND(Tableau14[[#This Row],[Prix_Unit_TTC]],2)*Tableau14[[#This Row],[Qte_commande]]</f>
        <v>0</v>
      </c>
      <c r="Q56" s="224">
        <v>12</v>
      </c>
      <c r="R56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12.000000000000002</v>
      </c>
      <c r="U56" s="224"/>
      <c r="V56" s="224"/>
    </row>
    <row r="57" spans="1:22" ht="12.75" x14ac:dyDescent="0.2">
      <c r="A57" s="225">
        <v>42454</v>
      </c>
      <c r="B57" s="224" t="s">
        <v>297</v>
      </c>
      <c r="C57" s="224" t="s">
        <v>198</v>
      </c>
      <c r="D57" s="224" t="s">
        <v>199</v>
      </c>
      <c r="E57" s="226"/>
      <c r="G57" s="224" t="s">
        <v>1</v>
      </c>
      <c r="H57" s="224" t="s">
        <v>289</v>
      </c>
      <c r="I57" s="224" t="s">
        <v>1352</v>
      </c>
      <c r="J57" s="224">
        <v>175</v>
      </c>
      <c r="K57" s="227">
        <f t="array" ref="K57">IFERROR(INDEX([1]Grille_Tarifs_Modulable!$B$2:$B$204,MATCH(Tableau14[[#This Row],[Designation]]&amp;Tableau14[[#This Row],[CL]],[1]Grille_Tarifs_Modulable!$C$2:$C$204&amp;[1]Grille_Tarifs_Modulable!$F$2:$F$204,0)),0)</f>
        <v>0</v>
      </c>
      <c r="L57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</v>
      </c>
      <c r="M57" s="228">
        <f>IF(Tableau14[[#This Row],[Prix_Unit_HT]]=0,0,Tableau14[[#This Row],[Prix_Unit_HT]]+(Tableau14[[#This Row],[Prix_Unit_HT]]*VLOOKUP(Tableau14[[#This Row],[EAN]],[1]Grille_Tarifs_Modulable!$B$10:$Q$204,16,FALSE)))</f>
        <v>0</v>
      </c>
      <c r="N57" s="224">
        <v>4</v>
      </c>
      <c r="O57" s="228">
        <f>ROUND(Tableau14[[#This Row],[Prix_Unit_HT]],2)*Tableau14[[#This Row],[Qte_commande]]</f>
        <v>0</v>
      </c>
      <c r="P57" s="228">
        <f>ROUND(Tableau14[[#This Row],[Prix_Unit_TTC]],2)*Tableau14[[#This Row],[Qte_commande]]</f>
        <v>0</v>
      </c>
      <c r="Q57" s="224">
        <v>10</v>
      </c>
      <c r="R57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10</v>
      </c>
      <c r="U57" s="224"/>
      <c r="V57" s="224"/>
    </row>
    <row r="58" spans="1:22" ht="12.75" x14ac:dyDescent="0.2">
      <c r="A58" s="225">
        <v>42454</v>
      </c>
      <c r="B58" s="224" t="s">
        <v>297</v>
      </c>
      <c r="C58" s="224" t="s">
        <v>198</v>
      </c>
      <c r="D58" s="224" t="s">
        <v>199</v>
      </c>
      <c r="E58" s="226"/>
      <c r="G58" s="224" t="s">
        <v>1</v>
      </c>
      <c r="H58" s="224" t="s">
        <v>289</v>
      </c>
      <c r="I58" s="224" t="s">
        <v>1355</v>
      </c>
      <c r="J58" s="224">
        <v>70</v>
      </c>
      <c r="K58" s="227">
        <f t="array" ref="K58">IFERROR(INDEX([1]Grille_Tarifs_Modulable!$B$2:$B$204,MATCH(Tableau14[[#This Row],[Designation]]&amp;Tableau14[[#This Row],[CL]],[1]Grille_Tarifs_Modulable!$C$2:$C$204&amp;[1]Grille_Tarifs_Modulable!$F$2:$F$204,0)),0)</f>
        <v>0</v>
      </c>
      <c r="L58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</v>
      </c>
      <c r="M58" s="228">
        <f>IF(Tableau14[[#This Row],[Prix_Unit_HT]]=0,0,Tableau14[[#This Row],[Prix_Unit_HT]]+(Tableau14[[#This Row],[Prix_Unit_HT]]*VLOOKUP(Tableau14[[#This Row],[EAN]],[1]Grille_Tarifs_Modulable!$B$10:$Q$204,16,FALSE)))</f>
        <v>0</v>
      </c>
      <c r="N58" s="224">
        <v>12</v>
      </c>
      <c r="O58" s="228">
        <f>ROUND(Tableau14[[#This Row],[Prix_Unit_HT]],2)*Tableau14[[#This Row],[Qte_commande]]</f>
        <v>0</v>
      </c>
      <c r="P58" s="228">
        <f>ROUND(Tableau14[[#This Row],[Prix_Unit_TTC]],2)*Tableau14[[#This Row],[Qte_commande]]</f>
        <v>0</v>
      </c>
      <c r="Q58" s="224">
        <v>12</v>
      </c>
      <c r="R58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12.000000000000002</v>
      </c>
      <c r="U58" s="224"/>
      <c r="V58" s="224"/>
    </row>
    <row r="59" spans="1:22" ht="12.75" x14ac:dyDescent="0.2">
      <c r="A59" s="225">
        <v>42454</v>
      </c>
      <c r="B59" s="224" t="s">
        <v>297</v>
      </c>
      <c r="C59" s="224" t="s">
        <v>198</v>
      </c>
      <c r="D59" s="224" t="s">
        <v>199</v>
      </c>
      <c r="E59" s="226"/>
      <c r="G59" s="224" t="s">
        <v>1</v>
      </c>
      <c r="H59" s="224" t="s">
        <v>289</v>
      </c>
      <c r="I59" s="224" t="s">
        <v>1357</v>
      </c>
      <c r="J59" s="224">
        <v>70</v>
      </c>
      <c r="K59" s="227">
        <f t="array" ref="K59">IFERROR(INDEX([1]Grille_Tarifs_Modulable!$B$2:$B$204,MATCH(Tableau14[[#This Row],[Designation]]&amp;Tableau14[[#This Row],[CL]],[1]Grille_Tarifs_Modulable!$C$2:$C$204&amp;[1]Grille_Tarifs_Modulable!$F$2:$F$204,0)),0)</f>
        <v>0</v>
      </c>
      <c r="L59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</v>
      </c>
      <c r="M59" s="228">
        <f>IF(Tableau14[[#This Row],[Prix_Unit_HT]]=0,0,Tableau14[[#This Row],[Prix_Unit_HT]]+(Tableau14[[#This Row],[Prix_Unit_HT]]*VLOOKUP(Tableau14[[#This Row],[EAN]],[1]Grille_Tarifs_Modulable!$B$10:$Q$204,16,FALSE)))</f>
        <v>0</v>
      </c>
      <c r="N59" s="224">
        <v>30</v>
      </c>
      <c r="O59" s="228">
        <f>ROUND(Tableau14[[#This Row],[Prix_Unit_HT]],2)*Tableau14[[#This Row],[Qte_commande]]</f>
        <v>0</v>
      </c>
      <c r="P59" s="228">
        <f>ROUND(Tableau14[[#This Row],[Prix_Unit_TTC]],2)*Tableau14[[#This Row],[Qte_commande]]</f>
        <v>0</v>
      </c>
      <c r="Q59" s="224">
        <v>30</v>
      </c>
      <c r="R59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30.000000000000004</v>
      </c>
      <c r="U59" s="224"/>
      <c r="V59" s="224"/>
    </row>
    <row r="60" spans="1:22" ht="12.75" x14ac:dyDescent="0.2">
      <c r="A60" s="225">
        <v>42454</v>
      </c>
      <c r="B60" s="224" t="s">
        <v>297</v>
      </c>
      <c r="C60" s="224" t="s">
        <v>198</v>
      </c>
      <c r="D60" s="224" t="s">
        <v>199</v>
      </c>
      <c r="E60" s="226"/>
      <c r="G60" s="224" t="s">
        <v>1</v>
      </c>
      <c r="H60" s="224" t="s">
        <v>289</v>
      </c>
      <c r="I60" s="224" t="s">
        <v>1357</v>
      </c>
      <c r="J60" s="224">
        <v>70</v>
      </c>
      <c r="K60" s="227">
        <f t="array" ref="K60">IFERROR(INDEX([1]Grille_Tarifs_Modulable!$B$2:$B$204,MATCH(Tableau14[[#This Row],[Designation]]&amp;Tableau14[[#This Row],[CL]],[1]Grille_Tarifs_Modulable!$C$2:$C$204&amp;[1]Grille_Tarifs_Modulable!$F$2:$F$204,0)),0)</f>
        <v>0</v>
      </c>
      <c r="L60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</v>
      </c>
      <c r="M60" s="228">
        <f>IF(Tableau14[[#This Row],[Prix_Unit_HT]]=0,0,Tableau14[[#This Row],[Prix_Unit_HT]]+(Tableau14[[#This Row],[Prix_Unit_HT]]*VLOOKUP(Tableau14[[#This Row],[EAN]],[1]Grille_Tarifs_Modulable!$B$10:$Q$204,16,FALSE)))</f>
        <v>0</v>
      </c>
      <c r="N60" s="224">
        <v>6</v>
      </c>
      <c r="O60" s="228">
        <f>ROUND(Tableau14[[#This Row],[Prix_Unit_HT]],2)*Tableau14[[#This Row],[Qte_commande]]</f>
        <v>0</v>
      </c>
      <c r="P60" s="228">
        <f>ROUND(Tableau14[[#This Row],[Prix_Unit_TTC]],2)*Tableau14[[#This Row],[Qte_commande]]</f>
        <v>0</v>
      </c>
      <c r="Q60" s="224">
        <v>6</v>
      </c>
      <c r="R60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6.0000000000000009</v>
      </c>
      <c r="U60" s="224"/>
      <c r="V60" s="224"/>
    </row>
    <row r="61" spans="1:22" ht="12.75" x14ac:dyDescent="0.2">
      <c r="A61" s="225">
        <v>42459</v>
      </c>
      <c r="B61" s="224" t="s">
        <v>286</v>
      </c>
      <c r="C61" s="224" t="s">
        <v>287</v>
      </c>
      <c r="D61" s="224" t="s">
        <v>288</v>
      </c>
      <c r="E61" s="226"/>
      <c r="G61" s="224"/>
      <c r="H61" s="224" t="s">
        <v>289</v>
      </c>
      <c r="I61" s="224" t="s">
        <v>290</v>
      </c>
      <c r="J61" s="224">
        <v>70</v>
      </c>
      <c r="K61" s="227">
        <f t="array" ref="K61">IFERROR(INDEX([1]Grille_Tarifs_Modulable!$B$2:$B$204,MATCH(Tableau14[[#This Row],[Designation]]&amp;Tableau14[[#This Row],[CL]],[1]Grille_Tarifs_Modulable!$C$2:$C$204&amp;[1]Grille_Tarifs_Modulable!$F$2:$F$204,0)),0)</f>
        <v>0</v>
      </c>
      <c r="L61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</v>
      </c>
      <c r="M61" s="228">
        <f>IF(Tableau14[[#This Row],[Prix_Unit_HT]]=0,0,Tableau14[[#This Row],[Prix_Unit_HT]]+(Tableau14[[#This Row],[Prix_Unit_HT]]*VLOOKUP(Tableau14[[#This Row],[EAN]],[1]Grille_Tarifs_Modulable!$B$10:$Q$204,16,FALSE)))</f>
        <v>0</v>
      </c>
      <c r="N61" s="224">
        <v>6</v>
      </c>
      <c r="O61" s="228">
        <f>ROUND(Tableau14[[#This Row],[Prix_Unit_HT]],2)*Tableau14[[#This Row],[Qte_commande]]</f>
        <v>0</v>
      </c>
      <c r="P61" s="228">
        <f>ROUND(Tableau14[[#This Row],[Prix_Unit_TTC]],2)*Tableau14[[#This Row],[Qte_commande]]</f>
        <v>0</v>
      </c>
      <c r="Q61" s="224">
        <v>6</v>
      </c>
      <c r="R61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6.0000000000000009</v>
      </c>
      <c r="U61" s="224"/>
      <c r="V61" s="224"/>
    </row>
    <row r="62" spans="1:22" ht="12.75" x14ac:dyDescent="0.2">
      <c r="A62" s="225">
        <v>42459</v>
      </c>
      <c r="B62" s="224" t="s">
        <v>559</v>
      </c>
      <c r="C62" s="224" t="s">
        <v>545</v>
      </c>
      <c r="D62" s="224" t="s">
        <v>546</v>
      </c>
      <c r="E62" s="226"/>
      <c r="F62" s="224" t="s">
        <v>547</v>
      </c>
      <c r="G62" s="224" t="s">
        <v>13</v>
      </c>
      <c r="H62" s="224" t="s">
        <v>289</v>
      </c>
      <c r="I62" s="224" t="s">
        <v>15</v>
      </c>
      <c r="J62" s="224">
        <v>175</v>
      </c>
      <c r="K62" s="227">
        <f t="array" ref="K62">IFERROR(INDEX([1]Grille_Tarifs_Modulable!$B$2:$B$204,MATCH(Tableau14[[#This Row],[Designation]]&amp;Tableau14[[#This Row],[CL]],[1]Grille_Tarifs_Modulable!$C$2:$C$204&amp;[1]Grille_Tarifs_Modulable!$F$2:$F$204,0)),0)</f>
        <v>4067700013835</v>
      </c>
      <c r="L62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32.266408749999997</v>
      </c>
      <c r="M62" s="228">
        <f>IF(Tableau14[[#This Row],[Prix_Unit_HT]]=0,0,Tableau14[[#This Row],[Prix_Unit_HT]]+(Tableau14[[#This Row],[Prix_Unit_HT]]*VLOOKUP(Tableau14[[#This Row],[EAN]],[1]Grille_Tarifs_Modulable!$B$10:$Q$204,16,FALSE)))</f>
        <v>38.719690499999999</v>
      </c>
      <c r="N62" s="224">
        <v>36</v>
      </c>
      <c r="O62" s="228">
        <f>ROUND(Tableau14[[#This Row],[Prix_Unit_HT]],2)*Tableau14[[#This Row],[Qte_commande]]</f>
        <v>1161.72</v>
      </c>
      <c r="P62" s="228">
        <f>ROUND(Tableau14[[#This Row],[Prix_Unit_TTC]],2)*Tableau14[[#This Row],[Qte_commande]]</f>
        <v>1393.92</v>
      </c>
      <c r="Q62" s="224">
        <v>90</v>
      </c>
      <c r="R62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90</v>
      </c>
      <c r="U62" s="224"/>
      <c r="V62" s="224"/>
    </row>
    <row r="63" spans="1:22" ht="12.75" x14ac:dyDescent="0.2">
      <c r="A63" s="225">
        <v>42459</v>
      </c>
      <c r="B63" s="224" t="s">
        <v>286</v>
      </c>
      <c r="C63" s="224" t="s">
        <v>903</v>
      </c>
      <c r="D63" s="224" t="s">
        <v>288</v>
      </c>
      <c r="E63" s="226"/>
      <c r="F63" s="224" t="s">
        <v>504</v>
      </c>
      <c r="G63" s="224"/>
      <c r="H63" s="224" t="s">
        <v>289</v>
      </c>
      <c r="I63" s="224" t="s">
        <v>904</v>
      </c>
      <c r="J63" s="224">
        <v>75</v>
      </c>
      <c r="K63" s="227">
        <f t="array" ref="K63">IFERROR(INDEX([1]Grille_Tarifs_Modulable!$B$2:$B$204,MATCH(Tableau14[[#This Row],[Designation]]&amp;Tableau14[[#This Row],[CL]],[1]Grille_Tarifs_Modulable!$C$2:$C$204&amp;[1]Grille_Tarifs_Modulable!$F$2:$F$204,0)),0)</f>
        <v>0</v>
      </c>
      <c r="L63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</v>
      </c>
      <c r="M63" s="228">
        <f>IF(Tableau14[[#This Row],[Prix_Unit_HT]]=0,0,Tableau14[[#This Row],[Prix_Unit_HT]]+(Tableau14[[#This Row],[Prix_Unit_HT]]*VLOOKUP(Tableau14[[#This Row],[EAN]],[1]Grille_Tarifs_Modulable!$B$10:$Q$204,16,FALSE)))</f>
        <v>0</v>
      </c>
      <c r="N63" s="224">
        <v>18</v>
      </c>
      <c r="O63" s="228">
        <f>ROUND(Tableau14[[#This Row],[Prix_Unit_HT]],2)*Tableau14[[#This Row],[Qte_commande]]</f>
        <v>0</v>
      </c>
      <c r="P63" s="228">
        <f>ROUND(Tableau14[[#This Row],[Prix_Unit_TTC]],2)*Tableau14[[#This Row],[Qte_commande]]</f>
        <v>0</v>
      </c>
      <c r="Q63" s="224">
        <v>19.29</v>
      </c>
      <c r="R63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19.285714285714288</v>
      </c>
      <c r="U63" s="224"/>
      <c r="V63" s="224"/>
    </row>
    <row r="64" spans="1:22" ht="12.75" x14ac:dyDescent="0.2">
      <c r="A64" s="225">
        <v>42459</v>
      </c>
      <c r="B64" s="224" t="s">
        <v>286</v>
      </c>
      <c r="C64" s="224" t="s">
        <v>903</v>
      </c>
      <c r="D64" s="224" t="s">
        <v>288</v>
      </c>
      <c r="E64" s="226"/>
      <c r="F64" s="224" t="s">
        <v>504</v>
      </c>
      <c r="G64" s="224"/>
      <c r="H64" s="224" t="s">
        <v>289</v>
      </c>
      <c r="I64" s="224" t="s">
        <v>905</v>
      </c>
      <c r="J64" s="224">
        <v>75</v>
      </c>
      <c r="K64" s="227">
        <f t="array" ref="K64">IFERROR(INDEX([1]Grille_Tarifs_Modulable!$B$2:$B$204,MATCH(Tableau14[[#This Row],[Designation]]&amp;Tableau14[[#This Row],[CL]],[1]Grille_Tarifs_Modulable!$C$2:$C$204&amp;[1]Grille_Tarifs_Modulable!$F$2:$F$204,0)),0)</f>
        <v>0</v>
      </c>
      <c r="L64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</v>
      </c>
      <c r="M64" s="228">
        <f>IF(Tableau14[[#This Row],[Prix_Unit_HT]]=0,0,Tableau14[[#This Row],[Prix_Unit_HT]]+(Tableau14[[#This Row],[Prix_Unit_HT]]*VLOOKUP(Tableau14[[#This Row],[EAN]],[1]Grille_Tarifs_Modulable!$B$10:$Q$204,16,FALSE)))</f>
        <v>0</v>
      </c>
      <c r="N64" s="224">
        <v>36</v>
      </c>
      <c r="O64" s="228">
        <f>ROUND(Tableau14[[#This Row],[Prix_Unit_HT]],2)*Tableau14[[#This Row],[Qte_commande]]</f>
        <v>0</v>
      </c>
      <c r="P64" s="228">
        <f>ROUND(Tableau14[[#This Row],[Prix_Unit_TTC]],2)*Tableau14[[#This Row],[Qte_commande]]</f>
        <v>0</v>
      </c>
      <c r="Q64" s="224">
        <v>38.57</v>
      </c>
      <c r="R64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38.571428571428577</v>
      </c>
      <c r="U64" s="224"/>
      <c r="V64" s="224"/>
    </row>
    <row r="65" spans="1:22" ht="12.75" x14ac:dyDescent="0.2">
      <c r="A65" s="225">
        <v>42461</v>
      </c>
      <c r="B65" s="224" t="s">
        <v>560</v>
      </c>
      <c r="C65" s="224" t="s">
        <v>194</v>
      </c>
      <c r="D65" s="224" t="s">
        <v>195</v>
      </c>
      <c r="E65" s="226"/>
      <c r="G65" s="224" t="s">
        <v>1</v>
      </c>
      <c r="H65" s="224" t="s">
        <v>289</v>
      </c>
      <c r="I65" s="224" t="s">
        <v>15</v>
      </c>
      <c r="J65" s="224">
        <v>70</v>
      </c>
      <c r="K65" s="227">
        <f t="array" ref="K65">IFERROR(INDEX([1]Grille_Tarifs_Modulable!$B$2:$B$204,MATCH(Tableau14[[#This Row],[Designation]]&amp;Tableau14[[#This Row],[CL]],[1]Grille_Tarifs_Modulable!$C$2:$C$204&amp;[1]Grille_Tarifs_Modulable!$F$2:$F$204,0)),0)</f>
        <v>4067700013859</v>
      </c>
      <c r="L65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12.532563499999998</v>
      </c>
      <c r="M65" s="228">
        <f>IF(Tableau14[[#This Row],[Prix_Unit_HT]]=0,0,Tableau14[[#This Row],[Prix_Unit_HT]]+(Tableau14[[#This Row],[Prix_Unit_HT]]*VLOOKUP(Tableau14[[#This Row],[EAN]],[1]Grille_Tarifs_Modulable!$B$10:$Q$204,16,FALSE)))</f>
        <v>15.039076199999998</v>
      </c>
      <c r="N65" s="224">
        <v>60</v>
      </c>
      <c r="O65" s="228">
        <f>ROUND(Tableau14[[#This Row],[Prix_Unit_HT]],2)*Tableau14[[#This Row],[Qte_commande]]</f>
        <v>751.8</v>
      </c>
      <c r="P65" s="228">
        <f>ROUND(Tableau14[[#This Row],[Prix_Unit_TTC]],2)*Tableau14[[#This Row],[Qte_commande]]</f>
        <v>902.4</v>
      </c>
      <c r="Q65" s="224">
        <v>60</v>
      </c>
      <c r="R65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60.000000000000007</v>
      </c>
      <c r="U65" s="224"/>
      <c r="V65" s="224"/>
    </row>
    <row r="66" spans="1:22" ht="12.75" x14ac:dyDescent="0.2">
      <c r="A66" s="225">
        <v>42461</v>
      </c>
      <c r="B66" s="224" t="s">
        <v>560</v>
      </c>
      <c r="C66" s="224" t="s">
        <v>194</v>
      </c>
      <c r="D66" s="224" t="s">
        <v>195</v>
      </c>
      <c r="E66" s="226"/>
      <c r="G66" s="224" t="s">
        <v>1</v>
      </c>
      <c r="H66" s="224" t="s">
        <v>289</v>
      </c>
      <c r="I66" s="224" t="s">
        <v>15</v>
      </c>
      <c r="J66" s="224">
        <v>100</v>
      </c>
      <c r="K66" s="227">
        <f t="array" ref="K66">IFERROR(INDEX([1]Grille_Tarifs_Modulable!$B$2:$B$204,MATCH(Tableau14[[#This Row],[Designation]]&amp;Tableau14[[#This Row],[CL]],[1]Grille_Tarifs_Modulable!$C$2:$C$204&amp;[1]Grille_Tarifs_Modulable!$F$2:$F$204,0)),0)</f>
        <v>4067700013842</v>
      </c>
      <c r="L66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17.100804999999998</v>
      </c>
      <c r="M66" s="228">
        <f>IF(Tableau14[[#This Row],[Prix_Unit_HT]]=0,0,Tableau14[[#This Row],[Prix_Unit_HT]]+(Tableau14[[#This Row],[Prix_Unit_HT]]*VLOOKUP(Tableau14[[#This Row],[EAN]],[1]Grille_Tarifs_Modulable!$B$10:$Q$204,16,FALSE)))</f>
        <v>20.520965999999998</v>
      </c>
      <c r="N66" s="224">
        <v>6</v>
      </c>
      <c r="O66" s="228">
        <f>ROUND(Tableau14[[#This Row],[Prix_Unit_HT]],2)*Tableau14[[#This Row],[Qte_commande]]</f>
        <v>102.60000000000001</v>
      </c>
      <c r="P66" s="228">
        <f>ROUND(Tableau14[[#This Row],[Prix_Unit_TTC]],2)*Tableau14[[#This Row],[Qte_commande]]</f>
        <v>123.12</v>
      </c>
      <c r="Q66" s="224">
        <v>8.57</v>
      </c>
      <c r="R66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8.5714285714285712</v>
      </c>
      <c r="U66" s="224"/>
      <c r="V66" s="224"/>
    </row>
    <row r="67" spans="1:22" ht="12.75" x14ac:dyDescent="0.2">
      <c r="A67" s="225">
        <v>42461</v>
      </c>
      <c r="B67" s="224" t="s">
        <v>560</v>
      </c>
      <c r="C67" s="224" t="s">
        <v>194</v>
      </c>
      <c r="D67" s="224" t="s">
        <v>195</v>
      </c>
      <c r="E67" s="226"/>
      <c r="G67" s="224" t="s">
        <v>1</v>
      </c>
      <c r="H67" s="224" t="s">
        <v>289</v>
      </c>
      <c r="I67" s="224" t="s">
        <v>15</v>
      </c>
      <c r="J67" s="224">
        <v>100</v>
      </c>
      <c r="K67" s="227">
        <f t="array" ref="K67">IFERROR(INDEX([1]Grille_Tarifs_Modulable!$B$2:$B$204,MATCH(Tableau14[[#This Row],[Designation]]&amp;Tableau14[[#This Row],[CL]],[1]Grille_Tarifs_Modulable!$C$2:$C$204&amp;[1]Grille_Tarifs_Modulable!$F$2:$F$204,0)),0)</f>
        <v>4067700013842</v>
      </c>
      <c r="L67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17.100804999999998</v>
      </c>
      <c r="M67" s="228">
        <f>IF(Tableau14[[#This Row],[Prix_Unit_HT]]=0,0,Tableau14[[#This Row],[Prix_Unit_HT]]+(Tableau14[[#This Row],[Prix_Unit_HT]]*VLOOKUP(Tableau14[[#This Row],[EAN]],[1]Grille_Tarifs_Modulable!$B$10:$Q$204,16,FALSE)))</f>
        <v>20.520965999999998</v>
      </c>
      <c r="N67" s="224">
        <v>156</v>
      </c>
      <c r="O67" s="228">
        <f>ROUND(Tableau14[[#This Row],[Prix_Unit_HT]],2)*Tableau14[[#This Row],[Qte_commande]]</f>
        <v>2667.6000000000004</v>
      </c>
      <c r="P67" s="228">
        <f>ROUND(Tableau14[[#This Row],[Prix_Unit_TTC]],2)*Tableau14[[#This Row],[Qte_commande]]</f>
        <v>3201.12</v>
      </c>
      <c r="Q67" s="224">
        <v>222.86</v>
      </c>
      <c r="R67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222.85714285714286</v>
      </c>
      <c r="U67" s="224"/>
      <c r="V67" s="224"/>
    </row>
    <row r="68" spans="1:22" ht="12.75" x14ac:dyDescent="0.2">
      <c r="A68" s="225">
        <v>42461</v>
      </c>
      <c r="B68" s="224" t="s">
        <v>560</v>
      </c>
      <c r="C68" s="224" t="s">
        <v>194</v>
      </c>
      <c r="D68" s="224" t="s">
        <v>195</v>
      </c>
      <c r="E68" s="226"/>
      <c r="G68" s="224" t="s">
        <v>1</v>
      </c>
      <c r="H68" s="224" t="s">
        <v>289</v>
      </c>
      <c r="I68" s="224" t="s">
        <v>15</v>
      </c>
      <c r="J68" s="224">
        <v>100</v>
      </c>
      <c r="K68" s="227">
        <f t="array" ref="K68">IFERROR(INDEX([1]Grille_Tarifs_Modulable!$B$2:$B$204,MATCH(Tableau14[[#This Row],[Designation]]&amp;Tableau14[[#This Row],[CL]],[1]Grille_Tarifs_Modulable!$C$2:$C$204&amp;[1]Grille_Tarifs_Modulable!$F$2:$F$204,0)),0)</f>
        <v>4067700013842</v>
      </c>
      <c r="L68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17.100804999999998</v>
      </c>
      <c r="M68" s="228">
        <f>IF(Tableau14[[#This Row],[Prix_Unit_HT]]=0,0,Tableau14[[#This Row],[Prix_Unit_HT]]+(Tableau14[[#This Row],[Prix_Unit_HT]]*VLOOKUP(Tableau14[[#This Row],[EAN]],[1]Grille_Tarifs_Modulable!$B$10:$Q$204,16,FALSE)))</f>
        <v>20.520965999999998</v>
      </c>
      <c r="N68" s="224">
        <v>18</v>
      </c>
      <c r="O68" s="228">
        <f>ROUND(Tableau14[[#This Row],[Prix_Unit_HT]],2)*Tableau14[[#This Row],[Qte_commande]]</f>
        <v>307.8</v>
      </c>
      <c r="P68" s="228">
        <f>ROUND(Tableau14[[#This Row],[Prix_Unit_TTC]],2)*Tableau14[[#This Row],[Qte_commande]]</f>
        <v>369.36</v>
      </c>
      <c r="Q68" s="224">
        <v>25.71</v>
      </c>
      <c r="R68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25.714285714285715</v>
      </c>
      <c r="U68" s="224"/>
      <c r="V68" s="224"/>
    </row>
    <row r="69" spans="1:22" ht="12.75" x14ac:dyDescent="0.2">
      <c r="A69" s="225">
        <v>42465</v>
      </c>
      <c r="B69" s="224" t="s">
        <v>917</v>
      </c>
      <c r="C69" s="224" t="s">
        <v>159</v>
      </c>
      <c r="D69" s="224" t="s">
        <v>209</v>
      </c>
      <c r="E69" s="226"/>
      <c r="G69" s="224" t="s">
        <v>1</v>
      </c>
      <c r="H69" s="224" t="s">
        <v>289</v>
      </c>
      <c r="I69" s="224" t="s">
        <v>25</v>
      </c>
      <c r="J69" s="224">
        <v>100</v>
      </c>
      <c r="K69" s="227">
        <f t="array" ref="K69">IFERROR(INDEX([1]Grille_Tarifs_Modulable!$B$2:$B$204,MATCH(Tableau14[[#This Row],[Designation]]&amp;Tableau14[[#This Row],[CL]],[1]Grille_Tarifs_Modulable!$C$2:$C$204&amp;[1]Grille_Tarifs_Modulable!$F$2:$F$204,0)),0)</f>
        <v>3257150410167</v>
      </c>
      <c r="L69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15.778874</v>
      </c>
      <c r="M69" s="228">
        <f>IF(Tableau14[[#This Row],[Prix_Unit_HT]]=0,0,Tableau14[[#This Row],[Prix_Unit_HT]]+(Tableau14[[#This Row],[Prix_Unit_HT]]*VLOOKUP(Tableau14[[#This Row],[EAN]],[1]Grille_Tarifs_Modulable!$B$10:$Q$204,16,FALSE)))</f>
        <v>18.934648800000002</v>
      </c>
      <c r="N69" s="224">
        <v>48</v>
      </c>
      <c r="O69" s="228">
        <f>ROUND(Tableau14[[#This Row],[Prix_Unit_HT]],2)*Tableau14[[#This Row],[Qte_commande]]</f>
        <v>757.43999999999994</v>
      </c>
      <c r="P69" s="228">
        <f>ROUND(Tableau14[[#This Row],[Prix_Unit_TTC]],2)*Tableau14[[#This Row],[Qte_commande]]</f>
        <v>908.64</v>
      </c>
      <c r="Q69" s="224">
        <v>68.569999999999993</v>
      </c>
      <c r="R69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68.571428571428569</v>
      </c>
      <c r="U69" s="224"/>
      <c r="V69" s="224"/>
    </row>
    <row r="70" spans="1:22" ht="12.75" x14ac:dyDescent="0.2">
      <c r="A70" s="225">
        <v>42472</v>
      </c>
      <c r="B70" s="224" t="s">
        <v>452</v>
      </c>
      <c r="C70" s="224" t="s">
        <v>164</v>
      </c>
      <c r="D70" s="224" t="s">
        <v>233</v>
      </c>
      <c r="E70" s="226"/>
      <c r="G70" s="224" t="s">
        <v>13</v>
      </c>
      <c r="H70" s="224" t="s">
        <v>451</v>
      </c>
      <c r="I70" s="224" t="s">
        <v>74</v>
      </c>
      <c r="J70" s="229">
        <v>6</v>
      </c>
      <c r="K70" s="227">
        <f t="array" ref="K70">IFERROR(INDEX([1]Grille_Tarifs_Modulable!$B$2:$B$204,MATCH(Tableau14[[#This Row],[Designation]]&amp;Tableau14[[#This Row],[CL]],[1]Grille_Tarifs_Modulable!$C$2:$C$204&amp;[1]Grille_Tarifs_Modulable!$F$2:$F$204,0)),0)</f>
        <v>125</v>
      </c>
      <c r="L70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139</v>
      </c>
      <c r="M70" s="228">
        <f>IF(Tableau14[[#This Row],[Prix_Unit_HT]]=0,0,Tableau14[[#This Row],[Prix_Unit_HT]]+(Tableau14[[#This Row],[Prix_Unit_HT]]*VLOOKUP(Tableau14[[#This Row],[EAN]],[1]Grille_Tarifs_Modulable!$B$10:$Q$204,16,FALSE)))</f>
        <v>166.8</v>
      </c>
      <c r="N70" s="224">
        <v>1</v>
      </c>
      <c r="O70" s="228">
        <f>ROUND(Tableau14[[#This Row],[Prix_Unit_HT]],2)*Tableau14[[#This Row],[Qte_commande]]</f>
        <v>139</v>
      </c>
      <c r="P70" s="228">
        <f>ROUND(Tableau14[[#This Row],[Prix_Unit_TTC]],2)*Tableau14[[#This Row],[Qte_commande]]</f>
        <v>166.8</v>
      </c>
      <c r="Q70" s="224">
        <v>1</v>
      </c>
      <c r="R70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</v>
      </c>
      <c r="U70" s="224"/>
      <c r="V70" s="224"/>
    </row>
    <row r="71" spans="1:22" ht="12.75" x14ac:dyDescent="0.2">
      <c r="A71" s="225">
        <v>42472</v>
      </c>
      <c r="B71" s="224" t="s">
        <v>453</v>
      </c>
      <c r="C71" s="224" t="s">
        <v>454</v>
      </c>
      <c r="D71" s="224" t="s">
        <v>233</v>
      </c>
      <c r="E71" s="226"/>
      <c r="G71" s="224" t="s">
        <v>13</v>
      </c>
      <c r="H71" s="224" t="s">
        <v>451</v>
      </c>
      <c r="I71" s="224" t="s">
        <v>74</v>
      </c>
      <c r="J71" s="229">
        <v>6</v>
      </c>
      <c r="K71" s="227">
        <f t="array" ref="K71">IFERROR(INDEX([1]Grille_Tarifs_Modulable!$B$2:$B$204,MATCH(Tableau14[[#This Row],[Designation]]&amp;Tableau14[[#This Row],[CL]],[1]Grille_Tarifs_Modulable!$C$2:$C$204&amp;[1]Grille_Tarifs_Modulable!$F$2:$F$204,0)),0)</f>
        <v>125</v>
      </c>
      <c r="L71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139</v>
      </c>
      <c r="M71" s="228">
        <f>IF(Tableau14[[#This Row],[Prix_Unit_HT]]=0,0,Tableau14[[#This Row],[Prix_Unit_HT]]+(Tableau14[[#This Row],[Prix_Unit_HT]]*VLOOKUP(Tableau14[[#This Row],[EAN]],[1]Grille_Tarifs_Modulable!$B$10:$Q$204,16,FALSE)))</f>
        <v>166.8</v>
      </c>
      <c r="N71" s="224">
        <v>1</v>
      </c>
      <c r="O71" s="228">
        <f>ROUND(Tableau14[[#This Row],[Prix_Unit_HT]],2)*Tableau14[[#This Row],[Qte_commande]]</f>
        <v>139</v>
      </c>
      <c r="P71" s="228">
        <f>ROUND(Tableau14[[#This Row],[Prix_Unit_TTC]],2)*Tableau14[[#This Row],[Qte_commande]]</f>
        <v>166.8</v>
      </c>
      <c r="Q71" s="224">
        <v>1</v>
      </c>
      <c r="R71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</v>
      </c>
      <c r="U71" s="224"/>
      <c r="V71" s="224"/>
    </row>
    <row r="72" spans="1:22" ht="12.75" x14ac:dyDescent="0.2">
      <c r="A72" s="225">
        <v>42472</v>
      </c>
      <c r="B72" s="224" t="s">
        <v>561</v>
      </c>
      <c r="C72" s="224" t="s">
        <v>530</v>
      </c>
      <c r="D72" s="224" t="s">
        <v>531</v>
      </c>
      <c r="E72" s="226"/>
      <c r="G72" s="224" t="s">
        <v>1</v>
      </c>
      <c r="H72" s="224" t="s">
        <v>289</v>
      </c>
      <c r="I72" s="224" t="s">
        <v>15</v>
      </c>
      <c r="J72" s="224">
        <v>70</v>
      </c>
      <c r="K72" s="227">
        <f t="array" ref="K72">IFERROR(INDEX([1]Grille_Tarifs_Modulable!$B$2:$B$204,MATCH(Tableau14[[#This Row],[Designation]]&amp;Tableau14[[#This Row],[CL]],[1]Grille_Tarifs_Modulable!$C$2:$C$204&amp;[1]Grille_Tarifs_Modulable!$F$2:$F$204,0)),0)</f>
        <v>4067700013859</v>
      </c>
      <c r="L72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12.532563499999998</v>
      </c>
      <c r="M72" s="228">
        <f>IF(Tableau14[[#This Row],[Prix_Unit_HT]]=0,0,Tableau14[[#This Row],[Prix_Unit_HT]]+(Tableau14[[#This Row],[Prix_Unit_HT]]*VLOOKUP(Tableau14[[#This Row],[EAN]],[1]Grille_Tarifs_Modulable!$B$10:$Q$204,16,FALSE)))</f>
        <v>15.039076199999998</v>
      </c>
      <c r="N72" s="224">
        <v>144</v>
      </c>
      <c r="O72" s="228">
        <f>ROUND(Tableau14[[#This Row],[Prix_Unit_HT]],2)*Tableau14[[#This Row],[Qte_commande]]</f>
        <v>1804.32</v>
      </c>
      <c r="P72" s="228">
        <f>ROUND(Tableau14[[#This Row],[Prix_Unit_TTC]],2)*Tableau14[[#This Row],[Qte_commande]]</f>
        <v>2165.7599999999998</v>
      </c>
      <c r="Q72" s="224">
        <v>144</v>
      </c>
      <c r="R72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144</v>
      </c>
      <c r="U72" s="224"/>
      <c r="V72" s="224"/>
    </row>
    <row r="73" spans="1:22" ht="12.75" x14ac:dyDescent="0.2">
      <c r="A73" s="225">
        <v>42472</v>
      </c>
      <c r="B73" s="224" t="s">
        <v>561</v>
      </c>
      <c r="C73" s="224" t="s">
        <v>530</v>
      </c>
      <c r="D73" s="224" t="s">
        <v>531</v>
      </c>
      <c r="E73" s="226"/>
      <c r="G73" s="224" t="s">
        <v>1</v>
      </c>
      <c r="H73" s="224" t="s">
        <v>289</v>
      </c>
      <c r="I73" s="224" t="s">
        <v>15</v>
      </c>
      <c r="J73" s="224">
        <v>70</v>
      </c>
      <c r="K73" s="227">
        <f t="array" ref="K73">IFERROR(INDEX([1]Grille_Tarifs_Modulable!$B$2:$B$204,MATCH(Tableau14[[#This Row],[Designation]]&amp;Tableau14[[#This Row],[CL]],[1]Grille_Tarifs_Modulable!$C$2:$C$204&amp;[1]Grille_Tarifs_Modulable!$F$2:$F$204,0)),0)</f>
        <v>4067700013859</v>
      </c>
      <c r="L73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12.532563499999998</v>
      </c>
      <c r="M73" s="228">
        <f>IF(Tableau14[[#This Row],[Prix_Unit_HT]]=0,0,Tableau14[[#This Row],[Prix_Unit_HT]]+(Tableau14[[#This Row],[Prix_Unit_HT]]*VLOOKUP(Tableau14[[#This Row],[EAN]],[1]Grille_Tarifs_Modulable!$B$10:$Q$204,16,FALSE)))</f>
        <v>15.039076199999998</v>
      </c>
      <c r="N73" s="224">
        <v>6</v>
      </c>
      <c r="O73" s="228">
        <f>ROUND(Tableau14[[#This Row],[Prix_Unit_HT]],2)*Tableau14[[#This Row],[Qte_commande]]</f>
        <v>75.179999999999993</v>
      </c>
      <c r="P73" s="228">
        <f>ROUND(Tableau14[[#This Row],[Prix_Unit_TTC]],2)*Tableau14[[#This Row],[Qte_commande]]</f>
        <v>90.24</v>
      </c>
      <c r="Q73" s="224">
        <v>6</v>
      </c>
      <c r="R73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6.0000000000000009</v>
      </c>
      <c r="U73" s="224"/>
      <c r="V73" s="224"/>
    </row>
    <row r="74" spans="1:22" ht="12.75" x14ac:dyDescent="0.2">
      <c r="A74" s="225">
        <v>42472</v>
      </c>
      <c r="B74" s="224" t="s">
        <v>971</v>
      </c>
      <c r="C74" s="224" t="s">
        <v>163</v>
      </c>
      <c r="D74" s="224" t="s">
        <v>972</v>
      </c>
      <c r="E74" s="226"/>
      <c r="G74" s="224" t="s">
        <v>13</v>
      </c>
      <c r="H74" s="224" t="s">
        <v>451</v>
      </c>
      <c r="I74" s="224" t="s">
        <v>69</v>
      </c>
      <c r="J74" s="227">
        <v>3</v>
      </c>
      <c r="K74" s="227">
        <f t="array" ref="K74">IFERROR(INDEX([1]Grille_Tarifs_Modulable!$B$2:$B$204,MATCH(Tableau14[[#This Row],[Designation]]&amp;Tableau14[[#This Row],[CL]],[1]Grille_Tarifs_Modulable!$C$2:$C$204&amp;[1]Grille_Tarifs_Modulable!$F$2:$F$204,0)),0)</f>
        <v>121</v>
      </c>
      <c r="L74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299</v>
      </c>
      <c r="M74" s="228">
        <f>IF(Tableau14[[#This Row],[Prix_Unit_HT]]=0,0,Tableau14[[#This Row],[Prix_Unit_HT]]+(Tableau14[[#This Row],[Prix_Unit_HT]]*VLOOKUP(Tableau14[[#This Row],[EAN]],[1]Grille_Tarifs_Modulable!$B$10:$Q$204,16,FALSE)))</f>
        <v>358.8</v>
      </c>
      <c r="N74" s="224">
        <v>1</v>
      </c>
      <c r="O74" s="228">
        <f>ROUND(Tableau14[[#This Row],[Prix_Unit_HT]],2)*Tableau14[[#This Row],[Qte_commande]]</f>
        <v>299</v>
      </c>
      <c r="P74" s="228">
        <f>ROUND(Tableau14[[#This Row],[Prix_Unit_TTC]],2)*Tableau14[[#This Row],[Qte_commande]]</f>
        <v>358.8</v>
      </c>
      <c r="Q74" s="224">
        <v>1</v>
      </c>
      <c r="R74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</v>
      </c>
      <c r="U74" s="224"/>
      <c r="V74" s="224"/>
    </row>
    <row r="75" spans="1:22" ht="12.75" x14ac:dyDescent="0.2">
      <c r="A75" s="225">
        <v>42475</v>
      </c>
      <c r="B75" s="224" t="s">
        <v>562</v>
      </c>
      <c r="C75" s="224" t="s">
        <v>194</v>
      </c>
      <c r="D75" s="224" t="s">
        <v>195</v>
      </c>
      <c r="E75" s="226"/>
      <c r="G75" s="224" t="s">
        <v>1</v>
      </c>
      <c r="H75" s="224" t="s">
        <v>289</v>
      </c>
      <c r="I75" s="224" t="s">
        <v>15</v>
      </c>
      <c r="J75" s="224">
        <v>70</v>
      </c>
      <c r="K75" s="227">
        <f t="array" ref="K75">IFERROR(INDEX([1]Grille_Tarifs_Modulable!$B$2:$B$204,MATCH(Tableau14[[#This Row],[Designation]]&amp;Tableau14[[#This Row],[CL]],[1]Grille_Tarifs_Modulable!$C$2:$C$204&amp;[1]Grille_Tarifs_Modulable!$F$2:$F$204,0)),0)</f>
        <v>4067700013859</v>
      </c>
      <c r="L75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12.532563499999998</v>
      </c>
      <c r="M75" s="228">
        <f>IF(Tableau14[[#This Row],[Prix_Unit_HT]]=0,0,Tableau14[[#This Row],[Prix_Unit_HT]]+(Tableau14[[#This Row],[Prix_Unit_HT]]*VLOOKUP(Tableau14[[#This Row],[EAN]],[1]Grille_Tarifs_Modulable!$B$10:$Q$204,16,FALSE)))</f>
        <v>15.039076199999998</v>
      </c>
      <c r="N75" s="224">
        <v>60</v>
      </c>
      <c r="O75" s="228">
        <f>ROUND(Tableau14[[#This Row],[Prix_Unit_HT]],2)*Tableau14[[#This Row],[Qte_commande]]</f>
        <v>751.8</v>
      </c>
      <c r="P75" s="228">
        <f>ROUND(Tableau14[[#This Row],[Prix_Unit_TTC]],2)*Tableau14[[#This Row],[Qte_commande]]</f>
        <v>902.4</v>
      </c>
      <c r="Q75" s="224">
        <v>60</v>
      </c>
      <c r="R75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60.000000000000007</v>
      </c>
      <c r="U75" s="224"/>
      <c r="V75" s="224"/>
    </row>
    <row r="76" spans="1:22" ht="12.75" x14ac:dyDescent="0.2">
      <c r="A76" s="225">
        <v>42475</v>
      </c>
      <c r="B76" s="224" t="s">
        <v>562</v>
      </c>
      <c r="C76" s="224" t="s">
        <v>194</v>
      </c>
      <c r="D76" s="224" t="s">
        <v>195</v>
      </c>
      <c r="E76" s="226"/>
      <c r="G76" s="224" t="s">
        <v>1</v>
      </c>
      <c r="H76" s="224" t="s">
        <v>289</v>
      </c>
      <c r="I76" s="224" t="s">
        <v>15</v>
      </c>
      <c r="J76" s="224">
        <v>100</v>
      </c>
      <c r="K76" s="227">
        <f t="array" ref="K76">IFERROR(INDEX([1]Grille_Tarifs_Modulable!$B$2:$B$204,MATCH(Tableau14[[#This Row],[Designation]]&amp;Tableau14[[#This Row],[CL]],[1]Grille_Tarifs_Modulable!$C$2:$C$204&amp;[1]Grille_Tarifs_Modulable!$F$2:$F$204,0)),0)</f>
        <v>4067700013842</v>
      </c>
      <c r="L76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17.100804999999998</v>
      </c>
      <c r="M76" s="228">
        <f>IF(Tableau14[[#This Row],[Prix_Unit_HT]]=0,0,Tableau14[[#This Row],[Prix_Unit_HT]]+(Tableau14[[#This Row],[Prix_Unit_HT]]*VLOOKUP(Tableau14[[#This Row],[EAN]],[1]Grille_Tarifs_Modulable!$B$10:$Q$204,16,FALSE)))</f>
        <v>20.520965999999998</v>
      </c>
      <c r="N76" s="224">
        <v>180</v>
      </c>
      <c r="O76" s="228">
        <f>ROUND(Tableau14[[#This Row],[Prix_Unit_HT]],2)*Tableau14[[#This Row],[Qte_commande]]</f>
        <v>3078.0000000000005</v>
      </c>
      <c r="P76" s="228">
        <f>ROUND(Tableau14[[#This Row],[Prix_Unit_TTC]],2)*Tableau14[[#This Row],[Qte_commande]]</f>
        <v>3693.6</v>
      </c>
      <c r="Q76" s="224">
        <v>257.14</v>
      </c>
      <c r="R76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257.14285714285717</v>
      </c>
      <c r="U76" s="224"/>
      <c r="V76" s="224"/>
    </row>
    <row r="77" spans="1:22" ht="12.75" x14ac:dyDescent="0.2">
      <c r="A77" s="225">
        <v>42479</v>
      </c>
      <c r="B77" s="224" t="s">
        <v>973</v>
      </c>
      <c r="C77" s="224" t="s">
        <v>164</v>
      </c>
      <c r="D77" s="224" t="s">
        <v>233</v>
      </c>
      <c r="E77" s="226"/>
      <c r="G77" s="224" t="s">
        <v>13</v>
      </c>
      <c r="H77" s="224" t="s">
        <v>451</v>
      </c>
      <c r="I77" s="224" t="s">
        <v>69</v>
      </c>
      <c r="J77" s="227">
        <v>3</v>
      </c>
      <c r="K77" s="227">
        <f t="array" ref="K77">IFERROR(INDEX([1]Grille_Tarifs_Modulable!$B$2:$B$204,MATCH(Tableau14[[#This Row],[Designation]]&amp;Tableau14[[#This Row],[CL]],[1]Grille_Tarifs_Modulable!$C$2:$C$204&amp;[1]Grille_Tarifs_Modulable!$F$2:$F$204,0)),0)</f>
        <v>121</v>
      </c>
      <c r="L77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299</v>
      </c>
      <c r="M77" s="228">
        <f>IF(Tableau14[[#This Row],[Prix_Unit_HT]]=0,0,Tableau14[[#This Row],[Prix_Unit_HT]]+(Tableau14[[#This Row],[Prix_Unit_HT]]*VLOOKUP(Tableau14[[#This Row],[EAN]],[1]Grille_Tarifs_Modulable!$B$10:$Q$204,16,FALSE)))</f>
        <v>358.8</v>
      </c>
      <c r="N77" s="224">
        <v>1</v>
      </c>
      <c r="O77" s="228">
        <f>ROUND(Tableau14[[#This Row],[Prix_Unit_HT]],2)*Tableau14[[#This Row],[Qte_commande]]</f>
        <v>299</v>
      </c>
      <c r="P77" s="228">
        <f>ROUND(Tableau14[[#This Row],[Prix_Unit_TTC]],2)*Tableau14[[#This Row],[Qte_commande]]</f>
        <v>358.8</v>
      </c>
      <c r="Q77" s="224">
        <v>1</v>
      </c>
      <c r="R77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</v>
      </c>
      <c r="U77" s="224"/>
      <c r="V77" s="224"/>
    </row>
    <row r="78" spans="1:22" ht="12.75" x14ac:dyDescent="0.2">
      <c r="A78" s="225">
        <v>42479</v>
      </c>
      <c r="B78" s="224" t="s">
        <v>974</v>
      </c>
      <c r="C78" s="224" t="s">
        <v>165</v>
      </c>
      <c r="D78" s="224" t="s">
        <v>330</v>
      </c>
      <c r="E78" s="226"/>
      <c r="G78" s="224" t="s">
        <v>13</v>
      </c>
      <c r="H78" s="224" t="s">
        <v>451</v>
      </c>
      <c r="I78" s="224" t="s">
        <v>69</v>
      </c>
      <c r="J78" s="227">
        <v>3</v>
      </c>
      <c r="K78" s="227">
        <f t="array" ref="K78">IFERROR(INDEX([1]Grille_Tarifs_Modulable!$B$2:$B$204,MATCH(Tableau14[[#This Row],[Designation]]&amp;Tableau14[[#This Row],[CL]],[1]Grille_Tarifs_Modulable!$C$2:$C$204&amp;[1]Grille_Tarifs_Modulable!$F$2:$F$204,0)),0)</f>
        <v>121</v>
      </c>
      <c r="L78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299</v>
      </c>
      <c r="M78" s="228">
        <f>IF(Tableau14[[#This Row],[Prix_Unit_HT]]=0,0,Tableau14[[#This Row],[Prix_Unit_HT]]+(Tableau14[[#This Row],[Prix_Unit_HT]]*VLOOKUP(Tableau14[[#This Row],[EAN]],[1]Grille_Tarifs_Modulable!$B$10:$Q$204,16,FALSE)))</f>
        <v>358.8</v>
      </c>
      <c r="N78" s="224">
        <v>1</v>
      </c>
      <c r="O78" s="228">
        <f>ROUND(Tableau14[[#This Row],[Prix_Unit_HT]],2)*Tableau14[[#This Row],[Qte_commande]]</f>
        <v>299</v>
      </c>
      <c r="P78" s="228">
        <f>ROUND(Tableau14[[#This Row],[Prix_Unit_TTC]],2)*Tableau14[[#This Row],[Qte_commande]]</f>
        <v>358.8</v>
      </c>
      <c r="Q78" s="224">
        <v>1</v>
      </c>
      <c r="R78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</v>
      </c>
      <c r="U78" s="224"/>
      <c r="V78" s="224"/>
    </row>
    <row r="79" spans="1:22" ht="12.75" x14ac:dyDescent="0.2">
      <c r="A79" s="225">
        <v>42479</v>
      </c>
      <c r="B79" s="224" t="s">
        <v>975</v>
      </c>
      <c r="C79" s="224" t="s">
        <v>166</v>
      </c>
      <c r="D79" s="224" t="s">
        <v>976</v>
      </c>
      <c r="E79" s="226"/>
      <c r="G79" s="224" t="s">
        <v>13</v>
      </c>
      <c r="H79" s="224" t="s">
        <v>451</v>
      </c>
      <c r="I79" s="224" t="s">
        <v>69</v>
      </c>
      <c r="J79" s="227">
        <v>3</v>
      </c>
      <c r="K79" s="227">
        <f t="array" ref="K79">IFERROR(INDEX([1]Grille_Tarifs_Modulable!$B$2:$B$204,MATCH(Tableau14[[#This Row],[Designation]]&amp;Tableau14[[#This Row],[CL]],[1]Grille_Tarifs_Modulable!$C$2:$C$204&amp;[1]Grille_Tarifs_Modulable!$F$2:$F$204,0)),0)</f>
        <v>121</v>
      </c>
      <c r="L79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299</v>
      </c>
      <c r="M79" s="228">
        <f>IF(Tableau14[[#This Row],[Prix_Unit_HT]]=0,0,Tableau14[[#This Row],[Prix_Unit_HT]]+(Tableau14[[#This Row],[Prix_Unit_HT]]*VLOOKUP(Tableau14[[#This Row],[EAN]],[1]Grille_Tarifs_Modulable!$B$10:$Q$204,16,FALSE)))</f>
        <v>358.8</v>
      </c>
      <c r="N79" s="224">
        <v>1</v>
      </c>
      <c r="O79" s="228">
        <f>ROUND(Tableau14[[#This Row],[Prix_Unit_HT]],2)*Tableau14[[#This Row],[Qte_commande]]</f>
        <v>299</v>
      </c>
      <c r="P79" s="228">
        <f>ROUND(Tableau14[[#This Row],[Prix_Unit_TTC]],2)*Tableau14[[#This Row],[Qte_commande]]</f>
        <v>358.8</v>
      </c>
      <c r="Q79" s="224">
        <v>1</v>
      </c>
      <c r="R79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</v>
      </c>
      <c r="U79" s="224"/>
      <c r="V79" s="224"/>
    </row>
    <row r="80" spans="1:22" ht="12.75" x14ac:dyDescent="0.2">
      <c r="A80" s="225">
        <v>42492</v>
      </c>
      <c r="B80" s="224" t="s">
        <v>298</v>
      </c>
      <c r="C80" s="224" t="s">
        <v>299</v>
      </c>
      <c r="D80" s="224" t="s">
        <v>233</v>
      </c>
      <c r="E80" s="226"/>
      <c r="F80" s="224" t="s">
        <v>260</v>
      </c>
      <c r="G80" s="224" t="s">
        <v>13</v>
      </c>
      <c r="H80" s="224" t="s">
        <v>289</v>
      </c>
      <c r="I80" s="224" t="s">
        <v>22</v>
      </c>
      <c r="J80" s="224">
        <v>70</v>
      </c>
      <c r="K80" s="227">
        <f t="array" ref="K80">IFERROR(INDEX([1]Grille_Tarifs_Modulable!$B$2:$B$204,MATCH(Tableau14[[#This Row],[Designation]]&amp;Tableau14[[#This Row],[CL]],[1]Grille_Tarifs_Modulable!$C$2:$C$204&amp;[1]Grille_Tarifs_Modulable!$F$2:$F$204,0)),0)</f>
        <v>4055800060200</v>
      </c>
      <c r="L80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18.588644000000002</v>
      </c>
      <c r="M80" s="228">
        <f>IF(Tableau14[[#This Row],[Prix_Unit_HT]]=0,0,Tableau14[[#This Row],[Prix_Unit_HT]]+(Tableau14[[#This Row],[Prix_Unit_HT]]*VLOOKUP(Tableau14[[#This Row],[EAN]],[1]Grille_Tarifs_Modulable!$B$10:$Q$204,16,FALSE)))</f>
        <v>22.306372800000002</v>
      </c>
      <c r="N80" s="224">
        <v>6</v>
      </c>
      <c r="O80" s="228">
        <f>ROUND(Tableau14[[#This Row],[Prix_Unit_HT]],2)*Tableau14[[#This Row],[Qte_commande]]</f>
        <v>111.53999999999999</v>
      </c>
      <c r="P80" s="228">
        <f>ROUND(Tableau14[[#This Row],[Prix_Unit_TTC]],2)*Tableau14[[#This Row],[Qte_commande]]</f>
        <v>133.85999999999999</v>
      </c>
      <c r="Q80" s="224">
        <v>6</v>
      </c>
      <c r="R80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6.0000000000000009</v>
      </c>
      <c r="U80" s="224"/>
      <c r="V80" s="224"/>
    </row>
    <row r="81" spans="1:22" ht="12.75" x14ac:dyDescent="0.2">
      <c r="A81" s="225">
        <v>42492</v>
      </c>
      <c r="B81" s="224" t="s">
        <v>563</v>
      </c>
      <c r="C81" s="224" t="s">
        <v>545</v>
      </c>
      <c r="D81" s="224" t="s">
        <v>546</v>
      </c>
      <c r="E81" s="226"/>
      <c r="F81" s="224" t="s">
        <v>547</v>
      </c>
      <c r="G81" s="224" t="s">
        <v>13</v>
      </c>
      <c r="H81" s="224" t="s">
        <v>289</v>
      </c>
      <c r="I81" s="224" t="s">
        <v>15</v>
      </c>
      <c r="J81" s="224">
        <v>175</v>
      </c>
      <c r="K81" s="227">
        <f t="array" ref="K81">IFERROR(INDEX([1]Grille_Tarifs_Modulable!$B$2:$B$204,MATCH(Tableau14[[#This Row],[Designation]]&amp;Tableau14[[#This Row],[CL]],[1]Grille_Tarifs_Modulable!$C$2:$C$204&amp;[1]Grille_Tarifs_Modulable!$F$2:$F$204,0)),0)</f>
        <v>4067700013835</v>
      </c>
      <c r="L81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32.266408749999997</v>
      </c>
      <c r="M81" s="228">
        <f>IF(Tableau14[[#This Row],[Prix_Unit_HT]]=0,0,Tableau14[[#This Row],[Prix_Unit_HT]]+(Tableau14[[#This Row],[Prix_Unit_HT]]*VLOOKUP(Tableau14[[#This Row],[EAN]],[1]Grille_Tarifs_Modulable!$B$10:$Q$204,16,FALSE)))</f>
        <v>38.719690499999999</v>
      </c>
      <c r="N81" s="224">
        <v>36</v>
      </c>
      <c r="O81" s="228">
        <f>ROUND(Tableau14[[#This Row],[Prix_Unit_HT]],2)*Tableau14[[#This Row],[Qte_commande]]</f>
        <v>1161.72</v>
      </c>
      <c r="P81" s="228">
        <f>ROUND(Tableau14[[#This Row],[Prix_Unit_TTC]],2)*Tableau14[[#This Row],[Qte_commande]]</f>
        <v>1393.92</v>
      </c>
      <c r="Q81" s="224">
        <v>90</v>
      </c>
      <c r="R81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90</v>
      </c>
      <c r="U81" s="224"/>
      <c r="V81" s="224"/>
    </row>
    <row r="82" spans="1:22" ht="12.75" x14ac:dyDescent="0.2">
      <c r="A82" s="225">
        <v>42492</v>
      </c>
      <c r="B82" s="224" t="s">
        <v>298</v>
      </c>
      <c r="C82" s="224" t="s">
        <v>299</v>
      </c>
      <c r="D82" s="224" t="s">
        <v>233</v>
      </c>
      <c r="E82" s="226"/>
      <c r="F82" s="224" t="s">
        <v>260</v>
      </c>
      <c r="G82" s="224" t="s">
        <v>13</v>
      </c>
      <c r="H82" s="224" t="s">
        <v>196</v>
      </c>
      <c r="I82" s="224" t="s">
        <v>66</v>
      </c>
      <c r="J82" s="224">
        <v>50</v>
      </c>
      <c r="K82" s="227">
        <f t="array" ref="K82">IFERROR(INDEX([1]Grille_Tarifs_Modulable!$B$2:$B$204,MATCH(Tableau14[[#This Row],[Designation]]&amp;Tableau14[[#This Row],[CL]],[1]Grille_Tarifs_Modulable!$C$2:$C$204&amp;[1]Grille_Tarifs_Modulable!$F$2:$F$204,0)),0)</f>
        <v>4260310553382</v>
      </c>
      <c r="L82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1.1000000000000001</v>
      </c>
      <c r="M82" s="228">
        <f>IF(Tableau14[[#This Row],[Prix_Unit_HT]]=0,0,Tableau14[[#This Row],[Prix_Unit_HT]]+(Tableau14[[#This Row],[Prix_Unit_HT]]*VLOOKUP(Tableau14[[#This Row],[EAN]],[1]Grille_Tarifs_Modulable!$B$10:$Q$204,16,FALSE)))</f>
        <v>1.1605000000000001</v>
      </c>
      <c r="N82" s="224">
        <v>40</v>
      </c>
      <c r="O82" s="228">
        <f>ROUND(Tableau14[[#This Row],[Prix_Unit_HT]],2)*Tableau14[[#This Row],[Qte_commande]]</f>
        <v>44</v>
      </c>
      <c r="P82" s="228">
        <f>ROUND(Tableau14[[#This Row],[Prix_Unit_TTC]],2)*Tableau14[[#This Row],[Qte_commande]]</f>
        <v>46.4</v>
      </c>
      <c r="Q82" s="224">
        <v>28.57</v>
      </c>
      <c r="R82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28.571428571428573</v>
      </c>
      <c r="U82" s="224"/>
      <c r="V82" s="224"/>
    </row>
    <row r="83" spans="1:22" ht="12.75" x14ac:dyDescent="0.2">
      <c r="A83" s="225">
        <v>42492</v>
      </c>
      <c r="B83" s="224" t="s">
        <v>298</v>
      </c>
      <c r="C83" s="224" t="s">
        <v>299</v>
      </c>
      <c r="D83" s="224" t="s">
        <v>233</v>
      </c>
      <c r="E83" s="226"/>
      <c r="F83" s="224" t="s">
        <v>260</v>
      </c>
      <c r="G83" s="224" t="s">
        <v>13</v>
      </c>
      <c r="H83" s="224" t="s">
        <v>289</v>
      </c>
      <c r="I83" s="224" t="s">
        <v>30</v>
      </c>
      <c r="J83" s="224">
        <v>70</v>
      </c>
      <c r="K83" s="227">
        <f t="array" ref="K83">IFERROR(INDEX([1]Grille_Tarifs_Modulable!$B$2:$B$204,MATCH(Tableau14[[#This Row],[Designation]]&amp;Tableau14[[#This Row],[CL]],[1]Grille_Tarifs_Modulable!$C$2:$C$204&amp;[1]Grille_Tarifs_Modulable!$F$2:$F$204,0)),0)</f>
        <v>3257150101904</v>
      </c>
      <c r="L83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18.506483000000003</v>
      </c>
      <c r="M83" s="228">
        <f>IF(Tableau14[[#This Row],[Prix_Unit_HT]]=0,0,Tableau14[[#This Row],[Prix_Unit_HT]]+(Tableau14[[#This Row],[Prix_Unit_HT]]*VLOOKUP(Tableau14[[#This Row],[EAN]],[1]Grille_Tarifs_Modulable!$B$10:$Q$204,16,FALSE)))</f>
        <v>22.207779600000002</v>
      </c>
      <c r="N83" s="224">
        <v>6</v>
      </c>
      <c r="O83" s="228">
        <f>ROUND(Tableau14[[#This Row],[Prix_Unit_HT]],2)*Tableau14[[#This Row],[Qte_commande]]</f>
        <v>111.06</v>
      </c>
      <c r="P83" s="228">
        <f>ROUND(Tableau14[[#This Row],[Prix_Unit_TTC]],2)*Tableau14[[#This Row],[Qte_commande]]</f>
        <v>133.26</v>
      </c>
      <c r="Q83" s="224">
        <v>6</v>
      </c>
      <c r="R83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6.0000000000000009</v>
      </c>
      <c r="U83" s="224"/>
      <c r="V83" s="224"/>
    </row>
    <row r="84" spans="1:22" ht="12.75" x14ac:dyDescent="0.2">
      <c r="A84" s="225">
        <v>42492</v>
      </c>
      <c r="B84" s="224" t="s">
        <v>298</v>
      </c>
      <c r="C84" s="224" t="s">
        <v>299</v>
      </c>
      <c r="D84" s="224" t="s">
        <v>233</v>
      </c>
      <c r="E84" s="226"/>
      <c r="F84" s="224" t="s">
        <v>260</v>
      </c>
      <c r="G84" s="224" t="s">
        <v>13</v>
      </c>
      <c r="H84" s="224" t="s">
        <v>289</v>
      </c>
      <c r="I84" s="224" t="s">
        <v>34</v>
      </c>
      <c r="J84" s="224">
        <v>70</v>
      </c>
      <c r="K84" s="227">
        <f t="array" ref="K84">IFERROR(INDEX([1]Grille_Tarifs_Modulable!$B$2:$B$204,MATCH(Tableau14[[#This Row],[Designation]]&amp;Tableau14[[#This Row],[CL]],[1]Grille_Tarifs_Modulable!$C$2:$C$204&amp;[1]Grille_Tarifs_Modulable!$F$2:$F$204,0)),0)</f>
        <v>3257150100167</v>
      </c>
      <c r="L84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29.948644000000002</v>
      </c>
      <c r="M84" s="228">
        <f>IF(Tableau14[[#This Row],[Prix_Unit_HT]]=0,0,Tableau14[[#This Row],[Prix_Unit_HT]]+(Tableau14[[#This Row],[Prix_Unit_HT]]*VLOOKUP(Tableau14[[#This Row],[EAN]],[1]Grille_Tarifs_Modulable!$B$10:$Q$204,16,FALSE)))</f>
        <v>35.938372800000003</v>
      </c>
      <c r="N84" s="224">
        <v>6</v>
      </c>
      <c r="O84" s="228">
        <f>ROUND(Tableau14[[#This Row],[Prix_Unit_HT]],2)*Tableau14[[#This Row],[Qte_commande]]</f>
        <v>179.7</v>
      </c>
      <c r="P84" s="228">
        <f>ROUND(Tableau14[[#This Row],[Prix_Unit_TTC]],2)*Tableau14[[#This Row],[Qte_commande]]</f>
        <v>215.64</v>
      </c>
      <c r="Q84" s="224">
        <v>6</v>
      </c>
      <c r="R84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6.0000000000000009</v>
      </c>
      <c r="U84" s="224"/>
      <c r="V84" s="224"/>
    </row>
    <row r="85" spans="1:22" ht="12.75" x14ac:dyDescent="0.2">
      <c r="A85" s="225">
        <v>42492</v>
      </c>
      <c r="B85" s="224" t="s">
        <v>298</v>
      </c>
      <c r="C85" s="224" t="s">
        <v>299</v>
      </c>
      <c r="D85" s="224" t="s">
        <v>233</v>
      </c>
      <c r="E85" s="226"/>
      <c r="F85" s="224" t="s">
        <v>260</v>
      </c>
      <c r="G85" s="224" t="s">
        <v>13</v>
      </c>
      <c r="H85" s="224" t="s">
        <v>289</v>
      </c>
      <c r="I85" s="224" t="s">
        <v>31</v>
      </c>
      <c r="J85" s="224">
        <v>70</v>
      </c>
      <c r="K85" s="227">
        <f t="array" ref="K85">IFERROR(INDEX([1]Grille_Tarifs_Modulable!$B$2:$B$204,MATCH(Tableau14[[#This Row],[Designation]]&amp;Tableau14[[#This Row],[CL]],[1]Grille_Tarifs_Modulable!$C$2:$C$204&amp;[1]Grille_Tarifs_Modulable!$F$2:$F$204,0)),0)</f>
        <v>3257150102017</v>
      </c>
      <c r="L85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16.854322</v>
      </c>
      <c r="M85" s="228">
        <f>IF(Tableau14[[#This Row],[Prix_Unit_HT]]=0,0,Tableau14[[#This Row],[Prix_Unit_HT]]+(Tableau14[[#This Row],[Prix_Unit_HT]]*VLOOKUP(Tableau14[[#This Row],[EAN]],[1]Grille_Tarifs_Modulable!$B$10:$Q$204,16,FALSE)))</f>
        <v>20.225186399999998</v>
      </c>
      <c r="N85" s="224">
        <v>6</v>
      </c>
      <c r="O85" s="228">
        <f>ROUND(Tableau14[[#This Row],[Prix_Unit_HT]],2)*Tableau14[[#This Row],[Qte_commande]]</f>
        <v>101.10000000000001</v>
      </c>
      <c r="P85" s="228">
        <f>ROUND(Tableau14[[#This Row],[Prix_Unit_TTC]],2)*Tableau14[[#This Row],[Qte_commande]]</f>
        <v>121.38</v>
      </c>
      <c r="Q85" s="224">
        <v>6</v>
      </c>
      <c r="R85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6.0000000000000009</v>
      </c>
      <c r="U85" s="224"/>
      <c r="V85" s="224"/>
    </row>
    <row r="86" spans="1:22" ht="12.75" x14ac:dyDescent="0.2">
      <c r="A86" s="225">
        <v>42492</v>
      </c>
      <c r="B86" s="224" t="s">
        <v>298</v>
      </c>
      <c r="C86" s="224" t="s">
        <v>299</v>
      </c>
      <c r="D86" s="224" t="s">
        <v>233</v>
      </c>
      <c r="E86" s="226"/>
      <c r="F86" s="224" t="s">
        <v>260</v>
      </c>
      <c r="G86" s="224" t="s">
        <v>13</v>
      </c>
      <c r="H86" s="224" t="s">
        <v>289</v>
      </c>
      <c r="I86" s="224" t="s">
        <v>25</v>
      </c>
      <c r="J86" s="224">
        <v>70</v>
      </c>
      <c r="K86" s="227">
        <f t="array" ref="K86">IFERROR(INDEX([1]Grille_Tarifs_Modulable!$B$2:$B$204,MATCH(Tableau14[[#This Row],[Designation]]&amp;Tableau14[[#This Row],[CL]],[1]Grille_Tarifs_Modulable!$C$2:$C$204&amp;[1]Grille_Tarifs_Modulable!$F$2:$F$204,0)),0)</f>
        <v>8500000917015</v>
      </c>
      <c r="L86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12.7382118</v>
      </c>
      <c r="M86" s="228">
        <f>IF(Tableau14[[#This Row],[Prix_Unit_HT]]=0,0,Tableau14[[#This Row],[Prix_Unit_HT]]+(Tableau14[[#This Row],[Prix_Unit_HT]]*VLOOKUP(Tableau14[[#This Row],[EAN]],[1]Grille_Tarifs_Modulable!$B$10:$Q$204,16,FALSE)))</f>
        <v>15.28585416</v>
      </c>
      <c r="N86" s="224">
        <v>6</v>
      </c>
      <c r="O86" s="228">
        <f>ROUND(Tableau14[[#This Row],[Prix_Unit_HT]],2)*Tableau14[[#This Row],[Qte_commande]]</f>
        <v>76.44</v>
      </c>
      <c r="P86" s="228">
        <f>ROUND(Tableau14[[#This Row],[Prix_Unit_TTC]],2)*Tableau14[[#This Row],[Qte_commande]]</f>
        <v>91.74</v>
      </c>
      <c r="Q86" s="224">
        <v>6</v>
      </c>
      <c r="R86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6.0000000000000009</v>
      </c>
      <c r="U86" s="224"/>
      <c r="V86" s="224"/>
    </row>
    <row r="87" spans="1:22" ht="12.75" x14ac:dyDescent="0.2">
      <c r="A87" s="225">
        <v>42492</v>
      </c>
      <c r="B87" s="224" t="s">
        <v>298</v>
      </c>
      <c r="C87" s="224" t="s">
        <v>299</v>
      </c>
      <c r="D87" s="224" t="s">
        <v>233</v>
      </c>
      <c r="E87" s="226"/>
      <c r="F87" s="224" t="s">
        <v>260</v>
      </c>
      <c r="G87" s="224" t="s">
        <v>13</v>
      </c>
      <c r="H87" s="224" t="s">
        <v>289</v>
      </c>
      <c r="I87" s="224" t="s">
        <v>24</v>
      </c>
      <c r="J87" s="224">
        <v>70</v>
      </c>
      <c r="K87" s="227">
        <f t="array" ref="K87">IFERROR(INDEX([1]Grille_Tarifs_Modulable!$B$2:$B$204,MATCH(Tableau14[[#This Row],[Designation]]&amp;Tableau14[[#This Row],[CL]],[1]Grille_Tarifs_Modulable!$C$2:$C$204&amp;[1]Grille_Tarifs_Modulable!$F$2:$F$204,0)),0)</f>
        <v>8500000917008</v>
      </c>
      <c r="L87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11.528211800000001</v>
      </c>
      <c r="M87" s="228">
        <f>IF(Tableau14[[#This Row],[Prix_Unit_HT]]=0,0,Tableau14[[#This Row],[Prix_Unit_HT]]+(Tableau14[[#This Row],[Prix_Unit_HT]]*VLOOKUP(Tableau14[[#This Row],[EAN]],[1]Grille_Tarifs_Modulable!$B$10:$Q$204,16,FALSE)))</f>
        <v>13.833854160000001</v>
      </c>
      <c r="N87" s="224">
        <v>6</v>
      </c>
      <c r="O87" s="228">
        <f>ROUND(Tableau14[[#This Row],[Prix_Unit_HT]],2)*Tableau14[[#This Row],[Qte_commande]]</f>
        <v>69.179999999999993</v>
      </c>
      <c r="P87" s="228">
        <f>ROUND(Tableau14[[#This Row],[Prix_Unit_TTC]],2)*Tableau14[[#This Row],[Qte_commande]]</f>
        <v>82.98</v>
      </c>
      <c r="Q87" s="224">
        <v>6</v>
      </c>
      <c r="R87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6.0000000000000009</v>
      </c>
      <c r="U87" s="224"/>
      <c r="V87" s="224"/>
    </row>
    <row r="88" spans="1:22" ht="12.75" x14ac:dyDescent="0.2">
      <c r="A88" s="225">
        <v>42492</v>
      </c>
      <c r="B88" s="224" t="s">
        <v>298</v>
      </c>
      <c r="C88" s="224" t="s">
        <v>299</v>
      </c>
      <c r="D88" s="224" t="s">
        <v>233</v>
      </c>
      <c r="E88" s="226"/>
      <c r="F88" s="224" t="s">
        <v>260</v>
      </c>
      <c r="G88" s="224" t="s">
        <v>13</v>
      </c>
      <c r="H88" s="224" t="s">
        <v>289</v>
      </c>
      <c r="I88" s="224" t="s">
        <v>42</v>
      </c>
      <c r="J88" s="224">
        <v>70</v>
      </c>
      <c r="K88" s="227">
        <f t="array" ref="K88">IFERROR(INDEX([1]Grille_Tarifs_Modulable!$B$2:$B$204,MATCH(Tableau14[[#This Row],[Designation]]&amp;Tableau14[[#This Row],[CL]],[1]Grille_Tarifs_Modulable!$C$2:$C$204&amp;[1]Grille_Tarifs_Modulable!$F$2:$F$204,0)),0)</f>
        <v>3257150688009</v>
      </c>
      <c r="L88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14.5169152</v>
      </c>
      <c r="M88" s="228">
        <f>IF(Tableau14[[#This Row],[Prix_Unit_HT]]=0,0,Tableau14[[#This Row],[Prix_Unit_HT]]+(Tableau14[[#This Row],[Prix_Unit_HT]]*VLOOKUP(Tableau14[[#This Row],[EAN]],[1]Grille_Tarifs_Modulable!$B$10:$Q$204,16,FALSE)))</f>
        <v>17.420298240000001</v>
      </c>
      <c r="N88" s="224">
        <v>12</v>
      </c>
      <c r="O88" s="228">
        <f>ROUND(Tableau14[[#This Row],[Prix_Unit_HT]],2)*Tableau14[[#This Row],[Qte_commande]]</f>
        <v>174.24</v>
      </c>
      <c r="P88" s="228">
        <f>ROUND(Tableau14[[#This Row],[Prix_Unit_TTC]],2)*Tableau14[[#This Row],[Qte_commande]]</f>
        <v>209.04000000000002</v>
      </c>
      <c r="Q88" s="224">
        <v>12</v>
      </c>
      <c r="R88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12.000000000000002</v>
      </c>
      <c r="U88" s="224"/>
      <c r="V88" s="224"/>
    </row>
    <row r="89" spans="1:22" ht="12.75" x14ac:dyDescent="0.2">
      <c r="A89" s="225">
        <v>42492</v>
      </c>
      <c r="B89" s="224" t="s">
        <v>298</v>
      </c>
      <c r="C89" s="224" t="s">
        <v>299</v>
      </c>
      <c r="D89" s="224" t="s">
        <v>233</v>
      </c>
      <c r="E89" s="226"/>
      <c r="F89" s="224" t="s">
        <v>260</v>
      </c>
      <c r="G89" s="224" t="s">
        <v>13</v>
      </c>
      <c r="H89" s="224" t="s">
        <v>289</v>
      </c>
      <c r="I89" s="224" t="s">
        <v>1355</v>
      </c>
      <c r="J89" s="224">
        <v>70</v>
      </c>
      <c r="K89" s="227">
        <f t="array" ref="K89">IFERROR(INDEX([1]Grille_Tarifs_Modulable!$B$2:$B$204,MATCH(Tableau14[[#This Row],[Designation]]&amp;Tableau14[[#This Row],[CL]],[1]Grille_Tarifs_Modulable!$C$2:$C$204&amp;[1]Grille_Tarifs_Modulable!$F$2:$F$204,0)),0)</f>
        <v>0</v>
      </c>
      <c r="L89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</v>
      </c>
      <c r="M89" s="228">
        <f>IF(Tableau14[[#This Row],[Prix_Unit_HT]]=0,0,Tableau14[[#This Row],[Prix_Unit_HT]]+(Tableau14[[#This Row],[Prix_Unit_HT]]*VLOOKUP(Tableau14[[#This Row],[EAN]],[1]Grille_Tarifs_Modulable!$B$10:$Q$204,16,FALSE)))</f>
        <v>0</v>
      </c>
      <c r="N89" s="224">
        <v>12</v>
      </c>
      <c r="O89" s="228">
        <f>ROUND(Tableau14[[#This Row],[Prix_Unit_HT]],2)*Tableau14[[#This Row],[Qte_commande]]</f>
        <v>0</v>
      </c>
      <c r="P89" s="228">
        <f>ROUND(Tableau14[[#This Row],[Prix_Unit_TTC]],2)*Tableau14[[#This Row],[Qte_commande]]</f>
        <v>0</v>
      </c>
      <c r="Q89" s="224">
        <v>12</v>
      </c>
      <c r="R89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12.000000000000002</v>
      </c>
      <c r="U89" s="224"/>
      <c r="V89" s="224"/>
    </row>
    <row r="90" spans="1:22" ht="12.75" x14ac:dyDescent="0.2">
      <c r="A90" s="225">
        <v>42493</v>
      </c>
      <c r="B90" s="224" t="s">
        <v>564</v>
      </c>
      <c r="C90" s="224" t="s">
        <v>308</v>
      </c>
      <c r="D90" s="224" t="s">
        <v>309</v>
      </c>
      <c r="E90" s="226"/>
      <c r="G90" s="224" t="s">
        <v>1</v>
      </c>
      <c r="H90" s="224" t="s">
        <v>289</v>
      </c>
      <c r="I90" s="224" t="s">
        <v>15</v>
      </c>
      <c r="J90" s="224">
        <v>100</v>
      </c>
      <c r="K90" s="227">
        <f t="array" ref="K90">IFERROR(INDEX([1]Grille_Tarifs_Modulable!$B$2:$B$204,MATCH(Tableau14[[#This Row],[Designation]]&amp;Tableau14[[#This Row],[CL]],[1]Grille_Tarifs_Modulable!$C$2:$C$204&amp;[1]Grille_Tarifs_Modulable!$F$2:$F$204,0)),0)</f>
        <v>4067700013842</v>
      </c>
      <c r="L90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17.100804999999998</v>
      </c>
      <c r="M90" s="228">
        <f>IF(Tableau14[[#This Row],[Prix_Unit_HT]]=0,0,Tableau14[[#This Row],[Prix_Unit_HT]]+(Tableau14[[#This Row],[Prix_Unit_HT]]*VLOOKUP(Tableau14[[#This Row],[EAN]],[1]Grille_Tarifs_Modulable!$B$10:$Q$204,16,FALSE)))</f>
        <v>20.520965999999998</v>
      </c>
      <c r="N90" s="224">
        <v>150</v>
      </c>
      <c r="O90" s="228">
        <f>ROUND(Tableau14[[#This Row],[Prix_Unit_HT]],2)*Tableau14[[#This Row],[Qte_commande]]</f>
        <v>2565</v>
      </c>
      <c r="P90" s="228">
        <f>ROUND(Tableau14[[#This Row],[Prix_Unit_TTC]],2)*Tableau14[[#This Row],[Qte_commande]]</f>
        <v>3078</v>
      </c>
      <c r="Q90" s="224">
        <v>214.29</v>
      </c>
      <c r="R90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214.28571428571431</v>
      </c>
      <c r="U90" s="224"/>
      <c r="V90" s="224"/>
    </row>
    <row r="91" spans="1:22" ht="12.75" x14ac:dyDescent="0.2">
      <c r="A91" s="225">
        <v>42493</v>
      </c>
      <c r="B91" s="224" t="s">
        <v>564</v>
      </c>
      <c r="C91" s="224" t="s">
        <v>308</v>
      </c>
      <c r="D91" s="224" t="s">
        <v>309</v>
      </c>
      <c r="E91" s="226"/>
      <c r="G91" s="224" t="s">
        <v>1</v>
      </c>
      <c r="H91" s="224" t="s">
        <v>289</v>
      </c>
      <c r="I91" s="224" t="s">
        <v>30</v>
      </c>
      <c r="J91" s="224">
        <v>70</v>
      </c>
      <c r="K91" s="227">
        <f t="array" ref="K91">IFERROR(INDEX([1]Grille_Tarifs_Modulable!$B$2:$B$204,MATCH(Tableau14[[#This Row],[Designation]]&amp;Tableau14[[#This Row],[CL]],[1]Grille_Tarifs_Modulable!$C$2:$C$204&amp;[1]Grille_Tarifs_Modulable!$F$2:$F$204,0)),0)</f>
        <v>3257150101904</v>
      </c>
      <c r="L91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16.346482999999999</v>
      </c>
      <c r="M91" s="228">
        <f>IF(Tableau14[[#This Row],[Prix_Unit_HT]]=0,0,Tableau14[[#This Row],[Prix_Unit_HT]]+(Tableau14[[#This Row],[Prix_Unit_HT]]*VLOOKUP(Tableau14[[#This Row],[EAN]],[1]Grille_Tarifs_Modulable!$B$10:$Q$204,16,FALSE)))</f>
        <v>19.6157796</v>
      </c>
      <c r="N91" s="224">
        <v>1</v>
      </c>
      <c r="O91" s="228">
        <f>ROUND(Tableau14[[#This Row],[Prix_Unit_HT]],2)*Tableau14[[#This Row],[Qte_commande]]</f>
        <v>16.350000000000001</v>
      </c>
      <c r="P91" s="228">
        <f>ROUND(Tableau14[[#This Row],[Prix_Unit_TTC]],2)*Tableau14[[#This Row],[Qte_commande]]</f>
        <v>19.62</v>
      </c>
      <c r="Q91" s="224">
        <v>1</v>
      </c>
      <c r="R91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</v>
      </c>
      <c r="U91" s="224"/>
      <c r="V91" s="224"/>
    </row>
    <row r="92" spans="1:22" ht="12.75" x14ac:dyDescent="0.2">
      <c r="A92" s="225">
        <v>42493</v>
      </c>
      <c r="B92" s="224" t="s">
        <v>564</v>
      </c>
      <c r="C92" s="224" t="s">
        <v>308</v>
      </c>
      <c r="D92" s="224" t="s">
        <v>309</v>
      </c>
      <c r="E92" s="226"/>
      <c r="G92" s="224" t="s">
        <v>1</v>
      </c>
      <c r="H92" s="224" t="s">
        <v>289</v>
      </c>
      <c r="I92" s="224" t="s">
        <v>32</v>
      </c>
      <c r="J92" s="224">
        <v>70</v>
      </c>
      <c r="K92" s="227">
        <f t="array" ref="K92">IFERROR(INDEX([1]Grille_Tarifs_Modulable!$B$2:$B$204,MATCH(Tableau14[[#This Row],[Designation]]&amp;Tableau14[[#This Row],[CL]],[1]Grille_Tarifs_Modulable!$C$2:$C$204&amp;[1]Grille_Tarifs_Modulable!$F$2:$F$204,0)),0)</f>
        <v>3257150100228</v>
      </c>
      <c r="L92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19.998643999999999</v>
      </c>
      <c r="M92" s="228">
        <f>IF(Tableau14[[#This Row],[Prix_Unit_HT]]=0,0,Tableau14[[#This Row],[Prix_Unit_HT]]+(Tableau14[[#This Row],[Prix_Unit_HT]]*VLOOKUP(Tableau14[[#This Row],[EAN]],[1]Grille_Tarifs_Modulable!$B$10:$Q$204,16,FALSE)))</f>
        <v>23.998372799999999</v>
      </c>
      <c r="N92" s="224">
        <v>1</v>
      </c>
      <c r="O92" s="228">
        <f>ROUND(Tableau14[[#This Row],[Prix_Unit_HT]],2)*Tableau14[[#This Row],[Qte_commande]]</f>
        <v>20</v>
      </c>
      <c r="P92" s="228">
        <f>ROUND(Tableau14[[#This Row],[Prix_Unit_TTC]],2)*Tableau14[[#This Row],[Qte_commande]]</f>
        <v>24</v>
      </c>
      <c r="Q92" s="224">
        <v>1</v>
      </c>
      <c r="R92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</v>
      </c>
      <c r="U92" s="224"/>
      <c r="V92" s="224"/>
    </row>
    <row r="93" spans="1:22" ht="12.75" x14ac:dyDescent="0.2">
      <c r="A93" s="225">
        <v>42493</v>
      </c>
      <c r="B93" s="224" t="s">
        <v>564</v>
      </c>
      <c r="C93" s="224" t="s">
        <v>308</v>
      </c>
      <c r="D93" s="224" t="s">
        <v>309</v>
      </c>
      <c r="E93" s="226"/>
      <c r="G93" s="224" t="s">
        <v>1</v>
      </c>
      <c r="H93" s="224" t="s">
        <v>289</v>
      </c>
      <c r="I93" s="224" t="s">
        <v>31</v>
      </c>
      <c r="J93" s="224">
        <v>70</v>
      </c>
      <c r="K93" s="227">
        <f t="array" ref="K93">IFERROR(INDEX([1]Grille_Tarifs_Modulable!$B$2:$B$204,MATCH(Tableau14[[#This Row],[Designation]]&amp;Tableau14[[#This Row],[CL]],[1]Grille_Tarifs_Modulable!$C$2:$C$204&amp;[1]Grille_Tarifs_Modulable!$F$2:$F$204,0)),0)</f>
        <v>3257150102017</v>
      </c>
      <c r="L93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14.694322</v>
      </c>
      <c r="M93" s="228">
        <f>IF(Tableau14[[#This Row],[Prix_Unit_HT]]=0,0,Tableau14[[#This Row],[Prix_Unit_HT]]+(Tableau14[[#This Row],[Prix_Unit_HT]]*VLOOKUP(Tableau14[[#This Row],[EAN]],[1]Grille_Tarifs_Modulable!$B$10:$Q$204,16,FALSE)))</f>
        <v>17.6331864</v>
      </c>
      <c r="N93" s="224">
        <v>1</v>
      </c>
      <c r="O93" s="228">
        <f>ROUND(Tableau14[[#This Row],[Prix_Unit_HT]],2)*Tableau14[[#This Row],[Qte_commande]]</f>
        <v>14.69</v>
      </c>
      <c r="P93" s="228">
        <f>ROUND(Tableau14[[#This Row],[Prix_Unit_TTC]],2)*Tableau14[[#This Row],[Qte_commande]]</f>
        <v>17.63</v>
      </c>
      <c r="Q93" s="224">
        <v>1</v>
      </c>
      <c r="R93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</v>
      </c>
      <c r="U93" s="224"/>
      <c r="V93" s="224"/>
    </row>
    <row r="94" spans="1:22" ht="12.75" x14ac:dyDescent="0.2">
      <c r="A94" s="225">
        <v>42500</v>
      </c>
      <c r="B94" s="224" t="s">
        <v>565</v>
      </c>
      <c r="C94" s="224" t="s">
        <v>530</v>
      </c>
      <c r="D94" s="224" t="s">
        <v>531</v>
      </c>
      <c r="E94" s="226"/>
      <c r="G94" s="224" t="s">
        <v>1</v>
      </c>
      <c r="H94" s="224" t="s">
        <v>289</v>
      </c>
      <c r="I94" s="224" t="s">
        <v>15</v>
      </c>
      <c r="J94" s="224">
        <v>70</v>
      </c>
      <c r="K94" s="227">
        <f t="array" ref="K94">IFERROR(INDEX([1]Grille_Tarifs_Modulable!$B$2:$B$204,MATCH(Tableau14[[#This Row],[Designation]]&amp;Tableau14[[#This Row],[CL]],[1]Grille_Tarifs_Modulable!$C$2:$C$204&amp;[1]Grille_Tarifs_Modulable!$F$2:$F$204,0)),0)</f>
        <v>4067700013859</v>
      </c>
      <c r="L94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12.532563499999998</v>
      </c>
      <c r="M94" s="228">
        <f>IF(Tableau14[[#This Row],[Prix_Unit_HT]]=0,0,Tableau14[[#This Row],[Prix_Unit_HT]]+(Tableau14[[#This Row],[Prix_Unit_HT]]*VLOOKUP(Tableau14[[#This Row],[EAN]],[1]Grille_Tarifs_Modulable!$B$10:$Q$204,16,FALSE)))</f>
        <v>15.039076199999998</v>
      </c>
      <c r="N94" s="224">
        <v>150</v>
      </c>
      <c r="O94" s="228">
        <f>ROUND(Tableau14[[#This Row],[Prix_Unit_HT]],2)*Tableau14[[#This Row],[Qte_commande]]</f>
        <v>1879.5</v>
      </c>
      <c r="P94" s="228">
        <f>ROUND(Tableau14[[#This Row],[Prix_Unit_TTC]],2)*Tableau14[[#This Row],[Qte_commande]]</f>
        <v>2256</v>
      </c>
      <c r="Q94" s="224">
        <v>150</v>
      </c>
      <c r="R94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150</v>
      </c>
      <c r="U94" s="224"/>
      <c r="V94" s="224"/>
    </row>
    <row r="95" spans="1:22" ht="12.75" x14ac:dyDescent="0.2">
      <c r="A95" s="225">
        <v>42500</v>
      </c>
      <c r="B95" s="224" t="s">
        <v>918</v>
      </c>
      <c r="C95" s="224" t="s">
        <v>159</v>
      </c>
      <c r="D95" s="224" t="s">
        <v>209</v>
      </c>
      <c r="E95" s="226"/>
      <c r="G95" s="224" t="s">
        <v>1</v>
      </c>
      <c r="H95" s="224" t="s">
        <v>289</v>
      </c>
      <c r="I95" s="224" t="s">
        <v>25</v>
      </c>
      <c r="J95" s="224">
        <v>100</v>
      </c>
      <c r="K95" s="227">
        <f t="array" ref="K95">IFERROR(INDEX([1]Grille_Tarifs_Modulable!$B$2:$B$204,MATCH(Tableau14[[#This Row],[Designation]]&amp;Tableau14[[#This Row],[CL]],[1]Grille_Tarifs_Modulable!$C$2:$C$204&amp;[1]Grille_Tarifs_Modulable!$F$2:$F$204,0)),0)</f>
        <v>3257150410167</v>
      </c>
      <c r="L95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15.778874</v>
      </c>
      <c r="M95" s="228">
        <f>IF(Tableau14[[#This Row],[Prix_Unit_HT]]=0,0,Tableau14[[#This Row],[Prix_Unit_HT]]+(Tableau14[[#This Row],[Prix_Unit_HT]]*VLOOKUP(Tableau14[[#This Row],[EAN]],[1]Grille_Tarifs_Modulable!$B$10:$Q$204,16,FALSE)))</f>
        <v>18.934648800000002</v>
      </c>
      <c r="N95" s="224">
        <v>48</v>
      </c>
      <c r="O95" s="228">
        <f>ROUND(Tableau14[[#This Row],[Prix_Unit_HT]],2)*Tableau14[[#This Row],[Qte_commande]]</f>
        <v>757.43999999999994</v>
      </c>
      <c r="P95" s="228">
        <f>ROUND(Tableau14[[#This Row],[Prix_Unit_TTC]],2)*Tableau14[[#This Row],[Qte_commande]]</f>
        <v>908.64</v>
      </c>
      <c r="Q95" s="224">
        <v>68.569999999999993</v>
      </c>
      <c r="R95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68.571428571428569</v>
      </c>
      <c r="U95" s="224"/>
      <c r="V95" s="224"/>
    </row>
    <row r="96" spans="1:22" ht="12.75" x14ac:dyDescent="0.2">
      <c r="A96" s="225">
        <v>42508</v>
      </c>
      <c r="B96" s="224" t="s">
        <v>300</v>
      </c>
      <c r="C96" s="224" t="s">
        <v>301</v>
      </c>
      <c r="D96" s="224" t="s">
        <v>302</v>
      </c>
      <c r="E96" s="226"/>
      <c r="G96" s="224" t="s">
        <v>1</v>
      </c>
      <c r="H96" s="224" t="s">
        <v>289</v>
      </c>
      <c r="I96" s="224" t="s">
        <v>22</v>
      </c>
      <c r="J96" s="224">
        <v>70</v>
      </c>
      <c r="K96" s="227">
        <f t="array" ref="K96">IFERROR(INDEX([1]Grille_Tarifs_Modulable!$B$2:$B$204,MATCH(Tableau14[[#This Row],[Designation]]&amp;Tableau14[[#This Row],[CL]],[1]Grille_Tarifs_Modulable!$C$2:$C$204&amp;[1]Grille_Tarifs_Modulable!$F$2:$F$204,0)),0)</f>
        <v>4055800060200</v>
      </c>
      <c r="L96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17.408644000000002</v>
      </c>
      <c r="M96" s="228">
        <f>IF(Tableau14[[#This Row],[Prix_Unit_HT]]=0,0,Tableau14[[#This Row],[Prix_Unit_HT]]+(Tableau14[[#This Row],[Prix_Unit_HT]]*VLOOKUP(Tableau14[[#This Row],[EAN]],[1]Grille_Tarifs_Modulable!$B$10:$Q$204,16,FALSE)))</f>
        <v>20.890372800000002</v>
      </c>
      <c r="N96" s="224">
        <v>6</v>
      </c>
      <c r="O96" s="228">
        <f>ROUND(Tableau14[[#This Row],[Prix_Unit_HT]],2)*Tableau14[[#This Row],[Qte_commande]]</f>
        <v>104.46000000000001</v>
      </c>
      <c r="P96" s="228">
        <f>ROUND(Tableau14[[#This Row],[Prix_Unit_TTC]],2)*Tableau14[[#This Row],[Qte_commande]]</f>
        <v>125.34</v>
      </c>
      <c r="Q96" s="224">
        <v>6</v>
      </c>
      <c r="R96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6.0000000000000009</v>
      </c>
      <c r="U96" s="224"/>
      <c r="V96" s="224"/>
    </row>
    <row r="97" spans="1:22" ht="12.75" x14ac:dyDescent="0.2">
      <c r="A97" s="225">
        <v>42508</v>
      </c>
      <c r="B97" s="224" t="s">
        <v>566</v>
      </c>
      <c r="C97" s="224" t="s">
        <v>308</v>
      </c>
      <c r="D97" s="224" t="s">
        <v>309</v>
      </c>
      <c r="E97" s="226"/>
      <c r="G97" s="224" t="s">
        <v>1</v>
      </c>
      <c r="H97" s="224" t="s">
        <v>289</v>
      </c>
      <c r="I97" s="224" t="s">
        <v>15</v>
      </c>
      <c r="J97" s="224">
        <v>100</v>
      </c>
      <c r="K97" s="227">
        <f t="array" ref="K97">IFERROR(INDEX([1]Grille_Tarifs_Modulable!$B$2:$B$204,MATCH(Tableau14[[#This Row],[Designation]]&amp;Tableau14[[#This Row],[CL]],[1]Grille_Tarifs_Modulable!$C$2:$C$204&amp;[1]Grille_Tarifs_Modulable!$F$2:$F$204,0)),0)</f>
        <v>4067700013842</v>
      </c>
      <c r="L97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17.100804999999998</v>
      </c>
      <c r="M97" s="228">
        <f>IF(Tableau14[[#This Row],[Prix_Unit_HT]]=0,0,Tableau14[[#This Row],[Prix_Unit_HT]]+(Tableau14[[#This Row],[Prix_Unit_HT]]*VLOOKUP(Tableau14[[#This Row],[EAN]],[1]Grille_Tarifs_Modulable!$B$10:$Q$204,16,FALSE)))</f>
        <v>20.520965999999998</v>
      </c>
      <c r="N97" s="224">
        <v>180</v>
      </c>
      <c r="O97" s="228">
        <f>ROUND(Tableau14[[#This Row],[Prix_Unit_HT]],2)*Tableau14[[#This Row],[Qte_commande]]</f>
        <v>3078.0000000000005</v>
      </c>
      <c r="P97" s="228">
        <f>ROUND(Tableau14[[#This Row],[Prix_Unit_TTC]],2)*Tableau14[[#This Row],[Qte_commande]]</f>
        <v>3693.6</v>
      </c>
      <c r="Q97" s="224">
        <v>257.14</v>
      </c>
      <c r="R97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257.14285714285717</v>
      </c>
      <c r="U97" s="224"/>
      <c r="V97" s="224"/>
    </row>
    <row r="98" spans="1:22" ht="12.75" x14ac:dyDescent="0.2">
      <c r="A98" s="225">
        <v>42508</v>
      </c>
      <c r="B98" s="224" t="s">
        <v>300</v>
      </c>
      <c r="C98" s="224" t="s">
        <v>301</v>
      </c>
      <c r="D98" s="224" t="s">
        <v>302</v>
      </c>
      <c r="E98" s="226"/>
      <c r="G98" s="224" t="s">
        <v>1</v>
      </c>
      <c r="H98" s="224" t="s">
        <v>289</v>
      </c>
      <c r="I98" s="224" t="s">
        <v>15</v>
      </c>
      <c r="J98" s="224">
        <v>100</v>
      </c>
      <c r="K98" s="227">
        <f t="array" ref="K98">IFERROR(INDEX([1]Grille_Tarifs_Modulable!$B$2:$B$204,MATCH(Tableau14[[#This Row],[Designation]]&amp;Tableau14[[#This Row],[CL]],[1]Grille_Tarifs_Modulable!$C$2:$C$204&amp;[1]Grille_Tarifs_Modulable!$F$2:$F$204,0)),0)</f>
        <v>4067700013842</v>
      </c>
      <c r="L98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17.100804999999998</v>
      </c>
      <c r="M98" s="228">
        <f>IF(Tableau14[[#This Row],[Prix_Unit_HT]]=0,0,Tableau14[[#This Row],[Prix_Unit_HT]]+(Tableau14[[#This Row],[Prix_Unit_HT]]*VLOOKUP(Tableau14[[#This Row],[EAN]],[1]Grille_Tarifs_Modulable!$B$10:$Q$204,16,FALSE)))</f>
        <v>20.520965999999998</v>
      </c>
      <c r="N98" s="224">
        <v>18</v>
      </c>
      <c r="O98" s="228">
        <f>ROUND(Tableau14[[#This Row],[Prix_Unit_HT]],2)*Tableau14[[#This Row],[Qte_commande]]</f>
        <v>307.8</v>
      </c>
      <c r="P98" s="228">
        <f>ROUND(Tableau14[[#This Row],[Prix_Unit_TTC]],2)*Tableau14[[#This Row],[Qte_commande]]</f>
        <v>369.36</v>
      </c>
      <c r="Q98" s="224">
        <v>25.71</v>
      </c>
      <c r="R98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25.714285714285715</v>
      </c>
      <c r="U98" s="224"/>
      <c r="V98" s="224"/>
    </row>
    <row r="99" spans="1:22" ht="12.75" x14ac:dyDescent="0.2">
      <c r="A99" s="225">
        <v>42508</v>
      </c>
      <c r="B99" s="224" t="s">
        <v>797</v>
      </c>
      <c r="C99" s="224" t="s">
        <v>214</v>
      </c>
      <c r="D99" s="224" t="s">
        <v>215</v>
      </c>
      <c r="E99" s="226"/>
      <c r="G99" s="224" t="s">
        <v>1</v>
      </c>
      <c r="H99" s="224" t="s">
        <v>289</v>
      </c>
      <c r="I99" s="224" t="s">
        <v>20</v>
      </c>
      <c r="J99" s="224">
        <v>70</v>
      </c>
      <c r="K99" s="227">
        <f t="array" ref="K99">IFERROR(INDEX([1]Grille_Tarifs_Modulable!$B$2:$B$204,MATCH(Tableau14[[#This Row],[Designation]]&amp;Tableau14[[#This Row],[CL]],[1]Grille_Tarifs_Modulable!$C$2:$C$204&amp;[1]Grille_Tarifs_Modulable!$F$2:$F$204,0)),0)</f>
        <v>8017450002104</v>
      </c>
      <c r="L99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14.266482999999999</v>
      </c>
      <c r="M99" s="228">
        <f>IF(Tableau14[[#This Row],[Prix_Unit_HT]]=0,0,Tableau14[[#This Row],[Prix_Unit_HT]]+(Tableau14[[#This Row],[Prix_Unit_HT]]*VLOOKUP(Tableau14[[#This Row],[EAN]],[1]Grille_Tarifs_Modulable!$B$10:$Q$204,16,FALSE)))</f>
        <v>17.119779600000001</v>
      </c>
      <c r="N99" s="224">
        <v>12</v>
      </c>
      <c r="O99" s="228">
        <f>ROUND(Tableau14[[#This Row],[Prix_Unit_HT]],2)*Tableau14[[#This Row],[Qte_commande]]</f>
        <v>171.24</v>
      </c>
      <c r="P99" s="228">
        <f>ROUND(Tableau14[[#This Row],[Prix_Unit_TTC]],2)*Tableau14[[#This Row],[Qte_commande]]</f>
        <v>205.44</v>
      </c>
      <c r="Q99" s="224">
        <v>12</v>
      </c>
      <c r="R99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12.000000000000002</v>
      </c>
      <c r="U99" s="224"/>
      <c r="V99" s="224"/>
    </row>
    <row r="100" spans="1:22" ht="12.75" x14ac:dyDescent="0.2">
      <c r="A100" s="225">
        <v>42508</v>
      </c>
      <c r="B100" s="224" t="s">
        <v>300</v>
      </c>
      <c r="C100" s="224" t="s">
        <v>301</v>
      </c>
      <c r="D100" s="224" t="s">
        <v>302</v>
      </c>
      <c r="E100" s="226"/>
      <c r="G100" s="224" t="s">
        <v>1</v>
      </c>
      <c r="H100" s="224" t="s">
        <v>196</v>
      </c>
      <c r="I100" s="224" t="s">
        <v>66</v>
      </c>
      <c r="J100" s="224">
        <v>50</v>
      </c>
      <c r="K100" s="227">
        <f t="array" ref="K100">IFERROR(INDEX([1]Grille_Tarifs_Modulable!$B$2:$B$204,MATCH(Tableau14[[#This Row],[Designation]]&amp;Tableau14[[#This Row],[CL]],[1]Grille_Tarifs_Modulable!$C$2:$C$204&amp;[1]Grille_Tarifs_Modulable!$F$2:$F$204,0)),0)</f>
        <v>4260310553382</v>
      </c>
      <c r="L100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</v>
      </c>
      <c r="M100" s="228">
        <f>IF(Tableau14[[#This Row],[Prix_Unit_HT]]=0,0,Tableau14[[#This Row],[Prix_Unit_HT]]+(Tableau14[[#This Row],[Prix_Unit_HT]]*VLOOKUP(Tableau14[[#This Row],[EAN]],[1]Grille_Tarifs_Modulable!$B$10:$Q$204,16,FALSE)))</f>
        <v>1.0549999999999999</v>
      </c>
      <c r="N100" s="224">
        <v>40</v>
      </c>
      <c r="O100" s="228">
        <f>ROUND(Tableau14[[#This Row],[Prix_Unit_HT]],2)*Tableau14[[#This Row],[Qte_commande]]</f>
        <v>40</v>
      </c>
      <c r="P100" s="228">
        <f>ROUND(Tableau14[[#This Row],[Prix_Unit_TTC]],2)*Tableau14[[#This Row],[Qte_commande]]</f>
        <v>42.400000000000006</v>
      </c>
      <c r="Q100" s="224">
        <v>28.57</v>
      </c>
      <c r="R100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28.571428571428573</v>
      </c>
      <c r="U100" s="224"/>
      <c r="V100" s="224"/>
    </row>
    <row r="101" spans="1:22" ht="12.75" x14ac:dyDescent="0.2">
      <c r="A101" s="225">
        <v>42508</v>
      </c>
      <c r="B101" s="224" t="s">
        <v>300</v>
      </c>
      <c r="C101" s="224" t="s">
        <v>301</v>
      </c>
      <c r="D101" s="224" t="s">
        <v>302</v>
      </c>
      <c r="E101" s="226"/>
      <c r="G101" s="224" t="s">
        <v>1</v>
      </c>
      <c r="H101" s="224" t="s">
        <v>289</v>
      </c>
      <c r="I101" s="224" t="s">
        <v>25</v>
      </c>
      <c r="J101" s="224">
        <v>100</v>
      </c>
      <c r="K101" s="227">
        <f t="array" ref="K101">IFERROR(INDEX([1]Grille_Tarifs_Modulable!$B$2:$B$204,MATCH(Tableau14[[#This Row],[Designation]]&amp;Tableau14[[#This Row],[CL]],[1]Grille_Tarifs_Modulable!$C$2:$C$204&amp;[1]Grille_Tarifs_Modulable!$F$2:$F$204,0)),0)</f>
        <v>3257150410167</v>
      </c>
      <c r="L101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15.778874</v>
      </c>
      <c r="M101" s="228">
        <f>IF(Tableau14[[#This Row],[Prix_Unit_HT]]=0,0,Tableau14[[#This Row],[Prix_Unit_HT]]+(Tableau14[[#This Row],[Prix_Unit_HT]]*VLOOKUP(Tableau14[[#This Row],[EAN]],[1]Grille_Tarifs_Modulable!$B$10:$Q$204,16,FALSE)))</f>
        <v>18.934648800000002</v>
      </c>
      <c r="N101" s="224">
        <v>18</v>
      </c>
      <c r="O101" s="228">
        <f>ROUND(Tableau14[[#This Row],[Prix_Unit_HT]],2)*Tableau14[[#This Row],[Qte_commande]]</f>
        <v>284.03999999999996</v>
      </c>
      <c r="P101" s="228">
        <f>ROUND(Tableau14[[#This Row],[Prix_Unit_TTC]],2)*Tableau14[[#This Row],[Qte_commande]]</f>
        <v>340.74</v>
      </c>
      <c r="Q101" s="224">
        <v>25.71</v>
      </c>
      <c r="R101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25.714285714285715</v>
      </c>
      <c r="U101" s="224"/>
      <c r="V101" s="224"/>
    </row>
    <row r="102" spans="1:22" ht="12.75" x14ac:dyDescent="0.2">
      <c r="A102" s="225">
        <v>42508</v>
      </c>
      <c r="B102" s="224" t="s">
        <v>797</v>
      </c>
      <c r="C102" s="224" t="s">
        <v>214</v>
      </c>
      <c r="D102" s="224" t="s">
        <v>215</v>
      </c>
      <c r="E102" s="226"/>
      <c r="G102" s="224" t="s">
        <v>1</v>
      </c>
      <c r="H102" s="224" t="s">
        <v>289</v>
      </c>
      <c r="I102" s="224" t="s">
        <v>1352</v>
      </c>
      <c r="J102" s="224">
        <v>70</v>
      </c>
      <c r="K102" s="227">
        <f t="array" ref="K102">IFERROR(INDEX([1]Grille_Tarifs_Modulable!$B$2:$B$204,MATCH(Tableau14[[#This Row],[Designation]]&amp;Tableau14[[#This Row],[CL]],[1]Grille_Tarifs_Modulable!$C$2:$C$204&amp;[1]Grille_Tarifs_Modulable!$F$2:$F$204,0)),0)</f>
        <v>0</v>
      </c>
      <c r="L102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</v>
      </c>
      <c r="M102" s="228">
        <f>IF(Tableau14[[#This Row],[Prix_Unit_HT]]=0,0,Tableau14[[#This Row],[Prix_Unit_HT]]+(Tableau14[[#This Row],[Prix_Unit_HT]]*VLOOKUP(Tableau14[[#This Row],[EAN]],[1]Grille_Tarifs_Modulable!$B$10:$Q$204,16,FALSE)))</f>
        <v>0</v>
      </c>
      <c r="N102" s="224">
        <v>60</v>
      </c>
      <c r="O102" s="228">
        <f>ROUND(Tableau14[[#This Row],[Prix_Unit_HT]],2)*Tableau14[[#This Row],[Qte_commande]]</f>
        <v>0</v>
      </c>
      <c r="P102" s="228">
        <f>ROUND(Tableau14[[#This Row],[Prix_Unit_TTC]],2)*Tableau14[[#This Row],[Qte_commande]]</f>
        <v>0</v>
      </c>
      <c r="Q102" s="224">
        <v>60</v>
      </c>
      <c r="R102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60.000000000000007</v>
      </c>
      <c r="U102" s="224"/>
      <c r="V102" s="224"/>
    </row>
    <row r="103" spans="1:22" ht="12.75" x14ac:dyDescent="0.2">
      <c r="A103" s="225">
        <v>42508</v>
      </c>
      <c r="B103" s="224" t="s">
        <v>797</v>
      </c>
      <c r="C103" s="224" t="s">
        <v>214</v>
      </c>
      <c r="D103" s="224" t="s">
        <v>215</v>
      </c>
      <c r="E103" s="226"/>
      <c r="G103" s="224" t="s">
        <v>1</v>
      </c>
      <c r="H103" s="224" t="s">
        <v>289</v>
      </c>
      <c r="I103" s="224" t="s">
        <v>1352</v>
      </c>
      <c r="J103" s="224">
        <v>100</v>
      </c>
      <c r="K103" s="227">
        <f t="array" ref="K103">IFERROR(INDEX([1]Grille_Tarifs_Modulable!$B$2:$B$204,MATCH(Tableau14[[#This Row],[Designation]]&amp;Tableau14[[#This Row],[CL]],[1]Grille_Tarifs_Modulable!$C$2:$C$204&amp;[1]Grille_Tarifs_Modulable!$F$2:$F$204,0)),0)</f>
        <v>4603514006849</v>
      </c>
      <c r="L103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17.370920000000002</v>
      </c>
      <c r="M103" s="228">
        <f>IF(Tableau14[[#This Row],[Prix_Unit_HT]]=0,0,Tableau14[[#This Row],[Prix_Unit_HT]]+(Tableau14[[#This Row],[Prix_Unit_HT]]*VLOOKUP(Tableau14[[#This Row],[EAN]],[1]Grille_Tarifs_Modulable!$B$10:$Q$204,16,FALSE)))</f>
        <v>20.845104000000003</v>
      </c>
      <c r="N103" s="224">
        <v>30</v>
      </c>
      <c r="O103" s="228">
        <f>ROUND(Tableau14[[#This Row],[Prix_Unit_HT]],2)*Tableau14[[#This Row],[Qte_commande]]</f>
        <v>521.1</v>
      </c>
      <c r="P103" s="228">
        <f>ROUND(Tableau14[[#This Row],[Prix_Unit_TTC]],2)*Tableau14[[#This Row],[Qte_commande]]</f>
        <v>625.5</v>
      </c>
      <c r="Q103" s="224">
        <v>42.86</v>
      </c>
      <c r="R103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42.857142857142861</v>
      </c>
      <c r="U103" s="224"/>
      <c r="V103" s="224"/>
    </row>
    <row r="104" spans="1:22" ht="12.75" x14ac:dyDescent="0.2">
      <c r="A104" s="225">
        <v>42508</v>
      </c>
      <c r="B104" s="224" t="s">
        <v>797</v>
      </c>
      <c r="C104" s="224" t="s">
        <v>214</v>
      </c>
      <c r="D104" s="224" t="s">
        <v>215</v>
      </c>
      <c r="E104" s="226"/>
      <c r="G104" s="224" t="s">
        <v>1</v>
      </c>
      <c r="H104" s="224" t="s">
        <v>289</v>
      </c>
      <c r="I104" s="224" t="s">
        <v>1355</v>
      </c>
      <c r="J104" s="224">
        <v>70</v>
      </c>
      <c r="K104" s="227">
        <f t="array" ref="K104">IFERROR(INDEX([1]Grille_Tarifs_Modulable!$B$2:$B$204,MATCH(Tableau14[[#This Row],[Designation]]&amp;Tableau14[[#This Row],[CL]],[1]Grille_Tarifs_Modulable!$C$2:$C$204&amp;[1]Grille_Tarifs_Modulable!$F$2:$F$204,0)),0)</f>
        <v>0</v>
      </c>
      <c r="L104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</v>
      </c>
      <c r="M104" s="228">
        <f>IF(Tableau14[[#This Row],[Prix_Unit_HT]]=0,0,Tableau14[[#This Row],[Prix_Unit_HT]]+(Tableau14[[#This Row],[Prix_Unit_HT]]*VLOOKUP(Tableau14[[#This Row],[EAN]],[1]Grille_Tarifs_Modulable!$B$10:$Q$204,16,FALSE)))</f>
        <v>0</v>
      </c>
      <c r="N104" s="224">
        <v>30</v>
      </c>
      <c r="O104" s="228">
        <f>ROUND(Tableau14[[#This Row],[Prix_Unit_HT]],2)*Tableau14[[#This Row],[Qte_commande]]</f>
        <v>0</v>
      </c>
      <c r="P104" s="228">
        <f>ROUND(Tableau14[[#This Row],[Prix_Unit_TTC]],2)*Tableau14[[#This Row],[Qte_commande]]</f>
        <v>0</v>
      </c>
      <c r="Q104" s="224">
        <v>30</v>
      </c>
      <c r="R104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30.000000000000004</v>
      </c>
      <c r="U104" s="224"/>
      <c r="V104" s="224"/>
    </row>
    <row r="105" spans="1:22" ht="12.75" x14ac:dyDescent="0.2">
      <c r="A105" s="225">
        <v>42508</v>
      </c>
      <c r="B105" s="224" t="s">
        <v>797</v>
      </c>
      <c r="C105" s="224" t="s">
        <v>214</v>
      </c>
      <c r="D105" s="224" t="s">
        <v>215</v>
      </c>
      <c r="E105" s="226"/>
      <c r="G105" s="224" t="s">
        <v>1</v>
      </c>
      <c r="H105" s="224" t="s">
        <v>289</v>
      </c>
      <c r="I105" s="224" t="s">
        <v>1355</v>
      </c>
      <c r="J105" s="224">
        <v>70</v>
      </c>
      <c r="K105" s="227">
        <f t="array" ref="K105">IFERROR(INDEX([1]Grille_Tarifs_Modulable!$B$2:$B$204,MATCH(Tableau14[[#This Row],[Designation]]&amp;Tableau14[[#This Row],[CL]],[1]Grille_Tarifs_Modulable!$C$2:$C$204&amp;[1]Grille_Tarifs_Modulable!$F$2:$F$204,0)),0)</f>
        <v>0</v>
      </c>
      <c r="L105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</v>
      </c>
      <c r="M105" s="228">
        <f>IF(Tableau14[[#This Row],[Prix_Unit_HT]]=0,0,Tableau14[[#This Row],[Prix_Unit_HT]]+(Tableau14[[#This Row],[Prix_Unit_HT]]*VLOOKUP(Tableau14[[#This Row],[EAN]],[1]Grille_Tarifs_Modulable!$B$10:$Q$204,16,FALSE)))</f>
        <v>0</v>
      </c>
      <c r="N105" s="224">
        <v>6</v>
      </c>
      <c r="O105" s="228">
        <f>ROUND(Tableau14[[#This Row],[Prix_Unit_HT]],2)*Tableau14[[#This Row],[Qte_commande]]</f>
        <v>0</v>
      </c>
      <c r="P105" s="228">
        <f>ROUND(Tableau14[[#This Row],[Prix_Unit_TTC]],2)*Tableau14[[#This Row],[Qte_commande]]</f>
        <v>0</v>
      </c>
      <c r="Q105" s="224">
        <v>6</v>
      </c>
      <c r="R105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6.0000000000000009</v>
      </c>
      <c r="U105" s="224"/>
      <c r="V105" s="224"/>
    </row>
    <row r="106" spans="1:22" ht="12.75" x14ac:dyDescent="0.2">
      <c r="A106" s="225">
        <v>42508</v>
      </c>
      <c r="B106" s="224" t="s">
        <v>797</v>
      </c>
      <c r="C106" s="224" t="s">
        <v>214</v>
      </c>
      <c r="D106" s="224" t="s">
        <v>215</v>
      </c>
      <c r="E106" s="226"/>
      <c r="G106" s="224" t="s">
        <v>1</v>
      </c>
      <c r="H106" s="224" t="s">
        <v>289</v>
      </c>
      <c r="I106" s="224" t="s">
        <v>1357</v>
      </c>
      <c r="J106" s="224">
        <v>70</v>
      </c>
      <c r="K106" s="227">
        <f t="array" ref="K106">IFERROR(INDEX([1]Grille_Tarifs_Modulable!$B$2:$B$204,MATCH(Tableau14[[#This Row],[Designation]]&amp;Tableau14[[#This Row],[CL]],[1]Grille_Tarifs_Modulable!$C$2:$C$204&amp;[1]Grille_Tarifs_Modulable!$F$2:$F$204,0)),0)</f>
        <v>0</v>
      </c>
      <c r="L106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</v>
      </c>
      <c r="M106" s="228">
        <f>IF(Tableau14[[#This Row],[Prix_Unit_HT]]=0,0,Tableau14[[#This Row],[Prix_Unit_HT]]+(Tableau14[[#This Row],[Prix_Unit_HT]]*VLOOKUP(Tableau14[[#This Row],[EAN]],[1]Grille_Tarifs_Modulable!$B$10:$Q$204,16,FALSE)))</f>
        <v>0</v>
      </c>
      <c r="N106" s="224">
        <v>30</v>
      </c>
      <c r="O106" s="228">
        <f>ROUND(Tableau14[[#This Row],[Prix_Unit_HT]],2)*Tableau14[[#This Row],[Qte_commande]]</f>
        <v>0</v>
      </c>
      <c r="P106" s="228">
        <f>ROUND(Tableau14[[#This Row],[Prix_Unit_TTC]],2)*Tableau14[[#This Row],[Qte_commande]]</f>
        <v>0</v>
      </c>
      <c r="Q106" s="224">
        <v>30</v>
      </c>
      <c r="R106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30.000000000000004</v>
      </c>
      <c r="U106" s="224"/>
      <c r="V106" s="224"/>
    </row>
    <row r="107" spans="1:22" ht="12.75" x14ac:dyDescent="0.2">
      <c r="A107" s="225">
        <v>42508</v>
      </c>
      <c r="B107" s="224" t="s">
        <v>797</v>
      </c>
      <c r="C107" s="224" t="s">
        <v>214</v>
      </c>
      <c r="D107" s="224" t="s">
        <v>215</v>
      </c>
      <c r="E107" s="226"/>
      <c r="G107" s="224" t="s">
        <v>1</v>
      </c>
      <c r="H107" s="224" t="s">
        <v>289</v>
      </c>
      <c r="I107" s="224" t="s">
        <v>1357</v>
      </c>
      <c r="J107" s="224">
        <v>70</v>
      </c>
      <c r="K107" s="227">
        <f t="array" ref="K107">IFERROR(INDEX([1]Grille_Tarifs_Modulable!$B$2:$B$204,MATCH(Tableau14[[#This Row],[Designation]]&amp;Tableau14[[#This Row],[CL]],[1]Grille_Tarifs_Modulable!$C$2:$C$204&amp;[1]Grille_Tarifs_Modulable!$F$2:$F$204,0)),0)</f>
        <v>0</v>
      </c>
      <c r="L107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</v>
      </c>
      <c r="M107" s="228">
        <f>IF(Tableau14[[#This Row],[Prix_Unit_HT]]=0,0,Tableau14[[#This Row],[Prix_Unit_HT]]+(Tableau14[[#This Row],[Prix_Unit_HT]]*VLOOKUP(Tableau14[[#This Row],[EAN]],[1]Grille_Tarifs_Modulable!$B$10:$Q$204,16,FALSE)))</f>
        <v>0</v>
      </c>
      <c r="N107" s="224">
        <v>6</v>
      </c>
      <c r="O107" s="228">
        <f>ROUND(Tableau14[[#This Row],[Prix_Unit_HT]],2)*Tableau14[[#This Row],[Qte_commande]]</f>
        <v>0</v>
      </c>
      <c r="P107" s="228">
        <f>ROUND(Tableau14[[#This Row],[Prix_Unit_TTC]],2)*Tableau14[[#This Row],[Qte_commande]]</f>
        <v>0</v>
      </c>
      <c r="Q107" s="224">
        <v>6</v>
      </c>
      <c r="R107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6.0000000000000009</v>
      </c>
      <c r="U107" s="224"/>
      <c r="V107" s="224"/>
    </row>
    <row r="108" spans="1:22" ht="12.75" x14ac:dyDescent="0.2">
      <c r="A108" s="225">
        <v>42515</v>
      </c>
      <c r="B108" s="224" t="s">
        <v>505</v>
      </c>
      <c r="C108" s="224" t="s">
        <v>506</v>
      </c>
      <c r="D108" s="224" t="s">
        <v>443</v>
      </c>
      <c r="E108" s="226"/>
      <c r="G108" s="224" t="s">
        <v>13</v>
      </c>
      <c r="H108" s="224" t="s">
        <v>196</v>
      </c>
      <c r="I108" s="224" t="s">
        <v>60</v>
      </c>
      <c r="J108" s="224">
        <v>20</v>
      </c>
      <c r="K108" s="227">
        <f t="array" ref="K108">IFERROR(INDEX([1]Grille_Tarifs_Modulable!$B$2:$B$204,MATCH(Tableau14[[#This Row],[Designation]]&amp;Tableau14[[#This Row],[CL]],[1]Grille_Tarifs_Modulable!$C$2:$C$204&amp;[1]Grille_Tarifs_Modulable!$F$2:$F$204,0)),0)</f>
        <v>4260310553832</v>
      </c>
      <c r="L108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0.89</v>
      </c>
      <c r="M108" s="228">
        <f>IF(Tableau14[[#This Row],[Prix_Unit_HT]]=0,0,Tableau14[[#This Row],[Prix_Unit_HT]]+(Tableau14[[#This Row],[Prix_Unit_HT]]*VLOOKUP(Tableau14[[#This Row],[EAN]],[1]Grille_Tarifs_Modulable!$B$10:$Q$204,16,FALSE)))</f>
        <v>0.93895000000000006</v>
      </c>
      <c r="N108" s="224">
        <v>48</v>
      </c>
      <c r="O108" s="228">
        <f>ROUND(Tableau14[[#This Row],[Prix_Unit_HT]],2)*Tableau14[[#This Row],[Qte_commande]]</f>
        <v>42.72</v>
      </c>
      <c r="P108" s="228">
        <f>ROUND(Tableau14[[#This Row],[Prix_Unit_TTC]],2)*Tableau14[[#This Row],[Qte_commande]]</f>
        <v>45.12</v>
      </c>
      <c r="Q108" s="224">
        <v>13.71</v>
      </c>
      <c r="R108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13.714285714285715</v>
      </c>
      <c r="U108" s="224"/>
      <c r="V108" s="224"/>
    </row>
    <row r="109" spans="1:22" ht="12.75" x14ac:dyDescent="0.2">
      <c r="A109" s="225">
        <v>42515</v>
      </c>
      <c r="B109" s="224" t="s">
        <v>505</v>
      </c>
      <c r="C109" s="224" t="s">
        <v>506</v>
      </c>
      <c r="D109" s="224" t="s">
        <v>443</v>
      </c>
      <c r="E109" s="226"/>
      <c r="G109" s="224" t="s">
        <v>13</v>
      </c>
      <c r="H109" s="224" t="s">
        <v>196</v>
      </c>
      <c r="I109" s="224" t="s">
        <v>66</v>
      </c>
      <c r="J109" s="224">
        <v>50</v>
      </c>
      <c r="K109" s="227">
        <f t="array" ref="K109">IFERROR(INDEX([1]Grille_Tarifs_Modulable!$B$2:$B$204,MATCH(Tableau14[[#This Row],[Designation]]&amp;Tableau14[[#This Row],[CL]],[1]Grille_Tarifs_Modulable!$C$2:$C$204&amp;[1]Grille_Tarifs_Modulable!$F$2:$F$204,0)),0)</f>
        <v>4260310553382</v>
      </c>
      <c r="L109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1.1000000000000001</v>
      </c>
      <c r="M109" s="228">
        <f>IF(Tableau14[[#This Row],[Prix_Unit_HT]]=0,0,Tableau14[[#This Row],[Prix_Unit_HT]]+(Tableau14[[#This Row],[Prix_Unit_HT]]*VLOOKUP(Tableau14[[#This Row],[EAN]],[1]Grille_Tarifs_Modulable!$B$10:$Q$204,16,FALSE)))</f>
        <v>1.1605000000000001</v>
      </c>
      <c r="N109" s="224">
        <v>100</v>
      </c>
      <c r="O109" s="228">
        <f>ROUND(Tableau14[[#This Row],[Prix_Unit_HT]],2)*Tableau14[[#This Row],[Qte_commande]]</f>
        <v>110.00000000000001</v>
      </c>
      <c r="P109" s="228">
        <f>ROUND(Tableau14[[#This Row],[Prix_Unit_TTC]],2)*Tableau14[[#This Row],[Qte_commande]]</f>
        <v>115.99999999999999</v>
      </c>
      <c r="Q109" s="224">
        <v>71.430000000000007</v>
      </c>
      <c r="R109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71.428571428571431</v>
      </c>
      <c r="U109" s="224"/>
      <c r="V109" s="224"/>
    </row>
    <row r="110" spans="1:22" ht="12.75" x14ac:dyDescent="0.2">
      <c r="A110" s="225">
        <v>42515</v>
      </c>
      <c r="B110" s="224" t="s">
        <v>505</v>
      </c>
      <c r="C110" s="224" t="s">
        <v>506</v>
      </c>
      <c r="D110" s="224" t="s">
        <v>443</v>
      </c>
      <c r="E110" s="226"/>
      <c r="G110" s="224" t="s">
        <v>13</v>
      </c>
      <c r="H110" s="224" t="s">
        <v>196</v>
      </c>
      <c r="I110" s="224" t="s">
        <v>64</v>
      </c>
      <c r="J110" s="224">
        <v>20</v>
      </c>
      <c r="K110" s="227">
        <f t="array" ref="K110">IFERROR(INDEX([1]Grille_Tarifs_Modulable!$B$2:$B$204,MATCH(Tableau14[[#This Row],[Designation]]&amp;Tableau14[[#This Row],[CL]],[1]Grille_Tarifs_Modulable!$C$2:$C$204&amp;[1]Grille_Tarifs_Modulable!$F$2:$F$204,0)),0)</f>
        <v>4260310553849</v>
      </c>
      <c r="L110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0.89</v>
      </c>
      <c r="M110" s="228">
        <f>IF(Tableau14[[#This Row],[Prix_Unit_HT]]=0,0,Tableau14[[#This Row],[Prix_Unit_HT]]+(Tableau14[[#This Row],[Prix_Unit_HT]]*VLOOKUP(Tableau14[[#This Row],[EAN]],[1]Grille_Tarifs_Modulable!$B$10:$Q$204,16,FALSE)))</f>
        <v>0.93895000000000006</v>
      </c>
      <c r="N110" s="224">
        <v>120</v>
      </c>
      <c r="O110" s="228">
        <f>ROUND(Tableau14[[#This Row],[Prix_Unit_HT]],2)*Tableau14[[#This Row],[Qte_commande]]</f>
        <v>106.8</v>
      </c>
      <c r="P110" s="228">
        <f>ROUND(Tableau14[[#This Row],[Prix_Unit_TTC]],2)*Tableau14[[#This Row],[Qte_commande]]</f>
        <v>112.8</v>
      </c>
      <c r="Q110" s="224">
        <v>34.29</v>
      </c>
      <c r="R110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34.285714285714285</v>
      </c>
      <c r="U110" s="224"/>
      <c r="V110" s="224"/>
    </row>
    <row r="111" spans="1:22" ht="12.75" x14ac:dyDescent="0.2">
      <c r="A111" s="225">
        <v>42515</v>
      </c>
      <c r="B111" s="224" t="s">
        <v>505</v>
      </c>
      <c r="C111" s="224" t="s">
        <v>506</v>
      </c>
      <c r="D111" s="224" t="s">
        <v>443</v>
      </c>
      <c r="E111" s="226"/>
      <c r="G111" s="224" t="s">
        <v>13</v>
      </c>
      <c r="H111" s="224" t="s">
        <v>289</v>
      </c>
      <c r="I111" s="224" t="s">
        <v>1355</v>
      </c>
      <c r="J111" s="224">
        <v>70</v>
      </c>
      <c r="K111" s="227">
        <f t="array" ref="K111">IFERROR(INDEX([1]Grille_Tarifs_Modulable!$B$2:$B$204,MATCH(Tableau14[[#This Row],[Designation]]&amp;Tableau14[[#This Row],[CL]],[1]Grille_Tarifs_Modulable!$C$2:$C$204&amp;[1]Grille_Tarifs_Modulable!$F$2:$F$204,0)),0)</f>
        <v>0</v>
      </c>
      <c r="L111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</v>
      </c>
      <c r="M111" s="228">
        <f>IF(Tableau14[[#This Row],[Prix_Unit_HT]]=0,0,Tableau14[[#This Row],[Prix_Unit_HT]]+(Tableau14[[#This Row],[Prix_Unit_HT]]*VLOOKUP(Tableau14[[#This Row],[EAN]],[1]Grille_Tarifs_Modulable!$B$10:$Q$204,16,FALSE)))</f>
        <v>0</v>
      </c>
      <c r="N111" s="224">
        <v>6</v>
      </c>
      <c r="O111" s="228">
        <f>ROUND(Tableau14[[#This Row],[Prix_Unit_HT]],2)*Tableau14[[#This Row],[Qte_commande]]</f>
        <v>0</v>
      </c>
      <c r="P111" s="228">
        <f>ROUND(Tableau14[[#This Row],[Prix_Unit_TTC]],2)*Tableau14[[#This Row],[Qte_commande]]</f>
        <v>0</v>
      </c>
      <c r="Q111" s="224">
        <v>6</v>
      </c>
      <c r="R111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6.0000000000000009</v>
      </c>
      <c r="U111" s="224"/>
      <c r="V111" s="224"/>
    </row>
    <row r="112" spans="1:22" ht="12.75" x14ac:dyDescent="0.2">
      <c r="A112" s="225">
        <v>42515</v>
      </c>
      <c r="B112" s="224" t="s">
        <v>505</v>
      </c>
      <c r="C112" s="224" t="s">
        <v>506</v>
      </c>
      <c r="D112" s="224" t="s">
        <v>443</v>
      </c>
      <c r="E112" s="226"/>
      <c r="G112" s="224" t="s">
        <v>13</v>
      </c>
      <c r="H112" s="224" t="s">
        <v>289</v>
      </c>
      <c r="I112" s="224" t="s">
        <v>1357</v>
      </c>
      <c r="J112" s="224">
        <v>70</v>
      </c>
      <c r="K112" s="227">
        <f t="array" ref="K112">IFERROR(INDEX([1]Grille_Tarifs_Modulable!$B$2:$B$204,MATCH(Tableau14[[#This Row],[Designation]]&amp;Tableau14[[#This Row],[CL]],[1]Grille_Tarifs_Modulable!$C$2:$C$204&amp;[1]Grille_Tarifs_Modulable!$F$2:$F$204,0)),0)</f>
        <v>0</v>
      </c>
      <c r="L112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</v>
      </c>
      <c r="M112" s="228">
        <f>IF(Tableau14[[#This Row],[Prix_Unit_HT]]=0,0,Tableau14[[#This Row],[Prix_Unit_HT]]+(Tableau14[[#This Row],[Prix_Unit_HT]]*VLOOKUP(Tableau14[[#This Row],[EAN]],[1]Grille_Tarifs_Modulable!$B$10:$Q$204,16,FALSE)))</f>
        <v>0</v>
      </c>
      <c r="N112" s="224">
        <v>6</v>
      </c>
      <c r="O112" s="228">
        <f>ROUND(Tableau14[[#This Row],[Prix_Unit_HT]],2)*Tableau14[[#This Row],[Qte_commande]]</f>
        <v>0</v>
      </c>
      <c r="P112" s="228">
        <f>ROUND(Tableau14[[#This Row],[Prix_Unit_TTC]],2)*Tableau14[[#This Row],[Qte_commande]]</f>
        <v>0</v>
      </c>
      <c r="Q112" s="224">
        <v>6</v>
      </c>
      <c r="R112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6.0000000000000009</v>
      </c>
      <c r="U112" s="224"/>
      <c r="V112" s="224"/>
    </row>
    <row r="113" spans="1:22" ht="12.75" x14ac:dyDescent="0.2">
      <c r="A113" s="225">
        <v>42520</v>
      </c>
      <c r="B113" s="224" t="s">
        <v>567</v>
      </c>
      <c r="C113" s="224" t="s">
        <v>530</v>
      </c>
      <c r="D113" s="224" t="s">
        <v>531</v>
      </c>
      <c r="E113" s="226"/>
      <c r="G113" s="224" t="s">
        <v>1</v>
      </c>
      <c r="H113" s="224" t="s">
        <v>289</v>
      </c>
      <c r="I113" s="224" t="s">
        <v>15</v>
      </c>
      <c r="J113" s="224">
        <v>70</v>
      </c>
      <c r="K113" s="227">
        <f t="array" ref="K113">IFERROR(INDEX([1]Grille_Tarifs_Modulable!$B$2:$B$204,MATCH(Tableau14[[#This Row],[Designation]]&amp;Tableau14[[#This Row],[CL]],[1]Grille_Tarifs_Modulable!$C$2:$C$204&amp;[1]Grille_Tarifs_Modulable!$F$2:$F$204,0)),0)</f>
        <v>4067700013859</v>
      </c>
      <c r="L113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12.532563499999998</v>
      </c>
      <c r="M113" s="228">
        <f>IF(Tableau14[[#This Row],[Prix_Unit_HT]]=0,0,Tableau14[[#This Row],[Prix_Unit_HT]]+(Tableau14[[#This Row],[Prix_Unit_HT]]*VLOOKUP(Tableau14[[#This Row],[EAN]],[1]Grille_Tarifs_Modulable!$B$10:$Q$204,16,FALSE)))</f>
        <v>15.039076199999998</v>
      </c>
      <c r="N113" s="224">
        <v>150</v>
      </c>
      <c r="O113" s="228">
        <f>ROUND(Tableau14[[#This Row],[Prix_Unit_HT]],2)*Tableau14[[#This Row],[Qte_commande]]</f>
        <v>1879.5</v>
      </c>
      <c r="P113" s="228">
        <f>ROUND(Tableau14[[#This Row],[Prix_Unit_TTC]],2)*Tableau14[[#This Row],[Qte_commande]]</f>
        <v>2256</v>
      </c>
      <c r="Q113" s="224">
        <v>150</v>
      </c>
      <c r="R113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150</v>
      </c>
      <c r="U113" s="224"/>
      <c r="V113" s="224"/>
    </row>
    <row r="114" spans="1:22" ht="12.75" x14ac:dyDescent="0.2">
      <c r="A114" s="225">
        <v>42522</v>
      </c>
      <c r="B114" s="224" t="s">
        <v>193</v>
      </c>
      <c r="C114" s="224" t="s">
        <v>194</v>
      </c>
      <c r="D114" s="224" t="s">
        <v>195</v>
      </c>
      <c r="E114" s="226"/>
      <c r="G114" s="224" t="s">
        <v>1</v>
      </c>
      <c r="H114" s="224" t="s">
        <v>196</v>
      </c>
      <c r="I114" s="224" t="s">
        <v>62</v>
      </c>
      <c r="J114" s="224">
        <v>20</v>
      </c>
      <c r="K114" s="227">
        <f t="array" ref="K114">IFERROR(INDEX([1]Grille_Tarifs_Modulable!$B$2:$B$204,MATCH(Tableau14[[#This Row],[Designation]]&amp;Tableau14[[#This Row],[CL]],[1]Grille_Tarifs_Modulable!$C$2:$C$204&amp;[1]Grille_Tarifs_Modulable!$F$2:$F$204,0)),0)</f>
        <v>4260310550305</v>
      </c>
      <c r="L114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0.81</v>
      </c>
      <c r="M114" s="228">
        <f>IF(Tableau14[[#This Row],[Prix_Unit_HT]]=0,0,Tableau14[[#This Row],[Prix_Unit_HT]]+(Tableau14[[#This Row],[Prix_Unit_HT]]*VLOOKUP(Tableau14[[#This Row],[EAN]],[1]Grille_Tarifs_Modulable!$B$10:$Q$204,16,FALSE)))</f>
        <v>0.85455000000000003</v>
      </c>
      <c r="N114" s="224">
        <v>288</v>
      </c>
      <c r="O114" s="228">
        <f>ROUND(Tableau14[[#This Row],[Prix_Unit_HT]],2)*Tableau14[[#This Row],[Qte_commande]]</f>
        <v>233.28000000000003</v>
      </c>
      <c r="P114" s="228">
        <f>ROUND(Tableau14[[#This Row],[Prix_Unit_TTC]],2)*Tableau14[[#This Row],[Qte_commande]]</f>
        <v>244.79999999999998</v>
      </c>
      <c r="Q114" s="224">
        <v>82.29</v>
      </c>
      <c r="R114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82.285714285714292</v>
      </c>
      <c r="U114" s="224"/>
      <c r="V114" s="224"/>
    </row>
    <row r="115" spans="1:22" ht="12.75" x14ac:dyDescent="0.2">
      <c r="A115" s="225">
        <v>42522</v>
      </c>
      <c r="B115" s="224" t="s">
        <v>193</v>
      </c>
      <c r="C115" s="224" t="s">
        <v>194</v>
      </c>
      <c r="D115" s="224" t="s">
        <v>195</v>
      </c>
      <c r="E115" s="226"/>
      <c r="G115" s="224" t="s">
        <v>1</v>
      </c>
      <c r="H115" s="224" t="s">
        <v>196</v>
      </c>
      <c r="I115" s="224" t="s">
        <v>65</v>
      </c>
      <c r="J115" s="224">
        <v>20</v>
      </c>
      <c r="K115" s="227">
        <f t="array" ref="K115">IFERROR(INDEX([1]Grille_Tarifs_Modulable!$B$2:$B$204,MATCH(Tableau14[[#This Row],[Designation]]&amp;Tableau14[[#This Row],[CL]],[1]Grille_Tarifs_Modulable!$C$2:$C$204&amp;[1]Grille_Tarifs_Modulable!$F$2:$F$204,0)),0)</f>
        <v>4260310553863</v>
      </c>
      <c r="L115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0.81</v>
      </c>
      <c r="M115" s="228">
        <f>IF(Tableau14[[#This Row],[Prix_Unit_HT]]=0,0,Tableau14[[#This Row],[Prix_Unit_HT]]+(Tableau14[[#This Row],[Prix_Unit_HT]]*VLOOKUP(Tableau14[[#This Row],[EAN]],[1]Grille_Tarifs_Modulable!$B$10:$Q$204,16,FALSE)))</f>
        <v>0.85455000000000003</v>
      </c>
      <c r="N115" s="224">
        <v>288</v>
      </c>
      <c r="O115" s="228">
        <f>ROUND(Tableau14[[#This Row],[Prix_Unit_HT]],2)*Tableau14[[#This Row],[Qte_commande]]</f>
        <v>233.28000000000003</v>
      </c>
      <c r="P115" s="228">
        <f>ROUND(Tableau14[[#This Row],[Prix_Unit_TTC]],2)*Tableau14[[#This Row],[Qte_commande]]</f>
        <v>244.79999999999998</v>
      </c>
      <c r="Q115" s="224">
        <v>82.29</v>
      </c>
      <c r="R115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82.285714285714292</v>
      </c>
      <c r="U115" s="224"/>
      <c r="V115" s="224"/>
    </row>
    <row r="116" spans="1:22" ht="12.75" x14ac:dyDescent="0.2">
      <c r="A116" s="225">
        <v>42522</v>
      </c>
      <c r="B116" s="224" t="s">
        <v>193</v>
      </c>
      <c r="C116" s="224" t="s">
        <v>194</v>
      </c>
      <c r="D116" s="224" t="s">
        <v>195</v>
      </c>
      <c r="E116" s="226"/>
      <c r="G116" s="224" t="s">
        <v>1</v>
      </c>
      <c r="H116" s="224" t="s">
        <v>196</v>
      </c>
      <c r="I116" s="224" t="s">
        <v>66</v>
      </c>
      <c r="J116" s="224">
        <v>50</v>
      </c>
      <c r="K116" s="227">
        <f t="array" ref="K116">IFERROR(INDEX([1]Grille_Tarifs_Modulable!$B$2:$B$204,MATCH(Tableau14[[#This Row],[Designation]]&amp;Tableau14[[#This Row],[CL]],[1]Grille_Tarifs_Modulable!$C$2:$C$204&amp;[1]Grille_Tarifs_Modulable!$F$2:$F$204,0)),0)</f>
        <v>4260310553382</v>
      </c>
      <c r="L116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</v>
      </c>
      <c r="M116" s="228">
        <f>IF(Tableau14[[#This Row],[Prix_Unit_HT]]=0,0,Tableau14[[#This Row],[Prix_Unit_HT]]+(Tableau14[[#This Row],[Prix_Unit_HT]]*VLOOKUP(Tableau14[[#This Row],[EAN]],[1]Grille_Tarifs_Modulable!$B$10:$Q$204,16,FALSE)))</f>
        <v>1.0549999999999999</v>
      </c>
      <c r="N116" s="224">
        <v>800</v>
      </c>
      <c r="O116" s="228">
        <f>ROUND(Tableau14[[#This Row],[Prix_Unit_HT]],2)*Tableau14[[#This Row],[Qte_commande]]</f>
        <v>800</v>
      </c>
      <c r="P116" s="228">
        <f>ROUND(Tableau14[[#This Row],[Prix_Unit_TTC]],2)*Tableau14[[#This Row],[Qte_commande]]</f>
        <v>848</v>
      </c>
      <c r="Q116" s="224">
        <v>571.42999999999995</v>
      </c>
      <c r="R116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571.42857142857144</v>
      </c>
      <c r="U116" s="224"/>
      <c r="V116" s="224"/>
    </row>
    <row r="117" spans="1:22" ht="12.75" x14ac:dyDescent="0.2">
      <c r="A117" s="225">
        <v>42522</v>
      </c>
      <c r="B117" s="224" t="s">
        <v>811</v>
      </c>
      <c r="C117" s="224" t="s">
        <v>542</v>
      </c>
      <c r="D117" s="224" t="s">
        <v>209</v>
      </c>
      <c r="E117" s="226"/>
      <c r="G117" s="224" t="s">
        <v>1</v>
      </c>
      <c r="H117" s="224" t="s">
        <v>196</v>
      </c>
      <c r="I117" s="224" t="s">
        <v>66</v>
      </c>
      <c r="J117" s="224">
        <v>50</v>
      </c>
      <c r="K117" s="227">
        <f t="array" ref="K117">IFERROR(INDEX([1]Grille_Tarifs_Modulable!$B$2:$B$204,MATCH(Tableau14[[#This Row],[Designation]]&amp;Tableau14[[#This Row],[CL]],[1]Grille_Tarifs_Modulable!$C$2:$C$204&amp;[1]Grille_Tarifs_Modulable!$F$2:$F$204,0)),0)</f>
        <v>4260310553382</v>
      </c>
      <c r="L117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</v>
      </c>
      <c r="M117" s="228">
        <f>IF(Tableau14[[#This Row],[Prix_Unit_HT]]=0,0,Tableau14[[#This Row],[Prix_Unit_HT]]+(Tableau14[[#This Row],[Prix_Unit_HT]]*VLOOKUP(Tableau14[[#This Row],[EAN]],[1]Grille_Tarifs_Modulable!$B$10:$Q$204,16,FALSE)))</f>
        <v>1.0549999999999999</v>
      </c>
      <c r="N117" s="224">
        <v>20</v>
      </c>
      <c r="O117" s="228">
        <f>ROUND(Tableau14[[#This Row],[Prix_Unit_HT]],2)*Tableau14[[#This Row],[Qte_commande]]</f>
        <v>20</v>
      </c>
      <c r="P117" s="228">
        <f>ROUND(Tableau14[[#This Row],[Prix_Unit_TTC]],2)*Tableau14[[#This Row],[Qte_commande]]</f>
        <v>21.200000000000003</v>
      </c>
      <c r="Q117" s="224">
        <v>14.29</v>
      </c>
      <c r="R117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14.285714285714286</v>
      </c>
      <c r="U117" s="224"/>
      <c r="V117" s="224"/>
    </row>
    <row r="118" spans="1:22" ht="12.75" x14ac:dyDescent="0.2">
      <c r="A118" s="225">
        <v>42522</v>
      </c>
      <c r="B118" s="224" t="s">
        <v>811</v>
      </c>
      <c r="C118" s="224" t="s">
        <v>542</v>
      </c>
      <c r="D118" s="224" t="s">
        <v>209</v>
      </c>
      <c r="E118" s="226"/>
      <c r="G118" s="224" t="s">
        <v>13</v>
      </c>
      <c r="H118" s="224" t="s">
        <v>289</v>
      </c>
      <c r="I118" s="224" t="s">
        <v>931</v>
      </c>
      <c r="J118" s="224">
        <v>100</v>
      </c>
      <c r="K118" s="227">
        <f t="array" ref="K118">IFERROR(INDEX([1]Grille_Tarifs_Modulable!$B$2:$B$204,MATCH(Tableau14[[#This Row],[Designation]]&amp;Tableau14[[#This Row],[CL]],[1]Grille_Tarifs_Modulable!$C$2:$C$204&amp;[1]Grille_Tarifs_Modulable!$F$2:$F$204,0)),0)</f>
        <v>0</v>
      </c>
      <c r="L118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</v>
      </c>
      <c r="M118" s="228">
        <f>IF(Tableau14[[#This Row],[Prix_Unit_HT]]=0,0,Tableau14[[#This Row],[Prix_Unit_HT]]+(Tableau14[[#This Row],[Prix_Unit_HT]]*VLOOKUP(Tableau14[[#This Row],[EAN]],[1]Grille_Tarifs_Modulable!$B$10:$Q$204,16,FALSE)))</f>
        <v>0</v>
      </c>
      <c r="N118" s="224">
        <v>48</v>
      </c>
      <c r="O118" s="228">
        <f>ROUND(Tableau14[[#This Row],[Prix_Unit_HT]],2)*Tableau14[[#This Row],[Qte_commande]]</f>
        <v>0</v>
      </c>
      <c r="P118" s="228">
        <f>ROUND(Tableau14[[#This Row],[Prix_Unit_TTC]],2)*Tableau14[[#This Row],[Qte_commande]]</f>
        <v>0</v>
      </c>
      <c r="Q118" s="224">
        <v>68.569999999999993</v>
      </c>
      <c r="R118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68.571428571428569</v>
      </c>
      <c r="U118" s="224"/>
      <c r="V118" s="224"/>
    </row>
    <row r="119" spans="1:22" ht="12.75" x14ac:dyDescent="0.2">
      <c r="A119" s="225">
        <v>42522</v>
      </c>
      <c r="B119" s="224" t="s">
        <v>193</v>
      </c>
      <c r="C119" s="224" t="s">
        <v>194</v>
      </c>
      <c r="D119" s="224" t="s">
        <v>195</v>
      </c>
      <c r="E119" s="226"/>
      <c r="G119" s="224" t="s">
        <v>1</v>
      </c>
      <c r="H119" s="224" t="s">
        <v>289</v>
      </c>
      <c r="I119" s="224" t="s">
        <v>1355</v>
      </c>
      <c r="J119" s="224">
        <v>70</v>
      </c>
      <c r="K119" s="227">
        <f t="array" ref="K119">IFERROR(INDEX([1]Grille_Tarifs_Modulable!$B$2:$B$204,MATCH(Tableau14[[#This Row],[Designation]]&amp;Tableau14[[#This Row],[CL]],[1]Grille_Tarifs_Modulable!$C$2:$C$204&amp;[1]Grille_Tarifs_Modulable!$F$2:$F$204,0)),0)</f>
        <v>0</v>
      </c>
      <c r="L119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</v>
      </c>
      <c r="M119" s="228">
        <f>IF(Tableau14[[#This Row],[Prix_Unit_HT]]=0,0,Tableau14[[#This Row],[Prix_Unit_HT]]+(Tableau14[[#This Row],[Prix_Unit_HT]]*VLOOKUP(Tableau14[[#This Row],[EAN]],[1]Grille_Tarifs_Modulable!$B$10:$Q$204,16,FALSE)))</f>
        <v>0</v>
      </c>
      <c r="N119" s="224">
        <v>12</v>
      </c>
      <c r="O119" s="228">
        <f>ROUND(Tableau14[[#This Row],[Prix_Unit_HT]],2)*Tableau14[[#This Row],[Qte_commande]]</f>
        <v>0</v>
      </c>
      <c r="P119" s="228">
        <f>ROUND(Tableau14[[#This Row],[Prix_Unit_TTC]],2)*Tableau14[[#This Row],[Qte_commande]]</f>
        <v>0</v>
      </c>
      <c r="Q119" s="224">
        <v>12</v>
      </c>
      <c r="R119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12.000000000000002</v>
      </c>
      <c r="U119" s="224"/>
      <c r="V119" s="224"/>
    </row>
    <row r="120" spans="1:22" ht="12.75" x14ac:dyDescent="0.2">
      <c r="A120" s="225">
        <v>42527</v>
      </c>
      <c r="B120" s="224" t="s">
        <v>455</v>
      </c>
      <c r="C120" s="224" t="s">
        <v>305</v>
      </c>
      <c r="D120" s="224" t="s">
        <v>180</v>
      </c>
      <c r="E120" s="226"/>
      <c r="G120" s="224" t="s">
        <v>1</v>
      </c>
      <c r="H120" s="224" t="s">
        <v>451</v>
      </c>
      <c r="I120" s="224" t="s">
        <v>74</v>
      </c>
      <c r="J120" s="229">
        <v>6</v>
      </c>
      <c r="K120" s="227">
        <f t="array" ref="K120">IFERROR(INDEX([1]Grille_Tarifs_Modulable!$B$2:$B$204,MATCH(Tableau14[[#This Row],[Designation]]&amp;Tableau14[[#This Row],[CL]],[1]Grille_Tarifs_Modulable!$C$2:$C$204&amp;[1]Grille_Tarifs_Modulable!$F$2:$F$204,0)),0)</f>
        <v>125</v>
      </c>
      <c r="L120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139</v>
      </c>
      <c r="M120" s="228">
        <f>IF(Tableau14[[#This Row],[Prix_Unit_HT]]=0,0,Tableau14[[#This Row],[Prix_Unit_HT]]+(Tableau14[[#This Row],[Prix_Unit_HT]]*VLOOKUP(Tableau14[[#This Row],[EAN]],[1]Grille_Tarifs_Modulable!$B$10:$Q$204,16,FALSE)))</f>
        <v>166.8</v>
      </c>
      <c r="N120" s="224">
        <v>1</v>
      </c>
      <c r="O120" s="228">
        <f>ROUND(Tableau14[[#This Row],[Prix_Unit_HT]],2)*Tableau14[[#This Row],[Qte_commande]]</f>
        <v>139</v>
      </c>
      <c r="P120" s="228">
        <f>ROUND(Tableau14[[#This Row],[Prix_Unit_TTC]],2)*Tableau14[[#This Row],[Qte_commande]]</f>
        <v>166.8</v>
      </c>
      <c r="Q120" s="224">
        <v>1</v>
      </c>
      <c r="R120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</v>
      </c>
      <c r="U120" s="224"/>
      <c r="V120" s="224"/>
    </row>
    <row r="121" spans="1:22" ht="12.75" x14ac:dyDescent="0.2">
      <c r="A121" s="225">
        <v>42528</v>
      </c>
      <c r="B121" s="224" t="s">
        <v>507</v>
      </c>
      <c r="C121" s="224" t="s">
        <v>316</v>
      </c>
      <c r="D121" s="224" t="s">
        <v>317</v>
      </c>
      <c r="E121" s="226"/>
      <c r="G121" s="224" t="s">
        <v>1</v>
      </c>
      <c r="H121" s="224" t="s">
        <v>196</v>
      </c>
      <c r="I121" s="224" t="s">
        <v>60</v>
      </c>
      <c r="J121" s="224">
        <v>20</v>
      </c>
      <c r="K121" s="227">
        <f t="array" ref="K121">IFERROR(INDEX([1]Grille_Tarifs_Modulable!$B$2:$B$204,MATCH(Tableau14[[#This Row],[Designation]]&amp;Tableau14[[#This Row],[CL]],[1]Grille_Tarifs_Modulable!$C$2:$C$204&amp;[1]Grille_Tarifs_Modulable!$F$2:$F$204,0)),0)</f>
        <v>4260310553832</v>
      </c>
      <c r="L121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0.81</v>
      </c>
      <c r="M121" s="228">
        <f>IF(Tableau14[[#This Row],[Prix_Unit_HT]]=0,0,Tableau14[[#This Row],[Prix_Unit_HT]]+(Tableau14[[#This Row],[Prix_Unit_HT]]*VLOOKUP(Tableau14[[#This Row],[EAN]],[1]Grille_Tarifs_Modulable!$B$10:$Q$204,16,FALSE)))</f>
        <v>0.85455000000000003</v>
      </c>
      <c r="N121" s="224">
        <v>24</v>
      </c>
      <c r="O121" s="228">
        <f>ROUND(Tableau14[[#This Row],[Prix_Unit_HT]],2)*Tableau14[[#This Row],[Qte_commande]]</f>
        <v>19.440000000000001</v>
      </c>
      <c r="P121" s="228">
        <f>ROUND(Tableau14[[#This Row],[Prix_Unit_TTC]],2)*Tableau14[[#This Row],[Qte_commande]]</f>
        <v>20.399999999999999</v>
      </c>
      <c r="Q121" s="224">
        <v>6.86</v>
      </c>
      <c r="R121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6.8571428571428577</v>
      </c>
      <c r="U121" s="224"/>
      <c r="V121" s="224"/>
    </row>
    <row r="122" spans="1:22" ht="12.75" x14ac:dyDescent="0.2">
      <c r="A122" s="225">
        <v>42528</v>
      </c>
      <c r="B122" s="224" t="s">
        <v>507</v>
      </c>
      <c r="C122" s="224" t="s">
        <v>316</v>
      </c>
      <c r="D122" s="224" t="s">
        <v>317</v>
      </c>
      <c r="E122" s="226"/>
      <c r="G122" s="224" t="s">
        <v>1</v>
      </c>
      <c r="H122" s="224" t="s">
        <v>196</v>
      </c>
      <c r="I122" s="224" t="s">
        <v>66</v>
      </c>
      <c r="J122" s="224">
        <v>50</v>
      </c>
      <c r="K122" s="227">
        <f t="array" ref="K122">IFERROR(INDEX([1]Grille_Tarifs_Modulable!$B$2:$B$204,MATCH(Tableau14[[#This Row],[Designation]]&amp;Tableau14[[#This Row],[CL]],[1]Grille_Tarifs_Modulable!$C$2:$C$204&amp;[1]Grille_Tarifs_Modulable!$F$2:$F$204,0)),0)</f>
        <v>4260310553382</v>
      </c>
      <c r="L122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</v>
      </c>
      <c r="M122" s="228">
        <f>IF(Tableau14[[#This Row],[Prix_Unit_HT]]=0,0,Tableau14[[#This Row],[Prix_Unit_HT]]+(Tableau14[[#This Row],[Prix_Unit_HT]]*VLOOKUP(Tableau14[[#This Row],[EAN]],[1]Grille_Tarifs_Modulable!$B$10:$Q$204,16,FALSE)))</f>
        <v>1.0549999999999999</v>
      </c>
      <c r="N122" s="224">
        <v>280</v>
      </c>
      <c r="O122" s="228">
        <f>ROUND(Tableau14[[#This Row],[Prix_Unit_HT]],2)*Tableau14[[#This Row],[Qte_commande]]</f>
        <v>280</v>
      </c>
      <c r="P122" s="228">
        <f>ROUND(Tableau14[[#This Row],[Prix_Unit_TTC]],2)*Tableau14[[#This Row],[Qte_commande]]</f>
        <v>296.8</v>
      </c>
      <c r="Q122" s="224">
        <v>200</v>
      </c>
      <c r="R122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200</v>
      </c>
      <c r="U122" s="224"/>
      <c r="V122" s="224"/>
    </row>
    <row r="123" spans="1:22" ht="12.75" x14ac:dyDescent="0.2">
      <c r="A123" s="225">
        <v>42528</v>
      </c>
      <c r="B123" s="224" t="s">
        <v>507</v>
      </c>
      <c r="C123" s="224" t="s">
        <v>316</v>
      </c>
      <c r="D123" s="224" t="s">
        <v>317</v>
      </c>
      <c r="E123" s="226"/>
      <c r="G123" s="224" t="s">
        <v>1</v>
      </c>
      <c r="H123" s="224" t="s">
        <v>289</v>
      </c>
      <c r="I123" s="224" t="s">
        <v>1355</v>
      </c>
      <c r="J123" s="224">
        <v>70</v>
      </c>
      <c r="K123" s="227">
        <f t="array" ref="K123">IFERROR(INDEX([1]Grille_Tarifs_Modulable!$B$2:$B$204,MATCH(Tableau14[[#This Row],[Designation]]&amp;Tableau14[[#This Row],[CL]],[1]Grille_Tarifs_Modulable!$C$2:$C$204&amp;[1]Grille_Tarifs_Modulable!$F$2:$F$204,0)),0)</f>
        <v>0</v>
      </c>
      <c r="L123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</v>
      </c>
      <c r="M123" s="228">
        <f>IF(Tableau14[[#This Row],[Prix_Unit_HT]]=0,0,Tableau14[[#This Row],[Prix_Unit_HT]]+(Tableau14[[#This Row],[Prix_Unit_HT]]*VLOOKUP(Tableau14[[#This Row],[EAN]],[1]Grille_Tarifs_Modulable!$B$10:$Q$204,16,FALSE)))</f>
        <v>0</v>
      </c>
      <c r="N123" s="224">
        <v>6</v>
      </c>
      <c r="O123" s="228">
        <f>ROUND(Tableau14[[#This Row],[Prix_Unit_HT]],2)*Tableau14[[#This Row],[Qte_commande]]</f>
        <v>0</v>
      </c>
      <c r="P123" s="228">
        <f>ROUND(Tableau14[[#This Row],[Prix_Unit_TTC]],2)*Tableau14[[#This Row],[Qte_commande]]</f>
        <v>0</v>
      </c>
      <c r="Q123" s="224">
        <v>6</v>
      </c>
      <c r="R123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6.0000000000000009</v>
      </c>
      <c r="U123" s="224"/>
      <c r="V123" s="224"/>
    </row>
    <row r="124" spans="1:22" ht="12.75" x14ac:dyDescent="0.2">
      <c r="A124" s="225">
        <v>42528</v>
      </c>
      <c r="B124" s="224" t="s">
        <v>507</v>
      </c>
      <c r="C124" s="224" t="s">
        <v>316</v>
      </c>
      <c r="D124" s="224" t="s">
        <v>317</v>
      </c>
      <c r="E124" s="226"/>
      <c r="G124" s="224" t="s">
        <v>1</v>
      </c>
      <c r="H124" s="224" t="s">
        <v>289</v>
      </c>
      <c r="I124" s="224" t="s">
        <v>1357</v>
      </c>
      <c r="J124" s="224">
        <v>70</v>
      </c>
      <c r="K124" s="227">
        <f t="array" ref="K124">IFERROR(INDEX([1]Grille_Tarifs_Modulable!$B$2:$B$204,MATCH(Tableau14[[#This Row],[Designation]]&amp;Tableau14[[#This Row],[CL]],[1]Grille_Tarifs_Modulable!$C$2:$C$204&amp;[1]Grille_Tarifs_Modulable!$F$2:$F$204,0)),0)</f>
        <v>0</v>
      </c>
      <c r="L124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</v>
      </c>
      <c r="M124" s="228">
        <f>IF(Tableau14[[#This Row],[Prix_Unit_HT]]=0,0,Tableau14[[#This Row],[Prix_Unit_HT]]+(Tableau14[[#This Row],[Prix_Unit_HT]]*VLOOKUP(Tableau14[[#This Row],[EAN]],[1]Grille_Tarifs_Modulable!$B$10:$Q$204,16,FALSE)))</f>
        <v>0</v>
      </c>
      <c r="N124" s="224">
        <v>6</v>
      </c>
      <c r="O124" s="228">
        <f>ROUND(Tableau14[[#This Row],[Prix_Unit_HT]],2)*Tableau14[[#This Row],[Qte_commande]]</f>
        <v>0</v>
      </c>
      <c r="P124" s="228">
        <f>ROUND(Tableau14[[#This Row],[Prix_Unit_TTC]],2)*Tableau14[[#This Row],[Qte_commande]]</f>
        <v>0</v>
      </c>
      <c r="Q124" s="224">
        <v>6</v>
      </c>
      <c r="R124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6.0000000000000009</v>
      </c>
      <c r="U124" s="224"/>
      <c r="V124" s="224"/>
    </row>
    <row r="125" spans="1:22" ht="12.75" x14ac:dyDescent="0.2">
      <c r="A125" s="225">
        <v>42529</v>
      </c>
      <c r="B125" s="224" t="s">
        <v>197</v>
      </c>
      <c r="C125" s="224" t="s">
        <v>198</v>
      </c>
      <c r="D125" s="224" t="s">
        <v>199</v>
      </c>
      <c r="E125" s="226"/>
      <c r="G125" s="224" t="s">
        <v>1</v>
      </c>
      <c r="H125" s="224" t="s">
        <v>196</v>
      </c>
      <c r="I125" s="224" t="s">
        <v>62</v>
      </c>
      <c r="J125" s="224">
        <v>20</v>
      </c>
      <c r="K125" s="227">
        <f t="array" ref="K125">IFERROR(INDEX([1]Grille_Tarifs_Modulable!$B$2:$B$204,MATCH(Tableau14[[#This Row],[Designation]]&amp;Tableau14[[#This Row],[CL]],[1]Grille_Tarifs_Modulable!$C$2:$C$204&amp;[1]Grille_Tarifs_Modulable!$F$2:$F$204,0)),0)</f>
        <v>4260310550305</v>
      </c>
      <c r="L125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0.81</v>
      </c>
      <c r="M125" s="228">
        <f>IF(Tableau14[[#This Row],[Prix_Unit_HT]]=0,0,Tableau14[[#This Row],[Prix_Unit_HT]]+(Tableau14[[#This Row],[Prix_Unit_HT]]*VLOOKUP(Tableau14[[#This Row],[EAN]],[1]Grille_Tarifs_Modulable!$B$10:$Q$204,16,FALSE)))</f>
        <v>0.85455000000000003</v>
      </c>
      <c r="N125" s="224">
        <v>192</v>
      </c>
      <c r="O125" s="228">
        <f>ROUND(Tableau14[[#This Row],[Prix_Unit_HT]],2)*Tableau14[[#This Row],[Qte_commande]]</f>
        <v>155.52000000000001</v>
      </c>
      <c r="P125" s="228">
        <f>ROUND(Tableau14[[#This Row],[Prix_Unit_TTC]],2)*Tableau14[[#This Row],[Qte_commande]]</f>
        <v>163.19999999999999</v>
      </c>
      <c r="Q125" s="224">
        <v>54.86</v>
      </c>
      <c r="R125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54.857142857142861</v>
      </c>
      <c r="U125" s="224"/>
      <c r="V125" s="224"/>
    </row>
    <row r="126" spans="1:22" ht="12.75" x14ac:dyDescent="0.2">
      <c r="A126" s="225">
        <v>42529</v>
      </c>
      <c r="B126" s="224" t="s">
        <v>197</v>
      </c>
      <c r="C126" s="224" t="s">
        <v>198</v>
      </c>
      <c r="D126" s="224" t="s">
        <v>199</v>
      </c>
      <c r="E126" s="226"/>
      <c r="G126" s="224" t="s">
        <v>1</v>
      </c>
      <c r="H126" s="224" t="s">
        <v>196</v>
      </c>
      <c r="I126" s="224" t="s">
        <v>65</v>
      </c>
      <c r="J126" s="224">
        <v>20</v>
      </c>
      <c r="K126" s="227">
        <f t="array" ref="K126">IFERROR(INDEX([1]Grille_Tarifs_Modulable!$B$2:$B$204,MATCH(Tableau14[[#This Row],[Designation]]&amp;Tableau14[[#This Row],[CL]],[1]Grille_Tarifs_Modulable!$C$2:$C$204&amp;[1]Grille_Tarifs_Modulable!$F$2:$F$204,0)),0)</f>
        <v>4260310553863</v>
      </c>
      <c r="L126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0.81</v>
      </c>
      <c r="M126" s="228">
        <f>IF(Tableau14[[#This Row],[Prix_Unit_HT]]=0,0,Tableau14[[#This Row],[Prix_Unit_HT]]+(Tableau14[[#This Row],[Prix_Unit_HT]]*VLOOKUP(Tableau14[[#This Row],[EAN]],[1]Grille_Tarifs_Modulable!$B$10:$Q$204,16,FALSE)))</f>
        <v>0.85455000000000003</v>
      </c>
      <c r="N126" s="224">
        <v>192</v>
      </c>
      <c r="O126" s="228">
        <f>ROUND(Tableau14[[#This Row],[Prix_Unit_HT]],2)*Tableau14[[#This Row],[Qte_commande]]</f>
        <v>155.52000000000001</v>
      </c>
      <c r="P126" s="228">
        <f>ROUND(Tableau14[[#This Row],[Prix_Unit_TTC]],2)*Tableau14[[#This Row],[Qte_commande]]</f>
        <v>163.19999999999999</v>
      </c>
      <c r="Q126" s="224">
        <v>54.86</v>
      </c>
      <c r="R126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54.857142857142861</v>
      </c>
      <c r="U126" s="224"/>
      <c r="V126" s="224"/>
    </row>
    <row r="127" spans="1:22" ht="12.75" x14ac:dyDescent="0.2">
      <c r="A127" s="225">
        <v>42529</v>
      </c>
      <c r="B127" s="224" t="s">
        <v>197</v>
      </c>
      <c r="C127" s="224" t="s">
        <v>198</v>
      </c>
      <c r="D127" s="224" t="s">
        <v>199</v>
      </c>
      <c r="E127" s="226"/>
      <c r="G127" s="224" t="s">
        <v>1</v>
      </c>
      <c r="H127" s="224" t="s">
        <v>289</v>
      </c>
      <c r="I127" s="224" t="s">
        <v>15</v>
      </c>
      <c r="J127" s="224">
        <v>100</v>
      </c>
      <c r="K127" s="227">
        <f t="array" ref="K127">IFERROR(INDEX([1]Grille_Tarifs_Modulable!$B$2:$B$204,MATCH(Tableau14[[#This Row],[Designation]]&amp;Tableau14[[#This Row],[CL]],[1]Grille_Tarifs_Modulable!$C$2:$C$204&amp;[1]Grille_Tarifs_Modulable!$F$2:$F$204,0)),0)</f>
        <v>4067700013842</v>
      </c>
      <c r="L127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17.100804999999998</v>
      </c>
      <c r="M127" s="228">
        <f>IF(Tableau14[[#This Row],[Prix_Unit_HT]]=0,0,Tableau14[[#This Row],[Prix_Unit_HT]]+(Tableau14[[#This Row],[Prix_Unit_HT]]*VLOOKUP(Tableau14[[#This Row],[EAN]],[1]Grille_Tarifs_Modulable!$B$10:$Q$204,16,FALSE)))</f>
        <v>20.520965999999998</v>
      </c>
      <c r="N127" s="224">
        <v>72</v>
      </c>
      <c r="O127" s="228">
        <f>ROUND(Tableau14[[#This Row],[Prix_Unit_HT]],2)*Tableau14[[#This Row],[Qte_commande]]</f>
        <v>1231.2</v>
      </c>
      <c r="P127" s="228">
        <f>ROUND(Tableau14[[#This Row],[Prix_Unit_TTC]],2)*Tableau14[[#This Row],[Qte_commande]]</f>
        <v>1477.44</v>
      </c>
      <c r="Q127" s="224">
        <v>102.86</v>
      </c>
      <c r="R127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102.85714285714286</v>
      </c>
      <c r="U127" s="224"/>
      <c r="V127" s="224"/>
    </row>
    <row r="128" spans="1:22" ht="12.75" x14ac:dyDescent="0.2">
      <c r="A128" s="225">
        <v>42529</v>
      </c>
      <c r="B128" s="224" t="s">
        <v>197</v>
      </c>
      <c r="C128" s="224" t="s">
        <v>198</v>
      </c>
      <c r="D128" s="224" t="s">
        <v>199</v>
      </c>
      <c r="E128" s="226"/>
      <c r="G128" s="224" t="s">
        <v>1</v>
      </c>
      <c r="H128" s="224" t="s">
        <v>196</v>
      </c>
      <c r="I128" s="224" t="s">
        <v>66</v>
      </c>
      <c r="J128" s="224">
        <v>50</v>
      </c>
      <c r="K128" s="227">
        <f t="array" ref="K128">IFERROR(INDEX([1]Grille_Tarifs_Modulable!$B$2:$B$204,MATCH(Tableau14[[#This Row],[Designation]]&amp;Tableau14[[#This Row],[CL]],[1]Grille_Tarifs_Modulable!$C$2:$C$204&amp;[1]Grille_Tarifs_Modulable!$F$2:$F$204,0)),0)</f>
        <v>4260310553382</v>
      </c>
      <c r="L128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</v>
      </c>
      <c r="M128" s="228">
        <f>IF(Tableau14[[#This Row],[Prix_Unit_HT]]=0,0,Tableau14[[#This Row],[Prix_Unit_HT]]+(Tableau14[[#This Row],[Prix_Unit_HT]]*VLOOKUP(Tableau14[[#This Row],[EAN]],[1]Grille_Tarifs_Modulable!$B$10:$Q$204,16,FALSE)))</f>
        <v>1.0549999999999999</v>
      </c>
      <c r="N128" s="224">
        <v>260</v>
      </c>
      <c r="O128" s="228">
        <f>ROUND(Tableau14[[#This Row],[Prix_Unit_HT]],2)*Tableau14[[#This Row],[Qte_commande]]</f>
        <v>260</v>
      </c>
      <c r="P128" s="228">
        <f>ROUND(Tableau14[[#This Row],[Prix_Unit_TTC]],2)*Tableau14[[#This Row],[Qte_commande]]</f>
        <v>275.60000000000002</v>
      </c>
      <c r="Q128" s="224">
        <v>185.71</v>
      </c>
      <c r="R128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185.71428571428572</v>
      </c>
      <c r="U128" s="224"/>
      <c r="V128" s="224"/>
    </row>
    <row r="129" spans="1:22" ht="12.75" x14ac:dyDescent="0.2">
      <c r="A129" s="225">
        <v>42529</v>
      </c>
      <c r="B129" s="224" t="s">
        <v>197</v>
      </c>
      <c r="C129" s="224" t="s">
        <v>198</v>
      </c>
      <c r="D129" s="224" t="s">
        <v>199</v>
      </c>
      <c r="E129" s="226"/>
      <c r="G129" s="224" t="s">
        <v>1</v>
      </c>
      <c r="H129" s="224" t="s">
        <v>289</v>
      </c>
      <c r="I129" s="224" t="s">
        <v>1355</v>
      </c>
      <c r="J129" s="224">
        <v>70</v>
      </c>
      <c r="K129" s="227">
        <f t="array" ref="K129">IFERROR(INDEX([1]Grille_Tarifs_Modulable!$B$2:$B$204,MATCH(Tableau14[[#This Row],[Designation]]&amp;Tableau14[[#This Row],[CL]],[1]Grille_Tarifs_Modulable!$C$2:$C$204&amp;[1]Grille_Tarifs_Modulable!$F$2:$F$204,0)),0)</f>
        <v>0</v>
      </c>
      <c r="L129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</v>
      </c>
      <c r="M129" s="228">
        <f>IF(Tableau14[[#This Row],[Prix_Unit_HT]]=0,0,Tableau14[[#This Row],[Prix_Unit_HT]]+(Tableau14[[#This Row],[Prix_Unit_HT]]*VLOOKUP(Tableau14[[#This Row],[EAN]],[1]Grille_Tarifs_Modulable!$B$10:$Q$204,16,FALSE)))</f>
        <v>0</v>
      </c>
      <c r="N129" s="224">
        <v>12</v>
      </c>
      <c r="O129" s="228">
        <f>ROUND(Tableau14[[#This Row],[Prix_Unit_HT]],2)*Tableau14[[#This Row],[Qte_commande]]</f>
        <v>0</v>
      </c>
      <c r="P129" s="228">
        <f>ROUND(Tableau14[[#This Row],[Prix_Unit_TTC]],2)*Tableau14[[#This Row],[Qte_commande]]</f>
        <v>0</v>
      </c>
      <c r="Q129" s="224">
        <v>12</v>
      </c>
      <c r="R129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12.000000000000002</v>
      </c>
      <c r="U129" s="224"/>
      <c r="V129" s="224"/>
    </row>
    <row r="130" spans="1:22" ht="12.75" x14ac:dyDescent="0.2">
      <c r="A130" s="225">
        <v>42529</v>
      </c>
      <c r="B130" s="224" t="s">
        <v>197</v>
      </c>
      <c r="C130" s="224" t="s">
        <v>198</v>
      </c>
      <c r="D130" s="224" t="s">
        <v>199</v>
      </c>
      <c r="E130" s="226"/>
      <c r="G130" s="224" t="s">
        <v>1</v>
      </c>
      <c r="H130" s="224" t="s">
        <v>289</v>
      </c>
      <c r="I130" s="224" t="s">
        <v>1357</v>
      </c>
      <c r="J130" s="224">
        <v>70</v>
      </c>
      <c r="K130" s="227">
        <f t="array" ref="K130">IFERROR(INDEX([1]Grille_Tarifs_Modulable!$B$2:$B$204,MATCH(Tableau14[[#This Row],[Designation]]&amp;Tableau14[[#This Row],[CL]],[1]Grille_Tarifs_Modulable!$C$2:$C$204&amp;[1]Grille_Tarifs_Modulable!$F$2:$F$204,0)),0)</f>
        <v>0</v>
      </c>
      <c r="L130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</v>
      </c>
      <c r="M130" s="228">
        <f>IF(Tableau14[[#This Row],[Prix_Unit_HT]]=0,0,Tableau14[[#This Row],[Prix_Unit_HT]]+(Tableau14[[#This Row],[Prix_Unit_HT]]*VLOOKUP(Tableau14[[#This Row],[EAN]],[1]Grille_Tarifs_Modulable!$B$10:$Q$204,16,FALSE)))</f>
        <v>0</v>
      </c>
      <c r="N130" s="224">
        <v>12</v>
      </c>
      <c r="O130" s="228">
        <f>ROUND(Tableau14[[#This Row],[Prix_Unit_HT]],2)*Tableau14[[#This Row],[Qte_commande]]</f>
        <v>0</v>
      </c>
      <c r="P130" s="228">
        <f>ROUND(Tableau14[[#This Row],[Prix_Unit_TTC]],2)*Tableau14[[#This Row],[Qte_commande]]</f>
        <v>0</v>
      </c>
      <c r="Q130" s="224">
        <v>12</v>
      </c>
      <c r="R130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12.000000000000002</v>
      </c>
      <c r="U130" s="224"/>
      <c r="V130" s="224"/>
    </row>
    <row r="131" spans="1:22" ht="12.75" x14ac:dyDescent="0.2">
      <c r="A131" s="225">
        <v>42536</v>
      </c>
      <c r="B131" s="224" t="s">
        <v>812</v>
      </c>
      <c r="C131" s="224" t="s">
        <v>299</v>
      </c>
      <c r="D131" s="224" t="s">
        <v>233</v>
      </c>
      <c r="E131" s="226"/>
      <c r="F131" s="224" t="s">
        <v>260</v>
      </c>
      <c r="G131" s="224" t="s">
        <v>13</v>
      </c>
      <c r="H131" s="224" t="s">
        <v>196</v>
      </c>
      <c r="I131" s="224" t="s">
        <v>66</v>
      </c>
      <c r="J131" s="224">
        <v>50</v>
      </c>
      <c r="K131" s="227">
        <f t="array" ref="K131">IFERROR(INDEX([1]Grille_Tarifs_Modulable!$B$2:$B$204,MATCH(Tableau14[[#This Row],[Designation]]&amp;Tableau14[[#This Row],[CL]],[1]Grille_Tarifs_Modulable!$C$2:$C$204&amp;[1]Grille_Tarifs_Modulable!$F$2:$F$204,0)),0)</f>
        <v>4260310553382</v>
      </c>
      <c r="L131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1.1000000000000001</v>
      </c>
      <c r="M131" s="228">
        <f>IF(Tableau14[[#This Row],[Prix_Unit_HT]]=0,0,Tableau14[[#This Row],[Prix_Unit_HT]]+(Tableau14[[#This Row],[Prix_Unit_HT]]*VLOOKUP(Tableau14[[#This Row],[EAN]],[1]Grille_Tarifs_Modulable!$B$10:$Q$204,16,FALSE)))</f>
        <v>1.1605000000000001</v>
      </c>
      <c r="N131" s="224">
        <v>100</v>
      </c>
      <c r="O131" s="228">
        <f>ROUND(Tableau14[[#This Row],[Prix_Unit_HT]],2)*Tableau14[[#This Row],[Qte_commande]]</f>
        <v>110.00000000000001</v>
      </c>
      <c r="P131" s="228">
        <f>ROUND(Tableau14[[#This Row],[Prix_Unit_TTC]],2)*Tableau14[[#This Row],[Qte_commande]]</f>
        <v>115.99999999999999</v>
      </c>
      <c r="Q131" s="224">
        <v>71.430000000000007</v>
      </c>
      <c r="R131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71.428571428571431</v>
      </c>
      <c r="U131" s="224"/>
      <c r="V131" s="224"/>
    </row>
    <row r="132" spans="1:22" ht="12.75" x14ac:dyDescent="0.2">
      <c r="A132" s="225">
        <v>42537</v>
      </c>
      <c r="B132" s="224" t="s">
        <v>568</v>
      </c>
      <c r="C132" s="224" t="s">
        <v>194</v>
      </c>
      <c r="D132" s="224" t="s">
        <v>343</v>
      </c>
      <c r="E132" s="226"/>
      <c r="G132" s="224" t="s">
        <v>1</v>
      </c>
      <c r="H132" s="224" t="s">
        <v>289</v>
      </c>
      <c r="I132" s="224" t="s">
        <v>15</v>
      </c>
      <c r="J132" s="224">
        <v>175</v>
      </c>
      <c r="K132" s="227">
        <f t="array" ref="K132">IFERROR(INDEX([1]Grille_Tarifs_Modulable!$B$2:$B$204,MATCH(Tableau14[[#This Row],[Designation]]&amp;Tableau14[[#This Row],[CL]],[1]Grille_Tarifs_Modulable!$C$2:$C$204&amp;[1]Grille_Tarifs_Modulable!$F$2:$F$204,0)),0)</f>
        <v>4067700013835</v>
      </c>
      <c r="L132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28.916408750000002</v>
      </c>
      <c r="M132" s="228">
        <f>IF(Tableau14[[#This Row],[Prix_Unit_HT]]=0,0,Tableau14[[#This Row],[Prix_Unit_HT]]+(Tableau14[[#This Row],[Prix_Unit_HT]]*VLOOKUP(Tableau14[[#This Row],[EAN]],[1]Grille_Tarifs_Modulable!$B$10:$Q$204,16,FALSE)))</f>
        <v>34.699690500000003</v>
      </c>
      <c r="N132" s="224">
        <v>42</v>
      </c>
      <c r="O132" s="228">
        <f>ROUND(Tableau14[[#This Row],[Prix_Unit_HT]],2)*Tableau14[[#This Row],[Qte_commande]]</f>
        <v>1214.6400000000001</v>
      </c>
      <c r="P132" s="228">
        <f>ROUND(Tableau14[[#This Row],[Prix_Unit_TTC]],2)*Tableau14[[#This Row],[Qte_commande]]</f>
        <v>1457.4</v>
      </c>
      <c r="Q132" s="224">
        <v>105</v>
      </c>
      <c r="R132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105</v>
      </c>
      <c r="U132" s="224"/>
      <c r="V132" s="224"/>
    </row>
    <row r="133" spans="1:22" ht="12.75" x14ac:dyDescent="0.2">
      <c r="A133" s="225">
        <v>42538</v>
      </c>
      <c r="B133" s="224" t="s">
        <v>569</v>
      </c>
      <c r="C133" s="224" t="s">
        <v>539</v>
      </c>
      <c r="D133" s="224" t="s">
        <v>540</v>
      </c>
      <c r="E133" s="226"/>
      <c r="G133" s="224" t="s">
        <v>1</v>
      </c>
      <c r="H133" s="224" t="s">
        <v>289</v>
      </c>
      <c r="I133" s="224" t="s">
        <v>15</v>
      </c>
      <c r="J133" s="224">
        <v>100</v>
      </c>
      <c r="K133" s="227">
        <f t="array" ref="K133">IFERROR(INDEX([1]Grille_Tarifs_Modulable!$B$2:$B$204,MATCH(Tableau14[[#This Row],[Designation]]&amp;Tableau14[[#This Row],[CL]],[1]Grille_Tarifs_Modulable!$C$2:$C$204&amp;[1]Grille_Tarifs_Modulable!$F$2:$F$204,0)),0)</f>
        <v>4067700013842</v>
      </c>
      <c r="L133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17.100804999999998</v>
      </c>
      <c r="M133" s="228">
        <f>IF(Tableau14[[#This Row],[Prix_Unit_HT]]=0,0,Tableau14[[#This Row],[Prix_Unit_HT]]+(Tableau14[[#This Row],[Prix_Unit_HT]]*VLOOKUP(Tableau14[[#This Row],[EAN]],[1]Grille_Tarifs_Modulable!$B$10:$Q$204,16,FALSE)))</f>
        <v>20.520965999999998</v>
      </c>
      <c r="N133" s="224">
        <v>120</v>
      </c>
      <c r="O133" s="228">
        <f>ROUND(Tableau14[[#This Row],[Prix_Unit_HT]],2)*Tableau14[[#This Row],[Qte_commande]]</f>
        <v>2052</v>
      </c>
      <c r="P133" s="228">
        <f>ROUND(Tableau14[[#This Row],[Prix_Unit_TTC]],2)*Tableau14[[#This Row],[Qte_commande]]</f>
        <v>2462.4</v>
      </c>
      <c r="Q133" s="224">
        <v>171.43</v>
      </c>
      <c r="R133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171.42857142857144</v>
      </c>
      <c r="U133" s="224"/>
      <c r="V133" s="224"/>
    </row>
    <row r="134" spans="1:22" ht="12.75" x14ac:dyDescent="0.2">
      <c r="A134" s="225">
        <v>42541</v>
      </c>
      <c r="B134" s="224" t="s">
        <v>570</v>
      </c>
      <c r="C134" s="224" t="s">
        <v>530</v>
      </c>
      <c r="D134" s="224" t="s">
        <v>531</v>
      </c>
      <c r="E134" s="226"/>
      <c r="G134" s="224" t="s">
        <v>1</v>
      </c>
      <c r="H134" s="224" t="s">
        <v>289</v>
      </c>
      <c r="I134" s="224" t="s">
        <v>15</v>
      </c>
      <c r="J134" s="224">
        <v>70</v>
      </c>
      <c r="K134" s="227">
        <f t="array" ref="K134">IFERROR(INDEX([1]Grille_Tarifs_Modulable!$B$2:$B$204,MATCH(Tableau14[[#This Row],[Designation]]&amp;Tableau14[[#This Row],[CL]],[1]Grille_Tarifs_Modulable!$C$2:$C$204&amp;[1]Grille_Tarifs_Modulable!$F$2:$F$204,0)),0)</f>
        <v>4067700013859</v>
      </c>
      <c r="L134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12.532563499999998</v>
      </c>
      <c r="M134" s="228">
        <f>IF(Tableau14[[#This Row],[Prix_Unit_HT]]=0,0,Tableau14[[#This Row],[Prix_Unit_HT]]+(Tableau14[[#This Row],[Prix_Unit_HT]]*VLOOKUP(Tableau14[[#This Row],[EAN]],[1]Grille_Tarifs_Modulable!$B$10:$Q$204,16,FALSE)))</f>
        <v>15.039076199999998</v>
      </c>
      <c r="N134" s="224">
        <v>150</v>
      </c>
      <c r="O134" s="228">
        <f>ROUND(Tableau14[[#This Row],[Prix_Unit_HT]],2)*Tableau14[[#This Row],[Qte_commande]]</f>
        <v>1879.5</v>
      </c>
      <c r="P134" s="228">
        <f>ROUND(Tableau14[[#This Row],[Prix_Unit_TTC]],2)*Tableau14[[#This Row],[Qte_commande]]</f>
        <v>2256</v>
      </c>
      <c r="Q134" s="224">
        <v>150</v>
      </c>
      <c r="R134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150</v>
      </c>
      <c r="U134" s="224"/>
      <c r="V134" s="224"/>
    </row>
    <row r="135" spans="1:22" ht="12.75" x14ac:dyDescent="0.2">
      <c r="A135" s="225">
        <v>42541</v>
      </c>
      <c r="B135" s="224" t="s">
        <v>919</v>
      </c>
      <c r="C135" s="224" t="s">
        <v>159</v>
      </c>
      <c r="D135" s="224" t="s">
        <v>209</v>
      </c>
      <c r="E135" s="226"/>
      <c r="G135" s="224" t="s">
        <v>1</v>
      </c>
      <c r="H135" s="224" t="s">
        <v>289</v>
      </c>
      <c r="I135" s="224" t="s">
        <v>25</v>
      </c>
      <c r="J135" s="224">
        <v>100</v>
      </c>
      <c r="K135" s="227">
        <f t="array" ref="K135">IFERROR(INDEX([1]Grille_Tarifs_Modulable!$B$2:$B$204,MATCH(Tableau14[[#This Row],[Designation]]&amp;Tableau14[[#This Row],[CL]],[1]Grille_Tarifs_Modulable!$C$2:$C$204&amp;[1]Grille_Tarifs_Modulable!$F$2:$F$204,0)),0)</f>
        <v>3257150410167</v>
      </c>
      <c r="L135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15.778874</v>
      </c>
      <c r="M135" s="228">
        <f>IF(Tableau14[[#This Row],[Prix_Unit_HT]]=0,0,Tableau14[[#This Row],[Prix_Unit_HT]]+(Tableau14[[#This Row],[Prix_Unit_HT]]*VLOOKUP(Tableau14[[#This Row],[EAN]],[1]Grille_Tarifs_Modulable!$B$10:$Q$204,16,FALSE)))</f>
        <v>18.934648800000002</v>
      </c>
      <c r="N135" s="224">
        <v>36</v>
      </c>
      <c r="O135" s="228">
        <f>ROUND(Tableau14[[#This Row],[Prix_Unit_HT]],2)*Tableau14[[#This Row],[Qte_commande]]</f>
        <v>568.07999999999993</v>
      </c>
      <c r="P135" s="228">
        <f>ROUND(Tableau14[[#This Row],[Prix_Unit_TTC]],2)*Tableau14[[#This Row],[Qte_commande]]</f>
        <v>681.48</v>
      </c>
      <c r="Q135" s="224">
        <v>51.43</v>
      </c>
      <c r="R135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51.428571428571431</v>
      </c>
      <c r="U135" s="224"/>
      <c r="V135" s="224"/>
    </row>
    <row r="136" spans="1:22" ht="12.75" x14ac:dyDescent="0.2">
      <c r="A136" s="225">
        <v>42541</v>
      </c>
      <c r="B136" s="224" t="s">
        <v>920</v>
      </c>
      <c r="C136" s="224" t="s">
        <v>301</v>
      </c>
      <c r="D136" s="224" t="s">
        <v>302</v>
      </c>
      <c r="E136" s="226"/>
      <c r="G136" s="224" t="s">
        <v>1</v>
      </c>
      <c r="H136" s="224" t="s">
        <v>289</v>
      </c>
      <c r="I136" s="224" t="s">
        <v>25</v>
      </c>
      <c r="J136" s="224">
        <v>100</v>
      </c>
      <c r="K136" s="227">
        <f t="array" ref="K136">IFERROR(INDEX([1]Grille_Tarifs_Modulable!$B$2:$B$204,MATCH(Tableau14[[#This Row],[Designation]]&amp;Tableau14[[#This Row],[CL]],[1]Grille_Tarifs_Modulable!$C$2:$C$204&amp;[1]Grille_Tarifs_Modulable!$F$2:$F$204,0)),0)</f>
        <v>3257150410167</v>
      </c>
      <c r="L136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15.778874</v>
      </c>
      <c r="M136" s="228">
        <f>IF(Tableau14[[#This Row],[Prix_Unit_HT]]=0,0,Tableau14[[#This Row],[Prix_Unit_HT]]+(Tableau14[[#This Row],[Prix_Unit_HT]]*VLOOKUP(Tableau14[[#This Row],[EAN]],[1]Grille_Tarifs_Modulable!$B$10:$Q$204,16,FALSE)))</f>
        <v>18.934648800000002</v>
      </c>
      <c r="N136" s="224">
        <v>36</v>
      </c>
      <c r="O136" s="228">
        <f>ROUND(Tableau14[[#This Row],[Prix_Unit_HT]],2)*Tableau14[[#This Row],[Qte_commande]]</f>
        <v>568.07999999999993</v>
      </c>
      <c r="P136" s="228">
        <f>ROUND(Tableau14[[#This Row],[Prix_Unit_TTC]],2)*Tableau14[[#This Row],[Qte_commande]]</f>
        <v>681.48</v>
      </c>
      <c r="Q136" s="224">
        <v>51.43</v>
      </c>
      <c r="R136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51.428571428571431</v>
      </c>
      <c r="U136" s="224"/>
      <c r="V136" s="224"/>
    </row>
    <row r="137" spans="1:22" ht="12.75" x14ac:dyDescent="0.2">
      <c r="A137" s="225">
        <v>42545</v>
      </c>
      <c r="B137" s="224" t="s">
        <v>977</v>
      </c>
      <c r="C137" s="224" t="s">
        <v>167</v>
      </c>
      <c r="D137" s="224" t="s">
        <v>203</v>
      </c>
      <c r="E137" s="226"/>
      <c r="G137" s="224" t="s">
        <v>13</v>
      </c>
      <c r="H137" s="224" t="s">
        <v>451</v>
      </c>
      <c r="I137" s="224" t="s">
        <v>69</v>
      </c>
      <c r="J137" s="227">
        <v>3</v>
      </c>
      <c r="K137" s="227">
        <f t="array" ref="K137">IFERROR(INDEX([1]Grille_Tarifs_Modulable!$B$2:$B$204,MATCH(Tableau14[[#This Row],[Designation]]&amp;Tableau14[[#This Row],[CL]],[1]Grille_Tarifs_Modulable!$C$2:$C$204&amp;[1]Grille_Tarifs_Modulable!$F$2:$F$204,0)),0)</f>
        <v>121</v>
      </c>
      <c r="L137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299</v>
      </c>
      <c r="M137" s="228">
        <f>IF(Tableau14[[#This Row],[Prix_Unit_HT]]=0,0,Tableau14[[#This Row],[Prix_Unit_HT]]+(Tableau14[[#This Row],[Prix_Unit_HT]]*VLOOKUP(Tableau14[[#This Row],[EAN]],[1]Grille_Tarifs_Modulable!$B$10:$Q$204,16,FALSE)))</f>
        <v>358.8</v>
      </c>
      <c r="N137" s="224">
        <v>1</v>
      </c>
      <c r="O137" s="228">
        <f>ROUND(Tableau14[[#This Row],[Prix_Unit_HT]],2)*Tableau14[[#This Row],[Qte_commande]]</f>
        <v>299</v>
      </c>
      <c r="P137" s="228">
        <f>ROUND(Tableau14[[#This Row],[Prix_Unit_TTC]],2)*Tableau14[[#This Row],[Qte_commande]]</f>
        <v>358.8</v>
      </c>
      <c r="Q137" s="224">
        <v>1</v>
      </c>
      <c r="R137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</v>
      </c>
      <c r="U137" s="224"/>
      <c r="V137" s="224"/>
    </row>
    <row r="138" spans="1:22" ht="12.75" x14ac:dyDescent="0.2">
      <c r="A138" s="225">
        <v>42548</v>
      </c>
      <c r="B138" s="224" t="s">
        <v>571</v>
      </c>
      <c r="C138" s="224" t="s">
        <v>572</v>
      </c>
      <c r="D138" s="224" t="s">
        <v>209</v>
      </c>
      <c r="E138" s="226"/>
      <c r="G138" s="224" t="s">
        <v>13</v>
      </c>
      <c r="H138" s="224" t="s">
        <v>289</v>
      </c>
      <c r="I138" s="224" t="s">
        <v>15</v>
      </c>
      <c r="J138" s="224">
        <v>70</v>
      </c>
      <c r="K138" s="227">
        <f t="array" ref="K138">IFERROR(INDEX([1]Grille_Tarifs_Modulable!$B$2:$B$204,MATCH(Tableau14[[#This Row],[Designation]]&amp;Tableau14[[#This Row],[CL]],[1]Grille_Tarifs_Modulable!$C$2:$C$204&amp;[1]Grille_Tarifs_Modulable!$F$2:$F$204,0)),0)</f>
        <v>4067700013859</v>
      </c>
      <c r="L138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13.942563499999999</v>
      </c>
      <c r="M138" s="228">
        <f>IF(Tableau14[[#This Row],[Prix_Unit_HT]]=0,0,Tableau14[[#This Row],[Prix_Unit_HT]]+(Tableau14[[#This Row],[Prix_Unit_HT]]*VLOOKUP(Tableau14[[#This Row],[EAN]],[1]Grille_Tarifs_Modulable!$B$10:$Q$204,16,FALSE)))</f>
        <v>16.731076199999997</v>
      </c>
      <c r="N138" s="224">
        <v>6</v>
      </c>
      <c r="O138" s="228">
        <f>ROUND(Tableau14[[#This Row],[Prix_Unit_HT]],2)*Tableau14[[#This Row],[Qte_commande]]</f>
        <v>83.64</v>
      </c>
      <c r="P138" s="228">
        <f>ROUND(Tableau14[[#This Row],[Prix_Unit_TTC]],2)*Tableau14[[#This Row],[Qte_commande]]</f>
        <v>100.38</v>
      </c>
      <c r="Q138" s="224">
        <v>6</v>
      </c>
      <c r="R138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6.0000000000000009</v>
      </c>
      <c r="U138" s="224"/>
      <c r="V138" s="224"/>
    </row>
    <row r="139" spans="1:22" ht="12.75" x14ac:dyDescent="0.2">
      <c r="A139" s="225">
        <v>42548</v>
      </c>
      <c r="B139" s="224" t="s">
        <v>571</v>
      </c>
      <c r="C139" s="224" t="s">
        <v>572</v>
      </c>
      <c r="D139" s="224" t="s">
        <v>209</v>
      </c>
      <c r="E139" s="226"/>
      <c r="G139" s="224" t="s">
        <v>13</v>
      </c>
      <c r="H139" s="224" t="s">
        <v>289</v>
      </c>
      <c r="I139" s="224" t="s">
        <v>20</v>
      </c>
      <c r="J139" s="224">
        <v>70</v>
      </c>
      <c r="K139" s="227">
        <f t="array" ref="K139">IFERROR(INDEX([1]Grille_Tarifs_Modulable!$B$2:$B$204,MATCH(Tableau14[[#This Row],[Designation]]&amp;Tableau14[[#This Row],[CL]],[1]Grille_Tarifs_Modulable!$C$2:$C$204&amp;[1]Grille_Tarifs_Modulable!$F$2:$F$204,0)),0)</f>
        <v>8017450002104</v>
      </c>
      <c r="L139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14.266482999999999</v>
      </c>
      <c r="M139" s="228">
        <f>IF(Tableau14[[#This Row],[Prix_Unit_HT]]=0,0,Tableau14[[#This Row],[Prix_Unit_HT]]+(Tableau14[[#This Row],[Prix_Unit_HT]]*VLOOKUP(Tableau14[[#This Row],[EAN]],[1]Grille_Tarifs_Modulable!$B$10:$Q$204,16,FALSE)))</f>
        <v>17.119779600000001</v>
      </c>
      <c r="N139" s="224">
        <v>6</v>
      </c>
      <c r="O139" s="228">
        <f>ROUND(Tableau14[[#This Row],[Prix_Unit_HT]],2)*Tableau14[[#This Row],[Qte_commande]]</f>
        <v>85.62</v>
      </c>
      <c r="P139" s="228">
        <f>ROUND(Tableau14[[#This Row],[Prix_Unit_TTC]],2)*Tableau14[[#This Row],[Qte_commande]]</f>
        <v>102.72</v>
      </c>
      <c r="Q139" s="224">
        <v>6</v>
      </c>
      <c r="R139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6.0000000000000009</v>
      </c>
      <c r="U139" s="224"/>
      <c r="V139" s="224"/>
    </row>
    <row r="140" spans="1:22" ht="12.75" x14ac:dyDescent="0.2">
      <c r="A140" s="225">
        <v>42548</v>
      </c>
      <c r="B140" s="224" t="s">
        <v>571</v>
      </c>
      <c r="C140" s="224" t="s">
        <v>572</v>
      </c>
      <c r="D140" s="224" t="s">
        <v>209</v>
      </c>
      <c r="E140" s="226"/>
      <c r="G140" s="224" t="s">
        <v>13</v>
      </c>
      <c r="H140" s="224" t="s">
        <v>196</v>
      </c>
      <c r="I140" s="224" t="s">
        <v>66</v>
      </c>
      <c r="J140" s="224">
        <v>50</v>
      </c>
      <c r="K140" s="227">
        <f t="array" ref="K140">IFERROR(INDEX([1]Grille_Tarifs_Modulable!$B$2:$B$204,MATCH(Tableau14[[#This Row],[Designation]]&amp;Tableau14[[#This Row],[CL]],[1]Grille_Tarifs_Modulable!$C$2:$C$204&amp;[1]Grille_Tarifs_Modulable!$F$2:$F$204,0)),0)</f>
        <v>4260310553382</v>
      </c>
      <c r="L140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1.1000000000000001</v>
      </c>
      <c r="M140" s="228">
        <f>IF(Tableau14[[#This Row],[Prix_Unit_HT]]=0,0,Tableau14[[#This Row],[Prix_Unit_HT]]+(Tableau14[[#This Row],[Prix_Unit_HT]]*VLOOKUP(Tableau14[[#This Row],[EAN]],[1]Grille_Tarifs_Modulable!$B$10:$Q$204,16,FALSE)))</f>
        <v>1.1605000000000001</v>
      </c>
      <c r="N140" s="224">
        <v>40</v>
      </c>
      <c r="O140" s="228">
        <f>ROUND(Tableau14[[#This Row],[Prix_Unit_HT]],2)*Tableau14[[#This Row],[Qte_commande]]</f>
        <v>44</v>
      </c>
      <c r="P140" s="228">
        <f>ROUND(Tableau14[[#This Row],[Prix_Unit_TTC]],2)*Tableau14[[#This Row],[Qte_commande]]</f>
        <v>46.4</v>
      </c>
      <c r="Q140" s="224">
        <v>28.57</v>
      </c>
      <c r="R140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28.571428571428573</v>
      </c>
      <c r="U140" s="224"/>
      <c r="V140" s="224"/>
    </row>
    <row r="141" spans="1:22" ht="12.75" x14ac:dyDescent="0.2">
      <c r="A141" s="225">
        <v>42548</v>
      </c>
      <c r="B141" s="224" t="s">
        <v>571</v>
      </c>
      <c r="C141" s="224" t="s">
        <v>572</v>
      </c>
      <c r="D141" s="224" t="s">
        <v>209</v>
      </c>
      <c r="E141" s="226"/>
      <c r="G141" s="224" t="s">
        <v>13</v>
      </c>
      <c r="H141" s="224" t="s">
        <v>289</v>
      </c>
      <c r="I141" s="224" t="s">
        <v>17</v>
      </c>
      <c r="J141" s="224">
        <v>70</v>
      </c>
      <c r="K141" s="227">
        <f t="array" ref="K141">IFERROR(INDEX([1]Grille_Tarifs_Modulable!$B$2:$B$204,MATCH(Tableau14[[#This Row],[Designation]]&amp;Tableau14[[#This Row],[CL]],[1]Grille_Tarifs_Modulable!$C$2:$C$204&amp;[1]Grille_Tarifs_Modulable!$F$2:$F$204,0)),0)</f>
        <v>8002095100001</v>
      </c>
      <c r="L141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16.028644</v>
      </c>
      <c r="M141" s="228">
        <f>IF(Tableau14[[#This Row],[Prix_Unit_HT]]=0,0,Tableau14[[#This Row],[Prix_Unit_HT]]+(Tableau14[[#This Row],[Prix_Unit_HT]]*VLOOKUP(Tableau14[[#This Row],[EAN]],[1]Grille_Tarifs_Modulable!$B$10:$Q$204,16,FALSE)))</f>
        <v>19.234372799999999</v>
      </c>
      <c r="N141" s="224">
        <v>6</v>
      </c>
      <c r="O141" s="228">
        <f>ROUND(Tableau14[[#This Row],[Prix_Unit_HT]],2)*Tableau14[[#This Row],[Qte_commande]]</f>
        <v>96.18</v>
      </c>
      <c r="P141" s="228">
        <f>ROUND(Tableau14[[#This Row],[Prix_Unit_TTC]],2)*Tableau14[[#This Row],[Qte_commande]]</f>
        <v>115.38</v>
      </c>
      <c r="Q141" s="224">
        <v>6</v>
      </c>
      <c r="R141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6.0000000000000009</v>
      </c>
      <c r="U141" s="224"/>
      <c r="V141" s="224"/>
    </row>
    <row r="142" spans="1:22" ht="12.75" x14ac:dyDescent="0.2">
      <c r="A142" s="225">
        <v>42548</v>
      </c>
      <c r="B142" s="224" t="s">
        <v>571</v>
      </c>
      <c r="C142" s="224" t="s">
        <v>572</v>
      </c>
      <c r="D142" s="224" t="s">
        <v>209</v>
      </c>
      <c r="E142" s="226"/>
      <c r="G142" s="224" t="s">
        <v>13</v>
      </c>
      <c r="H142" s="224" t="s">
        <v>289</v>
      </c>
      <c r="I142" s="224" t="s">
        <v>42</v>
      </c>
      <c r="J142" s="224">
        <v>70</v>
      </c>
      <c r="K142" s="227">
        <f t="array" ref="K142">IFERROR(INDEX([1]Grille_Tarifs_Modulable!$B$2:$B$204,MATCH(Tableau14[[#This Row],[Designation]]&amp;Tableau14[[#This Row],[CL]],[1]Grille_Tarifs_Modulable!$C$2:$C$204&amp;[1]Grille_Tarifs_Modulable!$F$2:$F$204,0)),0)</f>
        <v>3257150688009</v>
      </c>
      <c r="L142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14.5169152</v>
      </c>
      <c r="M142" s="228">
        <f>IF(Tableau14[[#This Row],[Prix_Unit_HT]]=0,0,Tableau14[[#This Row],[Prix_Unit_HT]]+(Tableau14[[#This Row],[Prix_Unit_HT]]*VLOOKUP(Tableau14[[#This Row],[EAN]],[1]Grille_Tarifs_Modulable!$B$10:$Q$204,16,FALSE)))</f>
        <v>17.420298240000001</v>
      </c>
      <c r="N142" s="224">
        <v>6</v>
      </c>
      <c r="O142" s="228">
        <f>ROUND(Tableau14[[#This Row],[Prix_Unit_HT]],2)*Tableau14[[#This Row],[Qte_commande]]</f>
        <v>87.12</v>
      </c>
      <c r="P142" s="228">
        <f>ROUND(Tableau14[[#This Row],[Prix_Unit_TTC]],2)*Tableau14[[#This Row],[Qte_commande]]</f>
        <v>104.52000000000001</v>
      </c>
      <c r="Q142" s="224">
        <v>6</v>
      </c>
      <c r="R142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6.0000000000000009</v>
      </c>
      <c r="U142" s="224"/>
      <c r="V142" s="224"/>
    </row>
    <row r="143" spans="1:22" ht="12.75" x14ac:dyDescent="0.2">
      <c r="A143" s="225">
        <v>42548</v>
      </c>
      <c r="B143" s="224" t="s">
        <v>978</v>
      </c>
      <c r="C143" s="224" t="s">
        <v>168</v>
      </c>
      <c r="D143" s="224" t="s">
        <v>979</v>
      </c>
      <c r="E143" s="226"/>
      <c r="G143" s="224" t="s">
        <v>13</v>
      </c>
      <c r="H143" s="224" t="s">
        <v>451</v>
      </c>
      <c r="I143" s="224" t="s">
        <v>69</v>
      </c>
      <c r="J143" s="227">
        <v>3</v>
      </c>
      <c r="K143" s="227">
        <f t="array" ref="K143">IFERROR(INDEX([1]Grille_Tarifs_Modulable!$B$2:$B$204,MATCH(Tableau14[[#This Row],[Designation]]&amp;Tableau14[[#This Row],[CL]],[1]Grille_Tarifs_Modulable!$C$2:$C$204&amp;[1]Grille_Tarifs_Modulable!$F$2:$F$204,0)),0)</f>
        <v>121</v>
      </c>
      <c r="L143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299</v>
      </c>
      <c r="M143" s="228">
        <f>IF(Tableau14[[#This Row],[Prix_Unit_HT]]=0,0,Tableau14[[#This Row],[Prix_Unit_HT]]+(Tableau14[[#This Row],[Prix_Unit_HT]]*VLOOKUP(Tableau14[[#This Row],[EAN]],[1]Grille_Tarifs_Modulable!$B$10:$Q$204,16,FALSE)))</f>
        <v>358.8</v>
      </c>
      <c r="N143" s="224">
        <v>1</v>
      </c>
      <c r="O143" s="228">
        <f>ROUND(Tableau14[[#This Row],[Prix_Unit_HT]],2)*Tableau14[[#This Row],[Qte_commande]]</f>
        <v>299</v>
      </c>
      <c r="P143" s="228">
        <f>ROUND(Tableau14[[#This Row],[Prix_Unit_TTC]],2)*Tableau14[[#This Row],[Qte_commande]]</f>
        <v>358.8</v>
      </c>
      <c r="Q143" s="224">
        <v>1</v>
      </c>
      <c r="R143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</v>
      </c>
      <c r="U143" s="224"/>
      <c r="V143" s="224"/>
    </row>
    <row r="144" spans="1:22" ht="12.75" x14ac:dyDescent="0.2">
      <c r="A144" s="225">
        <v>42548</v>
      </c>
      <c r="B144" s="224" t="s">
        <v>980</v>
      </c>
      <c r="C144" s="224" t="s">
        <v>169</v>
      </c>
      <c r="D144" s="224" t="s">
        <v>981</v>
      </c>
      <c r="E144" s="226"/>
      <c r="G144" s="224" t="s">
        <v>13</v>
      </c>
      <c r="H144" s="224" t="s">
        <v>451</v>
      </c>
      <c r="I144" s="224" t="s">
        <v>69</v>
      </c>
      <c r="J144" s="227">
        <v>3</v>
      </c>
      <c r="K144" s="227">
        <f t="array" ref="K144">IFERROR(INDEX([1]Grille_Tarifs_Modulable!$B$2:$B$204,MATCH(Tableau14[[#This Row],[Designation]]&amp;Tableau14[[#This Row],[CL]],[1]Grille_Tarifs_Modulable!$C$2:$C$204&amp;[1]Grille_Tarifs_Modulable!$F$2:$F$204,0)),0)</f>
        <v>121</v>
      </c>
      <c r="L144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299</v>
      </c>
      <c r="M144" s="228">
        <f>IF(Tableau14[[#This Row],[Prix_Unit_HT]]=0,0,Tableau14[[#This Row],[Prix_Unit_HT]]+(Tableau14[[#This Row],[Prix_Unit_HT]]*VLOOKUP(Tableau14[[#This Row],[EAN]],[1]Grille_Tarifs_Modulable!$B$10:$Q$204,16,FALSE)))</f>
        <v>358.8</v>
      </c>
      <c r="N144" s="224">
        <v>1</v>
      </c>
      <c r="O144" s="228">
        <f>ROUND(Tableau14[[#This Row],[Prix_Unit_HT]],2)*Tableau14[[#This Row],[Qte_commande]]</f>
        <v>299</v>
      </c>
      <c r="P144" s="228">
        <f>ROUND(Tableau14[[#This Row],[Prix_Unit_TTC]],2)*Tableau14[[#This Row],[Qte_commande]]</f>
        <v>358.8</v>
      </c>
      <c r="Q144" s="224">
        <v>1</v>
      </c>
      <c r="R144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</v>
      </c>
      <c r="U144" s="224"/>
      <c r="V144" s="224"/>
    </row>
    <row r="145" spans="1:22" ht="12.75" x14ac:dyDescent="0.2">
      <c r="A145" s="225">
        <v>42550</v>
      </c>
      <c r="B145" s="224" t="s">
        <v>200</v>
      </c>
      <c r="C145" s="224" t="s">
        <v>194</v>
      </c>
      <c r="D145" s="224" t="s">
        <v>195</v>
      </c>
      <c r="E145" s="226"/>
      <c r="G145" s="224" t="s">
        <v>1</v>
      </c>
      <c r="H145" s="224" t="s">
        <v>196</v>
      </c>
      <c r="I145" s="224" t="s">
        <v>62</v>
      </c>
      <c r="J145" s="224">
        <v>20</v>
      </c>
      <c r="K145" s="227">
        <f t="array" ref="K145">IFERROR(INDEX([1]Grille_Tarifs_Modulable!$B$2:$B$204,MATCH(Tableau14[[#This Row],[Designation]]&amp;Tableau14[[#This Row],[CL]],[1]Grille_Tarifs_Modulable!$C$2:$C$204&amp;[1]Grille_Tarifs_Modulable!$F$2:$F$204,0)),0)</f>
        <v>4260310550305</v>
      </c>
      <c r="L145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0.81</v>
      </c>
      <c r="M145" s="228">
        <f>IF(Tableau14[[#This Row],[Prix_Unit_HT]]=0,0,Tableau14[[#This Row],[Prix_Unit_HT]]+(Tableau14[[#This Row],[Prix_Unit_HT]]*VLOOKUP(Tableau14[[#This Row],[EAN]],[1]Grille_Tarifs_Modulable!$B$10:$Q$204,16,FALSE)))</f>
        <v>0.85455000000000003</v>
      </c>
      <c r="N145" s="224">
        <v>0</v>
      </c>
      <c r="O145" s="228">
        <f>ROUND(Tableau14[[#This Row],[Prix_Unit_HT]],2)*Tableau14[[#This Row],[Qte_commande]]</f>
        <v>0</v>
      </c>
      <c r="P145" s="228">
        <f>ROUND(Tableau14[[#This Row],[Prix_Unit_TTC]],2)*Tableau14[[#This Row],[Qte_commande]]</f>
        <v>0</v>
      </c>
      <c r="Q145" s="224">
        <v>0</v>
      </c>
      <c r="R145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0</v>
      </c>
      <c r="U145" s="224"/>
      <c r="V145" s="224"/>
    </row>
    <row r="146" spans="1:22" ht="12.75" x14ac:dyDescent="0.2">
      <c r="A146" s="225">
        <v>42550</v>
      </c>
      <c r="B146" s="224" t="s">
        <v>200</v>
      </c>
      <c r="C146" s="224" t="s">
        <v>194</v>
      </c>
      <c r="D146" s="224" t="s">
        <v>195</v>
      </c>
      <c r="E146" s="226"/>
      <c r="G146" s="224" t="s">
        <v>1</v>
      </c>
      <c r="H146" s="224" t="s">
        <v>196</v>
      </c>
      <c r="I146" s="224" t="s">
        <v>65</v>
      </c>
      <c r="J146" s="224">
        <v>20</v>
      </c>
      <c r="K146" s="227">
        <f t="array" ref="K146">IFERROR(INDEX([1]Grille_Tarifs_Modulable!$B$2:$B$204,MATCH(Tableau14[[#This Row],[Designation]]&amp;Tableau14[[#This Row],[CL]],[1]Grille_Tarifs_Modulable!$C$2:$C$204&amp;[1]Grille_Tarifs_Modulable!$F$2:$F$204,0)),0)</f>
        <v>4260310553863</v>
      </c>
      <c r="L146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0.81</v>
      </c>
      <c r="M146" s="228">
        <f>IF(Tableau14[[#This Row],[Prix_Unit_HT]]=0,0,Tableau14[[#This Row],[Prix_Unit_HT]]+(Tableau14[[#This Row],[Prix_Unit_HT]]*VLOOKUP(Tableau14[[#This Row],[EAN]],[1]Grille_Tarifs_Modulable!$B$10:$Q$204,16,FALSE)))</f>
        <v>0.85455000000000003</v>
      </c>
      <c r="N146" s="224">
        <v>0</v>
      </c>
      <c r="O146" s="228">
        <f>ROUND(Tableau14[[#This Row],[Prix_Unit_HT]],2)*Tableau14[[#This Row],[Qte_commande]]</f>
        <v>0</v>
      </c>
      <c r="P146" s="228">
        <f>ROUND(Tableau14[[#This Row],[Prix_Unit_TTC]],2)*Tableau14[[#This Row],[Qte_commande]]</f>
        <v>0</v>
      </c>
      <c r="Q146" s="224">
        <v>0</v>
      </c>
      <c r="R146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0</v>
      </c>
      <c r="U146" s="224"/>
      <c r="V146" s="224"/>
    </row>
    <row r="147" spans="1:22" ht="12.75" x14ac:dyDescent="0.2">
      <c r="A147" s="225">
        <v>42550</v>
      </c>
      <c r="B147" s="224" t="s">
        <v>573</v>
      </c>
      <c r="C147" s="224" t="s">
        <v>308</v>
      </c>
      <c r="D147" s="224" t="s">
        <v>309</v>
      </c>
      <c r="E147" s="226"/>
      <c r="G147" s="224" t="s">
        <v>1</v>
      </c>
      <c r="H147" s="224" t="s">
        <v>289</v>
      </c>
      <c r="I147" s="224" t="s">
        <v>15</v>
      </c>
      <c r="J147" s="224">
        <v>100</v>
      </c>
      <c r="K147" s="227">
        <f t="array" ref="K147">IFERROR(INDEX([1]Grille_Tarifs_Modulable!$B$2:$B$204,MATCH(Tableau14[[#This Row],[Designation]]&amp;Tableau14[[#This Row],[CL]],[1]Grille_Tarifs_Modulable!$C$2:$C$204&amp;[1]Grille_Tarifs_Modulable!$F$2:$F$204,0)),0)</f>
        <v>4067700013842</v>
      </c>
      <c r="L147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17.100804999999998</v>
      </c>
      <c r="M147" s="228">
        <f>IF(Tableau14[[#This Row],[Prix_Unit_HT]]=0,0,Tableau14[[#This Row],[Prix_Unit_HT]]+(Tableau14[[#This Row],[Prix_Unit_HT]]*VLOOKUP(Tableau14[[#This Row],[EAN]],[1]Grille_Tarifs_Modulable!$B$10:$Q$204,16,FALSE)))</f>
        <v>20.520965999999998</v>
      </c>
      <c r="N147" s="224">
        <v>210</v>
      </c>
      <c r="O147" s="228">
        <f>ROUND(Tableau14[[#This Row],[Prix_Unit_HT]],2)*Tableau14[[#This Row],[Qte_commande]]</f>
        <v>3591.0000000000005</v>
      </c>
      <c r="P147" s="228">
        <f>ROUND(Tableau14[[#This Row],[Prix_Unit_TTC]],2)*Tableau14[[#This Row],[Qte_commande]]</f>
        <v>4309.2</v>
      </c>
      <c r="Q147" s="224">
        <v>300</v>
      </c>
      <c r="R147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300</v>
      </c>
      <c r="U147" s="224"/>
      <c r="V147" s="224"/>
    </row>
    <row r="148" spans="1:22" ht="12.75" x14ac:dyDescent="0.2">
      <c r="A148" s="225">
        <v>42550</v>
      </c>
      <c r="B148" s="224" t="s">
        <v>200</v>
      </c>
      <c r="C148" s="224" t="s">
        <v>194</v>
      </c>
      <c r="D148" s="224" t="s">
        <v>195</v>
      </c>
      <c r="E148" s="226"/>
      <c r="G148" s="224" t="s">
        <v>1</v>
      </c>
      <c r="H148" s="224" t="s">
        <v>196</v>
      </c>
      <c r="I148" s="224" t="s">
        <v>66</v>
      </c>
      <c r="J148" s="224">
        <v>50</v>
      </c>
      <c r="K148" s="227">
        <f t="array" ref="K148">IFERROR(INDEX([1]Grille_Tarifs_Modulable!$B$2:$B$204,MATCH(Tableau14[[#This Row],[Designation]]&amp;Tableau14[[#This Row],[CL]],[1]Grille_Tarifs_Modulable!$C$2:$C$204&amp;[1]Grille_Tarifs_Modulable!$F$2:$F$204,0)),0)</f>
        <v>4260310553382</v>
      </c>
      <c r="L148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</v>
      </c>
      <c r="M148" s="228">
        <f>IF(Tableau14[[#This Row],[Prix_Unit_HT]]=0,0,Tableau14[[#This Row],[Prix_Unit_HT]]+(Tableau14[[#This Row],[Prix_Unit_HT]]*VLOOKUP(Tableau14[[#This Row],[EAN]],[1]Grille_Tarifs_Modulable!$B$10:$Q$204,16,FALSE)))</f>
        <v>1.0549999999999999</v>
      </c>
      <c r="N148" s="224">
        <v>0</v>
      </c>
      <c r="O148" s="228">
        <f>ROUND(Tableau14[[#This Row],[Prix_Unit_HT]],2)*Tableau14[[#This Row],[Qte_commande]]</f>
        <v>0</v>
      </c>
      <c r="P148" s="228">
        <f>ROUND(Tableau14[[#This Row],[Prix_Unit_TTC]],2)*Tableau14[[#This Row],[Qte_commande]]</f>
        <v>0</v>
      </c>
      <c r="Q148" s="224">
        <v>0</v>
      </c>
      <c r="R148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0</v>
      </c>
      <c r="U148" s="224"/>
      <c r="V148" s="224"/>
    </row>
    <row r="149" spans="1:22" ht="12.75" x14ac:dyDescent="0.2">
      <c r="A149" s="225">
        <v>42555</v>
      </c>
      <c r="B149" s="224" t="s">
        <v>944</v>
      </c>
      <c r="C149" s="224" t="s">
        <v>664</v>
      </c>
      <c r="D149" s="224" t="s">
        <v>209</v>
      </c>
      <c r="E149" s="226"/>
      <c r="G149" s="224" t="s">
        <v>13</v>
      </c>
      <c r="H149" s="224" t="s">
        <v>289</v>
      </c>
      <c r="I149" s="224" t="s">
        <v>42</v>
      </c>
      <c r="J149" s="224">
        <v>70</v>
      </c>
      <c r="K149" s="227">
        <f t="array" ref="K149">IFERROR(INDEX([1]Grille_Tarifs_Modulable!$B$2:$B$204,MATCH(Tableau14[[#This Row],[Designation]]&amp;Tableau14[[#This Row],[CL]],[1]Grille_Tarifs_Modulable!$C$2:$C$204&amp;[1]Grille_Tarifs_Modulable!$F$2:$F$204,0)),0)</f>
        <v>3257150688009</v>
      </c>
      <c r="L149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14.5169152</v>
      </c>
      <c r="M149" s="228">
        <f>IF(Tableau14[[#This Row],[Prix_Unit_HT]]=0,0,Tableau14[[#This Row],[Prix_Unit_HT]]+(Tableau14[[#This Row],[Prix_Unit_HT]]*VLOOKUP(Tableau14[[#This Row],[EAN]],[1]Grille_Tarifs_Modulable!$B$10:$Q$204,16,FALSE)))</f>
        <v>17.420298240000001</v>
      </c>
      <c r="N149" s="224">
        <v>48</v>
      </c>
      <c r="O149" s="228">
        <f>ROUND(Tableau14[[#This Row],[Prix_Unit_HT]],2)*Tableau14[[#This Row],[Qte_commande]]</f>
        <v>696.96</v>
      </c>
      <c r="P149" s="228">
        <f>ROUND(Tableau14[[#This Row],[Prix_Unit_TTC]],2)*Tableau14[[#This Row],[Qte_commande]]</f>
        <v>836.16000000000008</v>
      </c>
      <c r="Q149" s="224">
        <v>48</v>
      </c>
      <c r="R149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48.000000000000007</v>
      </c>
      <c r="U149" s="224"/>
      <c r="V149" s="224"/>
    </row>
    <row r="150" spans="1:22" ht="12.75" x14ac:dyDescent="0.2">
      <c r="A150" s="225">
        <v>42558</v>
      </c>
      <c r="B150" s="224" t="s">
        <v>982</v>
      </c>
      <c r="C150" s="224" t="s">
        <v>170</v>
      </c>
      <c r="D150" s="224" t="s">
        <v>180</v>
      </c>
      <c r="E150" s="226"/>
      <c r="G150" s="224" t="s">
        <v>13</v>
      </c>
      <c r="H150" s="224" t="s">
        <v>451</v>
      </c>
      <c r="I150" s="224" t="s">
        <v>69</v>
      </c>
      <c r="J150" s="227">
        <v>3</v>
      </c>
      <c r="K150" s="227">
        <f t="array" ref="K150">IFERROR(INDEX([1]Grille_Tarifs_Modulable!$B$2:$B$204,MATCH(Tableau14[[#This Row],[Designation]]&amp;Tableau14[[#This Row],[CL]],[1]Grille_Tarifs_Modulable!$C$2:$C$204&amp;[1]Grille_Tarifs_Modulable!$F$2:$F$204,0)),0)</f>
        <v>121</v>
      </c>
      <c r="L150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299</v>
      </c>
      <c r="M150" s="228">
        <f>IF(Tableau14[[#This Row],[Prix_Unit_HT]]=0,0,Tableau14[[#This Row],[Prix_Unit_HT]]+(Tableau14[[#This Row],[Prix_Unit_HT]]*VLOOKUP(Tableau14[[#This Row],[EAN]],[1]Grille_Tarifs_Modulable!$B$10:$Q$204,16,FALSE)))</f>
        <v>358.8</v>
      </c>
      <c r="N150" s="224">
        <v>1</v>
      </c>
      <c r="O150" s="228">
        <f>ROUND(Tableau14[[#This Row],[Prix_Unit_HT]],2)*Tableau14[[#This Row],[Qte_commande]]</f>
        <v>299</v>
      </c>
      <c r="P150" s="228">
        <f>ROUND(Tableau14[[#This Row],[Prix_Unit_TTC]],2)*Tableau14[[#This Row],[Qte_commande]]</f>
        <v>358.8</v>
      </c>
      <c r="Q150" s="224">
        <v>1</v>
      </c>
      <c r="R150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</v>
      </c>
      <c r="U150" s="224"/>
      <c r="V150" s="224"/>
    </row>
    <row r="151" spans="1:22" ht="12.75" x14ac:dyDescent="0.2">
      <c r="A151" s="225">
        <v>42558</v>
      </c>
      <c r="B151" s="224" t="s">
        <v>983</v>
      </c>
      <c r="C151" s="224" t="s">
        <v>171</v>
      </c>
      <c r="D151" s="224" t="s">
        <v>984</v>
      </c>
      <c r="E151" s="226"/>
      <c r="G151" s="224" t="s">
        <v>13</v>
      </c>
      <c r="H151" s="224" t="s">
        <v>451</v>
      </c>
      <c r="I151" s="224" t="s">
        <v>69</v>
      </c>
      <c r="J151" s="227">
        <v>3</v>
      </c>
      <c r="K151" s="227">
        <f t="array" ref="K151">IFERROR(INDEX([1]Grille_Tarifs_Modulable!$B$2:$B$204,MATCH(Tableau14[[#This Row],[Designation]]&amp;Tableau14[[#This Row],[CL]],[1]Grille_Tarifs_Modulable!$C$2:$C$204&amp;[1]Grille_Tarifs_Modulable!$F$2:$F$204,0)),0)</f>
        <v>121</v>
      </c>
      <c r="L151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299</v>
      </c>
      <c r="M151" s="228">
        <f>IF(Tableau14[[#This Row],[Prix_Unit_HT]]=0,0,Tableau14[[#This Row],[Prix_Unit_HT]]+(Tableau14[[#This Row],[Prix_Unit_HT]]*VLOOKUP(Tableau14[[#This Row],[EAN]],[1]Grille_Tarifs_Modulable!$B$10:$Q$204,16,FALSE)))</f>
        <v>358.8</v>
      </c>
      <c r="N151" s="224">
        <v>1</v>
      </c>
      <c r="O151" s="228">
        <f>ROUND(Tableau14[[#This Row],[Prix_Unit_HT]],2)*Tableau14[[#This Row],[Qte_commande]]</f>
        <v>299</v>
      </c>
      <c r="P151" s="228">
        <f>ROUND(Tableau14[[#This Row],[Prix_Unit_TTC]],2)*Tableau14[[#This Row],[Qte_commande]]</f>
        <v>358.8</v>
      </c>
      <c r="Q151" s="224">
        <v>1</v>
      </c>
      <c r="R151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</v>
      </c>
      <c r="U151" s="224"/>
      <c r="V151" s="224"/>
    </row>
    <row r="152" spans="1:22" ht="12.75" x14ac:dyDescent="0.2">
      <c r="A152" s="225">
        <v>42562</v>
      </c>
      <c r="B152" s="224" t="s">
        <v>574</v>
      </c>
      <c r="C152" s="224" t="s">
        <v>530</v>
      </c>
      <c r="D152" s="224" t="s">
        <v>531</v>
      </c>
      <c r="E152" s="226"/>
      <c r="G152" s="224" t="s">
        <v>1</v>
      </c>
      <c r="H152" s="224" t="s">
        <v>289</v>
      </c>
      <c r="I152" s="224" t="s">
        <v>15</v>
      </c>
      <c r="J152" s="224">
        <v>70</v>
      </c>
      <c r="K152" s="227">
        <f t="array" ref="K152">IFERROR(INDEX([1]Grille_Tarifs_Modulable!$B$2:$B$204,MATCH(Tableau14[[#This Row],[Designation]]&amp;Tableau14[[#This Row],[CL]],[1]Grille_Tarifs_Modulable!$C$2:$C$204&amp;[1]Grille_Tarifs_Modulable!$F$2:$F$204,0)),0)</f>
        <v>4067700013859</v>
      </c>
      <c r="L152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12.532563499999998</v>
      </c>
      <c r="M152" s="228">
        <f>IF(Tableau14[[#This Row],[Prix_Unit_HT]]=0,0,Tableau14[[#This Row],[Prix_Unit_HT]]+(Tableau14[[#This Row],[Prix_Unit_HT]]*VLOOKUP(Tableau14[[#This Row],[EAN]],[1]Grille_Tarifs_Modulable!$B$10:$Q$204,16,FALSE)))</f>
        <v>15.039076199999998</v>
      </c>
      <c r="N152" s="224">
        <v>150</v>
      </c>
      <c r="O152" s="228">
        <f>ROUND(Tableau14[[#This Row],[Prix_Unit_HT]],2)*Tableau14[[#This Row],[Qte_commande]]</f>
        <v>1879.5</v>
      </c>
      <c r="P152" s="228">
        <f>ROUND(Tableau14[[#This Row],[Prix_Unit_TTC]],2)*Tableau14[[#This Row],[Qte_commande]]</f>
        <v>2256</v>
      </c>
      <c r="Q152" s="224">
        <v>150</v>
      </c>
      <c r="R152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150</v>
      </c>
      <c r="U152" s="224"/>
      <c r="V152" s="224"/>
    </row>
    <row r="153" spans="1:22" ht="12.75" x14ac:dyDescent="0.2">
      <c r="A153" s="225">
        <v>42570</v>
      </c>
      <c r="B153" s="224" t="s">
        <v>985</v>
      </c>
      <c r="C153" s="224" t="s">
        <v>160</v>
      </c>
      <c r="D153" s="224" t="s">
        <v>330</v>
      </c>
      <c r="E153" s="226"/>
      <c r="G153" s="224" t="s">
        <v>13</v>
      </c>
      <c r="H153" s="224" t="s">
        <v>451</v>
      </c>
      <c r="I153" s="224" t="s">
        <v>69</v>
      </c>
      <c r="J153" s="227">
        <v>3</v>
      </c>
      <c r="K153" s="227">
        <f t="array" ref="K153">IFERROR(INDEX([1]Grille_Tarifs_Modulable!$B$2:$B$204,MATCH(Tableau14[[#This Row],[Designation]]&amp;Tableau14[[#This Row],[CL]],[1]Grille_Tarifs_Modulable!$C$2:$C$204&amp;[1]Grille_Tarifs_Modulable!$F$2:$F$204,0)),0)</f>
        <v>121</v>
      </c>
      <c r="L153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299</v>
      </c>
      <c r="M153" s="228">
        <f>IF(Tableau14[[#This Row],[Prix_Unit_HT]]=0,0,Tableau14[[#This Row],[Prix_Unit_HT]]+(Tableau14[[#This Row],[Prix_Unit_HT]]*VLOOKUP(Tableau14[[#This Row],[EAN]],[1]Grille_Tarifs_Modulable!$B$10:$Q$204,16,FALSE)))</f>
        <v>358.8</v>
      </c>
      <c r="N153" s="224">
        <v>1</v>
      </c>
      <c r="O153" s="228">
        <f>ROUND(Tableau14[[#This Row],[Prix_Unit_HT]],2)*Tableau14[[#This Row],[Qte_commande]]</f>
        <v>299</v>
      </c>
      <c r="P153" s="228">
        <f>ROUND(Tableau14[[#This Row],[Prix_Unit_TTC]],2)*Tableau14[[#This Row],[Qte_commande]]</f>
        <v>358.8</v>
      </c>
      <c r="Q153" s="224">
        <v>1</v>
      </c>
      <c r="R153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</v>
      </c>
      <c r="U153" s="224"/>
      <c r="V153" s="224"/>
    </row>
    <row r="154" spans="1:22" ht="12.75" x14ac:dyDescent="0.2">
      <c r="A154" s="225">
        <v>42578</v>
      </c>
      <c r="B154" s="224" t="s">
        <v>508</v>
      </c>
      <c r="C154" s="224" t="s">
        <v>509</v>
      </c>
      <c r="D154" s="224" t="s">
        <v>443</v>
      </c>
      <c r="E154" s="226"/>
      <c r="G154" s="224" t="s">
        <v>13</v>
      </c>
      <c r="H154" s="224" t="s">
        <v>196</v>
      </c>
      <c r="I154" s="224" t="s">
        <v>60</v>
      </c>
      <c r="J154" s="224">
        <v>20</v>
      </c>
      <c r="K154" s="227">
        <f t="array" ref="K154">IFERROR(INDEX([1]Grille_Tarifs_Modulable!$B$2:$B$204,MATCH(Tableau14[[#This Row],[Designation]]&amp;Tableau14[[#This Row],[CL]],[1]Grille_Tarifs_Modulable!$C$2:$C$204&amp;[1]Grille_Tarifs_Modulable!$F$2:$F$204,0)),0)</f>
        <v>4260310553832</v>
      </c>
      <c r="L154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0.89</v>
      </c>
      <c r="M154" s="228">
        <f>IF(Tableau14[[#This Row],[Prix_Unit_HT]]=0,0,Tableau14[[#This Row],[Prix_Unit_HT]]+(Tableau14[[#This Row],[Prix_Unit_HT]]*VLOOKUP(Tableau14[[#This Row],[EAN]],[1]Grille_Tarifs_Modulable!$B$10:$Q$204,16,FALSE)))</f>
        <v>0.93895000000000006</v>
      </c>
      <c r="N154" s="224">
        <v>48</v>
      </c>
      <c r="O154" s="228">
        <f>ROUND(Tableau14[[#This Row],[Prix_Unit_HT]],2)*Tableau14[[#This Row],[Qte_commande]]</f>
        <v>42.72</v>
      </c>
      <c r="P154" s="228">
        <f>ROUND(Tableau14[[#This Row],[Prix_Unit_TTC]],2)*Tableau14[[#This Row],[Qte_commande]]</f>
        <v>45.12</v>
      </c>
      <c r="Q154" s="224">
        <v>13.71</v>
      </c>
      <c r="R154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13.714285714285715</v>
      </c>
      <c r="U154" s="224"/>
      <c r="V154" s="224"/>
    </row>
    <row r="155" spans="1:22" ht="12.75" x14ac:dyDescent="0.2">
      <c r="A155" s="225">
        <v>42578</v>
      </c>
      <c r="B155" s="224" t="s">
        <v>508</v>
      </c>
      <c r="C155" s="224" t="s">
        <v>509</v>
      </c>
      <c r="D155" s="224" t="s">
        <v>443</v>
      </c>
      <c r="E155" s="226"/>
      <c r="G155" s="224" t="s">
        <v>13</v>
      </c>
      <c r="H155" s="224" t="s">
        <v>289</v>
      </c>
      <c r="I155" s="224" t="s">
        <v>20</v>
      </c>
      <c r="J155" s="224">
        <v>70</v>
      </c>
      <c r="K155" s="227">
        <f t="array" ref="K155">IFERROR(INDEX([1]Grille_Tarifs_Modulable!$B$2:$B$204,MATCH(Tableau14[[#This Row],[Designation]]&amp;Tableau14[[#This Row],[CL]],[1]Grille_Tarifs_Modulable!$C$2:$C$204&amp;[1]Grille_Tarifs_Modulable!$F$2:$F$204,0)),0)</f>
        <v>8017450002104</v>
      </c>
      <c r="L155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14.266482999999999</v>
      </c>
      <c r="M155" s="228">
        <f>IF(Tableau14[[#This Row],[Prix_Unit_HT]]=0,0,Tableau14[[#This Row],[Prix_Unit_HT]]+(Tableau14[[#This Row],[Prix_Unit_HT]]*VLOOKUP(Tableau14[[#This Row],[EAN]],[1]Grille_Tarifs_Modulable!$B$10:$Q$204,16,FALSE)))</f>
        <v>17.119779600000001</v>
      </c>
      <c r="N155" s="224">
        <v>6</v>
      </c>
      <c r="O155" s="228">
        <f>ROUND(Tableau14[[#This Row],[Prix_Unit_HT]],2)*Tableau14[[#This Row],[Qte_commande]]</f>
        <v>85.62</v>
      </c>
      <c r="P155" s="228">
        <f>ROUND(Tableau14[[#This Row],[Prix_Unit_TTC]],2)*Tableau14[[#This Row],[Qte_commande]]</f>
        <v>102.72</v>
      </c>
      <c r="Q155" s="224">
        <v>6</v>
      </c>
      <c r="R155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6.0000000000000009</v>
      </c>
      <c r="U155" s="224"/>
      <c r="V155" s="224"/>
    </row>
    <row r="156" spans="1:22" ht="12.75" x14ac:dyDescent="0.2">
      <c r="A156" s="225">
        <v>42578</v>
      </c>
      <c r="B156" s="224" t="s">
        <v>813</v>
      </c>
      <c r="C156" s="224" t="s">
        <v>305</v>
      </c>
      <c r="D156" s="224" t="s">
        <v>180</v>
      </c>
      <c r="E156" s="226"/>
      <c r="G156" s="224" t="s">
        <v>1</v>
      </c>
      <c r="H156" s="224" t="s">
        <v>196</v>
      </c>
      <c r="I156" s="224" t="s">
        <v>66</v>
      </c>
      <c r="J156" s="224">
        <v>50</v>
      </c>
      <c r="K156" s="227">
        <f t="array" ref="K156">IFERROR(INDEX([1]Grille_Tarifs_Modulable!$B$2:$B$204,MATCH(Tableau14[[#This Row],[Designation]]&amp;Tableau14[[#This Row],[CL]],[1]Grille_Tarifs_Modulable!$C$2:$C$204&amp;[1]Grille_Tarifs_Modulable!$F$2:$F$204,0)),0)</f>
        <v>4260310553382</v>
      </c>
      <c r="L156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</v>
      </c>
      <c r="M156" s="228">
        <f>IF(Tableau14[[#This Row],[Prix_Unit_HT]]=0,0,Tableau14[[#This Row],[Prix_Unit_HT]]+(Tableau14[[#This Row],[Prix_Unit_HT]]*VLOOKUP(Tableau14[[#This Row],[EAN]],[1]Grille_Tarifs_Modulable!$B$10:$Q$204,16,FALSE)))</f>
        <v>1.0549999999999999</v>
      </c>
      <c r="N156" s="224">
        <v>100</v>
      </c>
      <c r="O156" s="228">
        <f>ROUND(Tableau14[[#This Row],[Prix_Unit_HT]],2)*Tableau14[[#This Row],[Qte_commande]]</f>
        <v>100</v>
      </c>
      <c r="P156" s="228">
        <f>ROUND(Tableau14[[#This Row],[Prix_Unit_TTC]],2)*Tableau14[[#This Row],[Qte_commande]]</f>
        <v>106</v>
      </c>
      <c r="Q156" s="224">
        <v>71.430000000000007</v>
      </c>
      <c r="R156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71.428571428571431</v>
      </c>
      <c r="U156" s="224"/>
      <c r="V156" s="224"/>
    </row>
    <row r="157" spans="1:22" ht="12.75" x14ac:dyDescent="0.2">
      <c r="A157" s="225">
        <v>42578</v>
      </c>
      <c r="B157" s="224" t="s">
        <v>508</v>
      </c>
      <c r="C157" s="224" t="s">
        <v>509</v>
      </c>
      <c r="D157" s="224" t="s">
        <v>443</v>
      </c>
      <c r="E157" s="226"/>
      <c r="G157" s="224" t="s">
        <v>13</v>
      </c>
      <c r="H157" s="224" t="s">
        <v>196</v>
      </c>
      <c r="I157" s="224" t="s">
        <v>66</v>
      </c>
      <c r="J157" s="224">
        <v>50</v>
      </c>
      <c r="K157" s="227">
        <f t="array" ref="K157">IFERROR(INDEX([1]Grille_Tarifs_Modulable!$B$2:$B$204,MATCH(Tableau14[[#This Row],[Designation]]&amp;Tableau14[[#This Row],[CL]],[1]Grille_Tarifs_Modulable!$C$2:$C$204&amp;[1]Grille_Tarifs_Modulable!$F$2:$F$204,0)),0)</f>
        <v>4260310553382</v>
      </c>
      <c r="L157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1.1000000000000001</v>
      </c>
      <c r="M157" s="228">
        <f>IF(Tableau14[[#This Row],[Prix_Unit_HT]]=0,0,Tableau14[[#This Row],[Prix_Unit_HT]]+(Tableau14[[#This Row],[Prix_Unit_HT]]*VLOOKUP(Tableau14[[#This Row],[EAN]],[1]Grille_Tarifs_Modulable!$B$10:$Q$204,16,FALSE)))</f>
        <v>1.1605000000000001</v>
      </c>
      <c r="N157" s="224">
        <v>40</v>
      </c>
      <c r="O157" s="228">
        <f>ROUND(Tableau14[[#This Row],[Prix_Unit_HT]],2)*Tableau14[[#This Row],[Qte_commande]]</f>
        <v>44</v>
      </c>
      <c r="P157" s="228">
        <f>ROUND(Tableau14[[#This Row],[Prix_Unit_TTC]],2)*Tableau14[[#This Row],[Qte_commande]]</f>
        <v>46.4</v>
      </c>
      <c r="Q157" s="224">
        <v>28.57</v>
      </c>
      <c r="R157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28.571428571428573</v>
      </c>
      <c r="U157" s="224"/>
      <c r="V157" s="224"/>
    </row>
    <row r="158" spans="1:22" ht="12.75" x14ac:dyDescent="0.2">
      <c r="A158" s="225">
        <v>42578</v>
      </c>
      <c r="B158" s="224" t="s">
        <v>508</v>
      </c>
      <c r="C158" s="224" t="s">
        <v>509</v>
      </c>
      <c r="D158" s="224" t="s">
        <v>443</v>
      </c>
      <c r="E158" s="226"/>
      <c r="G158" s="224" t="s">
        <v>13</v>
      </c>
      <c r="H158" s="224" t="s">
        <v>289</v>
      </c>
      <c r="I158" s="224" t="s">
        <v>42</v>
      </c>
      <c r="J158" s="224">
        <v>70</v>
      </c>
      <c r="K158" s="227">
        <f t="array" ref="K158">IFERROR(INDEX([1]Grille_Tarifs_Modulable!$B$2:$B$204,MATCH(Tableau14[[#This Row],[Designation]]&amp;Tableau14[[#This Row],[CL]],[1]Grille_Tarifs_Modulable!$C$2:$C$204&amp;[1]Grille_Tarifs_Modulable!$F$2:$F$204,0)),0)</f>
        <v>3257150688009</v>
      </c>
      <c r="L158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14.5169152</v>
      </c>
      <c r="M158" s="228">
        <f>IF(Tableau14[[#This Row],[Prix_Unit_HT]]=0,0,Tableau14[[#This Row],[Prix_Unit_HT]]+(Tableau14[[#This Row],[Prix_Unit_HT]]*VLOOKUP(Tableau14[[#This Row],[EAN]],[1]Grille_Tarifs_Modulable!$B$10:$Q$204,16,FALSE)))</f>
        <v>17.420298240000001</v>
      </c>
      <c r="N158" s="224">
        <v>6</v>
      </c>
      <c r="O158" s="228">
        <f>ROUND(Tableau14[[#This Row],[Prix_Unit_HT]],2)*Tableau14[[#This Row],[Qte_commande]]</f>
        <v>87.12</v>
      </c>
      <c r="P158" s="228">
        <f>ROUND(Tableau14[[#This Row],[Prix_Unit_TTC]],2)*Tableau14[[#This Row],[Qte_commande]]</f>
        <v>104.52000000000001</v>
      </c>
      <c r="Q158" s="224">
        <v>6</v>
      </c>
      <c r="R158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6.0000000000000009</v>
      </c>
      <c r="U158" s="224"/>
      <c r="V158" s="224"/>
    </row>
    <row r="159" spans="1:22" ht="12.75" x14ac:dyDescent="0.2">
      <c r="A159" s="225">
        <v>42578</v>
      </c>
      <c r="B159" s="224" t="s">
        <v>508</v>
      </c>
      <c r="C159" s="224" t="s">
        <v>509</v>
      </c>
      <c r="D159" s="224" t="s">
        <v>443</v>
      </c>
      <c r="E159" s="226"/>
      <c r="G159" s="224" t="s">
        <v>13</v>
      </c>
      <c r="H159" s="224" t="s">
        <v>196</v>
      </c>
      <c r="I159" s="224" t="s">
        <v>64</v>
      </c>
      <c r="J159" s="224">
        <v>20</v>
      </c>
      <c r="K159" s="227">
        <f t="array" ref="K159">IFERROR(INDEX([1]Grille_Tarifs_Modulable!$B$2:$B$204,MATCH(Tableau14[[#This Row],[Designation]]&amp;Tableau14[[#This Row],[CL]],[1]Grille_Tarifs_Modulable!$C$2:$C$204&amp;[1]Grille_Tarifs_Modulable!$F$2:$F$204,0)),0)</f>
        <v>4260310553849</v>
      </c>
      <c r="L159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0.89</v>
      </c>
      <c r="M159" s="228">
        <f>IF(Tableau14[[#This Row],[Prix_Unit_HT]]=0,0,Tableau14[[#This Row],[Prix_Unit_HT]]+(Tableau14[[#This Row],[Prix_Unit_HT]]*VLOOKUP(Tableau14[[#This Row],[EAN]],[1]Grille_Tarifs_Modulable!$B$10:$Q$204,16,FALSE)))</f>
        <v>0.93895000000000006</v>
      </c>
      <c r="N159" s="224">
        <v>24</v>
      </c>
      <c r="O159" s="228">
        <f>ROUND(Tableau14[[#This Row],[Prix_Unit_HT]],2)*Tableau14[[#This Row],[Qte_commande]]</f>
        <v>21.36</v>
      </c>
      <c r="P159" s="228">
        <f>ROUND(Tableau14[[#This Row],[Prix_Unit_TTC]],2)*Tableau14[[#This Row],[Qte_commande]]</f>
        <v>22.56</v>
      </c>
      <c r="Q159" s="224">
        <v>6.86</v>
      </c>
      <c r="R159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6.8571428571428577</v>
      </c>
      <c r="U159" s="224"/>
      <c r="V159" s="224"/>
    </row>
    <row r="160" spans="1:22" ht="12.75" x14ac:dyDescent="0.2">
      <c r="A160" s="225">
        <v>42578</v>
      </c>
      <c r="B160" s="224" t="s">
        <v>508</v>
      </c>
      <c r="C160" s="224" t="s">
        <v>509</v>
      </c>
      <c r="D160" s="224" t="s">
        <v>443</v>
      </c>
      <c r="E160" s="226"/>
      <c r="G160" s="224" t="s">
        <v>13</v>
      </c>
      <c r="H160" s="224" t="s">
        <v>289</v>
      </c>
      <c r="I160" s="224" t="s">
        <v>1352</v>
      </c>
      <c r="J160" s="224">
        <v>70</v>
      </c>
      <c r="K160" s="227">
        <f t="array" ref="K160">IFERROR(INDEX([1]Grille_Tarifs_Modulable!$B$2:$B$204,MATCH(Tableau14[[#This Row],[Designation]]&amp;Tableau14[[#This Row],[CL]],[1]Grille_Tarifs_Modulable!$C$2:$C$204&amp;[1]Grille_Tarifs_Modulable!$F$2:$F$204,0)),0)</f>
        <v>0</v>
      </c>
      <c r="L160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</v>
      </c>
      <c r="M160" s="228">
        <f>IF(Tableau14[[#This Row],[Prix_Unit_HT]]=0,0,Tableau14[[#This Row],[Prix_Unit_HT]]+(Tableau14[[#This Row],[Prix_Unit_HT]]*VLOOKUP(Tableau14[[#This Row],[EAN]],[1]Grille_Tarifs_Modulable!$B$10:$Q$204,16,FALSE)))</f>
        <v>0</v>
      </c>
      <c r="N160" s="224">
        <v>6</v>
      </c>
      <c r="O160" s="228">
        <f>ROUND(Tableau14[[#This Row],[Prix_Unit_HT]],2)*Tableau14[[#This Row],[Qte_commande]]</f>
        <v>0</v>
      </c>
      <c r="P160" s="228">
        <f>ROUND(Tableau14[[#This Row],[Prix_Unit_TTC]],2)*Tableau14[[#This Row],[Qte_commande]]</f>
        <v>0</v>
      </c>
      <c r="Q160" s="224">
        <v>6</v>
      </c>
      <c r="R160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6.0000000000000009</v>
      </c>
      <c r="U160" s="224"/>
      <c r="V160" s="224"/>
    </row>
    <row r="161" spans="1:22" ht="12.75" x14ac:dyDescent="0.2">
      <c r="A161" s="225">
        <v>42579</v>
      </c>
      <c r="B161" s="224" t="s">
        <v>575</v>
      </c>
      <c r="C161" s="224" t="s">
        <v>545</v>
      </c>
      <c r="D161" s="224" t="s">
        <v>546</v>
      </c>
      <c r="E161" s="226"/>
      <c r="F161" s="224" t="s">
        <v>547</v>
      </c>
      <c r="G161" s="224" t="s">
        <v>13</v>
      </c>
      <c r="H161" s="224" t="s">
        <v>289</v>
      </c>
      <c r="I161" s="224" t="s">
        <v>15</v>
      </c>
      <c r="J161" s="224">
        <v>175</v>
      </c>
      <c r="K161" s="227">
        <f t="array" ref="K161">IFERROR(INDEX([1]Grille_Tarifs_Modulable!$B$2:$B$204,MATCH(Tableau14[[#This Row],[Designation]]&amp;Tableau14[[#This Row],[CL]],[1]Grille_Tarifs_Modulable!$C$2:$C$204&amp;[1]Grille_Tarifs_Modulable!$F$2:$F$204,0)),0)</f>
        <v>4067700013835</v>
      </c>
      <c r="L161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32.266408749999997</v>
      </c>
      <c r="M161" s="228">
        <f>IF(Tableau14[[#This Row],[Prix_Unit_HT]]=0,0,Tableau14[[#This Row],[Prix_Unit_HT]]+(Tableau14[[#This Row],[Prix_Unit_HT]]*VLOOKUP(Tableau14[[#This Row],[EAN]],[1]Grille_Tarifs_Modulable!$B$10:$Q$204,16,FALSE)))</f>
        <v>38.719690499999999</v>
      </c>
      <c r="N161" s="224">
        <v>24</v>
      </c>
      <c r="O161" s="228">
        <f>ROUND(Tableau14[[#This Row],[Prix_Unit_HT]],2)*Tableau14[[#This Row],[Qte_commande]]</f>
        <v>774.48</v>
      </c>
      <c r="P161" s="228">
        <f>ROUND(Tableau14[[#This Row],[Prix_Unit_TTC]],2)*Tableau14[[#This Row],[Qte_commande]]</f>
        <v>929.28</v>
      </c>
      <c r="Q161" s="224">
        <v>60</v>
      </c>
      <c r="R161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60.000000000000007</v>
      </c>
      <c r="U161" s="224"/>
      <c r="V161" s="224"/>
    </row>
    <row r="162" spans="1:22" ht="12.75" x14ac:dyDescent="0.2">
      <c r="A162" s="225">
        <v>42583</v>
      </c>
      <c r="B162" s="224" t="s">
        <v>814</v>
      </c>
      <c r="C162" s="224" t="s">
        <v>506</v>
      </c>
      <c r="D162" s="224" t="s">
        <v>443</v>
      </c>
      <c r="E162" s="226"/>
      <c r="G162" s="224" t="s">
        <v>13</v>
      </c>
      <c r="H162" s="224" t="s">
        <v>196</v>
      </c>
      <c r="I162" s="224" t="s">
        <v>66</v>
      </c>
      <c r="J162" s="224">
        <v>50</v>
      </c>
      <c r="K162" s="227">
        <f t="array" ref="K162">IFERROR(INDEX([1]Grille_Tarifs_Modulable!$B$2:$B$204,MATCH(Tableau14[[#This Row],[Designation]]&amp;Tableau14[[#This Row],[CL]],[1]Grille_Tarifs_Modulable!$C$2:$C$204&amp;[1]Grille_Tarifs_Modulable!$F$2:$F$204,0)),0)</f>
        <v>4260310553382</v>
      </c>
      <c r="L162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1.1000000000000001</v>
      </c>
      <c r="M162" s="228">
        <f>IF(Tableau14[[#This Row],[Prix_Unit_HT]]=0,0,Tableau14[[#This Row],[Prix_Unit_HT]]+(Tableau14[[#This Row],[Prix_Unit_HT]]*VLOOKUP(Tableau14[[#This Row],[EAN]],[1]Grille_Tarifs_Modulable!$B$10:$Q$204,16,FALSE)))</f>
        <v>1.1605000000000001</v>
      </c>
      <c r="N162" s="224">
        <v>100</v>
      </c>
      <c r="O162" s="228">
        <f>ROUND(Tableau14[[#This Row],[Prix_Unit_HT]],2)*Tableau14[[#This Row],[Qte_commande]]</f>
        <v>110.00000000000001</v>
      </c>
      <c r="P162" s="228">
        <f>ROUND(Tableau14[[#This Row],[Prix_Unit_TTC]],2)*Tableau14[[#This Row],[Qte_commande]]</f>
        <v>115.99999999999999</v>
      </c>
      <c r="Q162" s="224">
        <v>71.430000000000007</v>
      </c>
      <c r="R162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71.428571428571431</v>
      </c>
      <c r="U162" s="224"/>
      <c r="V162" s="224"/>
    </row>
    <row r="163" spans="1:22" ht="12.75" x14ac:dyDescent="0.2">
      <c r="A163" s="225">
        <v>42583</v>
      </c>
      <c r="B163" s="224" t="s">
        <v>815</v>
      </c>
      <c r="C163" s="224" t="s">
        <v>442</v>
      </c>
      <c r="D163" s="224" t="s">
        <v>443</v>
      </c>
      <c r="E163" s="226"/>
      <c r="G163" s="224" t="s">
        <v>13</v>
      </c>
      <c r="H163" s="224" t="s">
        <v>196</v>
      </c>
      <c r="I163" s="224" t="s">
        <v>66</v>
      </c>
      <c r="J163" s="224">
        <v>50</v>
      </c>
      <c r="K163" s="227">
        <f t="array" ref="K163">IFERROR(INDEX([1]Grille_Tarifs_Modulable!$B$2:$B$204,MATCH(Tableau14[[#This Row],[Designation]]&amp;Tableau14[[#This Row],[CL]],[1]Grille_Tarifs_Modulable!$C$2:$C$204&amp;[1]Grille_Tarifs_Modulable!$F$2:$F$204,0)),0)</f>
        <v>4260310553382</v>
      </c>
      <c r="L163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1.1000000000000001</v>
      </c>
      <c r="M163" s="228">
        <f>IF(Tableau14[[#This Row],[Prix_Unit_HT]]=0,0,Tableau14[[#This Row],[Prix_Unit_HT]]+(Tableau14[[#This Row],[Prix_Unit_HT]]*VLOOKUP(Tableau14[[#This Row],[EAN]],[1]Grille_Tarifs_Modulable!$B$10:$Q$204,16,FALSE)))</f>
        <v>1.1605000000000001</v>
      </c>
      <c r="N163" s="224">
        <v>40</v>
      </c>
      <c r="O163" s="228">
        <f>ROUND(Tableau14[[#This Row],[Prix_Unit_HT]],2)*Tableau14[[#This Row],[Qte_commande]]</f>
        <v>44</v>
      </c>
      <c r="P163" s="228">
        <f>ROUND(Tableau14[[#This Row],[Prix_Unit_TTC]],2)*Tableau14[[#This Row],[Qte_commande]]</f>
        <v>46.4</v>
      </c>
      <c r="Q163" s="224">
        <v>28.57</v>
      </c>
      <c r="R163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28.571428571428573</v>
      </c>
      <c r="U163" s="224"/>
      <c r="V163" s="224"/>
    </row>
    <row r="164" spans="1:22" ht="12.75" x14ac:dyDescent="0.2">
      <c r="A164" s="225">
        <v>42583</v>
      </c>
      <c r="B164" s="224" t="s">
        <v>815</v>
      </c>
      <c r="C164" s="224" t="s">
        <v>442</v>
      </c>
      <c r="D164" s="224" t="s">
        <v>443</v>
      </c>
      <c r="E164" s="226"/>
      <c r="G164" s="224" t="s">
        <v>13</v>
      </c>
      <c r="H164" s="224" t="s">
        <v>289</v>
      </c>
      <c r="I164" s="224" t="s">
        <v>32</v>
      </c>
      <c r="J164" s="224">
        <v>70</v>
      </c>
      <c r="K164" s="227">
        <f t="array" ref="K164">IFERROR(INDEX([1]Grille_Tarifs_Modulable!$B$2:$B$204,MATCH(Tableau14[[#This Row],[Designation]]&amp;Tableau14[[#This Row],[CL]],[1]Grille_Tarifs_Modulable!$C$2:$C$204&amp;[1]Grille_Tarifs_Modulable!$F$2:$F$204,0)),0)</f>
        <v>3257150100228</v>
      </c>
      <c r="L164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21.488644000000001</v>
      </c>
      <c r="M164" s="228">
        <f>IF(Tableau14[[#This Row],[Prix_Unit_HT]]=0,0,Tableau14[[#This Row],[Prix_Unit_HT]]+(Tableau14[[#This Row],[Prix_Unit_HT]]*VLOOKUP(Tableau14[[#This Row],[EAN]],[1]Grille_Tarifs_Modulable!$B$10:$Q$204,16,FALSE)))</f>
        <v>25.786372800000002</v>
      </c>
      <c r="N164" s="224">
        <v>6</v>
      </c>
      <c r="O164" s="228">
        <f>ROUND(Tableau14[[#This Row],[Prix_Unit_HT]],2)*Tableau14[[#This Row],[Qte_commande]]</f>
        <v>128.94</v>
      </c>
      <c r="P164" s="228">
        <f>ROUND(Tableau14[[#This Row],[Prix_Unit_TTC]],2)*Tableau14[[#This Row],[Qte_commande]]</f>
        <v>154.74</v>
      </c>
      <c r="Q164" s="224">
        <v>6</v>
      </c>
      <c r="R164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6.0000000000000009</v>
      </c>
      <c r="U164" s="224"/>
      <c r="V164" s="224"/>
    </row>
    <row r="165" spans="1:22" ht="12.75" x14ac:dyDescent="0.2">
      <c r="A165" s="225">
        <v>42583</v>
      </c>
      <c r="B165" s="224" t="s">
        <v>815</v>
      </c>
      <c r="C165" s="224" t="s">
        <v>442</v>
      </c>
      <c r="D165" s="224" t="s">
        <v>443</v>
      </c>
      <c r="E165" s="226"/>
      <c r="G165" s="224" t="s">
        <v>13</v>
      </c>
      <c r="H165" s="224" t="s">
        <v>289</v>
      </c>
      <c r="I165" s="224" t="s">
        <v>1352</v>
      </c>
      <c r="J165" s="224">
        <v>70</v>
      </c>
      <c r="K165" s="227">
        <f t="array" ref="K165">IFERROR(INDEX([1]Grille_Tarifs_Modulable!$B$2:$B$204,MATCH(Tableau14[[#This Row],[Designation]]&amp;Tableau14[[#This Row],[CL]],[1]Grille_Tarifs_Modulable!$C$2:$C$204&amp;[1]Grille_Tarifs_Modulable!$F$2:$F$204,0)),0)</f>
        <v>0</v>
      </c>
      <c r="L165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</v>
      </c>
      <c r="M165" s="228">
        <f>IF(Tableau14[[#This Row],[Prix_Unit_HT]]=0,0,Tableau14[[#This Row],[Prix_Unit_HT]]+(Tableau14[[#This Row],[Prix_Unit_HT]]*VLOOKUP(Tableau14[[#This Row],[EAN]],[1]Grille_Tarifs_Modulable!$B$10:$Q$204,16,FALSE)))</f>
        <v>0</v>
      </c>
      <c r="N165" s="224">
        <v>6</v>
      </c>
      <c r="O165" s="228">
        <f>ROUND(Tableau14[[#This Row],[Prix_Unit_HT]],2)*Tableau14[[#This Row],[Qte_commande]]</f>
        <v>0</v>
      </c>
      <c r="P165" s="228">
        <f>ROUND(Tableau14[[#This Row],[Prix_Unit_TTC]],2)*Tableau14[[#This Row],[Qte_commande]]</f>
        <v>0</v>
      </c>
      <c r="Q165" s="224">
        <v>6</v>
      </c>
      <c r="R165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6.0000000000000009</v>
      </c>
      <c r="U165" s="224"/>
      <c r="V165" s="224"/>
    </row>
    <row r="166" spans="1:22" ht="12.75" x14ac:dyDescent="0.2">
      <c r="A166" s="225">
        <v>42583</v>
      </c>
      <c r="B166" s="224" t="s">
        <v>815</v>
      </c>
      <c r="C166" s="224" t="s">
        <v>442</v>
      </c>
      <c r="D166" s="224" t="s">
        <v>443</v>
      </c>
      <c r="E166" s="226"/>
      <c r="G166" s="224" t="s">
        <v>13</v>
      </c>
      <c r="H166" s="224" t="s">
        <v>289</v>
      </c>
      <c r="I166" s="224" t="s">
        <v>1357</v>
      </c>
      <c r="J166" s="224">
        <v>70</v>
      </c>
      <c r="K166" s="227">
        <f t="array" ref="K166">IFERROR(INDEX([1]Grille_Tarifs_Modulable!$B$2:$B$204,MATCH(Tableau14[[#This Row],[Designation]]&amp;Tableau14[[#This Row],[CL]],[1]Grille_Tarifs_Modulable!$C$2:$C$204&amp;[1]Grille_Tarifs_Modulable!$F$2:$F$204,0)),0)</f>
        <v>0</v>
      </c>
      <c r="L166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</v>
      </c>
      <c r="M166" s="228">
        <f>IF(Tableau14[[#This Row],[Prix_Unit_HT]]=0,0,Tableau14[[#This Row],[Prix_Unit_HT]]+(Tableau14[[#This Row],[Prix_Unit_HT]]*VLOOKUP(Tableau14[[#This Row],[EAN]],[1]Grille_Tarifs_Modulable!$B$10:$Q$204,16,FALSE)))</f>
        <v>0</v>
      </c>
      <c r="N166" s="224">
        <v>12</v>
      </c>
      <c r="O166" s="228">
        <f>ROUND(Tableau14[[#This Row],[Prix_Unit_HT]],2)*Tableau14[[#This Row],[Qte_commande]]</f>
        <v>0</v>
      </c>
      <c r="P166" s="228">
        <f>ROUND(Tableau14[[#This Row],[Prix_Unit_TTC]],2)*Tableau14[[#This Row],[Qte_commande]]</f>
        <v>0</v>
      </c>
      <c r="Q166" s="224">
        <v>12</v>
      </c>
      <c r="R166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12.000000000000002</v>
      </c>
      <c r="U166" s="224"/>
      <c r="V166" s="224"/>
    </row>
    <row r="167" spans="1:22" ht="12.75" x14ac:dyDescent="0.2">
      <c r="A167" s="225">
        <v>42584</v>
      </c>
      <c r="B167" s="224" t="s">
        <v>986</v>
      </c>
      <c r="C167" s="224" t="s">
        <v>172</v>
      </c>
      <c r="D167" s="224" t="s">
        <v>987</v>
      </c>
      <c r="E167" s="226"/>
      <c r="G167" s="224" t="s">
        <v>13</v>
      </c>
      <c r="H167" s="224" t="s">
        <v>451</v>
      </c>
      <c r="I167" s="224" t="s">
        <v>69</v>
      </c>
      <c r="J167" s="227">
        <v>3</v>
      </c>
      <c r="K167" s="227">
        <f t="array" ref="K167">IFERROR(INDEX([1]Grille_Tarifs_Modulable!$B$2:$B$204,MATCH(Tableau14[[#This Row],[Designation]]&amp;Tableau14[[#This Row],[CL]],[1]Grille_Tarifs_Modulable!$C$2:$C$204&amp;[1]Grille_Tarifs_Modulable!$F$2:$F$204,0)),0)</f>
        <v>121</v>
      </c>
      <c r="L167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299</v>
      </c>
      <c r="M167" s="228">
        <f>IF(Tableau14[[#This Row],[Prix_Unit_HT]]=0,0,Tableau14[[#This Row],[Prix_Unit_HT]]+(Tableau14[[#This Row],[Prix_Unit_HT]]*VLOOKUP(Tableau14[[#This Row],[EAN]],[1]Grille_Tarifs_Modulable!$B$10:$Q$204,16,FALSE)))</f>
        <v>358.8</v>
      </c>
      <c r="N167" s="224">
        <v>1</v>
      </c>
      <c r="O167" s="228">
        <f>ROUND(Tableau14[[#This Row],[Prix_Unit_HT]],2)*Tableau14[[#This Row],[Qte_commande]]</f>
        <v>299</v>
      </c>
      <c r="P167" s="228">
        <f>ROUND(Tableau14[[#This Row],[Prix_Unit_TTC]],2)*Tableau14[[#This Row],[Qte_commande]]</f>
        <v>358.8</v>
      </c>
      <c r="Q167" s="224">
        <v>1</v>
      </c>
      <c r="R167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</v>
      </c>
      <c r="U167" s="224"/>
      <c r="V167" s="224"/>
    </row>
    <row r="168" spans="1:22" ht="12.75" x14ac:dyDescent="0.2">
      <c r="A168" s="225">
        <v>42590</v>
      </c>
      <c r="B168" s="224" t="s">
        <v>576</v>
      </c>
      <c r="C168" s="224" t="s">
        <v>557</v>
      </c>
      <c r="D168" s="224" t="s">
        <v>558</v>
      </c>
      <c r="E168" s="226"/>
      <c r="G168" s="224" t="s">
        <v>1</v>
      </c>
      <c r="H168" s="224" t="s">
        <v>289</v>
      </c>
      <c r="I168" s="224" t="s">
        <v>15</v>
      </c>
      <c r="J168" s="224">
        <v>70</v>
      </c>
      <c r="K168" s="227">
        <f t="array" ref="K168">IFERROR(INDEX([1]Grille_Tarifs_Modulable!$B$2:$B$204,MATCH(Tableau14[[#This Row],[Designation]]&amp;Tableau14[[#This Row],[CL]],[1]Grille_Tarifs_Modulable!$C$2:$C$204&amp;[1]Grille_Tarifs_Modulable!$F$2:$F$204,0)),0)</f>
        <v>4067700013859</v>
      </c>
      <c r="L168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12.532563499999998</v>
      </c>
      <c r="M168" s="228">
        <f>IF(Tableau14[[#This Row],[Prix_Unit_HT]]=0,0,Tableau14[[#This Row],[Prix_Unit_HT]]+(Tableau14[[#This Row],[Prix_Unit_HT]]*VLOOKUP(Tableau14[[#This Row],[EAN]],[1]Grille_Tarifs_Modulable!$B$10:$Q$204,16,FALSE)))</f>
        <v>15.039076199999998</v>
      </c>
      <c r="N168" s="224">
        <v>480</v>
      </c>
      <c r="O168" s="228">
        <f>ROUND(Tableau14[[#This Row],[Prix_Unit_HT]],2)*Tableau14[[#This Row],[Qte_commande]]</f>
        <v>6014.4</v>
      </c>
      <c r="P168" s="228">
        <f>ROUND(Tableau14[[#This Row],[Prix_Unit_TTC]],2)*Tableau14[[#This Row],[Qte_commande]]</f>
        <v>7219.2</v>
      </c>
      <c r="Q168" s="224">
        <v>480</v>
      </c>
      <c r="R168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480.00000000000006</v>
      </c>
      <c r="U168" s="224"/>
      <c r="V168" s="224"/>
    </row>
    <row r="169" spans="1:22" ht="12.75" x14ac:dyDescent="0.2">
      <c r="A169" s="225">
        <v>42592</v>
      </c>
      <c r="B169" s="224" t="s">
        <v>816</v>
      </c>
      <c r="C169" s="224" t="s">
        <v>488</v>
      </c>
      <c r="D169" s="224" t="s">
        <v>489</v>
      </c>
      <c r="E169" s="226"/>
      <c r="G169" s="224" t="s">
        <v>13</v>
      </c>
      <c r="H169" s="224" t="s">
        <v>196</v>
      </c>
      <c r="I169" s="224" t="s">
        <v>66</v>
      </c>
      <c r="J169" s="224">
        <v>50</v>
      </c>
      <c r="K169" s="227">
        <f t="array" ref="K169">IFERROR(INDEX([1]Grille_Tarifs_Modulable!$B$2:$B$204,MATCH(Tableau14[[#This Row],[Designation]]&amp;Tableau14[[#This Row],[CL]],[1]Grille_Tarifs_Modulable!$C$2:$C$204&amp;[1]Grille_Tarifs_Modulable!$F$2:$F$204,0)),0)</f>
        <v>4260310553382</v>
      </c>
      <c r="L169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1.1000000000000001</v>
      </c>
      <c r="M169" s="228">
        <f>IF(Tableau14[[#This Row],[Prix_Unit_HT]]=0,0,Tableau14[[#This Row],[Prix_Unit_HT]]+(Tableau14[[#This Row],[Prix_Unit_HT]]*VLOOKUP(Tableau14[[#This Row],[EAN]],[1]Grille_Tarifs_Modulable!$B$10:$Q$204,16,FALSE)))</f>
        <v>1.1605000000000001</v>
      </c>
      <c r="N169" s="224">
        <v>40</v>
      </c>
      <c r="O169" s="228">
        <f>ROUND(Tableau14[[#This Row],[Prix_Unit_HT]],2)*Tableau14[[#This Row],[Qte_commande]]</f>
        <v>44</v>
      </c>
      <c r="P169" s="228">
        <f>ROUND(Tableau14[[#This Row],[Prix_Unit_TTC]],2)*Tableau14[[#This Row],[Qte_commande]]</f>
        <v>46.4</v>
      </c>
      <c r="Q169" s="224">
        <v>28.57</v>
      </c>
      <c r="R169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28.571428571428573</v>
      </c>
      <c r="U169" s="224"/>
      <c r="V169" s="224"/>
    </row>
    <row r="170" spans="1:22" ht="12.75" x14ac:dyDescent="0.2">
      <c r="A170" s="225">
        <v>42592</v>
      </c>
      <c r="B170" s="224" t="s">
        <v>816</v>
      </c>
      <c r="C170" s="224" t="s">
        <v>488</v>
      </c>
      <c r="D170" s="224" t="s">
        <v>489</v>
      </c>
      <c r="E170" s="226"/>
      <c r="G170" s="224" t="s">
        <v>13</v>
      </c>
      <c r="H170" s="224" t="s">
        <v>289</v>
      </c>
      <c r="I170" s="224" t="s">
        <v>24</v>
      </c>
      <c r="J170" s="224">
        <v>70</v>
      </c>
      <c r="K170" s="227">
        <f t="array" ref="K170">IFERROR(INDEX([1]Grille_Tarifs_Modulable!$B$2:$B$204,MATCH(Tableau14[[#This Row],[Designation]]&amp;Tableau14[[#This Row],[CL]],[1]Grille_Tarifs_Modulable!$C$2:$C$204&amp;[1]Grille_Tarifs_Modulable!$F$2:$F$204,0)),0)</f>
        <v>8500000917008</v>
      </c>
      <c r="L170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11.528211800000001</v>
      </c>
      <c r="M170" s="228">
        <f>IF(Tableau14[[#This Row],[Prix_Unit_HT]]=0,0,Tableau14[[#This Row],[Prix_Unit_HT]]+(Tableau14[[#This Row],[Prix_Unit_HT]]*VLOOKUP(Tableau14[[#This Row],[EAN]],[1]Grille_Tarifs_Modulable!$B$10:$Q$204,16,FALSE)))</f>
        <v>13.833854160000001</v>
      </c>
      <c r="N170" s="224">
        <v>18</v>
      </c>
      <c r="O170" s="228">
        <f>ROUND(Tableau14[[#This Row],[Prix_Unit_HT]],2)*Tableau14[[#This Row],[Qte_commande]]</f>
        <v>207.54</v>
      </c>
      <c r="P170" s="228">
        <f>ROUND(Tableau14[[#This Row],[Prix_Unit_TTC]],2)*Tableau14[[#This Row],[Qte_commande]]</f>
        <v>248.94</v>
      </c>
      <c r="Q170" s="224">
        <v>18</v>
      </c>
      <c r="R170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18</v>
      </c>
      <c r="U170" s="224"/>
      <c r="V170" s="224"/>
    </row>
    <row r="171" spans="1:22" ht="12.75" x14ac:dyDescent="0.2">
      <c r="A171" s="225">
        <v>42592</v>
      </c>
      <c r="B171" s="224" t="s">
        <v>816</v>
      </c>
      <c r="C171" s="224" t="s">
        <v>488</v>
      </c>
      <c r="D171" s="224" t="s">
        <v>489</v>
      </c>
      <c r="E171" s="226"/>
      <c r="G171" s="224" t="s">
        <v>13</v>
      </c>
      <c r="H171" s="224" t="s">
        <v>196</v>
      </c>
      <c r="I171" s="224" t="s">
        <v>59</v>
      </c>
      <c r="J171" s="224">
        <v>20</v>
      </c>
      <c r="K171" s="227">
        <f t="array" ref="K171">IFERROR(INDEX([1]Grille_Tarifs_Modulable!$B$2:$B$204,MATCH(Tableau14[[#This Row],[Designation]]&amp;Tableau14[[#This Row],[CL]],[1]Grille_Tarifs_Modulable!$C$2:$C$204&amp;[1]Grille_Tarifs_Modulable!$F$2:$F$204,0)),0)</f>
        <v>4260310553818</v>
      </c>
      <c r="L171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0.89</v>
      </c>
      <c r="M171" s="228">
        <f>IF(Tableau14[[#This Row],[Prix_Unit_HT]]=0,0,Tableau14[[#This Row],[Prix_Unit_HT]]+(Tableau14[[#This Row],[Prix_Unit_HT]]*VLOOKUP(Tableau14[[#This Row],[EAN]],[1]Grille_Tarifs_Modulable!$B$10:$Q$204,16,FALSE)))</f>
        <v>0.93895000000000006</v>
      </c>
      <c r="N171" s="224">
        <v>24</v>
      </c>
      <c r="O171" s="228">
        <f>ROUND(Tableau14[[#This Row],[Prix_Unit_HT]],2)*Tableau14[[#This Row],[Qte_commande]]</f>
        <v>21.36</v>
      </c>
      <c r="P171" s="228">
        <f>ROUND(Tableau14[[#This Row],[Prix_Unit_TTC]],2)*Tableau14[[#This Row],[Qte_commande]]</f>
        <v>22.56</v>
      </c>
      <c r="Q171" s="224">
        <v>6.86</v>
      </c>
      <c r="R171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6.8571428571428577</v>
      </c>
      <c r="U171" s="224"/>
      <c r="V171" s="224"/>
    </row>
    <row r="172" spans="1:22" ht="12.75" x14ac:dyDescent="0.2">
      <c r="A172" s="225">
        <v>42599</v>
      </c>
      <c r="B172" s="224" t="s">
        <v>456</v>
      </c>
      <c r="C172" s="224" t="s">
        <v>295</v>
      </c>
      <c r="D172" s="224" t="s">
        <v>296</v>
      </c>
      <c r="E172" s="226"/>
      <c r="G172" s="224" t="s">
        <v>13</v>
      </c>
      <c r="H172" s="224" t="s">
        <v>451</v>
      </c>
      <c r="I172" s="224" t="s">
        <v>74</v>
      </c>
      <c r="J172" s="229">
        <v>6</v>
      </c>
      <c r="K172" s="227">
        <f t="array" ref="K172">IFERROR(INDEX([1]Grille_Tarifs_Modulable!$B$2:$B$204,MATCH(Tableau14[[#This Row],[Designation]]&amp;Tableau14[[#This Row],[CL]],[1]Grille_Tarifs_Modulable!$C$2:$C$204&amp;[1]Grille_Tarifs_Modulable!$F$2:$F$204,0)),0)</f>
        <v>125</v>
      </c>
      <c r="L172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139</v>
      </c>
      <c r="M172" s="228">
        <f>IF(Tableau14[[#This Row],[Prix_Unit_HT]]=0,0,Tableau14[[#This Row],[Prix_Unit_HT]]+(Tableau14[[#This Row],[Prix_Unit_HT]]*VLOOKUP(Tableau14[[#This Row],[EAN]],[1]Grille_Tarifs_Modulable!$B$10:$Q$204,16,FALSE)))</f>
        <v>166.8</v>
      </c>
      <c r="N172" s="224">
        <v>1</v>
      </c>
      <c r="O172" s="228">
        <f>ROUND(Tableau14[[#This Row],[Prix_Unit_HT]],2)*Tableau14[[#This Row],[Qte_commande]]</f>
        <v>139</v>
      </c>
      <c r="P172" s="228">
        <f>ROUND(Tableau14[[#This Row],[Prix_Unit_TTC]],2)*Tableau14[[#This Row],[Qte_commande]]</f>
        <v>166.8</v>
      </c>
      <c r="Q172" s="224">
        <v>1</v>
      </c>
      <c r="R172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</v>
      </c>
      <c r="U172" s="224"/>
      <c r="V172" s="224"/>
    </row>
    <row r="173" spans="1:22" ht="12.75" x14ac:dyDescent="0.2">
      <c r="A173" s="225">
        <v>42599</v>
      </c>
      <c r="B173" s="224" t="s">
        <v>457</v>
      </c>
      <c r="C173" s="224" t="s">
        <v>305</v>
      </c>
      <c r="D173" s="224" t="s">
        <v>180</v>
      </c>
      <c r="E173" s="226"/>
      <c r="G173" s="224" t="s">
        <v>1</v>
      </c>
      <c r="H173" s="224" t="s">
        <v>451</v>
      </c>
      <c r="I173" s="224" t="s">
        <v>74</v>
      </c>
      <c r="J173" s="229">
        <v>6</v>
      </c>
      <c r="K173" s="227">
        <f t="array" ref="K173">IFERROR(INDEX([1]Grille_Tarifs_Modulable!$B$2:$B$204,MATCH(Tableau14[[#This Row],[Designation]]&amp;Tableau14[[#This Row],[CL]],[1]Grille_Tarifs_Modulable!$C$2:$C$204&amp;[1]Grille_Tarifs_Modulable!$F$2:$F$204,0)),0)</f>
        <v>125</v>
      </c>
      <c r="L173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139</v>
      </c>
      <c r="M173" s="228">
        <f>IF(Tableau14[[#This Row],[Prix_Unit_HT]]=0,0,Tableau14[[#This Row],[Prix_Unit_HT]]+(Tableau14[[#This Row],[Prix_Unit_HT]]*VLOOKUP(Tableau14[[#This Row],[EAN]],[1]Grille_Tarifs_Modulable!$B$10:$Q$204,16,FALSE)))</f>
        <v>166.8</v>
      </c>
      <c r="N173" s="224">
        <v>1</v>
      </c>
      <c r="O173" s="228">
        <f>ROUND(Tableau14[[#This Row],[Prix_Unit_HT]],2)*Tableau14[[#This Row],[Qte_commande]]</f>
        <v>139</v>
      </c>
      <c r="P173" s="228">
        <f>ROUND(Tableau14[[#This Row],[Prix_Unit_TTC]],2)*Tableau14[[#This Row],[Qte_commande]]</f>
        <v>166.8</v>
      </c>
      <c r="Q173" s="224">
        <v>1</v>
      </c>
      <c r="R173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</v>
      </c>
      <c r="U173" s="224"/>
      <c r="V173" s="224"/>
    </row>
    <row r="174" spans="1:22" ht="12.75" x14ac:dyDescent="0.2">
      <c r="A174" s="225">
        <v>42599</v>
      </c>
      <c r="B174" s="224" t="s">
        <v>458</v>
      </c>
      <c r="C174" s="224" t="s">
        <v>459</v>
      </c>
      <c r="D174" s="224" t="s">
        <v>209</v>
      </c>
      <c r="E174" s="226"/>
      <c r="G174" s="224" t="s">
        <v>13</v>
      </c>
      <c r="H174" s="224" t="s">
        <v>451</v>
      </c>
      <c r="I174" s="224" t="s">
        <v>74</v>
      </c>
      <c r="J174" s="229">
        <v>6</v>
      </c>
      <c r="K174" s="227">
        <f t="array" ref="K174">IFERROR(INDEX([1]Grille_Tarifs_Modulable!$B$2:$B$204,MATCH(Tableau14[[#This Row],[Designation]]&amp;Tableau14[[#This Row],[CL]],[1]Grille_Tarifs_Modulable!$C$2:$C$204&amp;[1]Grille_Tarifs_Modulable!$F$2:$F$204,0)),0)</f>
        <v>125</v>
      </c>
      <c r="L174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139</v>
      </c>
      <c r="M174" s="228">
        <f>IF(Tableau14[[#This Row],[Prix_Unit_HT]]=0,0,Tableau14[[#This Row],[Prix_Unit_HT]]+(Tableau14[[#This Row],[Prix_Unit_HT]]*VLOOKUP(Tableau14[[#This Row],[EAN]],[1]Grille_Tarifs_Modulable!$B$10:$Q$204,16,FALSE)))</f>
        <v>166.8</v>
      </c>
      <c r="N174" s="224">
        <v>2</v>
      </c>
      <c r="O174" s="228">
        <f>ROUND(Tableau14[[#This Row],[Prix_Unit_HT]],2)*Tableau14[[#This Row],[Qte_commande]]</f>
        <v>278</v>
      </c>
      <c r="P174" s="228">
        <f>ROUND(Tableau14[[#This Row],[Prix_Unit_TTC]],2)*Tableau14[[#This Row],[Qte_commande]]</f>
        <v>333.6</v>
      </c>
      <c r="Q174" s="224">
        <v>2</v>
      </c>
      <c r="R174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2</v>
      </c>
      <c r="U174" s="224"/>
      <c r="V174" s="224"/>
    </row>
    <row r="175" spans="1:22" ht="12.75" x14ac:dyDescent="0.2">
      <c r="A175" s="225">
        <v>42599</v>
      </c>
      <c r="B175" s="224" t="s">
        <v>460</v>
      </c>
      <c r="C175" s="224" t="s">
        <v>459</v>
      </c>
      <c r="D175" s="224" t="s">
        <v>209</v>
      </c>
      <c r="E175" s="226"/>
      <c r="G175" s="224" t="s">
        <v>13</v>
      </c>
      <c r="H175" s="224" t="s">
        <v>451</v>
      </c>
      <c r="I175" s="224" t="s">
        <v>74</v>
      </c>
      <c r="J175" s="229">
        <v>6</v>
      </c>
      <c r="K175" s="227">
        <f t="array" ref="K175">IFERROR(INDEX([1]Grille_Tarifs_Modulable!$B$2:$B$204,MATCH(Tableau14[[#This Row],[Designation]]&amp;Tableau14[[#This Row],[CL]],[1]Grille_Tarifs_Modulable!$C$2:$C$204&amp;[1]Grille_Tarifs_Modulable!$F$2:$F$204,0)),0)</f>
        <v>125</v>
      </c>
      <c r="L175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139</v>
      </c>
      <c r="M175" s="228">
        <f>IF(Tableau14[[#This Row],[Prix_Unit_HT]]=0,0,Tableau14[[#This Row],[Prix_Unit_HT]]+(Tableau14[[#This Row],[Prix_Unit_HT]]*VLOOKUP(Tableau14[[#This Row],[EAN]],[1]Grille_Tarifs_Modulable!$B$10:$Q$204,16,FALSE)))</f>
        <v>166.8</v>
      </c>
      <c r="N175" s="224">
        <v>2</v>
      </c>
      <c r="O175" s="228">
        <f>ROUND(Tableau14[[#This Row],[Prix_Unit_HT]],2)*Tableau14[[#This Row],[Qte_commande]]</f>
        <v>278</v>
      </c>
      <c r="P175" s="228">
        <f>ROUND(Tableau14[[#This Row],[Prix_Unit_TTC]],2)*Tableau14[[#This Row],[Qte_commande]]</f>
        <v>333.6</v>
      </c>
      <c r="Q175" s="224">
        <v>2</v>
      </c>
      <c r="R175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2</v>
      </c>
      <c r="U175" s="224"/>
      <c r="V175" s="224"/>
    </row>
    <row r="176" spans="1:22" ht="12.75" x14ac:dyDescent="0.2">
      <c r="A176" s="225">
        <v>42599</v>
      </c>
      <c r="B176" s="224" t="s">
        <v>461</v>
      </c>
      <c r="C176" s="224" t="s">
        <v>459</v>
      </c>
      <c r="D176" s="224" t="s">
        <v>209</v>
      </c>
      <c r="E176" s="226"/>
      <c r="G176" s="224" t="s">
        <v>13</v>
      </c>
      <c r="H176" s="224" t="s">
        <v>451</v>
      </c>
      <c r="I176" s="224" t="s">
        <v>74</v>
      </c>
      <c r="J176" s="229">
        <v>6</v>
      </c>
      <c r="K176" s="227">
        <f t="array" ref="K176">IFERROR(INDEX([1]Grille_Tarifs_Modulable!$B$2:$B$204,MATCH(Tableau14[[#This Row],[Designation]]&amp;Tableau14[[#This Row],[CL]],[1]Grille_Tarifs_Modulable!$C$2:$C$204&amp;[1]Grille_Tarifs_Modulable!$F$2:$F$204,0)),0)</f>
        <v>125</v>
      </c>
      <c r="L176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139</v>
      </c>
      <c r="M176" s="228">
        <f>IF(Tableau14[[#This Row],[Prix_Unit_HT]]=0,0,Tableau14[[#This Row],[Prix_Unit_HT]]+(Tableau14[[#This Row],[Prix_Unit_HT]]*VLOOKUP(Tableau14[[#This Row],[EAN]],[1]Grille_Tarifs_Modulable!$B$10:$Q$204,16,FALSE)))</f>
        <v>166.8</v>
      </c>
      <c r="N176" s="224">
        <v>1</v>
      </c>
      <c r="O176" s="228">
        <f>ROUND(Tableau14[[#This Row],[Prix_Unit_HT]],2)*Tableau14[[#This Row],[Qte_commande]]</f>
        <v>139</v>
      </c>
      <c r="P176" s="228">
        <f>ROUND(Tableau14[[#This Row],[Prix_Unit_TTC]],2)*Tableau14[[#This Row],[Qte_commande]]</f>
        <v>166.8</v>
      </c>
      <c r="Q176" s="224">
        <v>1</v>
      </c>
      <c r="R176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</v>
      </c>
      <c r="U176" s="224"/>
      <c r="V176" s="224"/>
    </row>
    <row r="177" spans="1:22" ht="12.75" x14ac:dyDescent="0.2">
      <c r="A177" s="225">
        <v>42599</v>
      </c>
      <c r="B177" s="224" t="s">
        <v>462</v>
      </c>
      <c r="C177" s="224" t="s">
        <v>459</v>
      </c>
      <c r="D177" s="224" t="s">
        <v>209</v>
      </c>
      <c r="E177" s="226"/>
      <c r="G177" s="224" t="s">
        <v>13</v>
      </c>
      <c r="H177" s="224" t="s">
        <v>451</v>
      </c>
      <c r="I177" s="224" t="s">
        <v>74</v>
      </c>
      <c r="J177" s="229">
        <v>6</v>
      </c>
      <c r="K177" s="227">
        <f t="array" ref="K177">IFERROR(INDEX([1]Grille_Tarifs_Modulable!$B$2:$B$204,MATCH(Tableau14[[#This Row],[Designation]]&amp;Tableau14[[#This Row],[CL]],[1]Grille_Tarifs_Modulable!$C$2:$C$204&amp;[1]Grille_Tarifs_Modulable!$F$2:$F$204,0)),0)</f>
        <v>125</v>
      </c>
      <c r="L177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139</v>
      </c>
      <c r="M177" s="228">
        <f>IF(Tableau14[[#This Row],[Prix_Unit_HT]]=0,0,Tableau14[[#This Row],[Prix_Unit_HT]]+(Tableau14[[#This Row],[Prix_Unit_HT]]*VLOOKUP(Tableau14[[#This Row],[EAN]],[1]Grille_Tarifs_Modulable!$B$10:$Q$204,16,FALSE)))</f>
        <v>166.8</v>
      </c>
      <c r="N177" s="224">
        <v>1</v>
      </c>
      <c r="O177" s="228">
        <f>ROUND(Tableau14[[#This Row],[Prix_Unit_HT]],2)*Tableau14[[#This Row],[Qte_commande]]</f>
        <v>139</v>
      </c>
      <c r="P177" s="228">
        <f>ROUND(Tableau14[[#This Row],[Prix_Unit_TTC]],2)*Tableau14[[#This Row],[Qte_commande]]</f>
        <v>166.8</v>
      </c>
      <c r="Q177" s="224">
        <v>1</v>
      </c>
      <c r="R177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</v>
      </c>
      <c r="U177" s="224"/>
      <c r="V177" s="224"/>
    </row>
    <row r="178" spans="1:22" ht="12.75" x14ac:dyDescent="0.2">
      <c r="A178" s="225">
        <v>42599</v>
      </c>
      <c r="B178" s="224" t="s">
        <v>463</v>
      </c>
      <c r="C178" s="224" t="s">
        <v>464</v>
      </c>
      <c r="D178" s="224" t="s">
        <v>180</v>
      </c>
      <c r="E178" s="226"/>
      <c r="G178" s="224" t="s">
        <v>13</v>
      </c>
      <c r="H178" s="224" t="s">
        <v>451</v>
      </c>
      <c r="I178" s="224" t="s">
        <v>74</v>
      </c>
      <c r="J178" s="229">
        <v>6</v>
      </c>
      <c r="K178" s="227">
        <f t="array" ref="K178">IFERROR(INDEX([1]Grille_Tarifs_Modulable!$B$2:$B$204,MATCH(Tableau14[[#This Row],[Designation]]&amp;Tableau14[[#This Row],[CL]],[1]Grille_Tarifs_Modulable!$C$2:$C$204&amp;[1]Grille_Tarifs_Modulable!$F$2:$F$204,0)),0)</f>
        <v>125</v>
      </c>
      <c r="L178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139</v>
      </c>
      <c r="M178" s="228">
        <f>IF(Tableau14[[#This Row],[Prix_Unit_HT]]=0,0,Tableau14[[#This Row],[Prix_Unit_HT]]+(Tableau14[[#This Row],[Prix_Unit_HT]]*VLOOKUP(Tableau14[[#This Row],[EAN]],[1]Grille_Tarifs_Modulable!$B$10:$Q$204,16,FALSE)))</f>
        <v>166.8</v>
      </c>
      <c r="N178" s="224">
        <v>1</v>
      </c>
      <c r="O178" s="228">
        <f>ROUND(Tableau14[[#This Row],[Prix_Unit_HT]],2)*Tableau14[[#This Row],[Qte_commande]]</f>
        <v>139</v>
      </c>
      <c r="P178" s="228">
        <f>ROUND(Tableau14[[#This Row],[Prix_Unit_TTC]],2)*Tableau14[[#This Row],[Qte_commande]]</f>
        <v>166.8</v>
      </c>
      <c r="Q178" s="224">
        <v>1</v>
      </c>
      <c r="R178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</v>
      </c>
      <c r="U178" s="224"/>
      <c r="V178" s="224"/>
    </row>
    <row r="179" spans="1:22" ht="12.75" x14ac:dyDescent="0.2">
      <c r="A179" s="225">
        <v>42599</v>
      </c>
      <c r="B179" s="224" t="s">
        <v>465</v>
      </c>
      <c r="C179" s="224" t="s">
        <v>173</v>
      </c>
      <c r="D179" s="224" t="s">
        <v>443</v>
      </c>
      <c r="E179" s="226"/>
      <c r="G179" s="224" t="s">
        <v>13</v>
      </c>
      <c r="H179" s="224" t="s">
        <v>451</v>
      </c>
      <c r="I179" s="224" t="s">
        <v>74</v>
      </c>
      <c r="J179" s="229">
        <v>6</v>
      </c>
      <c r="K179" s="227">
        <f t="array" ref="K179">IFERROR(INDEX([1]Grille_Tarifs_Modulable!$B$2:$B$204,MATCH(Tableau14[[#This Row],[Designation]]&amp;Tableau14[[#This Row],[CL]],[1]Grille_Tarifs_Modulable!$C$2:$C$204&amp;[1]Grille_Tarifs_Modulable!$F$2:$F$204,0)),0)</f>
        <v>125</v>
      </c>
      <c r="L179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139</v>
      </c>
      <c r="M179" s="228">
        <f>IF(Tableau14[[#This Row],[Prix_Unit_HT]]=0,0,Tableau14[[#This Row],[Prix_Unit_HT]]+(Tableau14[[#This Row],[Prix_Unit_HT]]*VLOOKUP(Tableau14[[#This Row],[EAN]],[1]Grille_Tarifs_Modulable!$B$10:$Q$204,16,FALSE)))</f>
        <v>166.8</v>
      </c>
      <c r="N179" s="224">
        <v>1</v>
      </c>
      <c r="O179" s="228">
        <f>ROUND(Tableau14[[#This Row],[Prix_Unit_HT]],2)*Tableau14[[#This Row],[Qte_commande]]</f>
        <v>139</v>
      </c>
      <c r="P179" s="228">
        <f>ROUND(Tableau14[[#This Row],[Prix_Unit_TTC]],2)*Tableau14[[#This Row],[Qte_commande]]</f>
        <v>166.8</v>
      </c>
      <c r="Q179" s="224">
        <v>1</v>
      </c>
      <c r="R179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</v>
      </c>
      <c r="U179" s="224"/>
      <c r="V179" s="224"/>
    </row>
    <row r="180" spans="1:22" ht="12.75" x14ac:dyDescent="0.2">
      <c r="A180" s="225">
        <v>42599</v>
      </c>
      <c r="B180" s="224" t="s">
        <v>466</v>
      </c>
      <c r="C180" s="224" t="s">
        <v>467</v>
      </c>
      <c r="D180" s="224" t="s">
        <v>209</v>
      </c>
      <c r="E180" s="226"/>
      <c r="G180" s="224" t="s">
        <v>13</v>
      </c>
      <c r="H180" s="224" t="s">
        <v>451</v>
      </c>
      <c r="I180" s="224" t="s">
        <v>74</v>
      </c>
      <c r="J180" s="229">
        <v>6</v>
      </c>
      <c r="K180" s="227">
        <f t="array" ref="K180">IFERROR(INDEX([1]Grille_Tarifs_Modulable!$B$2:$B$204,MATCH(Tableau14[[#This Row],[Designation]]&amp;Tableau14[[#This Row],[CL]],[1]Grille_Tarifs_Modulable!$C$2:$C$204&amp;[1]Grille_Tarifs_Modulable!$F$2:$F$204,0)),0)</f>
        <v>125</v>
      </c>
      <c r="L180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139</v>
      </c>
      <c r="M180" s="228">
        <f>IF(Tableau14[[#This Row],[Prix_Unit_HT]]=0,0,Tableau14[[#This Row],[Prix_Unit_HT]]+(Tableau14[[#This Row],[Prix_Unit_HT]]*VLOOKUP(Tableau14[[#This Row],[EAN]],[1]Grille_Tarifs_Modulable!$B$10:$Q$204,16,FALSE)))</f>
        <v>166.8</v>
      </c>
      <c r="N180" s="224">
        <v>1</v>
      </c>
      <c r="O180" s="228">
        <f>ROUND(Tableau14[[#This Row],[Prix_Unit_HT]],2)*Tableau14[[#This Row],[Qte_commande]]</f>
        <v>139</v>
      </c>
      <c r="P180" s="228">
        <f>ROUND(Tableau14[[#This Row],[Prix_Unit_TTC]],2)*Tableau14[[#This Row],[Qte_commande]]</f>
        <v>166.8</v>
      </c>
      <c r="Q180" s="224">
        <v>1</v>
      </c>
      <c r="R180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</v>
      </c>
      <c r="U180" s="224"/>
      <c r="V180" s="224"/>
    </row>
    <row r="181" spans="1:22" ht="12.75" x14ac:dyDescent="0.2">
      <c r="A181" s="225">
        <v>42599</v>
      </c>
      <c r="B181" s="224" t="s">
        <v>456</v>
      </c>
      <c r="C181" s="224" t="s">
        <v>295</v>
      </c>
      <c r="D181" s="224" t="s">
        <v>296</v>
      </c>
      <c r="E181" s="226"/>
      <c r="G181" s="224" t="s">
        <v>13</v>
      </c>
      <c r="H181" s="224" t="s">
        <v>451</v>
      </c>
      <c r="I181" s="224" t="s">
        <v>72</v>
      </c>
      <c r="J181" s="227">
        <v>4</v>
      </c>
      <c r="K181" s="227">
        <f t="array" ref="K181">IFERROR(INDEX([1]Grille_Tarifs_Modulable!$B$2:$B$204,MATCH(Tableau14[[#This Row],[Designation]]&amp;Tableau14[[#This Row],[CL]],[1]Grille_Tarifs_Modulable!$C$2:$C$204&amp;[1]Grille_Tarifs_Modulable!$F$2:$F$204,0)),0)</f>
        <v>123</v>
      </c>
      <c r="L181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139</v>
      </c>
      <c r="M181" s="228">
        <f>IF(Tableau14[[#This Row],[Prix_Unit_HT]]=0,0,Tableau14[[#This Row],[Prix_Unit_HT]]+(Tableau14[[#This Row],[Prix_Unit_HT]]*VLOOKUP(Tableau14[[#This Row],[EAN]],[1]Grille_Tarifs_Modulable!$B$10:$Q$204,16,FALSE)))</f>
        <v>166.8</v>
      </c>
      <c r="N181" s="224">
        <v>1</v>
      </c>
      <c r="O181" s="228">
        <f>ROUND(Tableau14[[#This Row],[Prix_Unit_HT]],2)*Tableau14[[#This Row],[Qte_commande]]</f>
        <v>139</v>
      </c>
      <c r="P181" s="228">
        <f>ROUND(Tableau14[[#This Row],[Prix_Unit_TTC]],2)*Tableau14[[#This Row],[Qte_commande]]</f>
        <v>166.8</v>
      </c>
      <c r="Q181" s="224">
        <v>1</v>
      </c>
      <c r="R181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</v>
      </c>
      <c r="U181" s="224"/>
      <c r="V181" s="224"/>
    </row>
    <row r="182" spans="1:22" ht="12.75" x14ac:dyDescent="0.2">
      <c r="A182" s="225">
        <v>42599</v>
      </c>
      <c r="B182" s="224" t="s">
        <v>465</v>
      </c>
      <c r="C182" s="224" t="s">
        <v>173</v>
      </c>
      <c r="D182" s="224" t="s">
        <v>443</v>
      </c>
      <c r="E182" s="226"/>
      <c r="G182" s="224" t="s">
        <v>13</v>
      </c>
      <c r="H182" s="224" t="s">
        <v>451</v>
      </c>
      <c r="I182" s="224" t="s">
        <v>72</v>
      </c>
      <c r="J182" s="227">
        <v>4</v>
      </c>
      <c r="K182" s="227">
        <f t="array" ref="K182">IFERROR(INDEX([1]Grille_Tarifs_Modulable!$B$2:$B$204,MATCH(Tableau14[[#This Row],[Designation]]&amp;Tableau14[[#This Row],[CL]],[1]Grille_Tarifs_Modulable!$C$2:$C$204&amp;[1]Grille_Tarifs_Modulable!$F$2:$F$204,0)),0)</f>
        <v>123</v>
      </c>
      <c r="L182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139</v>
      </c>
      <c r="M182" s="228">
        <f>IF(Tableau14[[#This Row],[Prix_Unit_HT]]=0,0,Tableau14[[#This Row],[Prix_Unit_HT]]+(Tableau14[[#This Row],[Prix_Unit_HT]]*VLOOKUP(Tableau14[[#This Row],[EAN]],[1]Grille_Tarifs_Modulable!$B$10:$Q$204,16,FALSE)))</f>
        <v>166.8</v>
      </c>
      <c r="N182" s="224">
        <v>1</v>
      </c>
      <c r="O182" s="228">
        <f>ROUND(Tableau14[[#This Row],[Prix_Unit_HT]],2)*Tableau14[[#This Row],[Qte_commande]]</f>
        <v>139</v>
      </c>
      <c r="P182" s="228">
        <f>ROUND(Tableau14[[#This Row],[Prix_Unit_TTC]],2)*Tableau14[[#This Row],[Qte_commande]]</f>
        <v>166.8</v>
      </c>
      <c r="Q182" s="224">
        <v>1</v>
      </c>
      <c r="R182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</v>
      </c>
      <c r="U182" s="224"/>
      <c r="V182" s="224"/>
    </row>
    <row r="183" spans="1:22" ht="12.75" x14ac:dyDescent="0.2">
      <c r="A183" s="225">
        <v>42599</v>
      </c>
      <c r="B183" s="224" t="s">
        <v>948</v>
      </c>
      <c r="C183" s="224" t="s">
        <v>159</v>
      </c>
      <c r="D183" s="224" t="s">
        <v>209</v>
      </c>
      <c r="E183" s="226"/>
      <c r="G183" s="224" t="s">
        <v>1</v>
      </c>
      <c r="H183" s="224" t="s">
        <v>451</v>
      </c>
      <c r="I183" s="224" t="s">
        <v>72</v>
      </c>
      <c r="J183" s="227">
        <v>4</v>
      </c>
      <c r="K183" s="227">
        <f t="array" ref="K183">IFERROR(INDEX([1]Grille_Tarifs_Modulable!$B$2:$B$204,MATCH(Tableau14[[#This Row],[Designation]]&amp;Tableau14[[#This Row],[CL]],[1]Grille_Tarifs_Modulable!$C$2:$C$204&amp;[1]Grille_Tarifs_Modulable!$F$2:$F$204,0)),0)</f>
        <v>123</v>
      </c>
      <c r="L183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139</v>
      </c>
      <c r="M183" s="228">
        <f>IF(Tableau14[[#This Row],[Prix_Unit_HT]]=0,0,Tableau14[[#This Row],[Prix_Unit_HT]]+(Tableau14[[#This Row],[Prix_Unit_HT]]*VLOOKUP(Tableau14[[#This Row],[EAN]],[1]Grille_Tarifs_Modulable!$B$10:$Q$204,16,FALSE)))</f>
        <v>166.8</v>
      </c>
      <c r="N183" s="224">
        <v>1</v>
      </c>
      <c r="O183" s="228">
        <f>ROUND(Tableau14[[#This Row],[Prix_Unit_HT]],2)*Tableau14[[#This Row],[Qte_commande]]</f>
        <v>139</v>
      </c>
      <c r="P183" s="228">
        <f>ROUND(Tableau14[[#This Row],[Prix_Unit_TTC]],2)*Tableau14[[#This Row],[Qte_commande]]</f>
        <v>166.8</v>
      </c>
      <c r="Q183" s="224">
        <v>1</v>
      </c>
      <c r="R183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</v>
      </c>
      <c r="U183" s="224"/>
      <c r="V183" s="224"/>
    </row>
    <row r="184" spans="1:22" ht="12.75" x14ac:dyDescent="0.2">
      <c r="A184" s="225">
        <v>42599</v>
      </c>
      <c r="B184" s="224" t="s">
        <v>949</v>
      </c>
      <c r="C184" s="224" t="s">
        <v>301</v>
      </c>
      <c r="D184" s="224" t="s">
        <v>302</v>
      </c>
      <c r="E184" s="226"/>
      <c r="G184" s="224" t="s">
        <v>1</v>
      </c>
      <c r="H184" s="224" t="s">
        <v>451</v>
      </c>
      <c r="I184" s="224" t="s">
        <v>72</v>
      </c>
      <c r="J184" s="227">
        <v>4</v>
      </c>
      <c r="K184" s="227">
        <f t="array" ref="K184">IFERROR(INDEX([1]Grille_Tarifs_Modulable!$B$2:$B$204,MATCH(Tableau14[[#This Row],[Designation]]&amp;Tableau14[[#This Row],[CL]],[1]Grille_Tarifs_Modulable!$C$2:$C$204&amp;[1]Grille_Tarifs_Modulable!$F$2:$F$204,0)),0)</f>
        <v>123</v>
      </c>
      <c r="L184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139</v>
      </c>
      <c r="M184" s="228">
        <f>IF(Tableau14[[#This Row],[Prix_Unit_HT]]=0,0,Tableau14[[#This Row],[Prix_Unit_HT]]+(Tableau14[[#This Row],[Prix_Unit_HT]]*VLOOKUP(Tableau14[[#This Row],[EAN]],[1]Grille_Tarifs_Modulable!$B$10:$Q$204,16,FALSE)))</f>
        <v>166.8</v>
      </c>
      <c r="N184" s="224">
        <v>1</v>
      </c>
      <c r="O184" s="228">
        <f>ROUND(Tableau14[[#This Row],[Prix_Unit_HT]],2)*Tableau14[[#This Row],[Qte_commande]]</f>
        <v>139</v>
      </c>
      <c r="P184" s="228">
        <f>ROUND(Tableau14[[#This Row],[Prix_Unit_TTC]],2)*Tableau14[[#This Row],[Qte_commande]]</f>
        <v>166.8</v>
      </c>
      <c r="Q184" s="224">
        <v>1</v>
      </c>
      <c r="R184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</v>
      </c>
      <c r="U184" s="224"/>
      <c r="V184" s="224"/>
    </row>
    <row r="185" spans="1:22" ht="12.75" x14ac:dyDescent="0.2">
      <c r="A185" s="225">
        <v>42599</v>
      </c>
      <c r="B185" s="224" t="s">
        <v>465</v>
      </c>
      <c r="C185" s="224" t="s">
        <v>173</v>
      </c>
      <c r="D185" s="224" t="s">
        <v>443</v>
      </c>
      <c r="E185" s="226"/>
      <c r="G185" s="224" t="s">
        <v>13</v>
      </c>
      <c r="H185" s="224" t="s">
        <v>451</v>
      </c>
      <c r="I185" s="224" t="s">
        <v>69</v>
      </c>
      <c r="J185" s="227">
        <v>3</v>
      </c>
      <c r="K185" s="227">
        <f t="array" ref="K185">IFERROR(INDEX([1]Grille_Tarifs_Modulable!$B$2:$B$204,MATCH(Tableau14[[#This Row],[Designation]]&amp;Tableau14[[#This Row],[CL]],[1]Grille_Tarifs_Modulable!$C$2:$C$204&amp;[1]Grille_Tarifs_Modulable!$F$2:$F$204,0)),0)</f>
        <v>121</v>
      </c>
      <c r="L185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299</v>
      </c>
      <c r="M185" s="228">
        <f>IF(Tableau14[[#This Row],[Prix_Unit_HT]]=0,0,Tableau14[[#This Row],[Prix_Unit_HT]]+(Tableau14[[#This Row],[Prix_Unit_HT]]*VLOOKUP(Tableau14[[#This Row],[EAN]],[1]Grille_Tarifs_Modulable!$B$10:$Q$204,16,FALSE)))</f>
        <v>358.8</v>
      </c>
      <c r="N185" s="224">
        <v>1</v>
      </c>
      <c r="O185" s="228">
        <f>ROUND(Tableau14[[#This Row],[Prix_Unit_HT]],2)*Tableau14[[#This Row],[Qte_commande]]</f>
        <v>299</v>
      </c>
      <c r="P185" s="228">
        <f>ROUND(Tableau14[[#This Row],[Prix_Unit_TTC]],2)*Tableau14[[#This Row],[Qte_commande]]</f>
        <v>358.8</v>
      </c>
      <c r="Q185" s="224">
        <v>1</v>
      </c>
      <c r="R185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</v>
      </c>
      <c r="U185" s="224"/>
      <c r="V185" s="224"/>
    </row>
    <row r="186" spans="1:22" ht="12.75" x14ac:dyDescent="0.2">
      <c r="A186" s="225">
        <v>42599</v>
      </c>
      <c r="B186" s="224" t="s">
        <v>988</v>
      </c>
      <c r="C186" s="224" t="s">
        <v>174</v>
      </c>
      <c r="D186" s="224" t="s">
        <v>540</v>
      </c>
      <c r="E186" s="226"/>
      <c r="G186" s="224" t="s">
        <v>13</v>
      </c>
      <c r="H186" s="224" t="s">
        <v>451</v>
      </c>
      <c r="I186" s="224" t="s">
        <v>69</v>
      </c>
      <c r="J186" s="227">
        <v>3</v>
      </c>
      <c r="K186" s="227">
        <f t="array" ref="K186">IFERROR(INDEX([1]Grille_Tarifs_Modulable!$B$2:$B$204,MATCH(Tableau14[[#This Row],[Designation]]&amp;Tableau14[[#This Row],[CL]],[1]Grille_Tarifs_Modulable!$C$2:$C$204&amp;[1]Grille_Tarifs_Modulable!$F$2:$F$204,0)),0)</f>
        <v>121</v>
      </c>
      <c r="L186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299</v>
      </c>
      <c r="M186" s="228">
        <f>IF(Tableau14[[#This Row],[Prix_Unit_HT]]=0,0,Tableau14[[#This Row],[Prix_Unit_HT]]+(Tableau14[[#This Row],[Prix_Unit_HT]]*VLOOKUP(Tableau14[[#This Row],[EAN]],[1]Grille_Tarifs_Modulable!$B$10:$Q$204,16,FALSE)))</f>
        <v>358.8</v>
      </c>
      <c r="N186" s="224">
        <v>1</v>
      </c>
      <c r="O186" s="228">
        <f>ROUND(Tableau14[[#This Row],[Prix_Unit_HT]],2)*Tableau14[[#This Row],[Qte_commande]]</f>
        <v>299</v>
      </c>
      <c r="P186" s="228">
        <f>ROUND(Tableau14[[#This Row],[Prix_Unit_TTC]],2)*Tableau14[[#This Row],[Qte_commande]]</f>
        <v>358.8</v>
      </c>
      <c r="Q186" s="224">
        <v>1</v>
      </c>
      <c r="R186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</v>
      </c>
      <c r="U186" s="224"/>
      <c r="V186" s="224"/>
    </row>
    <row r="187" spans="1:22" ht="12.75" x14ac:dyDescent="0.2">
      <c r="A187" s="225">
        <v>42604</v>
      </c>
      <c r="B187" s="224" t="s">
        <v>577</v>
      </c>
      <c r="C187" s="224" t="s">
        <v>530</v>
      </c>
      <c r="D187" s="224" t="s">
        <v>531</v>
      </c>
      <c r="E187" s="226"/>
      <c r="G187" s="224" t="s">
        <v>1</v>
      </c>
      <c r="H187" s="224" t="s">
        <v>289</v>
      </c>
      <c r="I187" s="224" t="s">
        <v>15</v>
      </c>
      <c r="J187" s="224">
        <v>70</v>
      </c>
      <c r="K187" s="227">
        <f t="array" ref="K187">IFERROR(INDEX([1]Grille_Tarifs_Modulable!$B$2:$B$204,MATCH(Tableau14[[#This Row],[Designation]]&amp;Tableau14[[#This Row],[CL]],[1]Grille_Tarifs_Modulable!$C$2:$C$204&amp;[1]Grille_Tarifs_Modulable!$F$2:$F$204,0)),0)</f>
        <v>4067700013859</v>
      </c>
      <c r="L187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12.532563499999998</v>
      </c>
      <c r="M187" s="228">
        <f>IF(Tableau14[[#This Row],[Prix_Unit_HT]]=0,0,Tableau14[[#This Row],[Prix_Unit_HT]]+(Tableau14[[#This Row],[Prix_Unit_HT]]*VLOOKUP(Tableau14[[#This Row],[EAN]],[1]Grille_Tarifs_Modulable!$B$10:$Q$204,16,FALSE)))</f>
        <v>15.039076199999998</v>
      </c>
      <c r="N187" s="224">
        <v>150</v>
      </c>
      <c r="O187" s="228">
        <f>ROUND(Tableau14[[#This Row],[Prix_Unit_HT]],2)*Tableau14[[#This Row],[Qte_commande]]</f>
        <v>1879.5</v>
      </c>
      <c r="P187" s="228">
        <f>ROUND(Tableau14[[#This Row],[Prix_Unit_TTC]],2)*Tableau14[[#This Row],[Qte_commande]]</f>
        <v>2256</v>
      </c>
      <c r="Q187" s="224">
        <v>150</v>
      </c>
      <c r="R187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150</v>
      </c>
      <c r="U187" s="224"/>
      <c r="V187" s="224"/>
    </row>
    <row r="188" spans="1:22" ht="12.75" x14ac:dyDescent="0.2">
      <c r="A188" s="225">
        <v>42606</v>
      </c>
      <c r="B188" s="224" t="s">
        <v>578</v>
      </c>
      <c r="C188" s="224" t="s">
        <v>579</v>
      </c>
      <c r="D188" s="224" t="s">
        <v>580</v>
      </c>
      <c r="E188" s="226"/>
      <c r="G188" s="224" t="s">
        <v>13</v>
      </c>
      <c r="H188" s="224" t="s">
        <v>289</v>
      </c>
      <c r="I188" s="224" t="s">
        <v>15</v>
      </c>
      <c r="J188" s="224">
        <v>70</v>
      </c>
      <c r="K188" s="227">
        <f t="array" ref="K188">IFERROR(INDEX([1]Grille_Tarifs_Modulable!$B$2:$B$204,MATCH(Tableau14[[#This Row],[Designation]]&amp;Tableau14[[#This Row],[CL]],[1]Grille_Tarifs_Modulable!$C$2:$C$204&amp;[1]Grille_Tarifs_Modulable!$F$2:$F$204,0)),0)</f>
        <v>4067700013859</v>
      </c>
      <c r="L188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13.942563499999999</v>
      </c>
      <c r="M188" s="228">
        <f>IF(Tableau14[[#This Row],[Prix_Unit_HT]]=0,0,Tableau14[[#This Row],[Prix_Unit_HT]]+(Tableau14[[#This Row],[Prix_Unit_HT]]*VLOOKUP(Tableau14[[#This Row],[EAN]],[1]Grille_Tarifs_Modulable!$B$10:$Q$204,16,FALSE)))</f>
        <v>16.731076199999997</v>
      </c>
      <c r="N188" s="224">
        <v>12</v>
      </c>
      <c r="O188" s="228">
        <f>ROUND(Tableau14[[#This Row],[Prix_Unit_HT]],2)*Tableau14[[#This Row],[Qte_commande]]</f>
        <v>167.28</v>
      </c>
      <c r="P188" s="228">
        <f>ROUND(Tableau14[[#This Row],[Prix_Unit_TTC]],2)*Tableau14[[#This Row],[Qte_commande]]</f>
        <v>200.76</v>
      </c>
      <c r="Q188" s="224">
        <v>12</v>
      </c>
      <c r="R188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12.000000000000002</v>
      </c>
      <c r="U188" s="224"/>
      <c r="V188" s="224"/>
    </row>
    <row r="189" spans="1:22" ht="12.75" x14ac:dyDescent="0.2">
      <c r="A189" s="225">
        <v>42606</v>
      </c>
      <c r="B189" s="224" t="s">
        <v>578</v>
      </c>
      <c r="C189" s="224" t="s">
        <v>579</v>
      </c>
      <c r="D189" s="224" t="s">
        <v>580</v>
      </c>
      <c r="E189" s="226"/>
      <c r="G189" s="224" t="s">
        <v>13</v>
      </c>
      <c r="H189" s="224" t="s">
        <v>196</v>
      </c>
      <c r="I189" s="224" t="s">
        <v>66</v>
      </c>
      <c r="J189" s="224">
        <v>50</v>
      </c>
      <c r="K189" s="227">
        <f t="array" ref="K189">IFERROR(INDEX([1]Grille_Tarifs_Modulable!$B$2:$B$204,MATCH(Tableau14[[#This Row],[Designation]]&amp;Tableau14[[#This Row],[CL]],[1]Grille_Tarifs_Modulable!$C$2:$C$204&amp;[1]Grille_Tarifs_Modulable!$F$2:$F$204,0)),0)</f>
        <v>4260310553382</v>
      </c>
      <c r="L189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1.1000000000000001</v>
      </c>
      <c r="M189" s="228">
        <f>IF(Tableau14[[#This Row],[Prix_Unit_HT]]=0,0,Tableau14[[#This Row],[Prix_Unit_HT]]+(Tableau14[[#This Row],[Prix_Unit_HT]]*VLOOKUP(Tableau14[[#This Row],[EAN]],[1]Grille_Tarifs_Modulable!$B$10:$Q$204,16,FALSE)))</f>
        <v>1.1605000000000001</v>
      </c>
      <c r="N189" s="224">
        <v>40</v>
      </c>
      <c r="O189" s="228">
        <f>ROUND(Tableau14[[#This Row],[Prix_Unit_HT]],2)*Tableau14[[#This Row],[Qte_commande]]</f>
        <v>44</v>
      </c>
      <c r="P189" s="228">
        <f>ROUND(Tableau14[[#This Row],[Prix_Unit_TTC]],2)*Tableau14[[#This Row],[Qte_commande]]</f>
        <v>46.4</v>
      </c>
      <c r="Q189" s="224">
        <v>28.57</v>
      </c>
      <c r="R189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28.571428571428573</v>
      </c>
      <c r="U189" s="224"/>
      <c r="V189" s="224"/>
    </row>
    <row r="190" spans="1:22" ht="12.75" x14ac:dyDescent="0.2">
      <c r="A190" s="225">
        <v>42606</v>
      </c>
      <c r="B190" s="224" t="s">
        <v>578</v>
      </c>
      <c r="C190" s="224" t="s">
        <v>579</v>
      </c>
      <c r="D190" s="224" t="s">
        <v>580</v>
      </c>
      <c r="E190" s="226"/>
      <c r="G190" s="224" t="s">
        <v>13</v>
      </c>
      <c r="H190" s="224" t="s">
        <v>289</v>
      </c>
      <c r="I190" s="224" t="s">
        <v>32</v>
      </c>
      <c r="J190" s="224">
        <v>70</v>
      </c>
      <c r="K190" s="227">
        <f t="array" ref="K190">IFERROR(INDEX([1]Grille_Tarifs_Modulable!$B$2:$B$204,MATCH(Tableau14[[#This Row],[Designation]]&amp;Tableau14[[#This Row],[CL]],[1]Grille_Tarifs_Modulable!$C$2:$C$204&amp;[1]Grille_Tarifs_Modulable!$F$2:$F$204,0)),0)</f>
        <v>3257150100228</v>
      </c>
      <c r="L190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21.488644000000001</v>
      </c>
      <c r="M190" s="228">
        <f>IF(Tableau14[[#This Row],[Prix_Unit_HT]]=0,0,Tableau14[[#This Row],[Prix_Unit_HT]]+(Tableau14[[#This Row],[Prix_Unit_HT]]*VLOOKUP(Tableau14[[#This Row],[EAN]],[1]Grille_Tarifs_Modulable!$B$10:$Q$204,16,FALSE)))</f>
        <v>25.786372800000002</v>
      </c>
      <c r="N190" s="224">
        <v>6</v>
      </c>
      <c r="O190" s="228">
        <f>ROUND(Tableau14[[#This Row],[Prix_Unit_HT]],2)*Tableau14[[#This Row],[Qte_commande]]</f>
        <v>128.94</v>
      </c>
      <c r="P190" s="228">
        <f>ROUND(Tableau14[[#This Row],[Prix_Unit_TTC]],2)*Tableau14[[#This Row],[Qte_commande]]</f>
        <v>154.74</v>
      </c>
      <c r="Q190" s="224">
        <v>6</v>
      </c>
      <c r="R190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6.0000000000000009</v>
      </c>
      <c r="U190" s="224"/>
      <c r="V190" s="224"/>
    </row>
    <row r="191" spans="1:22" ht="12.75" x14ac:dyDescent="0.2">
      <c r="A191" s="225">
        <v>42606</v>
      </c>
      <c r="B191" s="224" t="s">
        <v>578</v>
      </c>
      <c r="C191" s="224" t="s">
        <v>579</v>
      </c>
      <c r="D191" s="224" t="s">
        <v>580</v>
      </c>
      <c r="E191" s="226"/>
      <c r="G191" s="224" t="s">
        <v>13</v>
      </c>
      <c r="H191" s="224" t="s">
        <v>289</v>
      </c>
      <c r="I191" s="224" t="s">
        <v>42</v>
      </c>
      <c r="J191" s="224">
        <v>70</v>
      </c>
      <c r="K191" s="227">
        <f t="array" ref="K191">IFERROR(INDEX([1]Grille_Tarifs_Modulable!$B$2:$B$204,MATCH(Tableau14[[#This Row],[Designation]]&amp;Tableau14[[#This Row],[CL]],[1]Grille_Tarifs_Modulable!$C$2:$C$204&amp;[1]Grille_Tarifs_Modulable!$F$2:$F$204,0)),0)</f>
        <v>3257150688009</v>
      </c>
      <c r="L191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14.5169152</v>
      </c>
      <c r="M191" s="228">
        <f>IF(Tableau14[[#This Row],[Prix_Unit_HT]]=0,0,Tableau14[[#This Row],[Prix_Unit_HT]]+(Tableau14[[#This Row],[Prix_Unit_HT]]*VLOOKUP(Tableau14[[#This Row],[EAN]],[1]Grille_Tarifs_Modulable!$B$10:$Q$204,16,FALSE)))</f>
        <v>17.420298240000001</v>
      </c>
      <c r="N191" s="224">
        <v>6</v>
      </c>
      <c r="O191" s="228">
        <f>ROUND(Tableau14[[#This Row],[Prix_Unit_HT]],2)*Tableau14[[#This Row],[Qte_commande]]</f>
        <v>87.12</v>
      </c>
      <c r="P191" s="228">
        <f>ROUND(Tableau14[[#This Row],[Prix_Unit_TTC]],2)*Tableau14[[#This Row],[Qte_commande]]</f>
        <v>104.52000000000001</v>
      </c>
      <c r="Q191" s="224">
        <v>6</v>
      </c>
      <c r="R191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6.0000000000000009</v>
      </c>
      <c r="U191" s="224"/>
      <c r="V191" s="224"/>
    </row>
    <row r="192" spans="1:22" ht="12.75" x14ac:dyDescent="0.2">
      <c r="A192" s="225">
        <v>42607</v>
      </c>
      <c r="B192" s="224" t="s">
        <v>468</v>
      </c>
      <c r="C192" s="224" t="s">
        <v>175</v>
      </c>
      <c r="D192" s="224" t="s">
        <v>469</v>
      </c>
      <c r="E192" s="226"/>
      <c r="G192" s="224" t="s">
        <v>13</v>
      </c>
      <c r="H192" s="224" t="s">
        <v>451</v>
      </c>
      <c r="I192" s="224" t="s">
        <v>74</v>
      </c>
      <c r="J192" s="229">
        <v>6</v>
      </c>
      <c r="K192" s="227">
        <f t="array" ref="K192">IFERROR(INDEX([1]Grille_Tarifs_Modulable!$B$2:$B$204,MATCH(Tableau14[[#This Row],[Designation]]&amp;Tableau14[[#This Row],[CL]],[1]Grille_Tarifs_Modulable!$C$2:$C$204&amp;[1]Grille_Tarifs_Modulable!$F$2:$F$204,0)),0)</f>
        <v>125</v>
      </c>
      <c r="L192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139</v>
      </c>
      <c r="M192" s="228">
        <f>IF(Tableau14[[#This Row],[Prix_Unit_HT]]=0,0,Tableau14[[#This Row],[Prix_Unit_HT]]+(Tableau14[[#This Row],[Prix_Unit_HT]]*VLOOKUP(Tableau14[[#This Row],[EAN]],[1]Grille_Tarifs_Modulable!$B$10:$Q$204,16,FALSE)))</f>
        <v>166.8</v>
      </c>
      <c r="N192" s="224">
        <v>1</v>
      </c>
      <c r="O192" s="228">
        <f>ROUND(Tableau14[[#This Row],[Prix_Unit_HT]],2)*Tableau14[[#This Row],[Qte_commande]]</f>
        <v>139</v>
      </c>
      <c r="P192" s="228">
        <f>ROUND(Tableau14[[#This Row],[Prix_Unit_TTC]],2)*Tableau14[[#This Row],[Qte_commande]]</f>
        <v>166.8</v>
      </c>
      <c r="Q192" s="224">
        <v>1</v>
      </c>
      <c r="R192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</v>
      </c>
      <c r="U192" s="224"/>
      <c r="V192" s="224"/>
    </row>
    <row r="193" spans="1:22" ht="12.75" x14ac:dyDescent="0.2">
      <c r="A193" s="225">
        <v>42607</v>
      </c>
      <c r="B193" s="224" t="s">
        <v>989</v>
      </c>
      <c r="C193" s="224" t="s">
        <v>175</v>
      </c>
      <c r="D193" s="224" t="s">
        <v>469</v>
      </c>
      <c r="E193" s="226"/>
      <c r="G193" s="224" t="s">
        <v>13</v>
      </c>
      <c r="H193" s="224" t="s">
        <v>451</v>
      </c>
      <c r="I193" s="224" t="s">
        <v>69</v>
      </c>
      <c r="J193" s="227">
        <v>3</v>
      </c>
      <c r="K193" s="227">
        <f t="array" ref="K193">IFERROR(INDEX([1]Grille_Tarifs_Modulable!$B$2:$B$204,MATCH(Tableau14[[#This Row],[Designation]]&amp;Tableau14[[#This Row],[CL]],[1]Grille_Tarifs_Modulable!$C$2:$C$204&amp;[1]Grille_Tarifs_Modulable!$F$2:$F$204,0)),0)</f>
        <v>121</v>
      </c>
      <c r="L193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299</v>
      </c>
      <c r="M193" s="228">
        <f>IF(Tableau14[[#This Row],[Prix_Unit_HT]]=0,0,Tableau14[[#This Row],[Prix_Unit_HT]]+(Tableau14[[#This Row],[Prix_Unit_HT]]*VLOOKUP(Tableau14[[#This Row],[EAN]],[1]Grille_Tarifs_Modulable!$B$10:$Q$204,16,FALSE)))</f>
        <v>358.8</v>
      </c>
      <c r="N193" s="224">
        <v>1</v>
      </c>
      <c r="O193" s="228">
        <f>ROUND(Tableau14[[#This Row],[Prix_Unit_HT]],2)*Tableau14[[#This Row],[Qte_commande]]</f>
        <v>299</v>
      </c>
      <c r="P193" s="228">
        <f>ROUND(Tableau14[[#This Row],[Prix_Unit_TTC]],2)*Tableau14[[#This Row],[Qte_commande]]</f>
        <v>358.8</v>
      </c>
      <c r="Q193" s="224">
        <v>1</v>
      </c>
      <c r="R193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</v>
      </c>
      <c r="U193" s="224"/>
      <c r="V193" s="224"/>
    </row>
    <row r="194" spans="1:22" ht="12.75" x14ac:dyDescent="0.2">
      <c r="A194" s="225">
        <v>42611</v>
      </c>
      <c r="B194" s="224" t="s">
        <v>510</v>
      </c>
      <c r="C194" s="224" t="s">
        <v>480</v>
      </c>
      <c r="D194" s="224" t="s">
        <v>443</v>
      </c>
      <c r="E194" s="226"/>
      <c r="G194" s="224" t="s">
        <v>13</v>
      </c>
      <c r="H194" s="224" t="s">
        <v>196</v>
      </c>
      <c r="I194" s="224" t="s">
        <v>60</v>
      </c>
      <c r="J194" s="224">
        <v>20</v>
      </c>
      <c r="K194" s="227">
        <f t="array" ref="K194">IFERROR(INDEX([1]Grille_Tarifs_Modulable!$B$2:$B$204,MATCH(Tableau14[[#This Row],[Designation]]&amp;Tableau14[[#This Row],[CL]],[1]Grille_Tarifs_Modulable!$C$2:$C$204&amp;[1]Grille_Tarifs_Modulable!$F$2:$F$204,0)),0)</f>
        <v>4260310553832</v>
      </c>
      <c r="L194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0.89</v>
      </c>
      <c r="M194" s="228">
        <f>IF(Tableau14[[#This Row],[Prix_Unit_HT]]=0,0,Tableau14[[#This Row],[Prix_Unit_HT]]+(Tableau14[[#This Row],[Prix_Unit_HT]]*VLOOKUP(Tableau14[[#This Row],[EAN]],[1]Grille_Tarifs_Modulable!$B$10:$Q$204,16,FALSE)))</f>
        <v>0.93895000000000006</v>
      </c>
      <c r="N194" s="224">
        <v>48</v>
      </c>
      <c r="O194" s="228">
        <f>ROUND(Tableau14[[#This Row],[Prix_Unit_HT]],2)*Tableau14[[#This Row],[Qte_commande]]</f>
        <v>42.72</v>
      </c>
      <c r="P194" s="228">
        <f>ROUND(Tableau14[[#This Row],[Prix_Unit_TTC]],2)*Tableau14[[#This Row],[Qte_commande]]</f>
        <v>45.12</v>
      </c>
      <c r="Q194" s="224">
        <v>13.71</v>
      </c>
      <c r="R194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13.714285714285715</v>
      </c>
      <c r="U194" s="224"/>
      <c r="V194" s="224"/>
    </row>
    <row r="195" spans="1:22" ht="12.75" x14ac:dyDescent="0.2">
      <c r="A195" s="225">
        <v>42611</v>
      </c>
      <c r="B195" s="224" t="s">
        <v>510</v>
      </c>
      <c r="C195" s="224" t="s">
        <v>480</v>
      </c>
      <c r="D195" s="224" t="s">
        <v>443</v>
      </c>
      <c r="E195" s="226"/>
      <c r="G195" s="224" t="s">
        <v>13</v>
      </c>
      <c r="H195" s="224" t="s">
        <v>196</v>
      </c>
      <c r="I195" s="224" t="s">
        <v>66</v>
      </c>
      <c r="J195" s="224">
        <v>50</v>
      </c>
      <c r="K195" s="227">
        <f t="array" ref="K195">IFERROR(INDEX([1]Grille_Tarifs_Modulable!$B$2:$B$204,MATCH(Tableau14[[#This Row],[Designation]]&amp;Tableau14[[#This Row],[CL]],[1]Grille_Tarifs_Modulable!$C$2:$C$204&amp;[1]Grille_Tarifs_Modulable!$F$2:$F$204,0)),0)</f>
        <v>4260310553382</v>
      </c>
      <c r="L195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1.1000000000000001</v>
      </c>
      <c r="M195" s="228">
        <f>IF(Tableau14[[#This Row],[Prix_Unit_HT]]=0,0,Tableau14[[#This Row],[Prix_Unit_HT]]+(Tableau14[[#This Row],[Prix_Unit_HT]]*VLOOKUP(Tableau14[[#This Row],[EAN]],[1]Grille_Tarifs_Modulable!$B$10:$Q$204,16,FALSE)))</f>
        <v>1.1605000000000001</v>
      </c>
      <c r="N195" s="224">
        <v>40</v>
      </c>
      <c r="O195" s="228">
        <f>ROUND(Tableau14[[#This Row],[Prix_Unit_HT]],2)*Tableau14[[#This Row],[Qte_commande]]</f>
        <v>44</v>
      </c>
      <c r="P195" s="228">
        <f>ROUND(Tableau14[[#This Row],[Prix_Unit_TTC]],2)*Tableau14[[#This Row],[Qte_commande]]</f>
        <v>46.4</v>
      </c>
      <c r="Q195" s="224">
        <v>28.57</v>
      </c>
      <c r="R195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28.571428571428573</v>
      </c>
      <c r="U195" s="224"/>
      <c r="V195" s="224"/>
    </row>
    <row r="196" spans="1:22" ht="12.75" x14ac:dyDescent="0.2">
      <c r="A196" s="225">
        <v>42611</v>
      </c>
      <c r="B196" s="224" t="s">
        <v>510</v>
      </c>
      <c r="C196" s="224" t="s">
        <v>480</v>
      </c>
      <c r="D196" s="224" t="s">
        <v>443</v>
      </c>
      <c r="E196" s="226"/>
      <c r="G196" s="224" t="s">
        <v>13</v>
      </c>
      <c r="H196" s="224" t="s">
        <v>196</v>
      </c>
      <c r="I196" s="224" t="s">
        <v>64</v>
      </c>
      <c r="J196" s="224">
        <v>20</v>
      </c>
      <c r="K196" s="227">
        <f t="array" ref="K196">IFERROR(INDEX([1]Grille_Tarifs_Modulable!$B$2:$B$204,MATCH(Tableau14[[#This Row],[Designation]]&amp;Tableau14[[#This Row],[CL]],[1]Grille_Tarifs_Modulable!$C$2:$C$204&amp;[1]Grille_Tarifs_Modulable!$F$2:$F$204,0)),0)</f>
        <v>4260310553849</v>
      </c>
      <c r="L196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0.89</v>
      </c>
      <c r="M196" s="228">
        <f>IF(Tableau14[[#This Row],[Prix_Unit_HT]]=0,0,Tableau14[[#This Row],[Prix_Unit_HT]]+(Tableau14[[#This Row],[Prix_Unit_HT]]*VLOOKUP(Tableau14[[#This Row],[EAN]],[1]Grille_Tarifs_Modulable!$B$10:$Q$204,16,FALSE)))</f>
        <v>0.93895000000000006</v>
      </c>
      <c r="N196" s="224">
        <v>48</v>
      </c>
      <c r="O196" s="228">
        <f>ROUND(Tableau14[[#This Row],[Prix_Unit_HT]],2)*Tableau14[[#This Row],[Qte_commande]]</f>
        <v>42.72</v>
      </c>
      <c r="P196" s="228">
        <f>ROUND(Tableau14[[#This Row],[Prix_Unit_TTC]],2)*Tableau14[[#This Row],[Qte_commande]]</f>
        <v>45.12</v>
      </c>
      <c r="Q196" s="224">
        <v>13.71</v>
      </c>
      <c r="R196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13.714285714285715</v>
      </c>
      <c r="U196" s="224"/>
      <c r="V196" s="224"/>
    </row>
    <row r="197" spans="1:22" ht="12.75" x14ac:dyDescent="0.2">
      <c r="A197" s="225">
        <v>42611</v>
      </c>
      <c r="B197" s="224" t="s">
        <v>510</v>
      </c>
      <c r="C197" s="224" t="s">
        <v>480</v>
      </c>
      <c r="D197" s="224" t="s">
        <v>443</v>
      </c>
      <c r="E197" s="226"/>
      <c r="G197" s="224" t="s">
        <v>13</v>
      </c>
      <c r="H197" s="224" t="s">
        <v>289</v>
      </c>
      <c r="I197" s="224" t="s">
        <v>1355</v>
      </c>
      <c r="J197" s="224">
        <v>70</v>
      </c>
      <c r="K197" s="227">
        <f t="array" ref="K197">IFERROR(INDEX([1]Grille_Tarifs_Modulable!$B$2:$B$204,MATCH(Tableau14[[#This Row],[Designation]]&amp;Tableau14[[#This Row],[CL]],[1]Grille_Tarifs_Modulable!$C$2:$C$204&amp;[1]Grille_Tarifs_Modulable!$F$2:$F$204,0)),0)</f>
        <v>0</v>
      </c>
      <c r="L197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</v>
      </c>
      <c r="M197" s="228">
        <f>IF(Tableau14[[#This Row],[Prix_Unit_HT]]=0,0,Tableau14[[#This Row],[Prix_Unit_HT]]+(Tableau14[[#This Row],[Prix_Unit_HT]]*VLOOKUP(Tableau14[[#This Row],[EAN]],[1]Grille_Tarifs_Modulable!$B$10:$Q$204,16,FALSE)))</f>
        <v>0</v>
      </c>
      <c r="N197" s="224">
        <v>12</v>
      </c>
      <c r="O197" s="228">
        <f>ROUND(Tableau14[[#This Row],[Prix_Unit_HT]],2)*Tableau14[[#This Row],[Qte_commande]]</f>
        <v>0</v>
      </c>
      <c r="P197" s="228">
        <f>ROUND(Tableau14[[#This Row],[Prix_Unit_TTC]],2)*Tableau14[[#This Row],[Qte_commande]]</f>
        <v>0</v>
      </c>
      <c r="Q197" s="224">
        <v>12</v>
      </c>
      <c r="R197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12.000000000000002</v>
      </c>
      <c r="U197" s="224"/>
      <c r="V197" s="224"/>
    </row>
    <row r="198" spans="1:22" ht="12.75" x14ac:dyDescent="0.2">
      <c r="A198" s="225">
        <v>42611</v>
      </c>
      <c r="B198" s="224" t="s">
        <v>510</v>
      </c>
      <c r="C198" s="224" t="s">
        <v>480</v>
      </c>
      <c r="D198" s="224" t="s">
        <v>443</v>
      </c>
      <c r="E198" s="226"/>
      <c r="G198" s="224" t="s">
        <v>13</v>
      </c>
      <c r="H198" s="224" t="s">
        <v>289</v>
      </c>
      <c r="I198" s="224" t="s">
        <v>1357</v>
      </c>
      <c r="J198" s="224">
        <v>70</v>
      </c>
      <c r="K198" s="227">
        <f t="array" ref="K198">IFERROR(INDEX([1]Grille_Tarifs_Modulable!$B$2:$B$204,MATCH(Tableau14[[#This Row],[Designation]]&amp;Tableau14[[#This Row],[CL]],[1]Grille_Tarifs_Modulable!$C$2:$C$204&amp;[1]Grille_Tarifs_Modulable!$F$2:$F$204,0)),0)</f>
        <v>0</v>
      </c>
      <c r="L198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</v>
      </c>
      <c r="M198" s="228">
        <f>IF(Tableau14[[#This Row],[Prix_Unit_HT]]=0,0,Tableau14[[#This Row],[Prix_Unit_HT]]+(Tableau14[[#This Row],[Prix_Unit_HT]]*VLOOKUP(Tableau14[[#This Row],[EAN]],[1]Grille_Tarifs_Modulable!$B$10:$Q$204,16,FALSE)))</f>
        <v>0</v>
      </c>
      <c r="N198" s="224">
        <v>12</v>
      </c>
      <c r="O198" s="228">
        <f>ROUND(Tableau14[[#This Row],[Prix_Unit_HT]],2)*Tableau14[[#This Row],[Qte_commande]]</f>
        <v>0</v>
      </c>
      <c r="P198" s="228">
        <f>ROUND(Tableau14[[#This Row],[Prix_Unit_TTC]],2)*Tableau14[[#This Row],[Qte_commande]]</f>
        <v>0</v>
      </c>
      <c r="Q198" s="224">
        <v>12</v>
      </c>
      <c r="R198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12.000000000000002</v>
      </c>
      <c r="U198" s="224"/>
      <c r="V198" s="224"/>
    </row>
    <row r="199" spans="1:22" ht="12.75" x14ac:dyDescent="0.2">
      <c r="A199" s="225">
        <v>42619</v>
      </c>
      <c r="B199" s="224" t="s">
        <v>470</v>
      </c>
      <c r="C199" s="224" t="s">
        <v>459</v>
      </c>
      <c r="D199" s="224" t="s">
        <v>209</v>
      </c>
      <c r="E199" s="226"/>
      <c r="G199" s="224" t="s">
        <v>13</v>
      </c>
      <c r="H199" s="224" t="s">
        <v>451</v>
      </c>
      <c r="I199" s="224" t="s">
        <v>74</v>
      </c>
      <c r="J199" s="229">
        <v>6</v>
      </c>
      <c r="K199" s="227">
        <f t="array" ref="K199">IFERROR(INDEX([1]Grille_Tarifs_Modulable!$B$2:$B$204,MATCH(Tableau14[[#This Row],[Designation]]&amp;Tableau14[[#This Row],[CL]],[1]Grille_Tarifs_Modulable!$C$2:$C$204&amp;[1]Grille_Tarifs_Modulable!$F$2:$F$204,0)),0)</f>
        <v>125</v>
      </c>
      <c r="L199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139</v>
      </c>
      <c r="M199" s="228">
        <f>IF(Tableau14[[#This Row],[Prix_Unit_HT]]=0,0,Tableau14[[#This Row],[Prix_Unit_HT]]+(Tableau14[[#This Row],[Prix_Unit_HT]]*VLOOKUP(Tableau14[[#This Row],[EAN]],[1]Grille_Tarifs_Modulable!$B$10:$Q$204,16,FALSE)))</f>
        <v>166.8</v>
      </c>
      <c r="N199" s="224">
        <v>1</v>
      </c>
      <c r="O199" s="228">
        <f>ROUND(Tableau14[[#This Row],[Prix_Unit_HT]],2)*Tableau14[[#This Row],[Qte_commande]]</f>
        <v>139</v>
      </c>
      <c r="P199" s="228">
        <f>ROUND(Tableau14[[#This Row],[Prix_Unit_TTC]],2)*Tableau14[[#This Row],[Qte_commande]]</f>
        <v>166.8</v>
      </c>
      <c r="Q199" s="224">
        <v>1</v>
      </c>
      <c r="R199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</v>
      </c>
      <c r="U199" s="224"/>
      <c r="V199" s="224"/>
    </row>
    <row r="200" spans="1:22" ht="12.75" x14ac:dyDescent="0.2">
      <c r="A200" s="225">
        <v>42619</v>
      </c>
      <c r="B200" s="224" t="s">
        <v>471</v>
      </c>
      <c r="C200" s="224" t="s">
        <v>177</v>
      </c>
      <c r="D200" s="224" t="s">
        <v>233</v>
      </c>
      <c r="E200" s="226"/>
      <c r="G200" s="224" t="s">
        <v>13</v>
      </c>
      <c r="H200" s="224" t="s">
        <v>451</v>
      </c>
      <c r="I200" s="224" t="s">
        <v>74</v>
      </c>
      <c r="J200" s="229">
        <v>6</v>
      </c>
      <c r="K200" s="227">
        <f t="array" ref="K200">IFERROR(INDEX([1]Grille_Tarifs_Modulable!$B$2:$B$204,MATCH(Tableau14[[#This Row],[Designation]]&amp;Tableau14[[#This Row],[CL]],[1]Grille_Tarifs_Modulable!$C$2:$C$204&amp;[1]Grille_Tarifs_Modulable!$F$2:$F$204,0)),0)</f>
        <v>125</v>
      </c>
      <c r="L200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139</v>
      </c>
      <c r="M200" s="228">
        <f>IF(Tableau14[[#This Row],[Prix_Unit_HT]]=0,0,Tableau14[[#This Row],[Prix_Unit_HT]]+(Tableau14[[#This Row],[Prix_Unit_HT]]*VLOOKUP(Tableau14[[#This Row],[EAN]],[1]Grille_Tarifs_Modulable!$B$10:$Q$204,16,FALSE)))</f>
        <v>166.8</v>
      </c>
      <c r="N200" s="224">
        <v>1</v>
      </c>
      <c r="O200" s="228">
        <f>ROUND(Tableau14[[#This Row],[Prix_Unit_HT]],2)*Tableau14[[#This Row],[Qte_commande]]</f>
        <v>139</v>
      </c>
      <c r="P200" s="228">
        <f>ROUND(Tableau14[[#This Row],[Prix_Unit_TTC]],2)*Tableau14[[#This Row],[Qte_commande]]</f>
        <v>166.8</v>
      </c>
      <c r="Q200" s="224">
        <v>1</v>
      </c>
      <c r="R200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</v>
      </c>
      <c r="U200" s="224"/>
      <c r="V200" s="224"/>
    </row>
    <row r="201" spans="1:22" ht="12.75" x14ac:dyDescent="0.2">
      <c r="A201" s="225">
        <v>42619</v>
      </c>
      <c r="B201" s="224" t="s">
        <v>817</v>
      </c>
      <c r="C201" s="224" t="s">
        <v>488</v>
      </c>
      <c r="D201" s="224" t="s">
        <v>489</v>
      </c>
      <c r="E201" s="226"/>
      <c r="G201" s="224" t="s">
        <v>13</v>
      </c>
      <c r="H201" s="224" t="s">
        <v>196</v>
      </c>
      <c r="I201" s="224" t="s">
        <v>66</v>
      </c>
      <c r="J201" s="224">
        <v>50</v>
      </c>
      <c r="K201" s="227">
        <f t="array" ref="K201">IFERROR(INDEX([1]Grille_Tarifs_Modulable!$B$2:$B$204,MATCH(Tableau14[[#This Row],[Designation]]&amp;Tableau14[[#This Row],[CL]],[1]Grille_Tarifs_Modulable!$C$2:$C$204&amp;[1]Grille_Tarifs_Modulable!$F$2:$F$204,0)),0)</f>
        <v>4260310553382</v>
      </c>
      <c r="L201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1.1000000000000001</v>
      </c>
      <c r="M201" s="228">
        <f>IF(Tableau14[[#This Row],[Prix_Unit_HT]]=0,0,Tableau14[[#This Row],[Prix_Unit_HT]]+(Tableau14[[#This Row],[Prix_Unit_HT]]*VLOOKUP(Tableau14[[#This Row],[EAN]],[1]Grille_Tarifs_Modulable!$B$10:$Q$204,16,FALSE)))</f>
        <v>1.1605000000000001</v>
      </c>
      <c r="N201" s="224">
        <v>40</v>
      </c>
      <c r="O201" s="228">
        <f>ROUND(Tableau14[[#This Row],[Prix_Unit_HT]],2)*Tableau14[[#This Row],[Qte_commande]]</f>
        <v>44</v>
      </c>
      <c r="P201" s="228">
        <f>ROUND(Tableau14[[#This Row],[Prix_Unit_TTC]],2)*Tableau14[[#This Row],[Qte_commande]]</f>
        <v>46.4</v>
      </c>
      <c r="Q201" s="224">
        <v>28.57</v>
      </c>
      <c r="R201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28.571428571428573</v>
      </c>
      <c r="U201" s="224"/>
      <c r="V201" s="224"/>
    </row>
    <row r="202" spans="1:22" ht="12.75" x14ac:dyDescent="0.2">
      <c r="A202" s="225">
        <v>42619</v>
      </c>
      <c r="B202" s="224" t="s">
        <v>817</v>
      </c>
      <c r="C202" s="224" t="s">
        <v>488</v>
      </c>
      <c r="D202" s="224" t="s">
        <v>489</v>
      </c>
      <c r="E202" s="226"/>
      <c r="G202" s="224" t="s">
        <v>13</v>
      </c>
      <c r="H202" s="224" t="s">
        <v>289</v>
      </c>
      <c r="I202" s="224" t="s">
        <v>24</v>
      </c>
      <c r="J202" s="224">
        <v>70</v>
      </c>
      <c r="K202" s="227">
        <f t="array" ref="K202">IFERROR(INDEX([1]Grille_Tarifs_Modulable!$B$2:$B$204,MATCH(Tableau14[[#This Row],[Designation]]&amp;Tableau14[[#This Row],[CL]],[1]Grille_Tarifs_Modulable!$C$2:$C$204&amp;[1]Grille_Tarifs_Modulable!$F$2:$F$204,0)),0)</f>
        <v>8500000917008</v>
      </c>
      <c r="L202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11.528211800000001</v>
      </c>
      <c r="M202" s="228">
        <f>IF(Tableau14[[#This Row],[Prix_Unit_HT]]=0,0,Tableau14[[#This Row],[Prix_Unit_HT]]+(Tableau14[[#This Row],[Prix_Unit_HT]]*VLOOKUP(Tableau14[[#This Row],[EAN]],[1]Grille_Tarifs_Modulable!$B$10:$Q$204,16,FALSE)))</f>
        <v>13.833854160000001</v>
      </c>
      <c r="N202" s="224">
        <v>18</v>
      </c>
      <c r="O202" s="228">
        <f>ROUND(Tableau14[[#This Row],[Prix_Unit_HT]],2)*Tableau14[[#This Row],[Qte_commande]]</f>
        <v>207.54</v>
      </c>
      <c r="P202" s="228">
        <f>ROUND(Tableau14[[#This Row],[Prix_Unit_TTC]],2)*Tableau14[[#This Row],[Qte_commande]]</f>
        <v>248.94</v>
      </c>
      <c r="Q202" s="224">
        <v>18</v>
      </c>
      <c r="R202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18</v>
      </c>
      <c r="U202" s="224"/>
      <c r="V202" s="224"/>
    </row>
    <row r="203" spans="1:22" ht="12.75" x14ac:dyDescent="0.2">
      <c r="A203" s="225">
        <v>42619</v>
      </c>
      <c r="B203" s="224" t="s">
        <v>471</v>
      </c>
      <c r="C203" s="224" t="s">
        <v>177</v>
      </c>
      <c r="D203" s="224" t="s">
        <v>233</v>
      </c>
      <c r="E203" s="226"/>
      <c r="G203" s="224" t="s">
        <v>13</v>
      </c>
      <c r="H203" s="224" t="s">
        <v>451</v>
      </c>
      <c r="I203" s="224" t="s">
        <v>72</v>
      </c>
      <c r="J203" s="227">
        <v>4</v>
      </c>
      <c r="K203" s="227">
        <f t="array" ref="K203">IFERROR(INDEX([1]Grille_Tarifs_Modulable!$B$2:$B$204,MATCH(Tableau14[[#This Row],[Designation]]&amp;Tableau14[[#This Row],[CL]],[1]Grille_Tarifs_Modulable!$C$2:$C$204&amp;[1]Grille_Tarifs_Modulable!$F$2:$F$204,0)),0)</f>
        <v>123</v>
      </c>
      <c r="L203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139</v>
      </c>
      <c r="M203" s="228">
        <f>IF(Tableau14[[#This Row],[Prix_Unit_HT]]=0,0,Tableau14[[#This Row],[Prix_Unit_HT]]+(Tableau14[[#This Row],[Prix_Unit_HT]]*VLOOKUP(Tableau14[[#This Row],[EAN]],[1]Grille_Tarifs_Modulable!$B$10:$Q$204,16,FALSE)))</f>
        <v>166.8</v>
      </c>
      <c r="N203" s="224">
        <v>1</v>
      </c>
      <c r="O203" s="228">
        <f>ROUND(Tableau14[[#This Row],[Prix_Unit_HT]],2)*Tableau14[[#This Row],[Qte_commande]]</f>
        <v>139</v>
      </c>
      <c r="P203" s="228">
        <f>ROUND(Tableau14[[#This Row],[Prix_Unit_TTC]],2)*Tableau14[[#This Row],[Qte_commande]]</f>
        <v>166.8</v>
      </c>
      <c r="Q203" s="224">
        <v>1</v>
      </c>
      <c r="R203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</v>
      </c>
      <c r="U203" s="224"/>
      <c r="V203" s="224"/>
    </row>
    <row r="204" spans="1:22" ht="12.75" x14ac:dyDescent="0.2">
      <c r="A204" s="225">
        <v>42619</v>
      </c>
      <c r="B204" s="224" t="s">
        <v>950</v>
      </c>
      <c r="C204" s="224" t="s">
        <v>156</v>
      </c>
      <c r="D204" s="224" t="s">
        <v>209</v>
      </c>
      <c r="E204" s="226"/>
      <c r="G204" s="224" t="s">
        <v>1</v>
      </c>
      <c r="H204" s="224" t="s">
        <v>451</v>
      </c>
      <c r="I204" s="224" t="s">
        <v>72</v>
      </c>
      <c r="J204" s="227">
        <v>4</v>
      </c>
      <c r="K204" s="227">
        <f t="array" ref="K204">IFERROR(INDEX([1]Grille_Tarifs_Modulable!$B$2:$B$204,MATCH(Tableau14[[#This Row],[Designation]]&amp;Tableau14[[#This Row],[CL]],[1]Grille_Tarifs_Modulable!$C$2:$C$204&amp;[1]Grille_Tarifs_Modulable!$F$2:$F$204,0)),0)</f>
        <v>123</v>
      </c>
      <c r="L204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139</v>
      </c>
      <c r="M204" s="228">
        <f>IF(Tableau14[[#This Row],[Prix_Unit_HT]]=0,0,Tableau14[[#This Row],[Prix_Unit_HT]]+(Tableau14[[#This Row],[Prix_Unit_HT]]*VLOOKUP(Tableau14[[#This Row],[EAN]],[1]Grille_Tarifs_Modulable!$B$10:$Q$204,16,FALSE)))</f>
        <v>166.8</v>
      </c>
      <c r="N204" s="224">
        <v>2</v>
      </c>
      <c r="O204" s="228">
        <f>ROUND(Tableau14[[#This Row],[Prix_Unit_HT]],2)*Tableau14[[#This Row],[Qte_commande]]</f>
        <v>278</v>
      </c>
      <c r="P204" s="228">
        <f>ROUND(Tableau14[[#This Row],[Prix_Unit_TTC]],2)*Tableau14[[#This Row],[Qte_commande]]</f>
        <v>333.6</v>
      </c>
      <c r="Q204" s="224">
        <v>2</v>
      </c>
      <c r="R204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2</v>
      </c>
      <c r="U204" s="224"/>
      <c r="V204" s="224"/>
    </row>
    <row r="205" spans="1:22" ht="12.75" x14ac:dyDescent="0.2">
      <c r="A205" s="225">
        <v>42619</v>
      </c>
      <c r="B205" s="224" t="s">
        <v>990</v>
      </c>
      <c r="C205" s="224" t="s">
        <v>176</v>
      </c>
      <c r="D205" s="224" t="s">
        <v>991</v>
      </c>
      <c r="E205" s="226"/>
      <c r="F205" s="224" t="s">
        <v>992</v>
      </c>
      <c r="G205" s="224" t="s">
        <v>13</v>
      </c>
      <c r="H205" s="224" t="s">
        <v>451</v>
      </c>
      <c r="I205" s="224" t="s">
        <v>69</v>
      </c>
      <c r="J205" s="227">
        <v>3</v>
      </c>
      <c r="K205" s="227">
        <f t="array" ref="K205">IFERROR(INDEX([1]Grille_Tarifs_Modulable!$B$2:$B$204,MATCH(Tableau14[[#This Row],[Designation]]&amp;Tableau14[[#This Row],[CL]],[1]Grille_Tarifs_Modulable!$C$2:$C$204&amp;[1]Grille_Tarifs_Modulable!$F$2:$F$204,0)),0)</f>
        <v>121</v>
      </c>
      <c r="L205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299</v>
      </c>
      <c r="M205" s="228">
        <f>IF(Tableau14[[#This Row],[Prix_Unit_HT]]=0,0,Tableau14[[#This Row],[Prix_Unit_HT]]+(Tableau14[[#This Row],[Prix_Unit_HT]]*VLOOKUP(Tableau14[[#This Row],[EAN]],[1]Grille_Tarifs_Modulable!$B$10:$Q$204,16,FALSE)))</f>
        <v>358.8</v>
      </c>
      <c r="N205" s="224">
        <v>1</v>
      </c>
      <c r="O205" s="228">
        <f>ROUND(Tableau14[[#This Row],[Prix_Unit_HT]],2)*Tableau14[[#This Row],[Qte_commande]]</f>
        <v>299</v>
      </c>
      <c r="P205" s="228">
        <f>ROUND(Tableau14[[#This Row],[Prix_Unit_TTC]],2)*Tableau14[[#This Row],[Qte_commande]]</f>
        <v>358.8</v>
      </c>
      <c r="Q205" s="224">
        <v>1</v>
      </c>
      <c r="R205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</v>
      </c>
      <c r="U205" s="224"/>
      <c r="V205" s="224"/>
    </row>
    <row r="206" spans="1:22" ht="12.75" x14ac:dyDescent="0.2">
      <c r="A206" s="225">
        <v>42619</v>
      </c>
      <c r="B206" s="224" t="s">
        <v>471</v>
      </c>
      <c r="C206" s="224" t="s">
        <v>177</v>
      </c>
      <c r="D206" s="224" t="s">
        <v>233</v>
      </c>
      <c r="E206" s="226"/>
      <c r="G206" s="224" t="s">
        <v>13</v>
      </c>
      <c r="H206" s="224" t="s">
        <v>451</v>
      </c>
      <c r="I206" s="224" t="s">
        <v>69</v>
      </c>
      <c r="J206" s="227">
        <v>3</v>
      </c>
      <c r="K206" s="227">
        <f t="array" ref="K206">IFERROR(INDEX([1]Grille_Tarifs_Modulable!$B$2:$B$204,MATCH(Tableau14[[#This Row],[Designation]]&amp;Tableau14[[#This Row],[CL]],[1]Grille_Tarifs_Modulable!$C$2:$C$204&amp;[1]Grille_Tarifs_Modulable!$F$2:$F$204,0)),0)</f>
        <v>121</v>
      </c>
      <c r="L206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299</v>
      </c>
      <c r="M206" s="228">
        <f>IF(Tableau14[[#This Row],[Prix_Unit_HT]]=0,0,Tableau14[[#This Row],[Prix_Unit_HT]]+(Tableau14[[#This Row],[Prix_Unit_HT]]*VLOOKUP(Tableau14[[#This Row],[EAN]],[1]Grille_Tarifs_Modulable!$B$10:$Q$204,16,FALSE)))</f>
        <v>358.8</v>
      </c>
      <c r="N206" s="224">
        <v>1</v>
      </c>
      <c r="O206" s="228">
        <f>ROUND(Tableau14[[#This Row],[Prix_Unit_HT]],2)*Tableau14[[#This Row],[Qte_commande]]</f>
        <v>299</v>
      </c>
      <c r="P206" s="228">
        <f>ROUND(Tableau14[[#This Row],[Prix_Unit_TTC]],2)*Tableau14[[#This Row],[Qte_commande]]</f>
        <v>358.8</v>
      </c>
      <c r="Q206" s="224">
        <v>1</v>
      </c>
      <c r="R206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</v>
      </c>
      <c r="U206" s="224"/>
      <c r="V206" s="224"/>
    </row>
    <row r="207" spans="1:22" ht="12.75" x14ac:dyDescent="0.2">
      <c r="A207" s="225">
        <v>42619</v>
      </c>
      <c r="B207" s="224" t="s">
        <v>817</v>
      </c>
      <c r="C207" s="224" t="s">
        <v>488</v>
      </c>
      <c r="D207" s="224" t="s">
        <v>489</v>
      </c>
      <c r="E207" s="226"/>
      <c r="G207" s="224" t="s">
        <v>13</v>
      </c>
      <c r="H207" s="224" t="s">
        <v>196</v>
      </c>
      <c r="I207" s="224" t="s">
        <v>59</v>
      </c>
      <c r="J207" s="224">
        <v>20</v>
      </c>
      <c r="K207" s="227">
        <f t="array" ref="K207">IFERROR(INDEX([1]Grille_Tarifs_Modulable!$B$2:$B$204,MATCH(Tableau14[[#This Row],[Designation]]&amp;Tableau14[[#This Row],[CL]],[1]Grille_Tarifs_Modulable!$C$2:$C$204&amp;[1]Grille_Tarifs_Modulable!$F$2:$F$204,0)),0)</f>
        <v>4260310553818</v>
      </c>
      <c r="L207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0.89</v>
      </c>
      <c r="M207" s="228">
        <f>IF(Tableau14[[#This Row],[Prix_Unit_HT]]=0,0,Tableau14[[#This Row],[Prix_Unit_HT]]+(Tableau14[[#This Row],[Prix_Unit_HT]]*VLOOKUP(Tableau14[[#This Row],[EAN]],[1]Grille_Tarifs_Modulable!$B$10:$Q$204,16,FALSE)))</f>
        <v>0.93895000000000006</v>
      </c>
      <c r="N207" s="224">
        <v>24</v>
      </c>
      <c r="O207" s="228">
        <f>ROUND(Tableau14[[#This Row],[Prix_Unit_HT]],2)*Tableau14[[#This Row],[Qte_commande]]</f>
        <v>21.36</v>
      </c>
      <c r="P207" s="228">
        <f>ROUND(Tableau14[[#This Row],[Prix_Unit_TTC]],2)*Tableau14[[#This Row],[Qte_commande]]</f>
        <v>22.56</v>
      </c>
      <c r="Q207" s="224">
        <v>6.86</v>
      </c>
      <c r="R207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6.8571428571428577</v>
      </c>
      <c r="U207" s="224"/>
      <c r="V207" s="224"/>
    </row>
    <row r="208" spans="1:22" ht="12.75" x14ac:dyDescent="0.2">
      <c r="A208" s="225">
        <v>42622</v>
      </c>
      <c r="B208" s="224" t="s">
        <v>472</v>
      </c>
      <c r="C208" s="224" t="s">
        <v>473</v>
      </c>
      <c r="D208" s="224" t="s">
        <v>474</v>
      </c>
      <c r="E208" s="226"/>
      <c r="G208" s="224" t="s">
        <v>13</v>
      </c>
      <c r="H208" s="224" t="s">
        <v>451</v>
      </c>
      <c r="I208" s="224" t="s">
        <v>74</v>
      </c>
      <c r="J208" s="229">
        <v>6</v>
      </c>
      <c r="K208" s="227">
        <f t="array" ref="K208">IFERROR(INDEX([1]Grille_Tarifs_Modulable!$B$2:$B$204,MATCH(Tableau14[[#This Row],[Designation]]&amp;Tableau14[[#This Row],[CL]],[1]Grille_Tarifs_Modulable!$C$2:$C$204&amp;[1]Grille_Tarifs_Modulable!$F$2:$F$204,0)),0)</f>
        <v>125</v>
      </c>
      <c r="L208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139</v>
      </c>
      <c r="M208" s="228">
        <f>IF(Tableau14[[#This Row],[Prix_Unit_HT]]=0,0,Tableau14[[#This Row],[Prix_Unit_HT]]+(Tableau14[[#This Row],[Prix_Unit_HT]]*VLOOKUP(Tableau14[[#This Row],[EAN]],[1]Grille_Tarifs_Modulable!$B$10:$Q$204,16,FALSE)))</f>
        <v>166.8</v>
      </c>
      <c r="N208" s="224">
        <v>1</v>
      </c>
      <c r="O208" s="228">
        <f>ROUND(Tableau14[[#This Row],[Prix_Unit_HT]],2)*Tableau14[[#This Row],[Qte_commande]]</f>
        <v>139</v>
      </c>
      <c r="P208" s="228">
        <f>ROUND(Tableau14[[#This Row],[Prix_Unit_TTC]],2)*Tableau14[[#This Row],[Qte_commande]]</f>
        <v>166.8</v>
      </c>
      <c r="Q208" s="224">
        <v>1</v>
      </c>
      <c r="R208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</v>
      </c>
      <c r="U208" s="224"/>
      <c r="V208" s="224"/>
    </row>
    <row r="209" spans="1:22" ht="12.75" x14ac:dyDescent="0.2">
      <c r="A209" s="225">
        <v>42622</v>
      </c>
      <c r="B209" s="224" t="s">
        <v>475</v>
      </c>
      <c r="C209" s="224" t="s">
        <v>179</v>
      </c>
      <c r="D209" s="224" t="s">
        <v>443</v>
      </c>
      <c r="E209" s="226"/>
      <c r="G209" s="224" t="s">
        <v>13</v>
      </c>
      <c r="H209" s="224" t="s">
        <v>451</v>
      </c>
      <c r="I209" s="224" t="s">
        <v>74</v>
      </c>
      <c r="J209" s="229">
        <v>6</v>
      </c>
      <c r="K209" s="227">
        <f t="array" ref="K209">IFERROR(INDEX([1]Grille_Tarifs_Modulable!$B$2:$B$204,MATCH(Tableau14[[#This Row],[Designation]]&amp;Tableau14[[#This Row],[CL]],[1]Grille_Tarifs_Modulable!$C$2:$C$204&amp;[1]Grille_Tarifs_Modulable!$F$2:$F$204,0)),0)</f>
        <v>125</v>
      </c>
      <c r="L209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139</v>
      </c>
      <c r="M209" s="228">
        <f>IF(Tableau14[[#This Row],[Prix_Unit_HT]]=0,0,Tableau14[[#This Row],[Prix_Unit_HT]]+(Tableau14[[#This Row],[Prix_Unit_HT]]*VLOOKUP(Tableau14[[#This Row],[EAN]],[1]Grille_Tarifs_Modulable!$B$10:$Q$204,16,FALSE)))</f>
        <v>166.8</v>
      </c>
      <c r="N209" s="224">
        <v>1</v>
      </c>
      <c r="O209" s="228">
        <f>ROUND(Tableau14[[#This Row],[Prix_Unit_HT]],2)*Tableau14[[#This Row],[Qte_commande]]</f>
        <v>139</v>
      </c>
      <c r="P209" s="228">
        <f>ROUND(Tableau14[[#This Row],[Prix_Unit_TTC]],2)*Tableau14[[#This Row],[Qte_commande]]</f>
        <v>166.8</v>
      </c>
      <c r="Q209" s="224">
        <v>1</v>
      </c>
      <c r="R209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</v>
      </c>
      <c r="U209" s="224"/>
      <c r="V209" s="224"/>
    </row>
    <row r="210" spans="1:22" ht="12.75" x14ac:dyDescent="0.2">
      <c r="A210" s="225">
        <v>42622</v>
      </c>
      <c r="B210" s="224" t="s">
        <v>951</v>
      </c>
      <c r="C210" s="224" t="s">
        <v>305</v>
      </c>
      <c r="D210" s="224" t="s">
        <v>180</v>
      </c>
      <c r="E210" s="226"/>
      <c r="G210" s="224" t="s">
        <v>1</v>
      </c>
      <c r="H210" s="224" t="s">
        <v>451</v>
      </c>
      <c r="I210" s="224" t="s">
        <v>72</v>
      </c>
      <c r="J210" s="227">
        <v>4</v>
      </c>
      <c r="K210" s="227">
        <f t="array" ref="K210">IFERROR(INDEX([1]Grille_Tarifs_Modulable!$B$2:$B$204,MATCH(Tableau14[[#This Row],[Designation]]&amp;Tableau14[[#This Row],[CL]],[1]Grille_Tarifs_Modulable!$C$2:$C$204&amp;[1]Grille_Tarifs_Modulable!$F$2:$F$204,0)),0)</f>
        <v>123</v>
      </c>
      <c r="L210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139</v>
      </c>
      <c r="M210" s="228">
        <f>IF(Tableau14[[#This Row],[Prix_Unit_HT]]=0,0,Tableau14[[#This Row],[Prix_Unit_HT]]+(Tableau14[[#This Row],[Prix_Unit_HT]]*VLOOKUP(Tableau14[[#This Row],[EAN]],[1]Grille_Tarifs_Modulable!$B$10:$Q$204,16,FALSE)))</f>
        <v>166.8</v>
      </c>
      <c r="N210" s="224">
        <v>1</v>
      </c>
      <c r="O210" s="228">
        <f>ROUND(Tableau14[[#This Row],[Prix_Unit_HT]],2)*Tableau14[[#This Row],[Qte_commande]]</f>
        <v>139</v>
      </c>
      <c r="P210" s="228">
        <f>ROUND(Tableau14[[#This Row],[Prix_Unit_TTC]],2)*Tableau14[[#This Row],[Qte_commande]]</f>
        <v>166.8</v>
      </c>
      <c r="Q210" s="224">
        <v>1</v>
      </c>
      <c r="R210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</v>
      </c>
      <c r="U210" s="224"/>
      <c r="V210" s="224"/>
    </row>
    <row r="211" spans="1:22" ht="12.75" x14ac:dyDescent="0.2">
      <c r="A211" s="225">
        <v>42622</v>
      </c>
      <c r="B211" s="224" t="s">
        <v>993</v>
      </c>
      <c r="C211" s="224" t="s">
        <v>178</v>
      </c>
      <c r="D211" s="224" t="s">
        <v>209</v>
      </c>
      <c r="E211" s="226"/>
      <c r="G211" s="224" t="s">
        <v>13</v>
      </c>
      <c r="H211" s="224" t="s">
        <v>451</v>
      </c>
      <c r="I211" s="224" t="s">
        <v>69</v>
      </c>
      <c r="J211" s="227">
        <v>3</v>
      </c>
      <c r="K211" s="227">
        <f t="array" ref="K211">IFERROR(INDEX([1]Grille_Tarifs_Modulable!$B$2:$B$204,MATCH(Tableau14[[#This Row],[Designation]]&amp;Tableau14[[#This Row],[CL]],[1]Grille_Tarifs_Modulable!$C$2:$C$204&amp;[1]Grille_Tarifs_Modulable!$F$2:$F$204,0)),0)</f>
        <v>121</v>
      </c>
      <c r="L211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299</v>
      </c>
      <c r="M211" s="228">
        <f>IF(Tableau14[[#This Row],[Prix_Unit_HT]]=0,0,Tableau14[[#This Row],[Prix_Unit_HT]]+(Tableau14[[#This Row],[Prix_Unit_HT]]*VLOOKUP(Tableau14[[#This Row],[EAN]],[1]Grille_Tarifs_Modulable!$B$10:$Q$204,16,FALSE)))</f>
        <v>358.8</v>
      </c>
      <c r="N211" s="224">
        <v>1</v>
      </c>
      <c r="O211" s="228">
        <f>ROUND(Tableau14[[#This Row],[Prix_Unit_HT]],2)*Tableau14[[#This Row],[Qte_commande]]</f>
        <v>299</v>
      </c>
      <c r="P211" s="228">
        <f>ROUND(Tableau14[[#This Row],[Prix_Unit_TTC]],2)*Tableau14[[#This Row],[Qte_commande]]</f>
        <v>358.8</v>
      </c>
      <c r="Q211" s="224">
        <v>1</v>
      </c>
      <c r="R211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</v>
      </c>
      <c r="U211" s="224"/>
      <c r="V211" s="224"/>
    </row>
    <row r="212" spans="1:22" ht="12.75" x14ac:dyDescent="0.2">
      <c r="A212" s="225">
        <v>42622</v>
      </c>
      <c r="B212" s="224" t="s">
        <v>475</v>
      </c>
      <c r="C212" s="224" t="s">
        <v>179</v>
      </c>
      <c r="D212" s="224" t="s">
        <v>443</v>
      </c>
      <c r="E212" s="226"/>
      <c r="G212" s="224" t="s">
        <v>13</v>
      </c>
      <c r="H212" s="224" t="s">
        <v>451</v>
      </c>
      <c r="I212" s="224" t="s">
        <v>69</v>
      </c>
      <c r="J212" s="227">
        <v>3</v>
      </c>
      <c r="K212" s="227">
        <f t="array" ref="K212">IFERROR(INDEX([1]Grille_Tarifs_Modulable!$B$2:$B$204,MATCH(Tableau14[[#This Row],[Designation]]&amp;Tableau14[[#This Row],[CL]],[1]Grille_Tarifs_Modulable!$C$2:$C$204&amp;[1]Grille_Tarifs_Modulable!$F$2:$F$204,0)),0)</f>
        <v>121</v>
      </c>
      <c r="L212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299</v>
      </c>
      <c r="M212" s="228">
        <f>IF(Tableau14[[#This Row],[Prix_Unit_HT]]=0,0,Tableau14[[#This Row],[Prix_Unit_HT]]+(Tableau14[[#This Row],[Prix_Unit_HT]]*VLOOKUP(Tableau14[[#This Row],[EAN]],[1]Grille_Tarifs_Modulable!$B$10:$Q$204,16,FALSE)))</f>
        <v>358.8</v>
      </c>
      <c r="N212" s="224">
        <v>1</v>
      </c>
      <c r="O212" s="228">
        <f>ROUND(Tableau14[[#This Row],[Prix_Unit_HT]],2)*Tableau14[[#This Row],[Qte_commande]]</f>
        <v>299</v>
      </c>
      <c r="P212" s="228">
        <f>ROUND(Tableau14[[#This Row],[Prix_Unit_TTC]],2)*Tableau14[[#This Row],[Qte_commande]]</f>
        <v>358.8</v>
      </c>
      <c r="Q212" s="224">
        <v>1</v>
      </c>
      <c r="R212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</v>
      </c>
      <c r="U212" s="224"/>
      <c r="V212" s="224"/>
    </row>
    <row r="213" spans="1:22" ht="12.75" x14ac:dyDescent="0.2">
      <c r="A213" s="225">
        <v>42625</v>
      </c>
      <c r="B213" s="224" t="s">
        <v>581</v>
      </c>
      <c r="C213" s="224" t="s">
        <v>308</v>
      </c>
      <c r="D213" s="224" t="s">
        <v>309</v>
      </c>
      <c r="E213" s="226"/>
      <c r="G213" s="224" t="s">
        <v>1</v>
      </c>
      <c r="H213" s="224" t="s">
        <v>289</v>
      </c>
      <c r="I213" s="224" t="s">
        <v>15</v>
      </c>
      <c r="J213" s="224">
        <v>100</v>
      </c>
      <c r="K213" s="227">
        <f t="array" ref="K213">IFERROR(INDEX([1]Grille_Tarifs_Modulable!$B$2:$B$204,MATCH(Tableau14[[#This Row],[Designation]]&amp;Tableau14[[#This Row],[CL]],[1]Grille_Tarifs_Modulable!$C$2:$C$204&amp;[1]Grille_Tarifs_Modulable!$F$2:$F$204,0)),0)</f>
        <v>4067700013842</v>
      </c>
      <c r="L213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17.100804999999998</v>
      </c>
      <c r="M213" s="228">
        <f>IF(Tableau14[[#This Row],[Prix_Unit_HT]]=0,0,Tableau14[[#This Row],[Prix_Unit_HT]]+(Tableau14[[#This Row],[Prix_Unit_HT]]*VLOOKUP(Tableau14[[#This Row],[EAN]],[1]Grille_Tarifs_Modulable!$B$10:$Q$204,16,FALSE)))</f>
        <v>20.520965999999998</v>
      </c>
      <c r="N213" s="224">
        <v>180</v>
      </c>
      <c r="O213" s="228">
        <f>ROUND(Tableau14[[#This Row],[Prix_Unit_HT]],2)*Tableau14[[#This Row],[Qte_commande]]</f>
        <v>3078.0000000000005</v>
      </c>
      <c r="P213" s="228">
        <f>ROUND(Tableau14[[#This Row],[Prix_Unit_TTC]],2)*Tableau14[[#This Row],[Qte_commande]]</f>
        <v>3693.6</v>
      </c>
      <c r="Q213" s="224">
        <v>257.14</v>
      </c>
      <c r="R213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257.14285714285717</v>
      </c>
      <c r="U213" s="224"/>
      <c r="V213" s="224"/>
    </row>
    <row r="214" spans="1:22" ht="12.75" x14ac:dyDescent="0.2">
      <c r="A214" s="225">
        <v>42625</v>
      </c>
      <c r="B214" s="224" t="s">
        <v>582</v>
      </c>
      <c r="C214" s="224" t="s">
        <v>464</v>
      </c>
      <c r="D214" s="224" t="s">
        <v>180</v>
      </c>
      <c r="E214" s="226"/>
      <c r="G214" s="224" t="s">
        <v>13</v>
      </c>
      <c r="H214" s="224" t="s">
        <v>289</v>
      </c>
      <c r="I214" s="224" t="s">
        <v>15</v>
      </c>
      <c r="J214" s="224">
        <v>70</v>
      </c>
      <c r="K214" s="227">
        <f t="array" ref="K214">IFERROR(INDEX([1]Grille_Tarifs_Modulable!$B$2:$B$204,MATCH(Tableau14[[#This Row],[Designation]]&amp;Tableau14[[#This Row],[CL]],[1]Grille_Tarifs_Modulable!$C$2:$C$204&amp;[1]Grille_Tarifs_Modulable!$F$2:$F$204,0)),0)</f>
        <v>4067700013859</v>
      </c>
      <c r="L214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13.942563499999999</v>
      </c>
      <c r="M214" s="228">
        <f>IF(Tableau14[[#This Row],[Prix_Unit_HT]]=0,0,Tableau14[[#This Row],[Prix_Unit_HT]]+(Tableau14[[#This Row],[Prix_Unit_HT]]*VLOOKUP(Tableau14[[#This Row],[EAN]],[1]Grille_Tarifs_Modulable!$B$10:$Q$204,16,FALSE)))</f>
        <v>16.731076199999997</v>
      </c>
      <c r="N214" s="224">
        <v>12</v>
      </c>
      <c r="O214" s="228">
        <f>ROUND(Tableau14[[#This Row],[Prix_Unit_HT]],2)*Tableau14[[#This Row],[Qte_commande]]</f>
        <v>167.28</v>
      </c>
      <c r="P214" s="228">
        <f>ROUND(Tableau14[[#This Row],[Prix_Unit_TTC]],2)*Tableau14[[#This Row],[Qte_commande]]</f>
        <v>200.76</v>
      </c>
      <c r="Q214" s="224">
        <v>12</v>
      </c>
      <c r="R214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12.000000000000002</v>
      </c>
      <c r="U214" s="224"/>
      <c r="V214" s="224"/>
    </row>
    <row r="215" spans="1:22" ht="12.75" x14ac:dyDescent="0.2">
      <c r="A215" s="225">
        <v>42625</v>
      </c>
      <c r="B215" s="224" t="s">
        <v>582</v>
      </c>
      <c r="C215" s="224" t="s">
        <v>464</v>
      </c>
      <c r="D215" s="224" t="s">
        <v>180</v>
      </c>
      <c r="E215" s="226"/>
      <c r="G215" s="224" t="s">
        <v>13</v>
      </c>
      <c r="H215" s="224" t="s">
        <v>196</v>
      </c>
      <c r="I215" s="224" t="s">
        <v>66</v>
      </c>
      <c r="J215" s="224">
        <v>50</v>
      </c>
      <c r="K215" s="227">
        <f t="array" ref="K215">IFERROR(INDEX([1]Grille_Tarifs_Modulable!$B$2:$B$204,MATCH(Tableau14[[#This Row],[Designation]]&amp;Tableau14[[#This Row],[CL]],[1]Grille_Tarifs_Modulable!$C$2:$C$204&amp;[1]Grille_Tarifs_Modulable!$F$2:$F$204,0)),0)</f>
        <v>4260310553382</v>
      </c>
      <c r="L215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1.1000000000000001</v>
      </c>
      <c r="M215" s="228">
        <f>IF(Tableau14[[#This Row],[Prix_Unit_HT]]=0,0,Tableau14[[#This Row],[Prix_Unit_HT]]+(Tableau14[[#This Row],[Prix_Unit_HT]]*VLOOKUP(Tableau14[[#This Row],[EAN]],[1]Grille_Tarifs_Modulable!$B$10:$Q$204,16,FALSE)))</f>
        <v>1.1605000000000001</v>
      </c>
      <c r="N215" s="224">
        <v>60</v>
      </c>
      <c r="O215" s="228">
        <f>ROUND(Tableau14[[#This Row],[Prix_Unit_HT]],2)*Tableau14[[#This Row],[Qte_commande]]</f>
        <v>66</v>
      </c>
      <c r="P215" s="228">
        <f>ROUND(Tableau14[[#This Row],[Prix_Unit_TTC]],2)*Tableau14[[#This Row],[Qte_commande]]</f>
        <v>69.599999999999994</v>
      </c>
      <c r="Q215" s="224">
        <v>42.86</v>
      </c>
      <c r="R215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42.857142857142861</v>
      </c>
      <c r="U215" s="224"/>
      <c r="V215" s="224"/>
    </row>
    <row r="216" spans="1:22" ht="12.75" x14ac:dyDescent="0.2">
      <c r="A216" s="225">
        <v>42626</v>
      </c>
      <c r="B216" s="224" t="s">
        <v>476</v>
      </c>
      <c r="C216" s="224" t="s">
        <v>477</v>
      </c>
      <c r="D216" s="224" t="s">
        <v>443</v>
      </c>
      <c r="E216" s="226"/>
      <c r="G216" s="224" t="s">
        <v>13</v>
      </c>
      <c r="H216" s="224" t="s">
        <v>451</v>
      </c>
      <c r="I216" s="224" t="s">
        <v>74</v>
      </c>
      <c r="J216" s="229">
        <v>6</v>
      </c>
      <c r="K216" s="227">
        <f t="array" ref="K216">IFERROR(INDEX([1]Grille_Tarifs_Modulable!$B$2:$B$204,MATCH(Tableau14[[#This Row],[Designation]]&amp;Tableau14[[#This Row],[CL]],[1]Grille_Tarifs_Modulable!$C$2:$C$204&amp;[1]Grille_Tarifs_Modulable!$F$2:$F$204,0)),0)</f>
        <v>125</v>
      </c>
      <c r="L216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139</v>
      </c>
      <c r="M216" s="228">
        <f>IF(Tableau14[[#This Row],[Prix_Unit_HT]]=0,0,Tableau14[[#This Row],[Prix_Unit_HT]]+(Tableau14[[#This Row],[Prix_Unit_HT]]*VLOOKUP(Tableau14[[#This Row],[EAN]],[1]Grille_Tarifs_Modulable!$B$10:$Q$204,16,FALSE)))</f>
        <v>166.8</v>
      </c>
      <c r="N216" s="224">
        <v>1</v>
      </c>
      <c r="O216" s="228">
        <f>ROUND(Tableau14[[#This Row],[Prix_Unit_HT]],2)*Tableau14[[#This Row],[Qte_commande]]</f>
        <v>139</v>
      </c>
      <c r="P216" s="228">
        <f>ROUND(Tableau14[[#This Row],[Prix_Unit_TTC]],2)*Tableau14[[#This Row],[Qte_commande]]</f>
        <v>166.8</v>
      </c>
      <c r="Q216" s="224">
        <v>1</v>
      </c>
      <c r="R216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</v>
      </c>
      <c r="U216" s="224"/>
      <c r="V216" s="224"/>
    </row>
    <row r="217" spans="1:22" ht="12.75" x14ac:dyDescent="0.2">
      <c r="A217" s="225">
        <v>42626</v>
      </c>
      <c r="B217" s="224" t="s">
        <v>478</v>
      </c>
      <c r="C217" s="224" t="s">
        <v>459</v>
      </c>
      <c r="D217" s="224" t="s">
        <v>209</v>
      </c>
      <c r="E217" s="226"/>
      <c r="G217" s="224" t="s">
        <v>13</v>
      </c>
      <c r="H217" s="224" t="s">
        <v>451</v>
      </c>
      <c r="I217" s="224" t="s">
        <v>74</v>
      </c>
      <c r="J217" s="229">
        <v>6</v>
      </c>
      <c r="K217" s="227">
        <f t="array" ref="K217">IFERROR(INDEX([1]Grille_Tarifs_Modulable!$B$2:$B$204,MATCH(Tableau14[[#This Row],[Designation]]&amp;Tableau14[[#This Row],[CL]],[1]Grille_Tarifs_Modulable!$C$2:$C$204&amp;[1]Grille_Tarifs_Modulable!$F$2:$F$204,0)),0)</f>
        <v>125</v>
      </c>
      <c r="L217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139</v>
      </c>
      <c r="M217" s="228">
        <f>IF(Tableau14[[#This Row],[Prix_Unit_HT]]=0,0,Tableau14[[#This Row],[Prix_Unit_HT]]+(Tableau14[[#This Row],[Prix_Unit_HT]]*VLOOKUP(Tableau14[[#This Row],[EAN]],[1]Grille_Tarifs_Modulable!$B$10:$Q$204,16,FALSE)))</f>
        <v>166.8</v>
      </c>
      <c r="N217" s="224">
        <v>2</v>
      </c>
      <c r="O217" s="228">
        <f>ROUND(Tableau14[[#This Row],[Prix_Unit_HT]],2)*Tableau14[[#This Row],[Qte_commande]]</f>
        <v>278</v>
      </c>
      <c r="P217" s="228">
        <f>ROUND(Tableau14[[#This Row],[Prix_Unit_TTC]],2)*Tableau14[[#This Row],[Qte_commande]]</f>
        <v>333.6</v>
      </c>
      <c r="Q217" s="224">
        <v>2</v>
      </c>
      <c r="R217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2</v>
      </c>
      <c r="U217" s="224"/>
      <c r="V217" s="224"/>
    </row>
    <row r="218" spans="1:22" ht="12.75" x14ac:dyDescent="0.2">
      <c r="A218" s="225">
        <v>42626</v>
      </c>
      <c r="B218" s="224" t="s">
        <v>479</v>
      </c>
      <c r="C218" s="224" t="s">
        <v>480</v>
      </c>
      <c r="D218" s="224" t="s">
        <v>443</v>
      </c>
      <c r="E218" s="226"/>
      <c r="G218" s="224" t="s">
        <v>13</v>
      </c>
      <c r="H218" s="224" t="s">
        <v>451</v>
      </c>
      <c r="I218" s="224" t="s">
        <v>74</v>
      </c>
      <c r="J218" s="229">
        <v>6</v>
      </c>
      <c r="K218" s="227">
        <f t="array" ref="K218">IFERROR(INDEX([1]Grille_Tarifs_Modulable!$B$2:$B$204,MATCH(Tableau14[[#This Row],[Designation]]&amp;Tableau14[[#This Row],[CL]],[1]Grille_Tarifs_Modulable!$C$2:$C$204&amp;[1]Grille_Tarifs_Modulable!$F$2:$F$204,0)),0)</f>
        <v>125</v>
      </c>
      <c r="L218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139</v>
      </c>
      <c r="M218" s="228">
        <f>IF(Tableau14[[#This Row],[Prix_Unit_HT]]=0,0,Tableau14[[#This Row],[Prix_Unit_HT]]+(Tableau14[[#This Row],[Prix_Unit_HT]]*VLOOKUP(Tableau14[[#This Row],[EAN]],[1]Grille_Tarifs_Modulable!$B$10:$Q$204,16,FALSE)))</f>
        <v>166.8</v>
      </c>
      <c r="N218" s="224">
        <v>1</v>
      </c>
      <c r="O218" s="228">
        <f>ROUND(Tableau14[[#This Row],[Prix_Unit_HT]],2)*Tableau14[[#This Row],[Qte_commande]]</f>
        <v>139</v>
      </c>
      <c r="P218" s="228">
        <f>ROUND(Tableau14[[#This Row],[Prix_Unit_TTC]],2)*Tableau14[[#This Row],[Qte_commande]]</f>
        <v>166.8</v>
      </c>
      <c r="Q218" s="224">
        <v>1</v>
      </c>
      <c r="R218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</v>
      </c>
      <c r="U218" s="224"/>
      <c r="V218" s="224"/>
    </row>
    <row r="219" spans="1:22" ht="12.75" x14ac:dyDescent="0.2">
      <c r="A219" s="225">
        <v>42626</v>
      </c>
      <c r="B219" s="224" t="s">
        <v>476</v>
      </c>
      <c r="C219" s="224" t="s">
        <v>477</v>
      </c>
      <c r="D219" s="224" t="s">
        <v>443</v>
      </c>
      <c r="E219" s="226"/>
      <c r="G219" s="224" t="s">
        <v>13</v>
      </c>
      <c r="H219" s="224" t="s">
        <v>451</v>
      </c>
      <c r="I219" s="224" t="s">
        <v>72</v>
      </c>
      <c r="J219" s="227">
        <v>4</v>
      </c>
      <c r="K219" s="227">
        <f t="array" ref="K219">IFERROR(INDEX([1]Grille_Tarifs_Modulable!$B$2:$B$204,MATCH(Tableau14[[#This Row],[Designation]]&amp;Tableau14[[#This Row],[CL]],[1]Grille_Tarifs_Modulable!$C$2:$C$204&amp;[1]Grille_Tarifs_Modulable!$F$2:$F$204,0)),0)</f>
        <v>123</v>
      </c>
      <c r="L219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139</v>
      </c>
      <c r="M219" s="228">
        <f>IF(Tableau14[[#This Row],[Prix_Unit_HT]]=0,0,Tableau14[[#This Row],[Prix_Unit_HT]]+(Tableau14[[#This Row],[Prix_Unit_HT]]*VLOOKUP(Tableau14[[#This Row],[EAN]],[1]Grille_Tarifs_Modulable!$B$10:$Q$204,16,FALSE)))</f>
        <v>166.8</v>
      </c>
      <c r="N219" s="224">
        <v>1</v>
      </c>
      <c r="O219" s="228">
        <f>ROUND(Tableau14[[#This Row],[Prix_Unit_HT]],2)*Tableau14[[#This Row],[Qte_commande]]</f>
        <v>139</v>
      </c>
      <c r="P219" s="228">
        <f>ROUND(Tableau14[[#This Row],[Prix_Unit_TTC]],2)*Tableau14[[#This Row],[Qte_commande]]</f>
        <v>166.8</v>
      </c>
      <c r="Q219" s="224">
        <v>1</v>
      </c>
      <c r="R219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</v>
      </c>
      <c r="U219" s="224"/>
      <c r="V219" s="224"/>
    </row>
    <row r="220" spans="1:22" ht="12.75" x14ac:dyDescent="0.2">
      <c r="A220" s="225">
        <v>42626</v>
      </c>
      <c r="B220" s="224" t="s">
        <v>952</v>
      </c>
      <c r="C220" s="224" t="s">
        <v>426</v>
      </c>
      <c r="D220" s="224" t="s">
        <v>180</v>
      </c>
      <c r="E220" s="226"/>
      <c r="G220" s="224" t="s">
        <v>13</v>
      </c>
      <c r="H220" s="224" t="s">
        <v>451</v>
      </c>
      <c r="I220" s="224" t="s">
        <v>72</v>
      </c>
      <c r="J220" s="227">
        <v>4</v>
      </c>
      <c r="K220" s="227">
        <f t="array" ref="K220">IFERROR(INDEX([1]Grille_Tarifs_Modulable!$B$2:$B$204,MATCH(Tableau14[[#This Row],[Designation]]&amp;Tableau14[[#This Row],[CL]],[1]Grille_Tarifs_Modulable!$C$2:$C$204&amp;[1]Grille_Tarifs_Modulable!$F$2:$F$204,0)),0)</f>
        <v>123</v>
      </c>
      <c r="L220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139</v>
      </c>
      <c r="M220" s="228">
        <f>IF(Tableau14[[#This Row],[Prix_Unit_HT]]=0,0,Tableau14[[#This Row],[Prix_Unit_HT]]+(Tableau14[[#This Row],[Prix_Unit_HT]]*VLOOKUP(Tableau14[[#This Row],[EAN]],[1]Grille_Tarifs_Modulable!$B$10:$Q$204,16,FALSE)))</f>
        <v>166.8</v>
      </c>
      <c r="N220" s="224">
        <v>1</v>
      </c>
      <c r="O220" s="228">
        <f>ROUND(Tableau14[[#This Row],[Prix_Unit_HT]],2)*Tableau14[[#This Row],[Qte_commande]]</f>
        <v>139</v>
      </c>
      <c r="P220" s="228">
        <f>ROUND(Tableau14[[#This Row],[Prix_Unit_TTC]],2)*Tableau14[[#This Row],[Qte_commande]]</f>
        <v>166.8</v>
      </c>
      <c r="Q220" s="224">
        <v>1</v>
      </c>
      <c r="R220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</v>
      </c>
      <c r="U220" s="224"/>
      <c r="V220" s="224"/>
    </row>
    <row r="221" spans="1:22" ht="12.75" x14ac:dyDescent="0.2">
      <c r="A221" s="225">
        <v>42626</v>
      </c>
      <c r="B221" s="224" t="s">
        <v>479</v>
      </c>
      <c r="C221" s="224" t="s">
        <v>480</v>
      </c>
      <c r="D221" s="224" t="s">
        <v>443</v>
      </c>
      <c r="E221" s="226"/>
      <c r="G221" s="224" t="s">
        <v>13</v>
      </c>
      <c r="H221" s="224" t="s">
        <v>451</v>
      </c>
      <c r="I221" s="224" t="s">
        <v>72</v>
      </c>
      <c r="J221" s="227">
        <v>4</v>
      </c>
      <c r="K221" s="227">
        <f t="array" ref="K221">IFERROR(INDEX([1]Grille_Tarifs_Modulable!$B$2:$B$204,MATCH(Tableau14[[#This Row],[Designation]]&amp;Tableau14[[#This Row],[CL]],[1]Grille_Tarifs_Modulable!$C$2:$C$204&amp;[1]Grille_Tarifs_Modulable!$F$2:$F$204,0)),0)</f>
        <v>123</v>
      </c>
      <c r="L221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139</v>
      </c>
      <c r="M221" s="228">
        <f>IF(Tableau14[[#This Row],[Prix_Unit_HT]]=0,0,Tableau14[[#This Row],[Prix_Unit_HT]]+(Tableau14[[#This Row],[Prix_Unit_HT]]*VLOOKUP(Tableau14[[#This Row],[EAN]],[1]Grille_Tarifs_Modulable!$B$10:$Q$204,16,FALSE)))</f>
        <v>166.8</v>
      </c>
      <c r="N221" s="224">
        <v>1</v>
      </c>
      <c r="O221" s="228">
        <f>ROUND(Tableau14[[#This Row],[Prix_Unit_HT]],2)*Tableau14[[#This Row],[Qte_commande]]</f>
        <v>139</v>
      </c>
      <c r="P221" s="228">
        <f>ROUND(Tableau14[[#This Row],[Prix_Unit_TTC]],2)*Tableau14[[#This Row],[Qte_commande]]</f>
        <v>166.8</v>
      </c>
      <c r="Q221" s="224">
        <v>1</v>
      </c>
      <c r="R221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</v>
      </c>
      <c r="U221" s="224"/>
      <c r="V221" s="224"/>
    </row>
    <row r="222" spans="1:22" ht="12.75" x14ac:dyDescent="0.2">
      <c r="A222" s="225">
        <v>42626</v>
      </c>
      <c r="B222" s="224" t="s">
        <v>953</v>
      </c>
      <c r="C222" s="224" t="s">
        <v>179</v>
      </c>
      <c r="D222" s="224" t="s">
        <v>443</v>
      </c>
      <c r="E222" s="226"/>
      <c r="G222" s="224" t="s">
        <v>13</v>
      </c>
      <c r="H222" s="224" t="s">
        <v>451</v>
      </c>
      <c r="I222" s="224" t="s">
        <v>72</v>
      </c>
      <c r="J222" s="227">
        <v>4</v>
      </c>
      <c r="K222" s="227">
        <f t="array" ref="K222">IFERROR(INDEX([1]Grille_Tarifs_Modulable!$B$2:$B$204,MATCH(Tableau14[[#This Row],[Designation]]&amp;Tableau14[[#This Row],[CL]],[1]Grille_Tarifs_Modulable!$C$2:$C$204&amp;[1]Grille_Tarifs_Modulable!$F$2:$F$204,0)),0)</f>
        <v>123</v>
      </c>
      <c r="L222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139</v>
      </c>
      <c r="M222" s="228">
        <f>IF(Tableau14[[#This Row],[Prix_Unit_HT]]=0,0,Tableau14[[#This Row],[Prix_Unit_HT]]+(Tableau14[[#This Row],[Prix_Unit_HT]]*VLOOKUP(Tableau14[[#This Row],[EAN]],[1]Grille_Tarifs_Modulable!$B$10:$Q$204,16,FALSE)))</f>
        <v>166.8</v>
      </c>
      <c r="N222" s="224">
        <v>1</v>
      </c>
      <c r="O222" s="228">
        <f>ROUND(Tableau14[[#This Row],[Prix_Unit_HT]],2)*Tableau14[[#This Row],[Qte_commande]]</f>
        <v>139</v>
      </c>
      <c r="P222" s="228">
        <f>ROUND(Tableau14[[#This Row],[Prix_Unit_TTC]],2)*Tableau14[[#This Row],[Qte_commande]]</f>
        <v>166.8</v>
      </c>
      <c r="Q222" s="224">
        <v>1</v>
      </c>
      <c r="R222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</v>
      </c>
      <c r="U222" s="224"/>
      <c r="V222" s="224"/>
    </row>
    <row r="223" spans="1:22" ht="12.75" x14ac:dyDescent="0.2">
      <c r="A223" s="225">
        <v>42626</v>
      </c>
      <c r="B223" s="224" t="s">
        <v>476</v>
      </c>
      <c r="C223" s="224" t="s">
        <v>477</v>
      </c>
      <c r="D223" s="224" t="s">
        <v>443</v>
      </c>
      <c r="E223" s="226"/>
      <c r="G223" s="224" t="s">
        <v>13</v>
      </c>
      <c r="H223" s="224" t="s">
        <v>451</v>
      </c>
      <c r="I223" s="224" t="s">
        <v>69</v>
      </c>
      <c r="J223" s="227">
        <v>3</v>
      </c>
      <c r="K223" s="227">
        <f t="array" ref="K223">IFERROR(INDEX([1]Grille_Tarifs_Modulable!$B$2:$B$204,MATCH(Tableau14[[#This Row],[Designation]]&amp;Tableau14[[#This Row],[CL]],[1]Grille_Tarifs_Modulable!$C$2:$C$204&amp;[1]Grille_Tarifs_Modulable!$F$2:$F$204,0)),0)</f>
        <v>121</v>
      </c>
      <c r="L223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299</v>
      </c>
      <c r="M223" s="228">
        <f>IF(Tableau14[[#This Row],[Prix_Unit_HT]]=0,0,Tableau14[[#This Row],[Prix_Unit_HT]]+(Tableau14[[#This Row],[Prix_Unit_HT]]*VLOOKUP(Tableau14[[#This Row],[EAN]],[1]Grille_Tarifs_Modulable!$B$10:$Q$204,16,FALSE)))</f>
        <v>358.8</v>
      </c>
      <c r="N223" s="224">
        <v>1</v>
      </c>
      <c r="O223" s="228">
        <f>ROUND(Tableau14[[#This Row],[Prix_Unit_HT]],2)*Tableau14[[#This Row],[Qte_commande]]</f>
        <v>299</v>
      </c>
      <c r="P223" s="228">
        <f>ROUND(Tableau14[[#This Row],[Prix_Unit_TTC]],2)*Tableau14[[#This Row],[Qte_commande]]</f>
        <v>358.8</v>
      </c>
      <c r="Q223" s="224">
        <v>1</v>
      </c>
      <c r="R223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</v>
      </c>
      <c r="U223" s="224"/>
      <c r="V223" s="224"/>
    </row>
    <row r="224" spans="1:22" ht="12.75" x14ac:dyDescent="0.2">
      <c r="A224" s="225">
        <v>42628</v>
      </c>
      <c r="B224" s="224" t="s">
        <v>583</v>
      </c>
      <c r="C224" s="224" t="s">
        <v>530</v>
      </c>
      <c r="D224" s="224" t="s">
        <v>531</v>
      </c>
      <c r="E224" s="226"/>
      <c r="G224" s="224" t="s">
        <v>1</v>
      </c>
      <c r="H224" s="224" t="s">
        <v>289</v>
      </c>
      <c r="I224" s="224" t="s">
        <v>15</v>
      </c>
      <c r="J224" s="224">
        <v>70</v>
      </c>
      <c r="K224" s="227">
        <f t="array" ref="K224">IFERROR(INDEX([1]Grille_Tarifs_Modulable!$B$2:$B$204,MATCH(Tableau14[[#This Row],[Designation]]&amp;Tableau14[[#This Row],[CL]],[1]Grille_Tarifs_Modulable!$C$2:$C$204&amp;[1]Grille_Tarifs_Modulable!$F$2:$F$204,0)),0)</f>
        <v>4067700013859</v>
      </c>
      <c r="L224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12.532563499999998</v>
      </c>
      <c r="M224" s="228">
        <f>IF(Tableau14[[#This Row],[Prix_Unit_HT]]=0,0,Tableau14[[#This Row],[Prix_Unit_HT]]+(Tableau14[[#This Row],[Prix_Unit_HT]]*VLOOKUP(Tableau14[[#This Row],[EAN]],[1]Grille_Tarifs_Modulable!$B$10:$Q$204,16,FALSE)))</f>
        <v>15.039076199999998</v>
      </c>
      <c r="N224" s="224">
        <v>150</v>
      </c>
      <c r="O224" s="228">
        <f>ROUND(Tableau14[[#This Row],[Prix_Unit_HT]],2)*Tableau14[[#This Row],[Qte_commande]]</f>
        <v>1879.5</v>
      </c>
      <c r="P224" s="228">
        <f>ROUND(Tableau14[[#This Row],[Prix_Unit_TTC]],2)*Tableau14[[#This Row],[Qte_commande]]</f>
        <v>2256</v>
      </c>
      <c r="Q224" s="224">
        <v>150</v>
      </c>
      <c r="R224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150</v>
      </c>
      <c r="U224" s="224"/>
      <c r="V224" s="224"/>
    </row>
    <row r="225" spans="1:22" ht="12.75" x14ac:dyDescent="0.2">
      <c r="A225" s="225">
        <v>42633</v>
      </c>
      <c r="B225" s="224" t="s">
        <v>994</v>
      </c>
      <c r="C225" s="224" t="s">
        <v>995</v>
      </c>
      <c r="D225" s="224" t="s">
        <v>330</v>
      </c>
      <c r="E225" s="226"/>
      <c r="G225" s="224" t="s">
        <v>13</v>
      </c>
      <c r="H225" s="224" t="s">
        <v>451</v>
      </c>
      <c r="I225" s="224" t="s">
        <v>69</v>
      </c>
      <c r="J225" s="227">
        <v>3</v>
      </c>
      <c r="K225" s="227">
        <f t="array" ref="K225">IFERROR(INDEX([1]Grille_Tarifs_Modulable!$B$2:$B$204,MATCH(Tableau14[[#This Row],[Designation]]&amp;Tableau14[[#This Row],[CL]],[1]Grille_Tarifs_Modulable!$C$2:$C$204&amp;[1]Grille_Tarifs_Modulable!$F$2:$F$204,0)),0)</f>
        <v>121</v>
      </c>
      <c r="L225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299</v>
      </c>
      <c r="M225" s="228">
        <f>IF(Tableau14[[#This Row],[Prix_Unit_HT]]=0,0,Tableau14[[#This Row],[Prix_Unit_HT]]+(Tableau14[[#This Row],[Prix_Unit_HT]]*VLOOKUP(Tableau14[[#This Row],[EAN]],[1]Grille_Tarifs_Modulable!$B$10:$Q$204,16,FALSE)))</f>
        <v>358.8</v>
      </c>
      <c r="N225" s="224">
        <v>1</v>
      </c>
      <c r="O225" s="228">
        <f>ROUND(Tableau14[[#This Row],[Prix_Unit_HT]],2)*Tableau14[[#This Row],[Qte_commande]]</f>
        <v>299</v>
      </c>
      <c r="P225" s="228">
        <f>ROUND(Tableau14[[#This Row],[Prix_Unit_TTC]],2)*Tableau14[[#This Row],[Qte_commande]]</f>
        <v>358.8</v>
      </c>
      <c r="Q225" s="224">
        <v>1</v>
      </c>
      <c r="R225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</v>
      </c>
      <c r="U225" s="224"/>
      <c r="V225" s="224"/>
    </row>
    <row r="226" spans="1:22" ht="12.75" x14ac:dyDescent="0.2">
      <c r="A226" s="225">
        <v>42633</v>
      </c>
      <c r="B226" s="224" t="s">
        <v>996</v>
      </c>
      <c r="C226" s="224" t="s">
        <v>806</v>
      </c>
      <c r="D226" s="224" t="s">
        <v>233</v>
      </c>
      <c r="E226" s="226"/>
      <c r="G226" s="224" t="s">
        <v>13</v>
      </c>
      <c r="H226" s="224" t="s">
        <v>451</v>
      </c>
      <c r="I226" s="224" t="s">
        <v>69</v>
      </c>
      <c r="J226" s="227">
        <v>3</v>
      </c>
      <c r="K226" s="227">
        <f t="array" ref="K226">IFERROR(INDEX([1]Grille_Tarifs_Modulable!$B$2:$B$204,MATCH(Tableau14[[#This Row],[Designation]]&amp;Tableau14[[#This Row],[CL]],[1]Grille_Tarifs_Modulable!$C$2:$C$204&amp;[1]Grille_Tarifs_Modulable!$F$2:$F$204,0)),0)</f>
        <v>121</v>
      </c>
      <c r="L226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299</v>
      </c>
      <c r="M226" s="228">
        <f>IF(Tableau14[[#This Row],[Prix_Unit_HT]]=0,0,Tableau14[[#This Row],[Prix_Unit_HT]]+(Tableau14[[#This Row],[Prix_Unit_HT]]*VLOOKUP(Tableau14[[#This Row],[EAN]],[1]Grille_Tarifs_Modulable!$B$10:$Q$204,16,FALSE)))</f>
        <v>358.8</v>
      </c>
      <c r="N226" s="224">
        <v>1</v>
      </c>
      <c r="O226" s="228">
        <f>ROUND(Tableau14[[#This Row],[Prix_Unit_HT]],2)*Tableau14[[#This Row],[Qte_commande]]</f>
        <v>299</v>
      </c>
      <c r="P226" s="228">
        <f>ROUND(Tableau14[[#This Row],[Prix_Unit_TTC]],2)*Tableau14[[#This Row],[Qte_commande]]</f>
        <v>358.8</v>
      </c>
      <c r="Q226" s="224">
        <v>1</v>
      </c>
      <c r="R226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</v>
      </c>
      <c r="U226" s="224"/>
      <c r="V226" s="224"/>
    </row>
    <row r="227" spans="1:22" ht="12.75" x14ac:dyDescent="0.2">
      <c r="A227" s="225">
        <v>42639</v>
      </c>
      <c r="B227" s="224" t="s">
        <v>481</v>
      </c>
      <c r="C227" s="224" t="s">
        <v>459</v>
      </c>
      <c r="D227" s="224" t="s">
        <v>209</v>
      </c>
      <c r="E227" s="226"/>
      <c r="G227" s="224" t="s">
        <v>13</v>
      </c>
      <c r="H227" s="224" t="s">
        <v>451</v>
      </c>
      <c r="I227" s="224" t="s">
        <v>74</v>
      </c>
      <c r="J227" s="229">
        <v>6</v>
      </c>
      <c r="K227" s="227">
        <f t="array" ref="K227">IFERROR(INDEX([1]Grille_Tarifs_Modulable!$B$2:$B$204,MATCH(Tableau14[[#This Row],[Designation]]&amp;Tableau14[[#This Row],[CL]],[1]Grille_Tarifs_Modulable!$C$2:$C$204&amp;[1]Grille_Tarifs_Modulable!$F$2:$F$204,0)),0)</f>
        <v>125</v>
      </c>
      <c r="L227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139</v>
      </c>
      <c r="M227" s="228">
        <f>IF(Tableau14[[#This Row],[Prix_Unit_HT]]=0,0,Tableau14[[#This Row],[Prix_Unit_HT]]+(Tableau14[[#This Row],[Prix_Unit_HT]]*VLOOKUP(Tableau14[[#This Row],[EAN]],[1]Grille_Tarifs_Modulable!$B$10:$Q$204,16,FALSE)))</f>
        <v>166.8</v>
      </c>
      <c r="N227" s="224">
        <v>1</v>
      </c>
      <c r="O227" s="228">
        <f>ROUND(Tableau14[[#This Row],[Prix_Unit_HT]],2)*Tableau14[[#This Row],[Qte_commande]]</f>
        <v>139</v>
      </c>
      <c r="P227" s="228">
        <f>ROUND(Tableau14[[#This Row],[Prix_Unit_TTC]],2)*Tableau14[[#This Row],[Qte_commande]]</f>
        <v>166.8</v>
      </c>
      <c r="Q227" s="224">
        <v>1</v>
      </c>
      <c r="R227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</v>
      </c>
      <c r="U227" s="224"/>
      <c r="V227" s="224"/>
    </row>
    <row r="228" spans="1:22" ht="12.75" x14ac:dyDescent="0.2">
      <c r="A228" s="225">
        <v>42639</v>
      </c>
      <c r="B228" s="224" t="s">
        <v>954</v>
      </c>
      <c r="C228" s="224" t="s">
        <v>955</v>
      </c>
      <c r="D228" s="224" t="s">
        <v>443</v>
      </c>
      <c r="E228" s="226"/>
      <c r="G228" s="224" t="s">
        <v>13</v>
      </c>
      <c r="H228" s="224" t="s">
        <v>451</v>
      </c>
      <c r="I228" s="224" t="s">
        <v>72</v>
      </c>
      <c r="J228" s="227">
        <v>4</v>
      </c>
      <c r="K228" s="227">
        <f t="array" ref="K228">IFERROR(INDEX([1]Grille_Tarifs_Modulable!$B$2:$B$204,MATCH(Tableau14[[#This Row],[Designation]]&amp;Tableau14[[#This Row],[CL]],[1]Grille_Tarifs_Modulable!$C$2:$C$204&amp;[1]Grille_Tarifs_Modulable!$F$2:$F$204,0)),0)</f>
        <v>123</v>
      </c>
      <c r="L228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139</v>
      </c>
      <c r="M228" s="228">
        <f>IF(Tableau14[[#This Row],[Prix_Unit_HT]]=0,0,Tableau14[[#This Row],[Prix_Unit_HT]]+(Tableau14[[#This Row],[Prix_Unit_HT]]*VLOOKUP(Tableau14[[#This Row],[EAN]],[1]Grille_Tarifs_Modulable!$B$10:$Q$204,16,FALSE)))</f>
        <v>166.8</v>
      </c>
      <c r="N228" s="224">
        <v>1</v>
      </c>
      <c r="O228" s="228">
        <f>ROUND(Tableau14[[#This Row],[Prix_Unit_HT]],2)*Tableau14[[#This Row],[Qte_commande]]</f>
        <v>139</v>
      </c>
      <c r="P228" s="228">
        <f>ROUND(Tableau14[[#This Row],[Prix_Unit_TTC]],2)*Tableau14[[#This Row],[Qte_commande]]</f>
        <v>166.8</v>
      </c>
      <c r="Q228" s="224">
        <v>1</v>
      </c>
      <c r="R228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</v>
      </c>
      <c r="U228" s="224"/>
      <c r="V228" s="224"/>
    </row>
    <row r="229" spans="1:22" ht="12.75" x14ac:dyDescent="0.2">
      <c r="A229" s="225">
        <v>42639</v>
      </c>
      <c r="B229" s="224" t="s">
        <v>954</v>
      </c>
      <c r="C229" s="224" t="s">
        <v>955</v>
      </c>
      <c r="D229" s="224" t="s">
        <v>443</v>
      </c>
      <c r="E229" s="226"/>
      <c r="G229" s="224" t="s">
        <v>13</v>
      </c>
      <c r="H229" s="224" t="s">
        <v>451</v>
      </c>
      <c r="I229" s="224" t="s">
        <v>69</v>
      </c>
      <c r="J229" s="227">
        <v>3</v>
      </c>
      <c r="K229" s="227">
        <f t="array" ref="K229">IFERROR(INDEX([1]Grille_Tarifs_Modulable!$B$2:$B$204,MATCH(Tableau14[[#This Row],[Designation]]&amp;Tableau14[[#This Row],[CL]],[1]Grille_Tarifs_Modulable!$C$2:$C$204&amp;[1]Grille_Tarifs_Modulable!$F$2:$F$204,0)),0)</f>
        <v>121</v>
      </c>
      <c r="L229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299</v>
      </c>
      <c r="M229" s="228">
        <f>IF(Tableau14[[#This Row],[Prix_Unit_HT]]=0,0,Tableau14[[#This Row],[Prix_Unit_HT]]+(Tableau14[[#This Row],[Prix_Unit_HT]]*VLOOKUP(Tableau14[[#This Row],[EAN]],[1]Grille_Tarifs_Modulable!$B$10:$Q$204,16,FALSE)))</f>
        <v>358.8</v>
      </c>
      <c r="N229" s="224">
        <v>1</v>
      </c>
      <c r="O229" s="228">
        <f>ROUND(Tableau14[[#This Row],[Prix_Unit_HT]],2)*Tableau14[[#This Row],[Qte_commande]]</f>
        <v>299</v>
      </c>
      <c r="P229" s="228">
        <f>ROUND(Tableau14[[#This Row],[Prix_Unit_TTC]],2)*Tableau14[[#This Row],[Qte_commande]]</f>
        <v>358.8</v>
      </c>
      <c r="Q229" s="224">
        <v>1</v>
      </c>
      <c r="R229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</v>
      </c>
      <c r="U229" s="224"/>
      <c r="V229" s="224"/>
    </row>
    <row r="230" spans="1:22" ht="12.75" x14ac:dyDescent="0.2">
      <c r="A230" s="225">
        <v>42640</v>
      </c>
      <c r="B230" s="224" t="s">
        <v>932</v>
      </c>
      <c r="C230" s="224" t="s">
        <v>159</v>
      </c>
      <c r="D230" s="224" t="s">
        <v>209</v>
      </c>
      <c r="E230" s="226"/>
      <c r="G230" s="224" t="s">
        <v>1</v>
      </c>
      <c r="H230" s="224" t="s">
        <v>289</v>
      </c>
      <c r="I230" s="224" t="s">
        <v>931</v>
      </c>
      <c r="J230" s="224">
        <v>100</v>
      </c>
      <c r="K230" s="227">
        <f t="array" ref="K230">IFERROR(INDEX([1]Grille_Tarifs_Modulable!$B$2:$B$204,MATCH(Tableau14[[#This Row],[Designation]]&amp;Tableau14[[#This Row],[CL]],[1]Grille_Tarifs_Modulable!$C$2:$C$204&amp;[1]Grille_Tarifs_Modulable!$F$2:$F$204,0)),0)</f>
        <v>0</v>
      </c>
      <c r="L230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</v>
      </c>
      <c r="M230" s="228">
        <f>IF(Tableau14[[#This Row],[Prix_Unit_HT]]=0,0,Tableau14[[#This Row],[Prix_Unit_HT]]+(Tableau14[[#This Row],[Prix_Unit_HT]]*VLOOKUP(Tableau14[[#This Row],[EAN]],[1]Grille_Tarifs_Modulable!$B$10:$Q$204,16,FALSE)))</f>
        <v>0</v>
      </c>
      <c r="N230" s="224">
        <v>36</v>
      </c>
      <c r="O230" s="228">
        <f>ROUND(Tableau14[[#This Row],[Prix_Unit_HT]],2)*Tableau14[[#This Row],[Qte_commande]]</f>
        <v>0</v>
      </c>
      <c r="P230" s="228">
        <f>ROUND(Tableau14[[#This Row],[Prix_Unit_TTC]],2)*Tableau14[[#This Row],[Qte_commande]]</f>
        <v>0</v>
      </c>
      <c r="Q230" s="224">
        <v>51.43</v>
      </c>
      <c r="R230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51.428571428571431</v>
      </c>
      <c r="U230" s="224"/>
      <c r="V230" s="224"/>
    </row>
    <row r="231" spans="1:22" ht="12.75" x14ac:dyDescent="0.2">
      <c r="A231" s="225">
        <v>42643</v>
      </c>
      <c r="B231" s="224" t="s">
        <v>584</v>
      </c>
      <c r="C231" s="224" t="s">
        <v>308</v>
      </c>
      <c r="D231" s="224" t="s">
        <v>309</v>
      </c>
      <c r="E231" s="226"/>
      <c r="G231" s="224" t="s">
        <v>1</v>
      </c>
      <c r="H231" s="224" t="s">
        <v>289</v>
      </c>
      <c r="I231" s="224" t="s">
        <v>15</v>
      </c>
      <c r="J231" s="224">
        <v>100</v>
      </c>
      <c r="K231" s="227">
        <f t="array" ref="K231">IFERROR(INDEX([1]Grille_Tarifs_Modulable!$B$2:$B$204,MATCH(Tableau14[[#This Row],[Designation]]&amp;Tableau14[[#This Row],[CL]],[1]Grille_Tarifs_Modulable!$C$2:$C$204&amp;[1]Grille_Tarifs_Modulable!$F$2:$F$204,0)),0)</f>
        <v>4067700013842</v>
      </c>
      <c r="L231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17.100804999999998</v>
      </c>
      <c r="M231" s="228">
        <f>IF(Tableau14[[#This Row],[Prix_Unit_HT]]=0,0,Tableau14[[#This Row],[Prix_Unit_HT]]+(Tableau14[[#This Row],[Prix_Unit_HT]]*VLOOKUP(Tableau14[[#This Row],[EAN]],[1]Grille_Tarifs_Modulable!$B$10:$Q$204,16,FALSE)))</f>
        <v>20.520965999999998</v>
      </c>
      <c r="N231" s="224">
        <v>300</v>
      </c>
      <c r="O231" s="228">
        <f>ROUND(Tableau14[[#This Row],[Prix_Unit_HT]],2)*Tableau14[[#This Row],[Qte_commande]]</f>
        <v>5130</v>
      </c>
      <c r="P231" s="228">
        <f>ROUND(Tableau14[[#This Row],[Prix_Unit_TTC]],2)*Tableau14[[#This Row],[Qte_commande]]</f>
        <v>6156</v>
      </c>
      <c r="Q231" s="224">
        <v>428.57</v>
      </c>
      <c r="R231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428.57142857142861</v>
      </c>
      <c r="U231" s="224"/>
      <c r="V231" s="224"/>
    </row>
    <row r="232" spans="1:22" ht="12.75" x14ac:dyDescent="0.2">
      <c r="A232" s="225">
        <v>42643</v>
      </c>
      <c r="B232" s="224" t="s">
        <v>584</v>
      </c>
      <c r="C232" s="224" t="s">
        <v>308</v>
      </c>
      <c r="D232" s="224" t="s">
        <v>309</v>
      </c>
      <c r="E232" s="226"/>
      <c r="G232" s="224" t="s">
        <v>1</v>
      </c>
      <c r="H232" s="224" t="s">
        <v>196</v>
      </c>
      <c r="I232" s="224" t="s">
        <v>66</v>
      </c>
      <c r="J232" s="224">
        <v>50</v>
      </c>
      <c r="K232" s="227">
        <f t="array" ref="K232">IFERROR(INDEX([1]Grille_Tarifs_Modulable!$B$2:$B$204,MATCH(Tableau14[[#This Row],[Designation]]&amp;Tableau14[[#This Row],[CL]],[1]Grille_Tarifs_Modulable!$C$2:$C$204&amp;[1]Grille_Tarifs_Modulable!$F$2:$F$204,0)),0)</f>
        <v>4260310553382</v>
      </c>
      <c r="L232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</v>
      </c>
      <c r="M232" s="228">
        <f>IF(Tableau14[[#This Row],[Prix_Unit_HT]]=0,0,Tableau14[[#This Row],[Prix_Unit_HT]]+(Tableau14[[#This Row],[Prix_Unit_HT]]*VLOOKUP(Tableau14[[#This Row],[EAN]],[1]Grille_Tarifs_Modulable!$B$10:$Q$204,16,FALSE)))</f>
        <v>1.0549999999999999</v>
      </c>
      <c r="N232" s="224">
        <v>120</v>
      </c>
      <c r="O232" s="228">
        <f>ROUND(Tableau14[[#This Row],[Prix_Unit_HT]],2)*Tableau14[[#This Row],[Qte_commande]]</f>
        <v>120</v>
      </c>
      <c r="P232" s="228">
        <f>ROUND(Tableau14[[#This Row],[Prix_Unit_TTC]],2)*Tableau14[[#This Row],[Qte_commande]]</f>
        <v>127.2</v>
      </c>
      <c r="Q232" s="224">
        <v>85.71</v>
      </c>
      <c r="R232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85.714285714285722</v>
      </c>
      <c r="U232" s="224"/>
      <c r="V232" s="224"/>
    </row>
    <row r="233" spans="1:22" ht="12.75" x14ac:dyDescent="0.2">
      <c r="A233" s="225">
        <v>42643</v>
      </c>
      <c r="B233" s="224" t="s">
        <v>584</v>
      </c>
      <c r="C233" s="224" t="s">
        <v>308</v>
      </c>
      <c r="D233" s="224" t="s">
        <v>309</v>
      </c>
      <c r="E233" s="226"/>
      <c r="G233" s="224" t="s">
        <v>1</v>
      </c>
      <c r="H233" s="224" t="s">
        <v>289</v>
      </c>
      <c r="I233" s="224" t="s">
        <v>32</v>
      </c>
      <c r="J233" s="224">
        <v>70</v>
      </c>
      <c r="K233" s="227">
        <f t="array" ref="K233">IFERROR(INDEX([1]Grille_Tarifs_Modulable!$B$2:$B$204,MATCH(Tableau14[[#This Row],[Designation]]&amp;Tableau14[[#This Row],[CL]],[1]Grille_Tarifs_Modulable!$C$2:$C$204&amp;[1]Grille_Tarifs_Modulable!$F$2:$F$204,0)),0)</f>
        <v>3257150100228</v>
      </c>
      <c r="L233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19.998643999999999</v>
      </c>
      <c r="M233" s="228">
        <f>IF(Tableau14[[#This Row],[Prix_Unit_HT]]=0,0,Tableau14[[#This Row],[Prix_Unit_HT]]+(Tableau14[[#This Row],[Prix_Unit_HT]]*VLOOKUP(Tableau14[[#This Row],[EAN]],[1]Grille_Tarifs_Modulable!$B$10:$Q$204,16,FALSE)))</f>
        <v>23.998372799999999</v>
      </c>
      <c r="N233" s="224">
        <v>6</v>
      </c>
      <c r="O233" s="228">
        <f>ROUND(Tableau14[[#This Row],[Prix_Unit_HT]],2)*Tableau14[[#This Row],[Qte_commande]]</f>
        <v>120</v>
      </c>
      <c r="P233" s="228">
        <f>ROUND(Tableau14[[#This Row],[Prix_Unit_TTC]],2)*Tableau14[[#This Row],[Qte_commande]]</f>
        <v>144</v>
      </c>
      <c r="Q233" s="224">
        <v>6</v>
      </c>
      <c r="R233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6.0000000000000009</v>
      </c>
      <c r="U233" s="224"/>
      <c r="V233" s="224"/>
    </row>
    <row r="234" spans="1:22" ht="12.75" x14ac:dyDescent="0.2">
      <c r="A234" s="225">
        <v>42646</v>
      </c>
      <c r="B234" s="224" t="s">
        <v>585</v>
      </c>
      <c r="C234" s="224" t="s">
        <v>530</v>
      </c>
      <c r="D234" s="224" t="s">
        <v>531</v>
      </c>
      <c r="E234" s="226"/>
      <c r="G234" s="224" t="s">
        <v>1</v>
      </c>
      <c r="H234" s="224" t="s">
        <v>289</v>
      </c>
      <c r="I234" s="224" t="s">
        <v>15</v>
      </c>
      <c r="J234" s="224">
        <v>70</v>
      </c>
      <c r="K234" s="227">
        <f t="array" ref="K234">IFERROR(INDEX([1]Grille_Tarifs_Modulable!$B$2:$B$204,MATCH(Tableau14[[#This Row],[Designation]]&amp;Tableau14[[#This Row],[CL]],[1]Grille_Tarifs_Modulable!$C$2:$C$204&amp;[1]Grille_Tarifs_Modulable!$F$2:$F$204,0)),0)</f>
        <v>4067700013859</v>
      </c>
      <c r="L234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12.532563499999998</v>
      </c>
      <c r="M234" s="228">
        <f>IF(Tableau14[[#This Row],[Prix_Unit_HT]]=0,0,Tableau14[[#This Row],[Prix_Unit_HT]]+(Tableau14[[#This Row],[Prix_Unit_HT]]*VLOOKUP(Tableau14[[#This Row],[EAN]],[1]Grille_Tarifs_Modulable!$B$10:$Q$204,16,FALSE)))</f>
        <v>15.039076199999998</v>
      </c>
      <c r="N234" s="224">
        <v>150</v>
      </c>
      <c r="O234" s="228">
        <f>ROUND(Tableau14[[#This Row],[Prix_Unit_HT]],2)*Tableau14[[#This Row],[Qte_commande]]</f>
        <v>1879.5</v>
      </c>
      <c r="P234" s="228">
        <f>ROUND(Tableau14[[#This Row],[Prix_Unit_TTC]],2)*Tableau14[[#This Row],[Qte_commande]]</f>
        <v>2256</v>
      </c>
      <c r="Q234" s="224">
        <v>150</v>
      </c>
      <c r="R234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150</v>
      </c>
      <c r="U234" s="224"/>
      <c r="V234" s="224"/>
    </row>
    <row r="235" spans="1:22" ht="12.75" x14ac:dyDescent="0.2">
      <c r="A235" s="225">
        <v>42647</v>
      </c>
      <c r="B235" s="224" t="s">
        <v>801</v>
      </c>
      <c r="C235" s="224" t="s">
        <v>802</v>
      </c>
      <c r="D235" s="224" t="s">
        <v>803</v>
      </c>
      <c r="E235" s="226"/>
      <c r="G235" s="224" t="s">
        <v>1</v>
      </c>
      <c r="H235" s="224" t="s">
        <v>289</v>
      </c>
      <c r="I235" s="224" t="s">
        <v>804</v>
      </c>
      <c r="J235" s="224">
        <v>70</v>
      </c>
      <c r="K235" s="227">
        <f t="array" ref="K235">IFERROR(INDEX([1]Grille_Tarifs_Modulable!$B$2:$B$204,MATCH(Tableau14[[#This Row],[Designation]]&amp;Tableau14[[#This Row],[CL]],[1]Grille_Tarifs_Modulable!$C$2:$C$204&amp;[1]Grille_Tarifs_Modulable!$F$2:$F$204,0)),0)</f>
        <v>0</v>
      </c>
      <c r="L235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</v>
      </c>
      <c r="M235" s="228">
        <f>IF(Tableau14[[#This Row],[Prix_Unit_HT]]=0,0,Tableau14[[#This Row],[Prix_Unit_HT]]+(Tableau14[[#This Row],[Prix_Unit_HT]]*VLOOKUP(Tableau14[[#This Row],[EAN]],[1]Grille_Tarifs_Modulable!$B$10:$Q$204,16,FALSE)))</f>
        <v>0</v>
      </c>
      <c r="N235" s="224">
        <v>18</v>
      </c>
      <c r="O235" s="228">
        <f>ROUND(Tableau14[[#This Row],[Prix_Unit_HT]],2)*Tableau14[[#This Row],[Qte_commande]]</f>
        <v>0</v>
      </c>
      <c r="P235" s="228">
        <f>ROUND(Tableau14[[#This Row],[Prix_Unit_TTC]],2)*Tableau14[[#This Row],[Qte_commande]]</f>
        <v>0</v>
      </c>
      <c r="Q235" s="224">
        <v>18</v>
      </c>
      <c r="R235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18</v>
      </c>
      <c r="U235" s="224"/>
      <c r="V235" s="224"/>
    </row>
    <row r="236" spans="1:22" ht="12.75" x14ac:dyDescent="0.2">
      <c r="A236" s="225">
        <v>42647</v>
      </c>
      <c r="B236" s="224" t="s">
        <v>801</v>
      </c>
      <c r="C236" s="224" t="s">
        <v>802</v>
      </c>
      <c r="D236" s="224" t="s">
        <v>803</v>
      </c>
      <c r="E236" s="226"/>
      <c r="G236" s="224" t="s">
        <v>1</v>
      </c>
      <c r="H236" s="224" t="s">
        <v>196</v>
      </c>
      <c r="I236" s="224" t="s">
        <v>59</v>
      </c>
      <c r="J236" s="224">
        <v>20</v>
      </c>
      <c r="K236" s="227">
        <f t="array" ref="K236">IFERROR(INDEX([1]Grille_Tarifs_Modulable!$B$2:$B$204,MATCH(Tableau14[[#This Row],[Designation]]&amp;Tableau14[[#This Row],[CL]],[1]Grille_Tarifs_Modulable!$C$2:$C$204&amp;[1]Grille_Tarifs_Modulable!$F$2:$F$204,0)),0)</f>
        <v>4260310553818</v>
      </c>
      <c r="L236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0.81</v>
      </c>
      <c r="M236" s="228">
        <f>IF(Tableau14[[#This Row],[Prix_Unit_HT]]=0,0,Tableau14[[#This Row],[Prix_Unit_HT]]+(Tableau14[[#This Row],[Prix_Unit_HT]]*VLOOKUP(Tableau14[[#This Row],[EAN]],[1]Grille_Tarifs_Modulable!$B$10:$Q$204,16,FALSE)))</f>
        <v>0.85455000000000003</v>
      </c>
      <c r="N236" s="224">
        <v>48</v>
      </c>
      <c r="O236" s="228">
        <f>ROUND(Tableau14[[#This Row],[Prix_Unit_HT]],2)*Tableau14[[#This Row],[Qte_commande]]</f>
        <v>38.880000000000003</v>
      </c>
      <c r="P236" s="228">
        <f>ROUND(Tableau14[[#This Row],[Prix_Unit_TTC]],2)*Tableau14[[#This Row],[Qte_commande]]</f>
        <v>40.799999999999997</v>
      </c>
      <c r="Q236" s="224">
        <v>13.71</v>
      </c>
      <c r="R236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13.714285714285715</v>
      </c>
      <c r="U236" s="224"/>
      <c r="V236" s="224"/>
    </row>
    <row r="237" spans="1:22" ht="12.75" x14ac:dyDescent="0.2">
      <c r="A237" s="225">
        <v>42647</v>
      </c>
      <c r="B237" s="224" t="s">
        <v>801</v>
      </c>
      <c r="C237" s="224" t="s">
        <v>802</v>
      </c>
      <c r="D237" s="224" t="s">
        <v>803</v>
      </c>
      <c r="E237" s="226"/>
      <c r="G237" s="224" t="s">
        <v>1</v>
      </c>
      <c r="H237" s="224"/>
      <c r="I237" s="224" t="s">
        <v>1348</v>
      </c>
      <c r="J237" s="228" t="s">
        <v>448</v>
      </c>
      <c r="K237" s="227">
        <f t="array" ref="K237">IFERROR(INDEX([1]Grille_Tarifs_Modulable!$B$2:$B$204,MATCH(Tableau14[[#This Row],[Designation]]&amp;Tableau14[[#This Row],[CL]],[1]Grille_Tarifs_Modulable!$C$2:$C$204&amp;[1]Grille_Tarifs_Modulable!$F$2:$F$204,0)),0)</f>
        <v>0</v>
      </c>
      <c r="L237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</v>
      </c>
      <c r="M237" s="228">
        <f>IF(Tableau14[[#This Row],[Prix_Unit_HT]]=0,0,Tableau14[[#This Row],[Prix_Unit_HT]]+(Tableau14[[#This Row],[Prix_Unit_HT]]*VLOOKUP(Tableau14[[#This Row],[EAN]],[1]Grille_Tarifs_Modulable!$B$10:$Q$204,16,FALSE)))</f>
        <v>0</v>
      </c>
      <c r="N237" s="224">
        <v>1</v>
      </c>
      <c r="O237" s="228">
        <f>ROUND(Tableau14[[#This Row],[Prix_Unit_HT]],2)*Tableau14[[#This Row],[Qte_commande]]</f>
        <v>0</v>
      </c>
      <c r="P237" s="228">
        <f>ROUND(Tableau14[[#This Row],[Prix_Unit_TTC]],2)*Tableau14[[#This Row],[Qte_commande]]</f>
        <v>0</v>
      </c>
      <c r="Q237" s="224">
        <v>1</v>
      </c>
      <c r="R237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0</v>
      </c>
      <c r="U237" s="224"/>
      <c r="V237" s="224"/>
    </row>
    <row r="238" spans="1:22" ht="12.75" x14ac:dyDescent="0.2">
      <c r="A238" s="225">
        <v>42648</v>
      </c>
      <c r="B238" s="224" t="s">
        <v>303</v>
      </c>
      <c r="C238" s="224" t="s">
        <v>194</v>
      </c>
      <c r="D238" s="224" t="s">
        <v>195</v>
      </c>
      <c r="E238" s="226"/>
      <c r="G238" s="224" t="s">
        <v>1</v>
      </c>
      <c r="H238" s="224" t="s">
        <v>289</v>
      </c>
      <c r="I238" s="224" t="s">
        <v>22</v>
      </c>
      <c r="J238" s="224">
        <v>70</v>
      </c>
      <c r="K238" s="227">
        <f t="array" ref="K238">IFERROR(INDEX([1]Grille_Tarifs_Modulable!$B$2:$B$204,MATCH(Tableau14[[#This Row],[Designation]]&amp;Tableau14[[#This Row],[CL]],[1]Grille_Tarifs_Modulable!$C$2:$C$204&amp;[1]Grille_Tarifs_Modulable!$F$2:$F$204,0)),0)</f>
        <v>4055800060200</v>
      </c>
      <c r="L238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17.408644000000002</v>
      </c>
      <c r="M238" s="228">
        <f>IF(Tableau14[[#This Row],[Prix_Unit_HT]]=0,0,Tableau14[[#This Row],[Prix_Unit_HT]]+(Tableau14[[#This Row],[Prix_Unit_HT]]*VLOOKUP(Tableau14[[#This Row],[EAN]],[1]Grille_Tarifs_Modulable!$B$10:$Q$204,16,FALSE)))</f>
        <v>20.890372800000002</v>
      </c>
      <c r="N238" s="224">
        <v>18</v>
      </c>
      <c r="O238" s="228">
        <f>ROUND(Tableau14[[#This Row],[Prix_Unit_HT]],2)*Tableau14[[#This Row],[Qte_commande]]</f>
        <v>313.38</v>
      </c>
      <c r="P238" s="228">
        <f>ROUND(Tableau14[[#This Row],[Prix_Unit_TTC]],2)*Tableau14[[#This Row],[Qte_commande]]</f>
        <v>376.02</v>
      </c>
      <c r="Q238" s="224">
        <v>18</v>
      </c>
      <c r="R238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18</v>
      </c>
      <c r="U238" s="224"/>
      <c r="V238" s="224"/>
    </row>
    <row r="239" spans="1:22" ht="12.75" x14ac:dyDescent="0.2">
      <c r="A239" s="225">
        <v>42648</v>
      </c>
      <c r="B239" s="224" t="s">
        <v>303</v>
      </c>
      <c r="C239" s="224" t="s">
        <v>194</v>
      </c>
      <c r="D239" s="224" t="s">
        <v>195</v>
      </c>
      <c r="E239" s="226"/>
      <c r="G239" s="224" t="s">
        <v>1</v>
      </c>
      <c r="H239" s="224" t="s">
        <v>289</v>
      </c>
      <c r="I239" s="224" t="s">
        <v>15</v>
      </c>
      <c r="J239" s="224">
        <v>70</v>
      </c>
      <c r="K239" s="227">
        <f t="array" ref="K239">IFERROR(INDEX([1]Grille_Tarifs_Modulable!$B$2:$B$204,MATCH(Tableau14[[#This Row],[Designation]]&amp;Tableau14[[#This Row],[CL]],[1]Grille_Tarifs_Modulable!$C$2:$C$204&amp;[1]Grille_Tarifs_Modulable!$F$2:$F$204,0)),0)</f>
        <v>4067700013859</v>
      </c>
      <c r="L239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12.532563499999998</v>
      </c>
      <c r="M239" s="228">
        <f>IF(Tableau14[[#This Row],[Prix_Unit_HT]]=0,0,Tableau14[[#This Row],[Prix_Unit_HT]]+(Tableau14[[#This Row],[Prix_Unit_HT]]*VLOOKUP(Tableau14[[#This Row],[EAN]],[1]Grille_Tarifs_Modulable!$B$10:$Q$204,16,FALSE)))</f>
        <v>15.039076199999998</v>
      </c>
      <c r="N239" s="224">
        <v>48</v>
      </c>
      <c r="O239" s="228">
        <f>ROUND(Tableau14[[#This Row],[Prix_Unit_HT]],2)*Tableau14[[#This Row],[Qte_commande]]</f>
        <v>601.43999999999994</v>
      </c>
      <c r="P239" s="228">
        <f>ROUND(Tableau14[[#This Row],[Prix_Unit_TTC]],2)*Tableau14[[#This Row],[Qte_commande]]</f>
        <v>721.92</v>
      </c>
      <c r="Q239" s="224">
        <v>48</v>
      </c>
      <c r="R239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48.000000000000007</v>
      </c>
      <c r="U239" s="224"/>
      <c r="V239" s="224"/>
    </row>
    <row r="240" spans="1:22" ht="12.75" x14ac:dyDescent="0.2">
      <c r="A240" s="225">
        <v>42648</v>
      </c>
      <c r="B240" s="224" t="s">
        <v>303</v>
      </c>
      <c r="C240" s="224" t="s">
        <v>194</v>
      </c>
      <c r="D240" s="224" t="s">
        <v>195</v>
      </c>
      <c r="E240" s="226"/>
      <c r="G240" s="224" t="s">
        <v>1</v>
      </c>
      <c r="H240" s="224" t="s">
        <v>289</v>
      </c>
      <c r="I240" s="224" t="s">
        <v>15</v>
      </c>
      <c r="J240" s="224">
        <v>175</v>
      </c>
      <c r="K240" s="227">
        <f t="array" ref="K240">IFERROR(INDEX([1]Grille_Tarifs_Modulable!$B$2:$B$204,MATCH(Tableau14[[#This Row],[Designation]]&amp;Tableau14[[#This Row],[CL]],[1]Grille_Tarifs_Modulable!$C$2:$C$204&amp;[1]Grille_Tarifs_Modulable!$F$2:$F$204,0)),0)</f>
        <v>4067700013835</v>
      </c>
      <c r="L240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28.916408750000002</v>
      </c>
      <c r="M240" s="228">
        <f>IF(Tableau14[[#This Row],[Prix_Unit_HT]]=0,0,Tableau14[[#This Row],[Prix_Unit_HT]]+(Tableau14[[#This Row],[Prix_Unit_HT]]*VLOOKUP(Tableau14[[#This Row],[EAN]],[1]Grille_Tarifs_Modulable!$B$10:$Q$204,16,FALSE)))</f>
        <v>34.699690500000003</v>
      </c>
      <c r="N240" s="224">
        <v>12</v>
      </c>
      <c r="O240" s="228">
        <f>ROUND(Tableau14[[#This Row],[Prix_Unit_HT]],2)*Tableau14[[#This Row],[Qte_commande]]</f>
        <v>347.04</v>
      </c>
      <c r="P240" s="228">
        <f>ROUND(Tableau14[[#This Row],[Prix_Unit_TTC]],2)*Tableau14[[#This Row],[Qte_commande]]</f>
        <v>416.40000000000003</v>
      </c>
      <c r="Q240" s="224">
        <v>30</v>
      </c>
      <c r="R240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30.000000000000004</v>
      </c>
      <c r="U240" s="224"/>
      <c r="V240" s="224"/>
    </row>
    <row r="241" spans="1:22" ht="12.75" x14ac:dyDescent="0.2">
      <c r="A241" s="225">
        <v>42648</v>
      </c>
      <c r="B241" s="224" t="s">
        <v>933</v>
      </c>
      <c r="C241" s="224" t="s">
        <v>542</v>
      </c>
      <c r="D241" s="224" t="s">
        <v>209</v>
      </c>
      <c r="E241" s="226"/>
      <c r="G241" s="224" t="s">
        <v>13</v>
      </c>
      <c r="H241" s="224" t="s">
        <v>289</v>
      </c>
      <c r="I241" s="224" t="s">
        <v>931</v>
      </c>
      <c r="J241" s="224">
        <v>100</v>
      </c>
      <c r="K241" s="227">
        <f t="array" ref="K241">IFERROR(INDEX([1]Grille_Tarifs_Modulable!$B$2:$B$204,MATCH(Tableau14[[#This Row],[Designation]]&amp;Tableau14[[#This Row],[CL]],[1]Grille_Tarifs_Modulable!$C$2:$C$204&amp;[1]Grille_Tarifs_Modulable!$F$2:$F$204,0)),0)</f>
        <v>0</v>
      </c>
      <c r="L241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</v>
      </c>
      <c r="M241" s="228">
        <f>IF(Tableau14[[#This Row],[Prix_Unit_HT]]=0,0,Tableau14[[#This Row],[Prix_Unit_HT]]+(Tableau14[[#This Row],[Prix_Unit_HT]]*VLOOKUP(Tableau14[[#This Row],[EAN]],[1]Grille_Tarifs_Modulable!$B$10:$Q$204,16,FALSE)))</f>
        <v>0</v>
      </c>
      <c r="N241" s="224">
        <v>48</v>
      </c>
      <c r="O241" s="228">
        <f>ROUND(Tableau14[[#This Row],[Prix_Unit_HT]],2)*Tableau14[[#This Row],[Qte_commande]]</f>
        <v>0</v>
      </c>
      <c r="P241" s="228">
        <f>ROUND(Tableau14[[#This Row],[Prix_Unit_TTC]],2)*Tableau14[[#This Row],[Qte_commande]]</f>
        <v>0</v>
      </c>
      <c r="Q241" s="224">
        <v>68.569999999999993</v>
      </c>
      <c r="R241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68.571428571428569</v>
      </c>
      <c r="U241" s="224"/>
      <c r="V241" s="224"/>
    </row>
    <row r="242" spans="1:22" ht="12.75" x14ac:dyDescent="0.2">
      <c r="A242" s="225">
        <v>42648</v>
      </c>
      <c r="B242" s="224" t="s">
        <v>303</v>
      </c>
      <c r="C242" s="224" t="s">
        <v>194</v>
      </c>
      <c r="D242" s="224" t="s">
        <v>195</v>
      </c>
      <c r="E242" s="226"/>
      <c r="G242" s="224" t="s">
        <v>1</v>
      </c>
      <c r="H242" s="224" t="s">
        <v>289</v>
      </c>
      <c r="I242" s="224" t="s">
        <v>1352</v>
      </c>
      <c r="J242" s="224">
        <v>70</v>
      </c>
      <c r="K242" s="227">
        <f t="array" ref="K242">IFERROR(INDEX([1]Grille_Tarifs_Modulable!$B$2:$B$204,MATCH(Tableau14[[#This Row],[Designation]]&amp;Tableau14[[#This Row],[CL]],[1]Grille_Tarifs_Modulable!$C$2:$C$204&amp;[1]Grille_Tarifs_Modulable!$F$2:$F$204,0)),0)</f>
        <v>0</v>
      </c>
      <c r="L242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</v>
      </c>
      <c r="M242" s="228">
        <f>IF(Tableau14[[#This Row],[Prix_Unit_HT]]=0,0,Tableau14[[#This Row],[Prix_Unit_HT]]+(Tableau14[[#This Row],[Prix_Unit_HT]]*VLOOKUP(Tableau14[[#This Row],[EAN]],[1]Grille_Tarifs_Modulable!$B$10:$Q$204,16,FALSE)))</f>
        <v>0</v>
      </c>
      <c r="N242" s="224">
        <v>18</v>
      </c>
      <c r="O242" s="228">
        <f>ROUND(Tableau14[[#This Row],[Prix_Unit_HT]],2)*Tableau14[[#This Row],[Qte_commande]]</f>
        <v>0</v>
      </c>
      <c r="P242" s="228">
        <f>ROUND(Tableau14[[#This Row],[Prix_Unit_TTC]],2)*Tableau14[[#This Row],[Qte_commande]]</f>
        <v>0</v>
      </c>
      <c r="Q242" s="224">
        <v>18</v>
      </c>
      <c r="R242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18</v>
      </c>
      <c r="U242" s="224"/>
      <c r="V242" s="224"/>
    </row>
    <row r="243" spans="1:22" ht="12.75" x14ac:dyDescent="0.2">
      <c r="A243" s="225">
        <v>42649</v>
      </c>
      <c r="B243" s="224" t="s">
        <v>586</v>
      </c>
      <c r="C243" s="224" t="s">
        <v>545</v>
      </c>
      <c r="D243" s="224" t="s">
        <v>546</v>
      </c>
      <c r="E243" s="226"/>
      <c r="F243" s="224" t="s">
        <v>547</v>
      </c>
      <c r="G243" s="224" t="s">
        <v>13</v>
      </c>
      <c r="H243" s="224" t="s">
        <v>289</v>
      </c>
      <c r="I243" s="224" t="s">
        <v>15</v>
      </c>
      <c r="J243" s="224">
        <v>175</v>
      </c>
      <c r="K243" s="227">
        <f t="array" ref="K243">IFERROR(INDEX([1]Grille_Tarifs_Modulable!$B$2:$B$204,MATCH(Tableau14[[#This Row],[Designation]]&amp;Tableau14[[#This Row],[CL]],[1]Grille_Tarifs_Modulable!$C$2:$C$204&amp;[1]Grille_Tarifs_Modulable!$F$2:$F$204,0)),0)</f>
        <v>4067700013835</v>
      </c>
      <c r="L243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32.266408749999997</v>
      </c>
      <c r="M243" s="228">
        <f>IF(Tableau14[[#This Row],[Prix_Unit_HT]]=0,0,Tableau14[[#This Row],[Prix_Unit_HT]]+(Tableau14[[#This Row],[Prix_Unit_HT]]*VLOOKUP(Tableau14[[#This Row],[EAN]],[1]Grille_Tarifs_Modulable!$B$10:$Q$204,16,FALSE)))</f>
        <v>38.719690499999999</v>
      </c>
      <c r="N243" s="224">
        <v>36</v>
      </c>
      <c r="O243" s="228">
        <f>ROUND(Tableau14[[#This Row],[Prix_Unit_HT]],2)*Tableau14[[#This Row],[Qte_commande]]</f>
        <v>1161.72</v>
      </c>
      <c r="P243" s="228">
        <f>ROUND(Tableau14[[#This Row],[Prix_Unit_TTC]],2)*Tableau14[[#This Row],[Qte_commande]]</f>
        <v>1393.92</v>
      </c>
      <c r="Q243" s="224">
        <v>90</v>
      </c>
      <c r="R243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90</v>
      </c>
      <c r="U243" s="224"/>
      <c r="V243" s="224"/>
    </row>
    <row r="244" spans="1:22" ht="12.75" x14ac:dyDescent="0.2">
      <c r="A244" s="225">
        <v>42649</v>
      </c>
      <c r="B244" s="224" t="s">
        <v>587</v>
      </c>
      <c r="C244" s="224" t="s">
        <v>194</v>
      </c>
      <c r="D244" s="224" t="s">
        <v>343</v>
      </c>
      <c r="E244" s="226"/>
      <c r="G244" s="224" t="s">
        <v>1</v>
      </c>
      <c r="H244" s="224" t="s">
        <v>289</v>
      </c>
      <c r="I244" s="224" t="s">
        <v>15</v>
      </c>
      <c r="J244" s="224">
        <v>175</v>
      </c>
      <c r="K244" s="227">
        <f t="array" ref="K244">IFERROR(INDEX([1]Grille_Tarifs_Modulable!$B$2:$B$204,MATCH(Tableau14[[#This Row],[Designation]]&amp;Tableau14[[#This Row],[CL]],[1]Grille_Tarifs_Modulable!$C$2:$C$204&amp;[1]Grille_Tarifs_Modulable!$F$2:$F$204,0)),0)</f>
        <v>4067700013835</v>
      </c>
      <c r="L244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28.916408750000002</v>
      </c>
      <c r="M244" s="228">
        <f>IF(Tableau14[[#This Row],[Prix_Unit_HT]]=0,0,Tableau14[[#This Row],[Prix_Unit_HT]]+(Tableau14[[#This Row],[Prix_Unit_HT]]*VLOOKUP(Tableau14[[#This Row],[EAN]],[1]Grille_Tarifs_Modulable!$B$10:$Q$204,16,FALSE)))</f>
        <v>34.699690500000003</v>
      </c>
      <c r="N244" s="224">
        <v>42</v>
      </c>
      <c r="O244" s="228">
        <f>ROUND(Tableau14[[#This Row],[Prix_Unit_HT]],2)*Tableau14[[#This Row],[Qte_commande]]</f>
        <v>1214.6400000000001</v>
      </c>
      <c r="P244" s="228">
        <f>ROUND(Tableau14[[#This Row],[Prix_Unit_TTC]],2)*Tableau14[[#This Row],[Qte_commande]]</f>
        <v>1457.4</v>
      </c>
      <c r="Q244" s="224">
        <v>105</v>
      </c>
      <c r="R244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105</v>
      </c>
      <c r="U244" s="224"/>
      <c r="V244" s="224"/>
    </row>
    <row r="245" spans="1:22" ht="12.75" x14ac:dyDescent="0.2">
      <c r="A245" s="225">
        <v>42656</v>
      </c>
      <c r="B245" s="224" t="s">
        <v>482</v>
      </c>
      <c r="C245" s="224" t="s">
        <v>483</v>
      </c>
      <c r="D245" s="224" t="s">
        <v>302</v>
      </c>
      <c r="E245" s="226"/>
      <c r="G245" s="224" t="s">
        <v>13</v>
      </c>
      <c r="H245" s="224" t="s">
        <v>451</v>
      </c>
      <c r="I245" s="224" t="s">
        <v>74</v>
      </c>
      <c r="J245" s="229">
        <v>6</v>
      </c>
      <c r="K245" s="227">
        <f t="array" ref="K245">IFERROR(INDEX([1]Grille_Tarifs_Modulable!$B$2:$B$204,MATCH(Tableau14[[#This Row],[Designation]]&amp;Tableau14[[#This Row],[CL]],[1]Grille_Tarifs_Modulable!$C$2:$C$204&amp;[1]Grille_Tarifs_Modulable!$F$2:$F$204,0)),0)</f>
        <v>125</v>
      </c>
      <c r="L245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139</v>
      </c>
      <c r="M245" s="228">
        <f>IF(Tableau14[[#This Row],[Prix_Unit_HT]]=0,0,Tableau14[[#This Row],[Prix_Unit_HT]]+(Tableau14[[#This Row],[Prix_Unit_HT]]*VLOOKUP(Tableau14[[#This Row],[EAN]],[1]Grille_Tarifs_Modulable!$B$10:$Q$204,16,FALSE)))</f>
        <v>166.8</v>
      </c>
      <c r="N245" s="224">
        <v>1</v>
      </c>
      <c r="O245" s="228">
        <f>ROUND(Tableau14[[#This Row],[Prix_Unit_HT]],2)*Tableau14[[#This Row],[Qte_commande]]</f>
        <v>139</v>
      </c>
      <c r="P245" s="228">
        <f>ROUND(Tableau14[[#This Row],[Prix_Unit_TTC]],2)*Tableau14[[#This Row],[Qte_commande]]</f>
        <v>166.8</v>
      </c>
      <c r="Q245" s="224">
        <v>1</v>
      </c>
      <c r="R245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</v>
      </c>
      <c r="U245" s="224"/>
      <c r="V245" s="224"/>
    </row>
    <row r="246" spans="1:22" ht="12.75" x14ac:dyDescent="0.2">
      <c r="A246" s="225">
        <v>42656</v>
      </c>
      <c r="B246" s="224" t="s">
        <v>482</v>
      </c>
      <c r="C246" s="224" t="s">
        <v>483</v>
      </c>
      <c r="D246" s="224" t="s">
        <v>302</v>
      </c>
      <c r="E246" s="226"/>
      <c r="G246" s="224" t="s">
        <v>13</v>
      </c>
      <c r="H246" s="224" t="s">
        <v>451</v>
      </c>
      <c r="I246" s="224" t="s">
        <v>72</v>
      </c>
      <c r="J246" s="227">
        <v>4</v>
      </c>
      <c r="K246" s="227">
        <f t="array" ref="K246">IFERROR(INDEX([1]Grille_Tarifs_Modulable!$B$2:$B$204,MATCH(Tableau14[[#This Row],[Designation]]&amp;Tableau14[[#This Row],[CL]],[1]Grille_Tarifs_Modulable!$C$2:$C$204&amp;[1]Grille_Tarifs_Modulable!$F$2:$F$204,0)),0)</f>
        <v>123</v>
      </c>
      <c r="L246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139</v>
      </c>
      <c r="M246" s="228">
        <f>IF(Tableau14[[#This Row],[Prix_Unit_HT]]=0,0,Tableau14[[#This Row],[Prix_Unit_HT]]+(Tableau14[[#This Row],[Prix_Unit_HT]]*VLOOKUP(Tableau14[[#This Row],[EAN]],[1]Grille_Tarifs_Modulable!$B$10:$Q$204,16,FALSE)))</f>
        <v>166.8</v>
      </c>
      <c r="N246" s="224">
        <v>1</v>
      </c>
      <c r="O246" s="228">
        <f>ROUND(Tableau14[[#This Row],[Prix_Unit_HT]],2)*Tableau14[[#This Row],[Qte_commande]]</f>
        <v>139</v>
      </c>
      <c r="P246" s="228">
        <f>ROUND(Tableau14[[#This Row],[Prix_Unit_TTC]],2)*Tableau14[[#This Row],[Qte_commande]]</f>
        <v>166.8</v>
      </c>
      <c r="Q246" s="224">
        <v>1</v>
      </c>
      <c r="R246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</v>
      </c>
      <c r="U246" s="224"/>
      <c r="V246" s="224"/>
    </row>
    <row r="247" spans="1:22" ht="12.75" x14ac:dyDescent="0.2">
      <c r="A247" s="225">
        <v>42656</v>
      </c>
      <c r="B247" s="224" t="s">
        <v>997</v>
      </c>
      <c r="C247" s="224" t="s">
        <v>998</v>
      </c>
      <c r="D247" s="224" t="s">
        <v>999</v>
      </c>
      <c r="E247" s="226"/>
      <c r="G247" s="224" t="s">
        <v>13</v>
      </c>
      <c r="H247" s="224" t="s">
        <v>451</v>
      </c>
      <c r="I247" s="224" t="s">
        <v>69</v>
      </c>
      <c r="J247" s="227">
        <v>3</v>
      </c>
      <c r="K247" s="227">
        <f t="array" ref="K247">IFERROR(INDEX([1]Grille_Tarifs_Modulable!$B$2:$B$204,MATCH(Tableau14[[#This Row],[Designation]]&amp;Tableau14[[#This Row],[CL]],[1]Grille_Tarifs_Modulable!$C$2:$C$204&amp;[1]Grille_Tarifs_Modulable!$F$2:$F$204,0)),0)</f>
        <v>121</v>
      </c>
      <c r="L247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299</v>
      </c>
      <c r="M247" s="228">
        <f>IF(Tableau14[[#This Row],[Prix_Unit_HT]]=0,0,Tableau14[[#This Row],[Prix_Unit_HT]]+(Tableau14[[#This Row],[Prix_Unit_HT]]*VLOOKUP(Tableau14[[#This Row],[EAN]],[1]Grille_Tarifs_Modulable!$B$10:$Q$204,16,FALSE)))</f>
        <v>358.8</v>
      </c>
      <c r="N247" s="224">
        <v>1</v>
      </c>
      <c r="O247" s="228">
        <f>ROUND(Tableau14[[#This Row],[Prix_Unit_HT]],2)*Tableau14[[#This Row],[Qte_commande]]</f>
        <v>299</v>
      </c>
      <c r="P247" s="228">
        <f>ROUND(Tableau14[[#This Row],[Prix_Unit_TTC]],2)*Tableau14[[#This Row],[Qte_commande]]</f>
        <v>358.8</v>
      </c>
      <c r="Q247" s="224">
        <v>1</v>
      </c>
      <c r="R247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</v>
      </c>
      <c r="U247" s="224"/>
      <c r="V247" s="224"/>
    </row>
    <row r="248" spans="1:22" ht="12.75" x14ac:dyDescent="0.2">
      <c r="A248" s="225">
        <v>42656</v>
      </c>
      <c r="B248" s="224" t="s">
        <v>482</v>
      </c>
      <c r="C248" s="224" t="s">
        <v>483</v>
      </c>
      <c r="D248" s="224" t="s">
        <v>302</v>
      </c>
      <c r="E248" s="226"/>
      <c r="G248" s="224" t="s">
        <v>13</v>
      </c>
      <c r="H248" s="224" t="s">
        <v>451</v>
      </c>
      <c r="I248" s="224" t="s">
        <v>69</v>
      </c>
      <c r="J248" s="227">
        <v>3</v>
      </c>
      <c r="K248" s="227">
        <f t="array" ref="K248">IFERROR(INDEX([1]Grille_Tarifs_Modulable!$B$2:$B$204,MATCH(Tableau14[[#This Row],[Designation]]&amp;Tableau14[[#This Row],[CL]],[1]Grille_Tarifs_Modulable!$C$2:$C$204&amp;[1]Grille_Tarifs_Modulable!$F$2:$F$204,0)),0)</f>
        <v>121</v>
      </c>
      <c r="L248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299</v>
      </c>
      <c r="M248" s="228">
        <f>IF(Tableau14[[#This Row],[Prix_Unit_HT]]=0,0,Tableau14[[#This Row],[Prix_Unit_HT]]+(Tableau14[[#This Row],[Prix_Unit_HT]]*VLOOKUP(Tableau14[[#This Row],[EAN]],[1]Grille_Tarifs_Modulable!$B$10:$Q$204,16,FALSE)))</f>
        <v>358.8</v>
      </c>
      <c r="N248" s="224">
        <v>1</v>
      </c>
      <c r="O248" s="228">
        <f>ROUND(Tableau14[[#This Row],[Prix_Unit_HT]],2)*Tableau14[[#This Row],[Qte_commande]]</f>
        <v>299</v>
      </c>
      <c r="P248" s="228">
        <f>ROUND(Tableau14[[#This Row],[Prix_Unit_TTC]],2)*Tableau14[[#This Row],[Qte_commande]]</f>
        <v>358.8</v>
      </c>
      <c r="Q248" s="224">
        <v>1</v>
      </c>
      <c r="R248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</v>
      </c>
      <c r="U248" s="224"/>
      <c r="V248" s="224"/>
    </row>
    <row r="249" spans="1:22" ht="12.75" x14ac:dyDescent="0.2">
      <c r="A249" s="225">
        <v>42663</v>
      </c>
      <c r="B249" s="224" t="s">
        <v>588</v>
      </c>
      <c r="C249" s="224" t="s">
        <v>530</v>
      </c>
      <c r="D249" s="224" t="s">
        <v>531</v>
      </c>
      <c r="E249" s="226"/>
      <c r="G249" s="224" t="s">
        <v>1</v>
      </c>
      <c r="H249" s="224" t="s">
        <v>289</v>
      </c>
      <c r="I249" s="224" t="s">
        <v>15</v>
      </c>
      <c r="J249" s="224">
        <v>70</v>
      </c>
      <c r="K249" s="227">
        <f t="array" ref="K249">IFERROR(INDEX([1]Grille_Tarifs_Modulable!$B$2:$B$204,MATCH(Tableau14[[#This Row],[Designation]]&amp;Tableau14[[#This Row],[CL]],[1]Grille_Tarifs_Modulable!$C$2:$C$204&amp;[1]Grille_Tarifs_Modulable!$F$2:$F$204,0)),0)</f>
        <v>4067700013859</v>
      </c>
      <c r="L249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12.532563499999998</v>
      </c>
      <c r="M249" s="228">
        <f>IF(Tableau14[[#This Row],[Prix_Unit_HT]]=0,0,Tableau14[[#This Row],[Prix_Unit_HT]]+(Tableau14[[#This Row],[Prix_Unit_HT]]*VLOOKUP(Tableau14[[#This Row],[EAN]],[1]Grille_Tarifs_Modulable!$B$10:$Q$204,16,FALSE)))</f>
        <v>15.039076199999998</v>
      </c>
      <c r="N249" s="224">
        <v>42</v>
      </c>
      <c r="O249" s="228">
        <f>ROUND(Tableau14[[#This Row],[Prix_Unit_HT]],2)*Tableau14[[#This Row],[Qte_commande]]</f>
        <v>526.26</v>
      </c>
      <c r="P249" s="228">
        <f>ROUND(Tableau14[[#This Row],[Prix_Unit_TTC]],2)*Tableau14[[#This Row],[Qte_commande]]</f>
        <v>631.67999999999995</v>
      </c>
      <c r="Q249" s="224">
        <v>42</v>
      </c>
      <c r="R249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42</v>
      </c>
      <c r="U249" s="224"/>
      <c r="V249" s="224"/>
    </row>
    <row r="250" spans="1:22" ht="12.75" x14ac:dyDescent="0.2">
      <c r="A250" s="225">
        <v>42663</v>
      </c>
      <c r="B250" s="224" t="s">
        <v>588</v>
      </c>
      <c r="C250" s="224" t="s">
        <v>530</v>
      </c>
      <c r="D250" s="224" t="s">
        <v>531</v>
      </c>
      <c r="E250" s="226"/>
      <c r="G250" s="224" t="s">
        <v>1</v>
      </c>
      <c r="H250" s="224" t="s">
        <v>289</v>
      </c>
      <c r="I250" s="224" t="s">
        <v>15</v>
      </c>
      <c r="J250" s="224">
        <v>70</v>
      </c>
      <c r="K250" s="227">
        <f t="array" ref="K250">IFERROR(INDEX([1]Grille_Tarifs_Modulable!$B$2:$B$204,MATCH(Tableau14[[#This Row],[Designation]]&amp;Tableau14[[#This Row],[CL]],[1]Grille_Tarifs_Modulable!$C$2:$C$204&amp;[1]Grille_Tarifs_Modulable!$F$2:$F$204,0)),0)</f>
        <v>4067700013859</v>
      </c>
      <c r="L250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12.532563499999998</v>
      </c>
      <c r="M250" s="228">
        <f>IF(Tableau14[[#This Row],[Prix_Unit_HT]]=0,0,Tableau14[[#This Row],[Prix_Unit_HT]]+(Tableau14[[#This Row],[Prix_Unit_HT]]*VLOOKUP(Tableau14[[#This Row],[EAN]],[1]Grille_Tarifs_Modulable!$B$10:$Q$204,16,FALSE)))</f>
        <v>15.039076199999998</v>
      </c>
      <c r="N250" s="224">
        <v>108</v>
      </c>
      <c r="O250" s="228">
        <f>ROUND(Tableau14[[#This Row],[Prix_Unit_HT]],2)*Tableau14[[#This Row],[Qte_commande]]</f>
        <v>1353.24</v>
      </c>
      <c r="P250" s="228">
        <f>ROUND(Tableau14[[#This Row],[Prix_Unit_TTC]],2)*Tableau14[[#This Row],[Qte_commande]]</f>
        <v>1624.32</v>
      </c>
      <c r="Q250" s="224">
        <v>108</v>
      </c>
      <c r="R250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108</v>
      </c>
      <c r="U250" s="224"/>
      <c r="V250" s="224"/>
    </row>
    <row r="251" spans="1:22" ht="12.75" x14ac:dyDescent="0.2">
      <c r="A251" s="225">
        <v>42669</v>
      </c>
      <c r="B251" s="224" t="s">
        <v>818</v>
      </c>
      <c r="C251" s="224" t="s">
        <v>170</v>
      </c>
      <c r="D251" s="224" t="s">
        <v>180</v>
      </c>
      <c r="E251" s="226"/>
      <c r="G251" s="224" t="s">
        <v>13</v>
      </c>
      <c r="H251" s="224" t="s">
        <v>196</v>
      </c>
      <c r="I251" s="224" t="s">
        <v>66</v>
      </c>
      <c r="J251" s="224">
        <v>50</v>
      </c>
      <c r="K251" s="227">
        <f t="array" ref="K251">IFERROR(INDEX([1]Grille_Tarifs_Modulable!$B$2:$B$204,MATCH(Tableau14[[#This Row],[Designation]]&amp;Tableau14[[#This Row],[CL]],[1]Grille_Tarifs_Modulable!$C$2:$C$204&amp;[1]Grille_Tarifs_Modulable!$F$2:$F$204,0)),0)</f>
        <v>4260310553382</v>
      </c>
      <c r="L251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1.1000000000000001</v>
      </c>
      <c r="M251" s="228">
        <f>IF(Tableau14[[#This Row],[Prix_Unit_HT]]=0,0,Tableau14[[#This Row],[Prix_Unit_HT]]+(Tableau14[[#This Row],[Prix_Unit_HT]]*VLOOKUP(Tableau14[[#This Row],[EAN]],[1]Grille_Tarifs_Modulable!$B$10:$Q$204,16,FALSE)))</f>
        <v>1.1605000000000001</v>
      </c>
      <c r="N251" s="224">
        <v>120</v>
      </c>
      <c r="O251" s="228">
        <f>ROUND(Tableau14[[#This Row],[Prix_Unit_HT]],2)*Tableau14[[#This Row],[Qte_commande]]</f>
        <v>132</v>
      </c>
      <c r="P251" s="228">
        <f>ROUND(Tableau14[[#This Row],[Prix_Unit_TTC]],2)*Tableau14[[#This Row],[Qte_commande]]</f>
        <v>139.19999999999999</v>
      </c>
      <c r="Q251" s="224">
        <v>85.71</v>
      </c>
      <c r="R251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85.714285714285722</v>
      </c>
      <c r="U251" s="224"/>
      <c r="V251" s="224"/>
    </row>
    <row r="252" spans="1:22" ht="12.75" x14ac:dyDescent="0.2">
      <c r="A252" s="225">
        <v>42669</v>
      </c>
      <c r="B252" s="224" t="s">
        <v>1349</v>
      </c>
      <c r="C252" s="224" t="s">
        <v>473</v>
      </c>
      <c r="D252" s="224" t="s">
        <v>474</v>
      </c>
      <c r="E252" s="226"/>
      <c r="G252" s="224" t="s">
        <v>13</v>
      </c>
      <c r="H252" s="224"/>
      <c r="I252" s="224" t="s">
        <v>1348</v>
      </c>
      <c r="J252" s="228" t="s">
        <v>448</v>
      </c>
      <c r="K252" s="227">
        <f t="array" ref="K252">IFERROR(INDEX([1]Grille_Tarifs_Modulable!$B$2:$B$204,MATCH(Tableau14[[#This Row],[Designation]]&amp;Tableau14[[#This Row],[CL]],[1]Grille_Tarifs_Modulable!$C$2:$C$204&amp;[1]Grille_Tarifs_Modulable!$F$2:$F$204,0)),0)</f>
        <v>0</v>
      </c>
      <c r="L252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</v>
      </c>
      <c r="M252" s="228">
        <f>IF(Tableau14[[#This Row],[Prix_Unit_HT]]=0,0,Tableau14[[#This Row],[Prix_Unit_HT]]+(Tableau14[[#This Row],[Prix_Unit_HT]]*VLOOKUP(Tableau14[[#This Row],[EAN]],[1]Grille_Tarifs_Modulable!$B$10:$Q$204,16,FALSE)))</f>
        <v>0</v>
      </c>
      <c r="N252" s="224">
        <v>1</v>
      </c>
      <c r="O252" s="228">
        <f>ROUND(Tableau14[[#This Row],[Prix_Unit_HT]],2)*Tableau14[[#This Row],[Qte_commande]]</f>
        <v>0</v>
      </c>
      <c r="P252" s="228">
        <f>ROUND(Tableau14[[#This Row],[Prix_Unit_TTC]],2)*Tableau14[[#This Row],[Qte_commande]]</f>
        <v>0</v>
      </c>
      <c r="Q252" s="224">
        <v>1</v>
      </c>
      <c r="R252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0</v>
      </c>
      <c r="U252" s="224"/>
      <c r="V252" s="224"/>
    </row>
    <row r="253" spans="1:22" ht="12.75" x14ac:dyDescent="0.2">
      <c r="A253" s="225">
        <v>42669</v>
      </c>
      <c r="B253" s="224" t="s">
        <v>1349</v>
      </c>
      <c r="C253" s="224" t="s">
        <v>473</v>
      </c>
      <c r="D253" s="224" t="s">
        <v>474</v>
      </c>
      <c r="E253" s="226"/>
      <c r="G253" s="224" t="s">
        <v>13</v>
      </c>
      <c r="H253" s="224" t="s">
        <v>289</v>
      </c>
      <c r="I253" s="224" t="s">
        <v>1352</v>
      </c>
      <c r="J253" s="224">
        <v>175</v>
      </c>
      <c r="K253" s="227">
        <f t="array" ref="K253">IFERROR(INDEX([1]Grille_Tarifs_Modulable!$B$2:$B$204,MATCH(Tableau14[[#This Row],[Designation]]&amp;Tableau14[[#This Row],[CL]],[1]Grille_Tarifs_Modulable!$C$2:$C$204&amp;[1]Grille_Tarifs_Modulable!$F$2:$F$204,0)),0)</f>
        <v>0</v>
      </c>
      <c r="L253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</v>
      </c>
      <c r="M253" s="228">
        <f>IF(Tableau14[[#This Row],[Prix_Unit_HT]]=0,0,Tableau14[[#This Row],[Prix_Unit_HT]]+(Tableau14[[#This Row],[Prix_Unit_HT]]*VLOOKUP(Tableau14[[#This Row],[EAN]],[1]Grille_Tarifs_Modulable!$B$10:$Q$204,16,FALSE)))</f>
        <v>0</v>
      </c>
      <c r="N253" s="224">
        <v>4</v>
      </c>
      <c r="O253" s="228">
        <f>ROUND(Tableau14[[#This Row],[Prix_Unit_HT]],2)*Tableau14[[#This Row],[Qte_commande]]</f>
        <v>0</v>
      </c>
      <c r="P253" s="228">
        <f>ROUND(Tableau14[[#This Row],[Prix_Unit_TTC]],2)*Tableau14[[#This Row],[Qte_commande]]</f>
        <v>0</v>
      </c>
      <c r="Q253" s="224">
        <v>10</v>
      </c>
      <c r="R253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10</v>
      </c>
      <c r="U253" s="224"/>
      <c r="V253" s="224"/>
    </row>
    <row r="254" spans="1:22" ht="12.75" x14ac:dyDescent="0.2">
      <c r="A254" s="225">
        <v>42683</v>
      </c>
      <c r="B254" s="224" t="s">
        <v>589</v>
      </c>
      <c r="C254" s="224" t="s">
        <v>545</v>
      </c>
      <c r="D254" s="224" t="s">
        <v>546</v>
      </c>
      <c r="E254" s="226"/>
      <c r="F254" s="224" t="s">
        <v>547</v>
      </c>
      <c r="G254" s="224" t="s">
        <v>13</v>
      </c>
      <c r="H254" s="224" t="s">
        <v>289</v>
      </c>
      <c r="I254" s="224" t="s">
        <v>15</v>
      </c>
      <c r="J254" s="224">
        <v>175</v>
      </c>
      <c r="K254" s="227">
        <f t="array" ref="K254">IFERROR(INDEX([1]Grille_Tarifs_Modulable!$B$2:$B$204,MATCH(Tableau14[[#This Row],[Designation]]&amp;Tableau14[[#This Row],[CL]],[1]Grille_Tarifs_Modulable!$C$2:$C$204&amp;[1]Grille_Tarifs_Modulable!$F$2:$F$204,0)),0)</f>
        <v>4067700013835</v>
      </c>
      <c r="L254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32.266408749999997</v>
      </c>
      <c r="M254" s="228">
        <f>IF(Tableau14[[#This Row],[Prix_Unit_HT]]=0,0,Tableau14[[#This Row],[Prix_Unit_HT]]+(Tableau14[[#This Row],[Prix_Unit_HT]]*VLOOKUP(Tableau14[[#This Row],[EAN]],[1]Grille_Tarifs_Modulable!$B$10:$Q$204,16,FALSE)))</f>
        <v>38.719690499999999</v>
      </c>
      <c r="N254" s="224">
        <v>36</v>
      </c>
      <c r="O254" s="228">
        <f>ROUND(Tableau14[[#This Row],[Prix_Unit_HT]],2)*Tableau14[[#This Row],[Qte_commande]]</f>
        <v>1161.72</v>
      </c>
      <c r="P254" s="228">
        <f>ROUND(Tableau14[[#This Row],[Prix_Unit_TTC]],2)*Tableau14[[#This Row],[Qte_commande]]</f>
        <v>1393.92</v>
      </c>
      <c r="Q254" s="224">
        <v>90</v>
      </c>
      <c r="R254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90</v>
      </c>
      <c r="U254" s="224"/>
      <c r="V254" s="224"/>
    </row>
    <row r="255" spans="1:22" ht="12.75" x14ac:dyDescent="0.2">
      <c r="A255" s="225">
        <v>42683</v>
      </c>
      <c r="B255" s="224" t="s">
        <v>590</v>
      </c>
      <c r="C255" s="224" t="s">
        <v>530</v>
      </c>
      <c r="D255" s="224" t="s">
        <v>531</v>
      </c>
      <c r="E255" s="226"/>
      <c r="G255" s="224" t="s">
        <v>1</v>
      </c>
      <c r="H255" s="224" t="s">
        <v>289</v>
      </c>
      <c r="I255" s="224" t="s">
        <v>15</v>
      </c>
      <c r="J255" s="224">
        <v>70</v>
      </c>
      <c r="K255" s="227">
        <f t="array" ref="K255">IFERROR(INDEX([1]Grille_Tarifs_Modulable!$B$2:$B$204,MATCH(Tableau14[[#This Row],[Designation]]&amp;Tableau14[[#This Row],[CL]],[1]Grille_Tarifs_Modulable!$C$2:$C$204&amp;[1]Grille_Tarifs_Modulable!$F$2:$F$204,0)),0)</f>
        <v>4067700013859</v>
      </c>
      <c r="L255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12.532563499999998</v>
      </c>
      <c r="M255" s="228">
        <f>IF(Tableau14[[#This Row],[Prix_Unit_HT]]=0,0,Tableau14[[#This Row],[Prix_Unit_HT]]+(Tableau14[[#This Row],[Prix_Unit_HT]]*VLOOKUP(Tableau14[[#This Row],[EAN]],[1]Grille_Tarifs_Modulable!$B$10:$Q$204,16,FALSE)))</f>
        <v>15.039076199999998</v>
      </c>
      <c r="N255" s="224">
        <v>150</v>
      </c>
      <c r="O255" s="228">
        <f>ROUND(Tableau14[[#This Row],[Prix_Unit_HT]],2)*Tableau14[[#This Row],[Qte_commande]]</f>
        <v>1879.5</v>
      </c>
      <c r="P255" s="228">
        <f>ROUND(Tableau14[[#This Row],[Prix_Unit_TTC]],2)*Tableau14[[#This Row],[Qte_commande]]</f>
        <v>2256</v>
      </c>
      <c r="Q255" s="224">
        <v>150</v>
      </c>
      <c r="R255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150</v>
      </c>
      <c r="U255" s="224"/>
      <c r="V255" s="224"/>
    </row>
    <row r="256" spans="1:22" ht="12.75" x14ac:dyDescent="0.2">
      <c r="A256" s="225">
        <v>42684</v>
      </c>
      <c r="B256" s="224" t="s">
        <v>591</v>
      </c>
      <c r="C256" s="224" t="s">
        <v>308</v>
      </c>
      <c r="D256" s="224" t="s">
        <v>309</v>
      </c>
      <c r="E256" s="226"/>
      <c r="G256" s="224" t="s">
        <v>1</v>
      </c>
      <c r="H256" s="224" t="s">
        <v>289</v>
      </c>
      <c r="I256" s="224" t="s">
        <v>15</v>
      </c>
      <c r="J256" s="224">
        <v>100</v>
      </c>
      <c r="K256" s="227">
        <f t="array" ref="K256">IFERROR(INDEX([1]Grille_Tarifs_Modulable!$B$2:$B$204,MATCH(Tableau14[[#This Row],[Designation]]&amp;Tableau14[[#This Row],[CL]],[1]Grille_Tarifs_Modulable!$C$2:$C$204&amp;[1]Grille_Tarifs_Modulable!$F$2:$F$204,0)),0)</f>
        <v>4067700013842</v>
      </c>
      <c r="L256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17.100804999999998</v>
      </c>
      <c r="M256" s="228">
        <f>IF(Tableau14[[#This Row],[Prix_Unit_HT]]=0,0,Tableau14[[#This Row],[Prix_Unit_HT]]+(Tableau14[[#This Row],[Prix_Unit_HT]]*VLOOKUP(Tableau14[[#This Row],[EAN]],[1]Grille_Tarifs_Modulable!$B$10:$Q$204,16,FALSE)))</f>
        <v>20.520965999999998</v>
      </c>
      <c r="N256" s="224">
        <v>240</v>
      </c>
      <c r="O256" s="228">
        <f>ROUND(Tableau14[[#This Row],[Prix_Unit_HT]],2)*Tableau14[[#This Row],[Qte_commande]]</f>
        <v>4104</v>
      </c>
      <c r="P256" s="228">
        <f>ROUND(Tableau14[[#This Row],[Prix_Unit_TTC]],2)*Tableau14[[#This Row],[Qte_commande]]</f>
        <v>4924.8</v>
      </c>
      <c r="Q256" s="224">
        <v>342.86</v>
      </c>
      <c r="R256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342.85714285714289</v>
      </c>
      <c r="U256" s="224"/>
      <c r="V256" s="224"/>
    </row>
    <row r="257" spans="1:22" ht="12.75" x14ac:dyDescent="0.2">
      <c r="A257" s="225">
        <v>42690</v>
      </c>
      <c r="B257" s="224" t="s">
        <v>261</v>
      </c>
      <c r="C257" s="224" t="s">
        <v>262</v>
      </c>
      <c r="D257" s="224" t="s">
        <v>180</v>
      </c>
      <c r="E257" s="226"/>
      <c r="G257" s="224" t="s">
        <v>13</v>
      </c>
      <c r="H257" s="224" t="s">
        <v>196</v>
      </c>
      <c r="I257" s="224" t="s">
        <v>63</v>
      </c>
      <c r="J257" s="224">
        <v>20</v>
      </c>
      <c r="K257" s="227">
        <f t="array" ref="K257">IFERROR(INDEX([1]Grille_Tarifs_Modulable!$B$2:$B$204,MATCH(Tableau14[[#This Row],[Designation]]&amp;Tableau14[[#This Row],[CL]],[1]Grille_Tarifs_Modulable!$C$2:$C$204&amp;[1]Grille_Tarifs_Modulable!$F$2:$F$204,0)),0)</f>
        <v>4260310552941</v>
      </c>
      <c r="L257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0.89</v>
      </c>
      <c r="M257" s="228">
        <f>IF(Tableau14[[#This Row],[Prix_Unit_HT]]=0,0,Tableau14[[#This Row],[Prix_Unit_HT]]+(Tableau14[[#This Row],[Prix_Unit_HT]]*VLOOKUP(Tableau14[[#This Row],[EAN]],[1]Grille_Tarifs_Modulable!$B$10:$Q$204,16,FALSE)))</f>
        <v>0.93895000000000006</v>
      </c>
      <c r="N257" s="224">
        <v>24</v>
      </c>
      <c r="O257" s="228">
        <f>ROUND(Tableau14[[#This Row],[Prix_Unit_HT]],2)*Tableau14[[#This Row],[Qte_commande]]</f>
        <v>21.36</v>
      </c>
      <c r="P257" s="228">
        <f>ROUND(Tableau14[[#This Row],[Prix_Unit_TTC]],2)*Tableau14[[#This Row],[Qte_commande]]</f>
        <v>22.56</v>
      </c>
      <c r="Q257" s="224">
        <v>6.86</v>
      </c>
      <c r="R257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6.8571428571428577</v>
      </c>
      <c r="U257" s="224"/>
      <c r="V257" s="224"/>
    </row>
    <row r="258" spans="1:22" ht="12.75" x14ac:dyDescent="0.2">
      <c r="A258" s="225">
        <v>42690</v>
      </c>
      <c r="B258" s="224" t="s">
        <v>261</v>
      </c>
      <c r="C258" s="224" t="s">
        <v>262</v>
      </c>
      <c r="D258" s="224" t="s">
        <v>180</v>
      </c>
      <c r="E258" s="226"/>
      <c r="G258" s="224" t="s">
        <v>13</v>
      </c>
      <c r="H258" s="224" t="s">
        <v>196</v>
      </c>
      <c r="I258" s="224" t="s">
        <v>65</v>
      </c>
      <c r="J258" s="224">
        <v>20</v>
      </c>
      <c r="K258" s="227">
        <f t="array" ref="K258">IFERROR(INDEX([1]Grille_Tarifs_Modulable!$B$2:$B$204,MATCH(Tableau14[[#This Row],[Designation]]&amp;Tableau14[[#This Row],[CL]],[1]Grille_Tarifs_Modulable!$C$2:$C$204&amp;[1]Grille_Tarifs_Modulable!$F$2:$F$204,0)),0)</f>
        <v>4260310553863</v>
      </c>
      <c r="L258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0.89</v>
      </c>
      <c r="M258" s="228">
        <f>IF(Tableau14[[#This Row],[Prix_Unit_HT]]=0,0,Tableau14[[#This Row],[Prix_Unit_HT]]+(Tableau14[[#This Row],[Prix_Unit_HT]]*VLOOKUP(Tableau14[[#This Row],[EAN]],[1]Grille_Tarifs_Modulable!$B$10:$Q$204,16,FALSE)))</f>
        <v>0.93895000000000006</v>
      </c>
      <c r="N258" s="224">
        <v>24</v>
      </c>
      <c r="O258" s="228">
        <f>ROUND(Tableau14[[#This Row],[Prix_Unit_HT]],2)*Tableau14[[#This Row],[Qte_commande]]</f>
        <v>21.36</v>
      </c>
      <c r="P258" s="228">
        <f>ROUND(Tableau14[[#This Row],[Prix_Unit_TTC]],2)*Tableau14[[#This Row],[Qte_commande]]</f>
        <v>22.56</v>
      </c>
      <c r="Q258" s="224">
        <v>6.86</v>
      </c>
      <c r="R258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6.8571428571428577</v>
      </c>
      <c r="U258" s="224"/>
      <c r="V258" s="224"/>
    </row>
    <row r="259" spans="1:22" ht="12.75" x14ac:dyDescent="0.2">
      <c r="A259" s="225">
        <v>42690</v>
      </c>
      <c r="B259" s="224" t="s">
        <v>261</v>
      </c>
      <c r="C259" s="224" t="s">
        <v>262</v>
      </c>
      <c r="D259" s="224" t="s">
        <v>180</v>
      </c>
      <c r="E259" s="226"/>
      <c r="G259" s="224" t="s">
        <v>13</v>
      </c>
      <c r="H259" s="224" t="s">
        <v>196</v>
      </c>
      <c r="I259" s="224" t="s">
        <v>60</v>
      </c>
      <c r="J259" s="224">
        <v>20</v>
      </c>
      <c r="K259" s="227">
        <f t="array" ref="K259">IFERROR(INDEX([1]Grille_Tarifs_Modulable!$B$2:$B$204,MATCH(Tableau14[[#This Row],[Designation]]&amp;Tableau14[[#This Row],[CL]],[1]Grille_Tarifs_Modulable!$C$2:$C$204&amp;[1]Grille_Tarifs_Modulable!$F$2:$F$204,0)),0)</f>
        <v>4260310553832</v>
      </c>
      <c r="L259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0.89</v>
      </c>
      <c r="M259" s="228">
        <f>IF(Tableau14[[#This Row],[Prix_Unit_HT]]=0,0,Tableau14[[#This Row],[Prix_Unit_HT]]+(Tableau14[[#This Row],[Prix_Unit_HT]]*VLOOKUP(Tableau14[[#This Row],[EAN]],[1]Grille_Tarifs_Modulable!$B$10:$Q$204,16,FALSE)))</f>
        <v>0.93895000000000006</v>
      </c>
      <c r="N259" s="224">
        <v>24</v>
      </c>
      <c r="O259" s="228">
        <f>ROUND(Tableau14[[#This Row],[Prix_Unit_HT]],2)*Tableau14[[#This Row],[Qte_commande]]</f>
        <v>21.36</v>
      </c>
      <c r="P259" s="228">
        <f>ROUND(Tableau14[[#This Row],[Prix_Unit_TTC]],2)*Tableau14[[#This Row],[Qte_commande]]</f>
        <v>22.56</v>
      </c>
      <c r="Q259" s="224">
        <v>6.86</v>
      </c>
      <c r="R259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6.8571428571428577</v>
      </c>
      <c r="U259" s="224"/>
      <c r="V259" s="224"/>
    </row>
    <row r="260" spans="1:22" ht="12.75" x14ac:dyDescent="0.2">
      <c r="A260" s="225">
        <v>42690</v>
      </c>
      <c r="B260" s="224" t="s">
        <v>592</v>
      </c>
      <c r="C260" s="224" t="s">
        <v>361</v>
      </c>
      <c r="D260" s="224" t="s">
        <v>180</v>
      </c>
      <c r="E260" s="226"/>
      <c r="G260" s="224" t="s">
        <v>13</v>
      </c>
      <c r="H260" s="224" t="s">
        <v>289</v>
      </c>
      <c r="I260" s="224" t="s">
        <v>15</v>
      </c>
      <c r="J260" s="224">
        <v>70</v>
      </c>
      <c r="K260" s="227">
        <f t="array" ref="K260">IFERROR(INDEX([1]Grille_Tarifs_Modulable!$B$2:$B$204,MATCH(Tableau14[[#This Row],[Designation]]&amp;Tableau14[[#This Row],[CL]],[1]Grille_Tarifs_Modulable!$C$2:$C$204&amp;[1]Grille_Tarifs_Modulable!$F$2:$F$204,0)),0)</f>
        <v>4067700013859</v>
      </c>
      <c r="L260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13.942563499999999</v>
      </c>
      <c r="M260" s="228">
        <f>IF(Tableau14[[#This Row],[Prix_Unit_HT]]=0,0,Tableau14[[#This Row],[Prix_Unit_HT]]+(Tableau14[[#This Row],[Prix_Unit_HT]]*VLOOKUP(Tableau14[[#This Row],[EAN]],[1]Grille_Tarifs_Modulable!$B$10:$Q$204,16,FALSE)))</f>
        <v>16.731076199999997</v>
      </c>
      <c r="N260" s="224">
        <v>24</v>
      </c>
      <c r="O260" s="228">
        <f>ROUND(Tableau14[[#This Row],[Prix_Unit_HT]],2)*Tableau14[[#This Row],[Qte_commande]]</f>
        <v>334.56</v>
      </c>
      <c r="P260" s="228">
        <f>ROUND(Tableau14[[#This Row],[Prix_Unit_TTC]],2)*Tableau14[[#This Row],[Qte_commande]]</f>
        <v>401.52</v>
      </c>
      <c r="Q260" s="224">
        <v>24</v>
      </c>
      <c r="R260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24.000000000000004</v>
      </c>
      <c r="U260" s="224"/>
      <c r="V260" s="224"/>
    </row>
    <row r="261" spans="1:22" ht="12.75" x14ac:dyDescent="0.2">
      <c r="A261" s="225">
        <v>42690</v>
      </c>
      <c r="B261" s="224" t="s">
        <v>592</v>
      </c>
      <c r="C261" s="224" t="s">
        <v>361</v>
      </c>
      <c r="D261" s="224" t="s">
        <v>180</v>
      </c>
      <c r="E261" s="226"/>
      <c r="G261" s="224" t="s">
        <v>13</v>
      </c>
      <c r="H261" s="224" t="s">
        <v>196</v>
      </c>
      <c r="I261" s="224" t="s">
        <v>66</v>
      </c>
      <c r="J261" s="224">
        <v>50</v>
      </c>
      <c r="K261" s="227">
        <f t="array" ref="K261">IFERROR(INDEX([1]Grille_Tarifs_Modulable!$B$2:$B$204,MATCH(Tableau14[[#This Row],[Designation]]&amp;Tableau14[[#This Row],[CL]],[1]Grille_Tarifs_Modulable!$C$2:$C$204&amp;[1]Grille_Tarifs_Modulable!$F$2:$F$204,0)),0)</f>
        <v>4260310553382</v>
      </c>
      <c r="L261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1.1000000000000001</v>
      </c>
      <c r="M261" s="228">
        <f>IF(Tableau14[[#This Row],[Prix_Unit_HT]]=0,0,Tableau14[[#This Row],[Prix_Unit_HT]]+(Tableau14[[#This Row],[Prix_Unit_HT]]*VLOOKUP(Tableau14[[#This Row],[EAN]],[1]Grille_Tarifs_Modulable!$B$10:$Q$204,16,FALSE)))</f>
        <v>1.1605000000000001</v>
      </c>
      <c r="N261" s="224">
        <v>40</v>
      </c>
      <c r="O261" s="228">
        <f>ROUND(Tableau14[[#This Row],[Prix_Unit_HT]],2)*Tableau14[[#This Row],[Qte_commande]]</f>
        <v>44</v>
      </c>
      <c r="P261" s="228">
        <f>ROUND(Tableau14[[#This Row],[Prix_Unit_TTC]],2)*Tableau14[[#This Row],[Qte_commande]]</f>
        <v>46.4</v>
      </c>
      <c r="Q261" s="224">
        <v>28.57</v>
      </c>
      <c r="R261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28.571428571428573</v>
      </c>
      <c r="U261" s="224"/>
      <c r="V261" s="224"/>
    </row>
    <row r="262" spans="1:22" ht="12.75" x14ac:dyDescent="0.2">
      <c r="A262" s="225">
        <v>42690</v>
      </c>
      <c r="B262" s="224" t="s">
        <v>261</v>
      </c>
      <c r="C262" s="224" t="s">
        <v>262</v>
      </c>
      <c r="D262" s="224" t="s">
        <v>180</v>
      </c>
      <c r="E262" s="226"/>
      <c r="G262" s="224" t="s">
        <v>13</v>
      </c>
      <c r="H262" s="224" t="s">
        <v>196</v>
      </c>
      <c r="I262" s="224" t="s">
        <v>61</v>
      </c>
      <c r="J262" s="224">
        <v>20</v>
      </c>
      <c r="K262" s="227">
        <f t="array" ref="K262">IFERROR(INDEX([1]Grille_Tarifs_Modulable!$B$2:$B$204,MATCH(Tableau14[[#This Row],[Designation]]&amp;Tableau14[[#This Row],[CL]],[1]Grille_Tarifs_Modulable!$C$2:$C$204&amp;[1]Grille_Tarifs_Modulable!$F$2:$F$204,0)),0)</f>
        <v>4260310553856</v>
      </c>
      <c r="L262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0.89</v>
      </c>
      <c r="M262" s="228">
        <f>IF(Tableau14[[#This Row],[Prix_Unit_HT]]=0,0,Tableau14[[#This Row],[Prix_Unit_HT]]+(Tableau14[[#This Row],[Prix_Unit_HT]]*VLOOKUP(Tableau14[[#This Row],[EAN]],[1]Grille_Tarifs_Modulable!$B$10:$Q$204,16,FALSE)))</f>
        <v>0.93895000000000006</v>
      </c>
      <c r="N262" s="224">
        <v>24</v>
      </c>
      <c r="O262" s="228">
        <f>ROUND(Tableau14[[#This Row],[Prix_Unit_HT]],2)*Tableau14[[#This Row],[Qte_commande]]</f>
        <v>21.36</v>
      </c>
      <c r="P262" s="228">
        <f>ROUND(Tableau14[[#This Row],[Prix_Unit_TTC]],2)*Tableau14[[#This Row],[Qte_commande]]</f>
        <v>22.56</v>
      </c>
      <c r="Q262" s="224">
        <v>6.86</v>
      </c>
      <c r="R262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6.8571428571428577</v>
      </c>
      <c r="U262" s="224"/>
      <c r="V262" s="224"/>
    </row>
    <row r="263" spans="1:22" ht="12.75" x14ac:dyDescent="0.2">
      <c r="A263" s="225">
        <v>42690</v>
      </c>
      <c r="B263" s="224" t="s">
        <v>592</v>
      </c>
      <c r="C263" s="224" t="s">
        <v>361</v>
      </c>
      <c r="D263" s="224" t="s">
        <v>180</v>
      </c>
      <c r="E263" s="226"/>
      <c r="G263" s="224" t="s">
        <v>13</v>
      </c>
      <c r="H263" s="224" t="s">
        <v>196</v>
      </c>
      <c r="I263" s="224" t="s">
        <v>64</v>
      </c>
      <c r="J263" s="224">
        <v>20</v>
      </c>
      <c r="K263" s="227">
        <f t="array" ref="K263">IFERROR(INDEX([1]Grille_Tarifs_Modulable!$B$2:$B$204,MATCH(Tableau14[[#This Row],[Designation]]&amp;Tableau14[[#This Row],[CL]],[1]Grille_Tarifs_Modulable!$C$2:$C$204&amp;[1]Grille_Tarifs_Modulable!$F$2:$F$204,0)),0)</f>
        <v>4260310553849</v>
      </c>
      <c r="L263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0.89</v>
      </c>
      <c r="M263" s="228">
        <f>IF(Tableau14[[#This Row],[Prix_Unit_HT]]=0,0,Tableau14[[#This Row],[Prix_Unit_HT]]+(Tableau14[[#This Row],[Prix_Unit_HT]]*VLOOKUP(Tableau14[[#This Row],[EAN]],[1]Grille_Tarifs_Modulable!$B$10:$Q$204,16,FALSE)))</f>
        <v>0.93895000000000006</v>
      </c>
      <c r="N263" s="224">
        <v>48</v>
      </c>
      <c r="O263" s="228">
        <f>ROUND(Tableau14[[#This Row],[Prix_Unit_HT]],2)*Tableau14[[#This Row],[Qte_commande]]</f>
        <v>42.72</v>
      </c>
      <c r="P263" s="228">
        <f>ROUND(Tableau14[[#This Row],[Prix_Unit_TTC]],2)*Tableau14[[#This Row],[Qte_commande]]</f>
        <v>45.12</v>
      </c>
      <c r="Q263" s="224">
        <v>13.71</v>
      </c>
      <c r="R263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13.714285714285715</v>
      </c>
      <c r="U263" s="224"/>
      <c r="V263" s="224"/>
    </row>
    <row r="264" spans="1:22" ht="12.75" x14ac:dyDescent="0.2">
      <c r="A264" s="225">
        <v>42690</v>
      </c>
      <c r="B264" s="224" t="s">
        <v>261</v>
      </c>
      <c r="C264" s="224" t="s">
        <v>262</v>
      </c>
      <c r="D264" s="224" t="s">
        <v>180</v>
      </c>
      <c r="E264" s="226"/>
      <c r="G264" s="224" t="s">
        <v>13</v>
      </c>
      <c r="H264" s="224" t="s">
        <v>196</v>
      </c>
      <c r="I264" s="224" t="s">
        <v>64</v>
      </c>
      <c r="J264" s="224">
        <v>20</v>
      </c>
      <c r="K264" s="227">
        <f t="array" ref="K264">IFERROR(INDEX([1]Grille_Tarifs_Modulable!$B$2:$B$204,MATCH(Tableau14[[#This Row],[Designation]]&amp;Tableau14[[#This Row],[CL]],[1]Grille_Tarifs_Modulable!$C$2:$C$204&amp;[1]Grille_Tarifs_Modulable!$F$2:$F$204,0)),0)</f>
        <v>4260310553849</v>
      </c>
      <c r="L264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0.89</v>
      </c>
      <c r="M264" s="228">
        <f>IF(Tableau14[[#This Row],[Prix_Unit_HT]]=0,0,Tableau14[[#This Row],[Prix_Unit_HT]]+(Tableau14[[#This Row],[Prix_Unit_HT]]*VLOOKUP(Tableau14[[#This Row],[EAN]],[1]Grille_Tarifs_Modulable!$B$10:$Q$204,16,FALSE)))</f>
        <v>0.93895000000000006</v>
      </c>
      <c r="N264" s="224">
        <v>48</v>
      </c>
      <c r="O264" s="228">
        <f>ROUND(Tableau14[[#This Row],[Prix_Unit_HT]],2)*Tableau14[[#This Row],[Qte_commande]]</f>
        <v>42.72</v>
      </c>
      <c r="P264" s="228">
        <f>ROUND(Tableau14[[#This Row],[Prix_Unit_TTC]],2)*Tableau14[[#This Row],[Qte_commande]]</f>
        <v>45.12</v>
      </c>
      <c r="Q264" s="224">
        <v>13.71</v>
      </c>
      <c r="R264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13.714285714285715</v>
      </c>
      <c r="U264" s="224"/>
      <c r="V264" s="224"/>
    </row>
    <row r="265" spans="1:22" ht="12.75" x14ac:dyDescent="0.2">
      <c r="A265" s="225">
        <v>42711</v>
      </c>
      <c r="B265" s="224" t="s">
        <v>593</v>
      </c>
      <c r="C265" s="224" t="s">
        <v>194</v>
      </c>
      <c r="D265" s="224" t="s">
        <v>343</v>
      </c>
      <c r="E265" s="226"/>
      <c r="G265" s="224" t="s">
        <v>1</v>
      </c>
      <c r="H265" s="224" t="s">
        <v>289</v>
      </c>
      <c r="I265" s="224" t="s">
        <v>15</v>
      </c>
      <c r="J265" s="224">
        <v>175</v>
      </c>
      <c r="K265" s="227">
        <f t="array" ref="K265">IFERROR(INDEX([1]Grille_Tarifs_Modulable!$B$2:$B$204,MATCH(Tableau14[[#This Row],[Designation]]&amp;Tableau14[[#This Row],[CL]],[1]Grille_Tarifs_Modulable!$C$2:$C$204&amp;[1]Grille_Tarifs_Modulable!$F$2:$F$204,0)),0)</f>
        <v>4067700013835</v>
      </c>
      <c r="L265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28.916408750000002</v>
      </c>
      <c r="M265" s="228">
        <f>IF(Tableau14[[#This Row],[Prix_Unit_HT]]=0,0,Tableau14[[#This Row],[Prix_Unit_HT]]+(Tableau14[[#This Row],[Prix_Unit_HT]]*VLOOKUP(Tableau14[[#This Row],[EAN]],[1]Grille_Tarifs_Modulable!$B$10:$Q$204,16,FALSE)))</f>
        <v>34.699690500000003</v>
      </c>
      <c r="N265" s="224">
        <v>36</v>
      </c>
      <c r="O265" s="228">
        <f>ROUND(Tableau14[[#This Row],[Prix_Unit_HT]],2)*Tableau14[[#This Row],[Qte_commande]]</f>
        <v>1041.1200000000001</v>
      </c>
      <c r="P265" s="228">
        <f>ROUND(Tableau14[[#This Row],[Prix_Unit_TTC]],2)*Tableau14[[#This Row],[Qte_commande]]</f>
        <v>1249.2</v>
      </c>
      <c r="Q265" s="224">
        <v>90</v>
      </c>
      <c r="R265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90</v>
      </c>
      <c r="U265" s="224"/>
      <c r="V265" s="224"/>
    </row>
    <row r="266" spans="1:22" ht="12.75" x14ac:dyDescent="0.2">
      <c r="A266" s="225">
        <v>42713</v>
      </c>
      <c r="B266" s="224" t="s">
        <v>484</v>
      </c>
      <c r="C266" s="224" t="s">
        <v>485</v>
      </c>
      <c r="D266" s="224" t="s">
        <v>203</v>
      </c>
      <c r="E266" s="226"/>
      <c r="G266" s="224" t="s">
        <v>13</v>
      </c>
      <c r="H266" s="224" t="s">
        <v>451</v>
      </c>
      <c r="I266" s="224" t="s">
        <v>74</v>
      </c>
      <c r="J266" s="229">
        <v>6</v>
      </c>
      <c r="K266" s="227">
        <f t="array" ref="K266">IFERROR(INDEX([1]Grille_Tarifs_Modulable!$B$2:$B$204,MATCH(Tableau14[[#This Row],[Designation]]&amp;Tableau14[[#This Row],[CL]],[1]Grille_Tarifs_Modulable!$C$2:$C$204&amp;[1]Grille_Tarifs_Modulable!$F$2:$F$204,0)),0)</f>
        <v>125</v>
      </c>
      <c r="L266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139</v>
      </c>
      <c r="M266" s="228">
        <f>IF(Tableau14[[#This Row],[Prix_Unit_HT]]=0,0,Tableau14[[#This Row],[Prix_Unit_HT]]+(Tableau14[[#This Row],[Prix_Unit_HT]]*VLOOKUP(Tableau14[[#This Row],[EAN]],[1]Grille_Tarifs_Modulable!$B$10:$Q$204,16,FALSE)))</f>
        <v>166.8</v>
      </c>
      <c r="N266" s="224">
        <v>1</v>
      </c>
      <c r="O266" s="228">
        <f>ROUND(Tableau14[[#This Row],[Prix_Unit_HT]],2)*Tableau14[[#This Row],[Qte_commande]]</f>
        <v>139</v>
      </c>
      <c r="P266" s="228">
        <f>ROUND(Tableau14[[#This Row],[Prix_Unit_TTC]],2)*Tableau14[[#This Row],[Qte_commande]]</f>
        <v>166.8</v>
      </c>
      <c r="Q266" s="224">
        <v>1</v>
      </c>
      <c r="R266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</v>
      </c>
      <c r="U266" s="224"/>
      <c r="V266" s="224"/>
    </row>
    <row r="267" spans="1:22" ht="12.75" x14ac:dyDescent="0.2">
      <c r="A267" s="225">
        <v>42713</v>
      </c>
      <c r="B267" s="224" t="s">
        <v>1000</v>
      </c>
      <c r="C267" s="224" t="s">
        <v>1001</v>
      </c>
      <c r="D267" s="224" t="s">
        <v>203</v>
      </c>
      <c r="E267" s="226"/>
      <c r="G267" s="224" t="s">
        <v>13</v>
      </c>
      <c r="H267" s="224" t="s">
        <v>451</v>
      </c>
      <c r="I267" s="224" t="s">
        <v>69</v>
      </c>
      <c r="J267" s="227">
        <v>3</v>
      </c>
      <c r="K267" s="227">
        <f t="array" ref="K267">IFERROR(INDEX([1]Grille_Tarifs_Modulable!$B$2:$B$204,MATCH(Tableau14[[#This Row],[Designation]]&amp;Tableau14[[#This Row],[CL]],[1]Grille_Tarifs_Modulable!$C$2:$C$204&amp;[1]Grille_Tarifs_Modulable!$F$2:$F$204,0)),0)</f>
        <v>121</v>
      </c>
      <c r="L267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299</v>
      </c>
      <c r="M267" s="228">
        <f>IF(Tableau14[[#This Row],[Prix_Unit_HT]]=0,0,Tableau14[[#This Row],[Prix_Unit_HT]]+(Tableau14[[#This Row],[Prix_Unit_HT]]*VLOOKUP(Tableau14[[#This Row],[EAN]],[1]Grille_Tarifs_Modulable!$B$10:$Q$204,16,FALSE)))</f>
        <v>358.8</v>
      </c>
      <c r="N267" s="224">
        <v>1</v>
      </c>
      <c r="O267" s="228">
        <f>ROUND(Tableau14[[#This Row],[Prix_Unit_HT]],2)*Tableau14[[#This Row],[Qte_commande]]</f>
        <v>299</v>
      </c>
      <c r="P267" s="228">
        <f>ROUND(Tableau14[[#This Row],[Prix_Unit_TTC]],2)*Tableau14[[#This Row],[Qte_commande]]</f>
        <v>358.8</v>
      </c>
      <c r="Q267" s="224">
        <v>1</v>
      </c>
      <c r="R267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</v>
      </c>
      <c r="U267" s="224"/>
      <c r="V267" s="224"/>
    </row>
    <row r="268" spans="1:22" ht="12.75" x14ac:dyDescent="0.2">
      <c r="A268" s="225">
        <v>42713</v>
      </c>
      <c r="B268" s="224" t="s">
        <v>1002</v>
      </c>
      <c r="C268" s="224" t="s">
        <v>1003</v>
      </c>
      <c r="D268" s="224" t="s">
        <v>443</v>
      </c>
      <c r="E268" s="226"/>
      <c r="G268" s="224" t="s">
        <v>13</v>
      </c>
      <c r="H268" s="224" t="s">
        <v>451</v>
      </c>
      <c r="I268" s="224" t="s">
        <v>69</v>
      </c>
      <c r="J268" s="227">
        <v>3</v>
      </c>
      <c r="K268" s="227">
        <f t="array" ref="K268">IFERROR(INDEX([1]Grille_Tarifs_Modulable!$B$2:$B$204,MATCH(Tableau14[[#This Row],[Designation]]&amp;Tableau14[[#This Row],[CL]],[1]Grille_Tarifs_Modulable!$C$2:$C$204&amp;[1]Grille_Tarifs_Modulable!$F$2:$F$204,0)),0)</f>
        <v>121</v>
      </c>
      <c r="L268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299</v>
      </c>
      <c r="M268" s="228">
        <f>IF(Tableau14[[#This Row],[Prix_Unit_HT]]=0,0,Tableau14[[#This Row],[Prix_Unit_HT]]+(Tableau14[[#This Row],[Prix_Unit_HT]]*VLOOKUP(Tableau14[[#This Row],[EAN]],[1]Grille_Tarifs_Modulable!$B$10:$Q$204,16,FALSE)))</f>
        <v>358.8</v>
      </c>
      <c r="N268" s="224">
        <v>1</v>
      </c>
      <c r="O268" s="228">
        <f>ROUND(Tableau14[[#This Row],[Prix_Unit_HT]],2)*Tableau14[[#This Row],[Qte_commande]]</f>
        <v>299</v>
      </c>
      <c r="P268" s="228">
        <f>ROUND(Tableau14[[#This Row],[Prix_Unit_TTC]],2)*Tableau14[[#This Row],[Qte_commande]]</f>
        <v>358.8</v>
      </c>
      <c r="Q268" s="224">
        <v>1</v>
      </c>
      <c r="R268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</v>
      </c>
      <c r="U268" s="224"/>
      <c r="V268" s="224"/>
    </row>
    <row r="269" spans="1:22" ht="12.75" x14ac:dyDescent="0.2">
      <c r="A269" s="225">
        <v>42716</v>
      </c>
      <c r="B269" s="224" t="s">
        <v>304</v>
      </c>
      <c r="C269" s="224" t="s">
        <v>305</v>
      </c>
      <c r="D269" s="224" t="s">
        <v>180</v>
      </c>
      <c r="E269" s="226"/>
      <c r="G269" s="224" t="s">
        <v>1</v>
      </c>
      <c r="H269" s="224" t="s">
        <v>289</v>
      </c>
      <c r="I269" s="224" t="s">
        <v>22</v>
      </c>
      <c r="J269" s="224">
        <v>70</v>
      </c>
      <c r="K269" s="227">
        <f t="array" ref="K269">IFERROR(INDEX([1]Grille_Tarifs_Modulable!$B$2:$B$204,MATCH(Tableau14[[#This Row],[Designation]]&amp;Tableau14[[#This Row],[CL]],[1]Grille_Tarifs_Modulable!$C$2:$C$204&amp;[1]Grille_Tarifs_Modulable!$F$2:$F$204,0)),0)</f>
        <v>4055800060200</v>
      </c>
      <c r="L269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17.408644000000002</v>
      </c>
      <c r="M269" s="228">
        <f>IF(Tableau14[[#This Row],[Prix_Unit_HT]]=0,0,Tableau14[[#This Row],[Prix_Unit_HT]]+(Tableau14[[#This Row],[Prix_Unit_HT]]*VLOOKUP(Tableau14[[#This Row],[EAN]],[1]Grille_Tarifs_Modulable!$B$10:$Q$204,16,FALSE)))</f>
        <v>20.890372800000002</v>
      </c>
      <c r="N269" s="224">
        <v>6</v>
      </c>
      <c r="O269" s="228">
        <f>ROUND(Tableau14[[#This Row],[Prix_Unit_HT]],2)*Tableau14[[#This Row],[Qte_commande]]</f>
        <v>104.46000000000001</v>
      </c>
      <c r="P269" s="228">
        <f>ROUND(Tableau14[[#This Row],[Prix_Unit_TTC]],2)*Tableau14[[#This Row],[Qte_commande]]</f>
        <v>125.34</v>
      </c>
      <c r="Q269" s="224">
        <v>6</v>
      </c>
      <c r="R269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6.0000000000000009</v>
      </c>
      <c r="U269" s="224"/>
      <c r="V269" s="224"/>
    </row>
    <row r="270" spans="1:22" ht="12.75" x14ac:dyDescent="0.2">
      <c r="A270" s="225">
        <v>42716</v>
      </c>
      <c r="B270" s="224" t="s">
        <v>805</v>
      </c>
      <c r="C270" s="224" t="s">
        <v>806</v>
      </c>
      <c r="D270" s="224" t="s">
        <v>233</v>
      </c>
      <c r="E270" s="226"/>
      <c r="G270" s="224" t="s">
        <v>13</v>
      </c>
      <c r="H270" s="224" t="s">
        <v>289</v>
      </c>
      <c r="I270" s="224" t="s">
        <v>804</v>
      </c>
      <c r="J270" s="224">
        <v>70</v>
      </c>
      <c r="K270" s="227">
        <f t="array" ref="K270">IFERROR(INDEX([1]Grille_Tarifs_Modulable!$B$2:$B$204,MATCH(Tableau14[[#This Row],[Designation]]&amp;Tableau14[[#This Row],[CL]],[1]Grille_Tarifs_Modulable!$C$2:$C$204&amp;[1]Grille_Tarifs_Modulable!$F$2:$F$204,0)),0)</f>
        <v>0</v>
      </c>
      <c r="L270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</v>
      </c>
      <c r="M270" s="228">
        <f>IF(Tableau14[[#This Row],[Prix_Unit_HT]]=0,0,Tableau14[[#This Row],[Prix_Unit_HT]]+(Tableau14[[#This Row],[Prix_Unit_HT]]*VLOOKUP(Tableau14[[#This Row],[EAN]],[1]Grille_Tarifs_Modulable!$B$10:$Q$204,16,FALSE)))</f>
        <v>0</v>
      </c>
      <c r="N270" s="224">
        <v>12</v>
      </c>
      <c r="O270" s="228">
        <f>ROUND(Tableau14[[#This Row],[Prix_Unit_HT]],2)*Tableau14[[#This Row],[Qte_commande]]</f>
        <v>0</v>
      </c>
      <c r="P270" s="228">
        <f>ROUND(Tableau14[[#This Row],[Prix_Unit_TTC]],2)*Tableau14[[#This Row],[Qte_commande]]</f>
        <v>0</v>
      </c>
      <c r="Q270" s="224">
        <v>12</v>
      </c>
      <c r="R270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12.000000000000002</v>
      </c>
      <c r="U270" s="224"/>
      <c r="V270" s="224"/>
    </row>
    <row r="271" spans="1:22" ht="12.75" x14ac:dyDescent="0.2">
      <c r="A271" s="225">
        <v>42716</v>
      </c>
      <c r="B271" s="224" t="s">
        <v>805</v>
      </c>
      <c r="C271" s="224" t="s">
        <v>806</v>
      </c>
      <c r="D271" s="224" t="s">
        <v>233</v>
      </c>
      <c r="E271" s="226"/>
      <c r="G271" s="224" t="s">
        <v>13</v>
      </c>
      <c r="H271" s="224" t="s">
        <v>289</v>
      </c>
      <c r="I271" s="224" t="s">
        <v>804</v>
      </c>
      <c r="J271" s="224">
        <v>70</v>
      </c>
      <c r="K271" s="227">
        <f t="array" ref="K271">IFERROR(INDEX([1]Grille_Tarifs_Modulable!$B$2:$B$204,MATCH(Tableau14[[#This Row],[Designation]]&amp;Tableau14[[#This Row],[CL]],[1]Grille_Tarifs_Modulable!$C$2:$C$204&amp;[1]Grille_Tarifs_Modulable!$F$2:$F$204,0)),0)</f>
        <v>0</v>
      </c>
      <c r="L271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</v>
      </c>
      <c r="M271" s="228">
        <f>IF(Tableau14[[#This Row],[Prix_Unit_HT]]=0,0,Tableau14[[#This Row],[Prix_Unit_HT]]+(Tableau14[[#This Row],[Prix_Unit_HT]]*VLOOKUP(Tableau14[[#This Row],[EAN]],[1]Grille_Tarifs_Modulable!$B$10:$Q$204,16,FALSE)))</f>
        <v>0</v>
      </c>
      <c r="N271" s="224">
        <v>6</v>
      </c>
      <c r="O271" s="228">
        <f>ROUND(Tableau14[[#This Row],[Prix_Unit_HT]],2)*Tableau14[[#This Row],[Qte_commande]]</f>
        <v>0</v>
      </c>
      <c r="P271" s="228">
        <f>ROUND(Tableau14[[#This Row],[Prix_Unit_TTC]],2)*Tableau14[[#This Row],[Qte_commande]]</f>
        <v>0</v>
      </c>
      <c r="Q271" s="224">
        <v>6</v>
      </c>
      <c r="R271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6.0000000000000009</v>
      </c>
      <c r="U271" s="224"/>
      <c r="V271" s="224"/>
    </row>
    <row r="272" spans="1:22" ht="12.75" x14ac:dyDescent="0.2">
      <c r="A272" s="225">
        <v>42716</v>
      </c>
      <c r="B272" s="224" t="s">
        <v>805</v>
      </c>
      <c r="C272" s="224" t="s">
        <v>806</v>
      </c>
      <c r="D272" s="224" t="s">
        <v>233</v>
      </c>
      <c r="E272" s="226"/>
      <c r="G272" s="224" t="s">
        <v>13</v>
      </c>
      <c r="H272" s="224" t="s">
        <v>196</v>
      </c>
      <c r="I272" s="224" t="s">
        <v>66</v>
      </c>
      <c r="J272" s="224">
        <v>50</v>
      </c>
      <c r="K272" s="227">
        <f t="array" ref="K272">IFERROR(INDEX([1]Grille_Tarifs_Modulable!$B$2:$B$204,MATCH(Tableau14[[#This Row],[Designation]]&amp;Tableau14[[#This Row],[CL]],[1]Grille_Tarifs_Modulable!$C$2:$C$204&amp;[1]Grille_Tarifs_Modulable!$F$2:$F$204,0)),0)</f>
        <v>4260310553382</v>
      </c>
      <c r="L272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1.1000000000000001</v>
      </c>
      <c r="M272" s="228">
        <f>IF(Tableau14[[#This Row],[Prix_Unit_HT]]=0,0,Tableau14[[#This Row],[Prix_Unit_HT]]+(Tableau14[[#This Row],[Prix_Unit_HT]]*VLOOKUP(Tableau14[[#This Row],[EAN]],[1]Grille_Tarifs_Modulable!$B$10:$Q$204,16,FALSE)))</f>
        <v>1.1605000000000001</v>
      </c>
      <c r="N272" s="224">
        <v>60</v>
      </c>
      <c r="O272" s="228">
        <f>ROUND(Tableau14[[#This Row],[Prix_Unit_HT]],2)*Tableau14[[#This Row],[Qte_commande]]</f>
        <v>66</v>
      </c>
      <c r="P272" s="228">
        <f>ROUND(Tableau14[[#This Row],[Prix_Unit_TTC]],2)*Tableau14[[#This Row],[Qte_commande]]</f>
        <v>69.599999999999994</v>
      </c>
      <c r="Q272" s="224">
        <v>42.86</v>
      </c>
      <c r="R272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42.857142857142861</v>
      </c>
      <c r="U272" s="224"/>
      <c r="V272" s="224"/>
    </row>
    <row r="273" spans="1:22" ht="12.75" x14ac:dyDescent="0.2">
      <c r="A273" s="225">
        <v>42716</v>
      </c>
      <c r="B273" s="224" t="s">
        <v>934</v>
      </c>
      <c r="C273" s="224" t="s">
        <v>159</v>
      </c>
      <c r="D273" s="224" t="s">
        <v>209</v>
      </c>
      <c r="E273" s="226"/>
      <c r="G273" s="224" t="s">
        <v>1</v>
      </c>
      <c r="H273" s="224" t="s">
        <v>289</v>
      </c>
      <c r="I273" s="224" t="s">
        <v>931</v>
      </c>
      <c r="J273" s="224">
        <v>100</v>
      </c>
      <c r="K273" s="227">
        <f t="array" ref="K273">IFERROR(INDEX([1]Grille_Tarifs_Modulable!$B$2:$B$204,MATCH(Tableau14[[#This Row],[Designation]]&amp;Tableau14[[#This Row],[CL]],[1]Grille_Tarifs_Modulable!$C$2:$C$204&amp;[1]Grille_Tarifs_Modulable!$F$2:$F$204,0)),0)</f>
        <v>0</v>
      </c>
      <c r="L273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</v>
      </c>
      <c r="M273" s="228">
        <f>IF(Tableau14[[#This Row],[Prix_Unit_HT]]=0,0,Tableau14[[#This Row],[Prix_Unit_HT]]+(Tableau14[[#This Row],[Prix_Unit_HT]]*VLOOKUP(Tableau14[[#This Row],[EAN]],[1]Grille_Tarifs_Modulable!$B$10:$Q$204,16,FALSE)))</f>
        <v>0</v>
      </c>
      <c r="N273" s="224">
        <v>36</v>
      </c>
      <c r="O273" s="228">
        <f>ROUND(Tableau14[[#This Row],[Prix_Unit_HT]],2)*Tableau14[[#This Row],[Qte_commande]]</f>
        <v>0</v>
      </c>
      <c r="P273" s="228">
        <f>ROUND(Tableau14[[#This Row],[Prix_Unit_TTC]],2)*Tableau14[[#This Row],[Qte_commande]]</f>
        <v>0</v>
      </c>
      <c r="Q273" s="224">
        <v>51.43</v>
      </c>
      <c r="R273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51.428571428571431</v>
      </c>
      <c r="U273" s="224"/>
      <c r="V273" s="224"/>
    </row>
    <row r="274" spans="1:22" ht="12.75" x14ac:dyDescent="0.2">
      <c r="A274" s="225">
        <v>42716</v>
      </c>
      <c r="B274" s="224" t="s">
        <v>957</v>
      </c>
      <c r="C274" s="224" t="s">
        <v>660</v>
      </c>
      <c r="D274" s="224" t="s">
        <v>209</v>
      </c>
      <c r="E274" s="226"/>
      <c r="G274" s="224" t="s">
        <v>1</v>
      </c>
      <c r="H274" s="224" t="s">
        <v>196</v>
      </c>
      <c r="I274" s="224" t="s">
        <v>64</v>
      </c>
      <c r="J274" s="224">
        <v>20</v>
      </c>
      <c r="K274" s="227">
        <f t="array" ref="K274">IFERROR(INDEX([1]Grille_Tarifs_Modulable!$B$2:$B$204,MATCH(Tableau14[[#This Row],[Designation]]&amp;Tableau14[[#This Row],[CL]],[1]Grille_Tarifs_Modulable!$C$2:$C$204&amp;[1]Grille_Tarifs_Modulable!$F$2:$F$204,0)),0)</f>
        <v>4260310553849</v>
      </c>
      <c r="L274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0.81</v>
      </c>
      <c r="M274" s="228">
        <f>IF(Tableau14[[#This Row],[Prix_Unit_HT]]=0,0,Tableau14[[#This Row],[Prix_Unit_HT]]+(Tableau14[[#This Row],[Prix_Unit_HT]]*VLOOKUP(Tableau14[[#This Row],[EAN]],[1]Grille_Tarifs_Modulable!$B$10:$Q$204,16,FALSE)))</f>
        <v>0.85455000000000003</v>
      </c>
      <c r="N274" s="224">
        <v>48</v>
      </c>
      <c r="O274" s="228">
        <f>ROUND(Tableau14[[#This Row],[Prix_Unit_HT]],2)*Tableau14[[#This Row],[Qte_commande]]</f>
        <v>38.880000000000003</v>
      </c>
      <c r="P274" s="228">
        <f>ROUND(Tableau14[[#This Row],[Prix_Unit_TTC]],2)*Tableau14[[#This Row],[Qte_commande]]</f>
        <v>40.799999999999997</v>
      </c>
      <c r="Q274" s="224">
        <v>13.71</v>
      </c>
      <c r="R274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13.714285714285715</v>
      </c>
      <c r="U274" s="224"/>
      <c r="V274" s="224"/>
    </row>
    <row r="275" spans="1:22" ht="12.75" x14ac:dyDescent="0.2">
      <c r="A275" s="225">
        <v>42716</v>
      </c>
      <c r="B275" s="224" t="s">
        <v>304</v>
      </c>
      <c r="C275" s="224" t="s">
        <v>305</v>
      </c>
      <c r="D275" s="224" t="s">
        <v>180</v>
      </c>
      <c r="E275" s="226"/>
      <c r="G275" s="224" t="s">
        <v>1</v>
      </c>
      <c r="H275" s="224" t="s">
        <v>196</v>
      </c>
      <c r="I275" s="224" t="s">
        <v>64</v>
      </c>
      <c r="J275" s="224">
        <v>20</v>
      </c>
      <c r="K275" s="227">
        <f t="array" ref="K275">IFERROR(INDEX([1]Grille_Tarifs_Modulable!$B$2:$B$204,MATCH(Tableau14[[#This Row],[Designation]]&amp;Tableau14[[#This Row],[CL]],[1]Grille_Tarifs_Modulable!$C$2:$C$204&amp;[1]Grille_Tarifs_Modulable!$F$2:$F$204,0)),0)</f>
        <v>4260310553849</v>
      </c>
      <c r="L275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0.81</v>
      </c>
      <c r="M275" s="228">
        <f>IF(Tableau14[[#This Row],[Prix_Unit_HT]]=0,0,Tableau14[[#This Row],[Prix_Unit_HT]]+(Tableau14[[#This Row],[Prix_Unit_HT]]*VLOOKUP(Tableau14[[#This Row],[EAN]],[1]Grille_Tarifs_Modulable!$B$10:$Q$204,16,FALSE)))</f>
        <v>0.85455000000000003</v>
      </c>
      <c r="N275" s="224">
        <v>48</v>
      </c>
      <c r="O275" s="228">
        <f>ROUND(Tableau14[[#This Row],[Prix_Unit_HT]],2)*Tableau14[[#This Row],[Qte_commande]]</f>
        <v>38.880000000000003</v>
      </c>
      <c r="P275" s="228">
        <f>ROUND(Tableau14[[#This Row],[Prix_Unit_TTC]],2)*Tableau14[[#This Row],[Qte_commande]]</f>
        <v>40.799999999999997</v>
      </c>
      <c r="Q275" s="224">
        <v>13.71</v>
      </c>
      <c r="R275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13.714285714285715</v>
      </c>
      <c r="U275" s="224"/>
      <c r="V275" s="224"/>
    </row>
    <row r="276" spans="1:22" ht="12.75" x14ac:dyDescent="0.2">
      <c r="A276" s="225">
        <v>42716</v>
      </c>
      <c r="B276" s="224" t="s">
        <v>957</v>
      </c>
      <c r="C276" s="224" t="s">
        <v>660</v>
      </c>
      <c r="D276" s="224" t="s">
        <v>209</v>
      </c>
      <c r="E276" s="226"/>
      <c r="G276" s="224" t="s">
        <v>1</v>
      </c>
      <c r="H276" s="224" t="s">
        <v>196</v>
      </c>
      <c r="I276" s="224" t="s">
        <v>59</v>
      </c>
      <c r="J276" s="224">
        <v>20</v>
      </c>
      <c r="K276" s="227">
        <f t="array" ref="K276">IFERROR(INDEX([1]Grille_Tarifs_Modulable!$B$2:$B$204,MATCH(Tableau14[[#This Row],[Designation]]&amp;Tableau14[[#This Row],[CL]],[1]Grille_Tarifs_Modulable!$C$2:$C$204&amp;[1]Grille_Tarifs_Modulable!$F$2:$F$204,0)),0)</f>
        <v>4260310553818</v>
      </c>
      <c r="L276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0.81</v>
      </c>
      <c r="M276" s="228">
        <f>IF(Tableau14[[#This Row],[Prix_Unit_HT]]=0,0,Tableau14[[#This Row],[Prix_Unit_HT]]+(Tableau14[[#This Row],[Prix_Unit_HT]]*VLOOKUP(Tableau14[[#This Row],[EAN]],[1]Grille_Tarifs_Modulable!$B$10:$Q$204,16,FALSE)))</f>
        <v>0.85455000000000003</v>
      </c>
      <c r="N276" s="224">
        <v>72</v>
      </c>
      <c r="O276" s="228">
        <f>ROUND(Tableau14[[#This Row],[Prix_Unit_HT]],2)*Tableau14[[#This Row],[Qte_commande]]</f>
        <v>58.320000000000007</v>
      </c>
      <c r="P276" s="228">
        <f>ROUND(Tableau14[[#This Row],[Prix_Unit_TTC]],2)*Tableau14[[#This Row],[Qte_commande]]</f>
        <v>61.199999999999996</v>
      </c>
      <c r="Q276" s="224">
        <v>20.57</v>
      </c>
      <c r="R276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20.571428571428573</v>
      </c>
      <c r="U276" s="224"/>
      <c r="V276" s="224"/>
    </row>
    <row r="277" spans="1:22" ht="12.75" x14ac:dyDescent="0.2">
      <c r="A277" s="225">
        <v>42716</v>
      </c>
      <c r="B277" s="224" t="s">
        <v>304</v>
      </c>
      <c r="C277" s="224" t="s">
        <v>305</v>
      </c>
      <c r="D277" s="224" t="s">
        <v>180</v>
      </c>
      <c r="E277" s="226"/>
      <c r="G277" s="224" t="s">
        <v>1</v>
      </c>
      <c r="H277" s="224" t="s">
        <v>289</v>
      </c>
      <c r="I277" s="224" t="s">
        <v>1352</v>
      </c>
      <c r="J277" s="224">
        <v>70</v>
      </c>
      <c r="K277" s="227">
        <f t="array" ref="K277">IFERROR(INDEX([1]Grille_Tarifs_Modulable!$B$2:$B$204,MATCH(Tableau14[[#This Row],[Designation]]&amp;Tableau14[[#This Row],[CL]],[1]Grille_Tarifs_Modulable!$C$2:$C$204&amp;[1]Grille_Tarifs_Modulable!$F$2:$F$204,0)),0)</f>
        <v>0</v>
      </c>
      <c r="L277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</v>
      </c>
      <c r="M277" s="228">
        <f>IF(Tableau14[[#This Row],[Prix_Unit_HT]]=0,0,Tableau14[[#This Row],[Prix_Unit_HT]]+(Tableau14[[#This Row],[Prix_Unit_HT]]*VLOOKUP(Tableau14[[#This Row],[EAN]],[1]Grille_Tarifs_Modulable!$B$10:$Q$204,16,FALSE)))</f>
        <v>0</v>
      </c>
      <c r="N277" s="224">
        <v>18</v>
      </c>
      <c r="O277" s="228">
        <f>ROUND(Tableau14[[#This Row],[Prix_Unit_HT]],2)*Tableau14[[#This Row],[Qte_commande]]</f>
        <v>0</v>
      </c>
      <c r="P277" s="228">
        <f>ROUND(Tableau14[[#This Row],[Prix_Unit_TTC]],2)*Tableau14[[#This Row],[Qte_commande]]</f>
        <v>0</v>
      </c>
      <c r="Q277" s="224">
        <v>18</v>
      </c>
      <c r="R277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18</v>
      </c>
      <c r="U277" s="224"/>
      <c r="V277" s="224"/>
    </row>
    <row r="278" spans="1:22" ht="12.75" x14ac:dyDescent="0.2">
      <c r="A278" s="225">
        <v>42716</v>
      </c>
      <c r="B278" s="224" t="s">
        <v>304</v>
      </c>
      <c r="C278" s="224" t="s">
        <v>305</v>
      </c>
      <c r="D278" s="224" t="s">
        <v>180</v>
      </c>
      <c r="E278" s="226"/>
      <c r="G278" s="224" t="s">
        <v>13</v>
      </c>
      <c r="H278" s="224" t="s">
        <v>289</v>
      </c>
      <c r="I278" s="224" t="s">
        <v>1355</v>
      </c>
      <c r="J278" s="224">
        <v>70</v>
      </c>
      <c r="K278" s="227">
        <f t="array" ref="K278">IFERROR(INDEX([1]Grille_Tarifs_Modulable!$B$2:$B$204,MATCH(Tableau14[[#This Row],[Designation]]&amp;Tableau14[[#This Row],[CL]],[1]Grille_Tarifs_Modulable!$C$2:$C$204&amp;[1]Grille_Tarifs_Modulable!$F$2:$F$204,0)),0)</f>
        <v>0</v>
      </c>
      <c r="L278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</v>
      </c>
      <c r="M278" s="228">
        <f>IF(Tableau14[[#This Row],[Prix_Unit_HT]]=0,0,Tableau14[[#This Row],[Prix_Unit_HT]]+(Tableau14[[#This Row],[Prix_Unit_HT]]*VLOOKUP(Tableau14[[#This Row],[EAN]],[1]Grille_Tarifs_Modulable!$B$10:$Q$204,16,FALSE)))</f>
        <v>0</v>
      </c>
      <c r="N278" s="224">
        <v>6</v>
      </c>
      <c r="O278" s="228">
        <f>ROUND(Tableau14[[#This Row],[Prix_Unit_HT]],2)*Tableau14[[#This Row],[Qte_commande]]</f>
        <v>0</v>
      </c>
      <c r="P278" s="228">
        <f>ROUND(Tableau14[[#This Row],[Prix_Unit_TTC]],2)*Tableau14[[#This Row],[Qte_commande]]</f>
        <v>0</v>
      </c>
      <c r="Q278" s="224">
        <v>6</v>
      </c>
      <c r="R278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6.0000000000000009</v>
      </c>
      <c r="U278" s="224"/>
      <c r="V278" s="224"/>
    </row>
    <row r="279" spans="1:22" ht="12.75" x14ac:dyDescent="0.2">
      <c r="A279" s="225">
        <v>42716</v>
      </c>
      <c r="B279" s="224" t="s">
        <v>304</v>
      </c>
      <c r="C279" s="224" t="s">
        <v>305</v>
      </c>
      <c r="D279" s="224" t="s">
        <v>180</v>
      </c>
      <c r="E279" s="226"/>
      <c r="G279" s="224" t="s">
        <v>13</v>
      </c>
      <c r="H279" s="224" t="s">
        <v>289</v>
      </c>
      <c r="I279" s="224" t="s">
        <v>1357</v>
      </c>
      <c r="J279" s="224">
        <v>70</v>
      </c>
      <c r="K279" s="227">
        <f t="array" ref="K279">IFERROR(INDEX([1]Grille_Tarifs_Modulable!$B$2:$B$204,MATCH(Tableau14[[#This Row],[Designation]]&amp;Tableau14[[#This Row],[CL]],[1]Grille_Tarifs_Modulable!$C$2:$C$204&amp;[1]Grille_Tarifs_Modulable!$F$2:$F$204,0)),0)</f>
        <v>0</v>
      </c>
      <c r="L279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</v>
      </c>
      <c r="M279" s="228">
        <f>IF(Tableau14[[#This Row],[Prix_Unit_HT]]=0,0,Tableau14[[#This Row],[Prix_Unit_HT]]+(Tableau14[[#This Row],[Prix_Unit_HT]]*VLOOKUP(Tableau14[[#This Row],[EAN]],[1]Grille_Tarifs_Modulable!$B$10:$Q$204,16,FALSE)))</f>
        <v>0</v>
      </c>
      <c r="N279" s="224">
        <v>6</v>
      </c>
      <c r="O279" s="228">
        <f>ROUND(Tableau14[[#This Row],[Prix_Unit_HT]],2)*Tableau14[[#This Row],[Qte_commande]]</f>
        <v>0</v>
      </c>
      <c r="P279" s="228">
        <f>ROUND(Tableau14[[#This Row],[Prix_Unit_TTC]],2)*Tableau14[[#This Row],[Qte_commande]]</f>
        <v>0</v>
      </c>
      <c r="Q279" s="224">
        <v>6</v>
      </c>
      <c r="R279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6.0000000000000009</v>
      </c>
      <c r="U279" s="224"/>
      <c r="V279" s="224"/>
    </row>
    <row r="280" spans="1:22" ht="12.75" x14ac:dyDescent="0.2">
      <c r="A280" s="225">
        <v>42717</v>
      </c>
      <c r="B280" s="224" t="s">
        <v>594</v>
      </c>
      <c r="C280" s="224" t="s">
        <v>530</v>
      </c>
      <c r="D280" s="224" t="s">
        <v>531</v>
      </c>
      <c r="E280" s="226"/>
      <c r="G280" s="224" t="s">
        <v>1</v>
      </c>
      <c r="H280" s="224" t="s">
        <v>289</v>
      </c>
      <c r="I280" s="224" t="s">
        <v>15</v>
      </c>
      <c r="J280" s="224">
        <v>70</v>
      </c>
      <c r="K280" s="227">
        <f t="array" ref="K280">IFERROR(INDEX([1]Grille_Tarifs_Modulable!$B$2:$B$204,MATCH(Tableau14[[#This Row],[Designation]]&amp;Tableau14[[#This Row],[CL]],[1]Grille_Tarifs_Modulable!$C$2:$C$204&amp;[1]Grille_Tarifs_Modulable!$F$2:$F$204,0)),0)</f>
        <v>4067700013859</v>
      </c>
      <c r="L280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12.532563499999998</v>
      </c>
      <c r="M280" s="228">
        <f>IF(Tableau14[[#This Row],[Prix_Unit_HT]]=0,0,Tableau14[[#This Row],[Prix_Unit_HT]]+(Tableau14[[#This Row],[Prix_Unit_HT]]*VLOOKUP(Tableau14[[#This Row],[EAN]],[1]Grille_Tarifs_Modulable!$B$10:$Q$204,16,FALSE)))</f>
        <v>15.039076199999998</v>
      </c>
      <c r="N280" s="224">
        <v>150</v>
      </c>
      <c r="O280" s="228">
        <f>ROUND(Tableau14[[#This Row],[Prix_Unit_HT]],2)*Tableau14[[#This Row],[Qte_commande]]</f>
        <v>1879.5</v>
      </c>
      <c r="P280" s="228">
        <f>ROUND(Tableau14[[#This Row],[Prix_Unit_TTC]],2)*Tableau14[[#This Row],[Qte_commande]]</f>
        <v>2256</v>
      </c>
      <c r="Q280" s="224">
        <v>150</v>
      </c>
      <c r="R280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150</v>
      </c>
      <c r="U280" s="224"/>
      <c r="V280" s="224"/>
    </row>
    <row r="281" spans="1:22" ht="12.75" x14ac:dyDescent="0.2">
      <c r="A281" s="225">
        <v>42717</v>
      </c>
      <c r="B281" s="224" t="s">
        <v>595</v>
      </c>
      <c r="C281" s="224" t="s">
        <v>539</v>
      </c>
      <c r="D281" s="224" t="s">
        <v>540</v>
      </c>
      <c r="E281" s="226"/>
      <c r="G281" s="224" t="s">
        <v>1</v>
      </c>
      <c r="H281" s="224" t="s">
        <v>289</v>
      </c>
      <c r="I281" s="224" t="s">
        <v>15</v>
      </c>
      <c r="J281" s="224">
        <v>100</v>
      </c>
      <c r="K281" s="227">
        <f t="array" ref="K281">IFERROR(INDEX([1]Grille_Tarifs_Modulable!$B$2:$B$204,MATCH(Tableau14[[#This Row],[Designation]]&amp;Tableau14[[#This Row],[CL]],[1]Grille_Tarifs_Modulable!$C$2:$C$204&amp;[1]Grille_Tarifs_Modulable!$F$2:$F$204,0)),0)</f>
        <v>4067700013842</v>
      </c>
      <c r="L281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17.100804999999998</v>
      </c>
      <c r="M281" s="228">
        <f>IF(Tableau14[[#This Row],[Prix_Unit_HT]]=0,0,Tableau14[[#This Row],[Prix_Unit_HT]]+(Tableau14[[#This Row],[Prix_Unit_HT]]*VLOOKUP(Tableau14[[#This Row],[EAN]],[1]Grille_Tarifs_Modulable!$B$10:$Q$204,16,FALSE)))</f>
        <v>20.520965999999998</v>
      </c>
      <c r="N281" s="224">
        <v>120</v>
      </c>
      <c r="O281" s="228">
        <f>ROUND(Tableau14[[#This Row],[Prix_Unit_HT]],2)*Tableau14[[#This Row],[Qte_commande]]</f>
        <v>2052</v>
      </c>
      <c r="P281" s="228">
        <f>ROUND(Tableau14[[#This Row],[Prix_Unit_TTC]],2)*Tableau14[[#This Row],[Qte_commande]]</f>
        <v>2462.4</v>
      </c>
      <c r="Q281" s="224">
        <v>171.43</v>
      </c>
      <c r="R281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171.42857142857144</v>
      </c>
      <c r="U281" s="224"/>
      <c r="V281" s="224"/>
    </row>
    <row r="282" spans="1:22" ht="12.75" x14ac:dyDescent="0.2">
      <c r="A282" s="225">
        <v>42717</v>
      </c>
      <c r="B282" s="224" t="s">
        <v>935</v>
      </c>
      <c r="C282" s="224" t="s">
        <v>301</v>
      </c>
      <c r="D282" s="224" t="s">
        <v>302</v>
      </c>
      <c r="E282" s="226"/>
      <c r="G282" s="224" t="s">
        <v>1</v>
      </c>
      <c r="H282" s="224" t="s">
        <v>289</v>
      </c>
      <c r="I282" s="224" t="s">
        <v>931</v>
      </c>
      <c r="J282" s="224">
        <v>100</v>
      </c>
      <c r="K282" s="227">
        <f t="array" ref="K282">IFERROR(INDEX([1]Grille_Tarifs_Modulable!$B$2:$B$204,MATCH(Tableau14[[#This Row],[Designation]]&amp;Tableau14[[#This Row],[CL]],[1]Grille_Tarifs_Modulable!$C$2:$C$204&amp;[1]Grille_Tarifs_Modulable!$F$2:$F$204,0)),0)</f>
        <v>0</v>
      </c>
      <c r="L282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</v>
      </c>
      <c r="M282" s="228">
        <f>IF(Tableau14[[#This Row],[Prix_Unit_HT]]=0,0,Tableau14[[#This Row],[Prix_Unit_HT]]+(Tableau14[[#This Row],[Prix_Unit_HT]]*VLOOKUP(Tableau14[[#This Row],[EAN]],[1]Grille_Tarifs_Modulable!$B$10:$Q$204,16,FALSE)))</f>
        <v>0</v>
      </c>
      <c r="N282" s="224">
        <v>12</v>
      </c>
      <c r="O282" s="228">
        <f>ROUND(Tableau14[[#This Row],[Prix_Unit_HT]],2)*Tableau14[[#This Row],[Qte_commande]]</f>
        <v>0</v>
      </c>
      <c r="P282" s="228">
        <f>ROUND(Tableau14[[#This Row],[Prix_Unit_TTC]],2)*Tableau14[[#This Row],[Qte_commande]]</f>
        <v>0</v>
      </c>
      <c r="Q282" s="224">
        <v>17.14</v>
      </c>
      <c r="R282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17.142857142857142</v>
      </c>
      <c r="U282" s="224"/>
      <c r="V282" s="224"/>
    </row>
    <row r="283" spans="1:22" ht="12.75" x14ac:dyDescent="0.2">
      <c r="A283" s="225">
        <v>42717</v>
      </c>
      <c r="B283" s="224" t="s">
        <v>935</v>
      </c>
      <c r="C283" s="224" t="s">
        <v>301</v>
      </c>
      <c r="D283" s="224" t="s">
        <v>302</v>
      </c>
      <c r="E283" s="226"/>
      <c r="G283" s="224" t="s">
        <v>1</v>
      </c>
      <c r="H283" s="224" t="s">
        <v>289</v>
      </c>
      <c r="I283" s="224" t="s">
        <v>931</v>
      </c>
      <c r="J283" s="224">
        <v>100</v>
      </c>
      <c r="K283" s="227">
        <f t="array" ref="K283">IFERROR(INDEX([1]Grille_Tarifs_Modulable!$B$2:$B$204,MATCH(Tableau14[[#This Row],[Designation]]&amp;Tableau14[[#This Row],[CL]],[1]Grille_Tarifs_Modulable!$C$2:$C$204&amp;[1]Grille_Tarifs_Modulable!$F$2:$F$204,0)),0)</f>
        <v>0</v>
      </c>
      <c r="L283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</v>
      </c>
      <c r="M283" s="228">
        <f>IF(Tableau14[[#This Row],[Prix_Unit_HT]]=0,0,Tableau14[[#This Row],[Prix_Unit_HT]]+(Tableau14[[#This Row],[Prix_Unit_HT]]*VLOOKUP(Tableau14[[#This Row],[EAN]],[1]Grille_Tarifs_Modulable!$B$10:$Q$204,16,FALSE)))</f>
        <v>0</v>
      </c>
      <c r="N283" s="224">
        <v>24</v>
      </c>
      <c r="O283" s="228">
        <f>ROUND(Tableau14[[#This Row],[Prix_Unit_HT]],2)*Tableau14[[#This Row],[Qte_commande]]</f>
        <v>0</v>
      </c>
      <c r="P283" s="228">
        <f>ROUND(Tableau14[[#This Row],[Prix_Unit_TTC]],2)*Tableau14[[#This Row],[Qte_commande]]</f>
        <v>0</v>
      </c>
      <c r="Q283" s="224">
        <v>34.29</v>
      </c>
      <c r="R283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34.285714285714285</v>
      </c>
      <c r="U283" s="224"/>
      <c r="V283" s="224"/>
    </row>
    <row r="284" spans="1:22" ht="12.75" x14ac:dyDescent="0.2">
      <c r="A284" s="225">
        <v>42718</v>
      </c>
      <c r="B284" s="224" t="s">
        <v>201</v>
      </c>
      <c r="C284" s="224" t="s">
        <v>202</v>
      </c>
      <c r="D284" s="224" t="s">
        <v>203</v>
      </c>
      <c r="E284" s="226"/>
      <c r="G284" s="224" t="s">
        <v>1</v>
      </c>
      <c r="H284" s="224" t="s">
        <v>196</v>
      </c>
      <c r="I284" s="224" t="s">
        <v>62</v>
      </c>
      <c r="J284" s="224">
        <v>20</v>
      </c>
      <c r="K284" s="227">
        <f t="array" ref="K284">IFERROR(INDEX([1]Grille_Tarifs_Modulable!$B$2:$B$204,MATCH(Tableau14[[#This Row],[Designation]]&amp;Tableau14[[#This Row],[CL]],[1]Grille_Tarifs_Modulable!$C$2:$C$204&amp;[1]Grille_Tarifs_Modulable!$F$2:$F$204,0)),0)</f>
        <v>4260310550305</v>
      </c>
      <c r="L284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0.81</v>
      </c>
      <c r="M284" s="228">
        <f>IF(Tableau14[[#This Row],[Prix_Unit_HT]]=0,0,Tableau14[[#This Row],[Prix_Unit_HT]]+(Tableau14[[#This Row],[Prix_Unit_HT]]*VLOOKUP(Tableau14[[#This Row],[EAN]],[1]Grille_Tarifs_Modulable!$B$10:$Q$204,16,FALSE)))</f>
        <v>0.85455000000000003</v>
      </c>
      <c r="N284" s="224">
        <v>48</v>
      </c>
      <c r="O284" s="228">
        <f>ROUND(Tableau14[[#This Row],[Prix_Unit_HT]],2)*Tableau14[[#This Row],[Qte_commande]]</f>
        <v>38.880000000000003</v>
      </c>
      <c r="P284" s="228">
        <f>ROUND(Tableau14[[#This Row],[Prix_Unit_TTC]],2)*Tableau14[[#This Row],[Qte_commande]]</f>
        <v>40.799999999999997</v>
      </c>
      <c r="Q284" s="224">
        <v>13.71</v>
      </c>
      <c r="R284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13.714285714285715</v>
      </c>
      <c r="U284" s="224"/>
      <c r="V284" s="224"/>
    </row>
    <row r="285" spans="1:22" ht="12.75" x14ac:dyDescent="0.2">
      <c r="A285" s="225">
        <v>42718</v>
      </c>
      <c r="B285" s="224" t="s">
        <v>201</v>
      </c>
      <c r="C285" s="224" t="s">
        <v>202</v>
      </c>
      <c r="D285" s="224" t="s">
        <v>203</v>
      </c>
      <c r="E285" s="226"/>
      <c r="G285" s="224" t="s">
        <v>1</v>
      </c>
      <c r="H285" s="224" t="s">
        <v>196</v>
      </c>
      <c r="I285" s="224" t="s">
        <v>62</v>
      </c>
      <c r="J285" s="224">
        <v>20</v>
      </c>
      <c r="K285" s="227">
        <f t="array" ref="K285">IFERROR(INDEX([1]Grille_Tarifs_Modulable!$B$2:$B$204,MATCH(Tableau14[[#This Row],[Designation]]&amp;Tableau14[[#This Row],[CL]],[1]Grille_Tarifs_Modulable!$C$2:$C$204&amp;[1]Grille_Tarifs_Modulable!$F$2:$F$204,0)),0)</f>
        <v>4260310550305</v>
      </c>
      <c r="L285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0.81</v>
      </c>
      <c r="M285" s="228">
        <f>IF(Tableau14[[#This Row],[Prix_Unit_HT]]=0,0,Tableau14[[#This Row],[Prix_Unit_HT]]+(Tableau14[[#This Row],[Prix_Unit_HT]]*VLOOKUP(Tableau14[[#This Row],[EAN]],[1]Grille_Tarifs_Modulable!$B$10:$Q$204,16,FALSE)))</f>
        <v>0.85455000000000003</v>
      </c>
      <c r="N285" s="224">
        <v>24</v>
      </c>
      <c r="O285" s="228">
        <f>ROUND(Tableau14[[#This Row],[Prix_Unit_HT]],2)*Tableau14[[#This Row],[Qte_commande]]</f>
        <v>19.440000000000001</v>
      </c>
      <c r="P285" s="228">
        <f>ROUND(Tableau14[[#This Row],[Prix_Unit_TTC]],2)*Tableau14[[#This Row],[Qte_commande]]</f>
        <v>20.399999999999999</v>
      </c>
      <c r="Q285" s="224">
        <v>6.86</v>
      </c>
      <c r="R285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6.8571428571428577</v>
      </c>
      <c r="U285" s="224"/>
      <c r="V285" s="224"/>
    </row>
    <row r="286" spans="1:22" ht="12.75" x14ac:dyDescent="0.2">
      <c r="A286" s="225">
        <v>42718</v>
      </c>
      <c r="B286" s="224" t="s">
        <v>201</v>
      </c>
      <c r="C286" s="224" t="s">
        <v>202</v>
      </c>
      <c r="D286" s="224" t="s">
        <v>203</v>
      </c>
      <c r="E286" s="226"/>
      <c r="G286" s="224" t="s">
        <v>1</v>
      </c>
      <c r="H286" s="224" t="s">
        <v>196</v>
      </c>
      <c r="I286" s="224" t="s">
        <v>63</v>
      </c>
      <c r="J286" s="224">
        <v>20</v>
      </c>
      <c r="K286" s="227">
        <f t="array" ref="K286">IFERROR(INDEX([1]Grille_Tarifs_Modulable!$B$2:$B$204,MATCH(Tableau14[[#This Row],[Designation]]&amp;Tableau14[[#This Row],[CL]],[1]Grille_Tarifs_Modulable!$C$2:$C$204&amp;[1]Grille_Tarifs_Modulable!$F$2:$F$204,0)),0)</f>
        <v>4260310552941</v>
      </c>
      <c r="L286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0.81</v>
      </c>
      <c r="M286" s="228">
        <f>IF(Tableau14[[#This Row],[Prix_Unit_HT]]=0,0,Tableau14[[#This Row],[Prix_Unit_HT]]+(Tableau14[[#This Row],[Prix_Unit_HT]]*VLOOKUP(Tableau14[[#This Row],[EAN]],[1]Grille_Tarifs_Modulable!$B$10:$Q$204,16,FALSE)))</f>
        <v>0.85455000000000003</v>
      </c>
      <c r="N286" s="224">
        <v>72</v>
      </c>
      <c r="O286" s="228">
        <f>ROUND(Tableau14[[#This Row],[Prix_Unit_HT]],2)*Tableau14[[#This Row],[Qte_commande]]</f>
        <v>58.320000000000007</v>
      </c>
      <c r="P286" s="228">
        <f>ROUND(Tableau14[[#This Row],[Prix_Unit_TTC]],2)*Tableau14[[#This Row],[Qte_commande]]</f>
        <v>61.199999999999996</v>
      </c>
      <c r="Q286" s="224">
        <v>20.57</v>
      </c>
      <c r="R286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20.571428571428573</v>
      </c>
      <c r="U286" s="224"/>
      <c r="V286" s="224"/>
    </row>
    <row r="287" spans="1:22" ht="12.75" x14ac:dyDescent="0.2">
      <c r="A287" s="225">
        <v>42718</v>
      </c>
      <c r="B287" s="224" t="s">
        <v>201</v>
      </c>
      <c r="C287" s="224" t="s">
        <v>202</v>
      </c>
      <c r="D287" s="224" t="s">
        <v>203</v>
      </c>
      <c r="E287" s="226"/>
      <c r="G287" s="224" t="s">
        <v>1</v>
      </c>
      <c r="H287" s="224" t="s">
        <v>289</v>
      </c>
      <c r="I287" s="224" t="s">
        <v>22</v>
      </c>
      <c r="J287" s="224">
        <v>70</v>
      </c>
      <c r="K287" s="227">
        <f t="array" ref="K287">IFERROR(INDEX([1]Grille_Tarifs_Modulable!$B$2:$B$204,MATCH(Tableau14[[#This Row],[Designation]]&amp;Tableau14[[#This Row],[CL]],[1]Grille_Tarifs_Modulable!$C$2:$C$204&amp;[1]Grille_Tarifs_Modulable!$F$2:$F$204,0)),0)</f>
        <v>4055800060200</v>
      </c>
      <c r="L287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17.408644000000002</v>
      </c>
      <c r="M287" s="228">
        <f>IF(Tableau14[[#This Row],[Prix_Unit_HT]]=0,0,Tableau14[[#This Row],[Prix_Unit_HT]]+(Tableau14[[#This Row],[Prix_Unit_HT]]*VLOOKUP(Tableau14[[#This Row],[EAN]],[1]Grille_Tarifs_Modulable!$B$10:$Q$204,16,FALSE)))</f>
        <v>20.890372800000002</v>
      </c>
      <c r="N287" s="224">
        <v>12</v>
      </c>
      <c r="O287" s="228">
        <f>ROUND(Tableau14[[#This Row],[Prix_Unit_HT]],2)*Tableau14[[#This Row],[Qte_commande]]</f>
        <v>208.92000000000002</v>
      </c>
      <c r="P287" s="228">
        <f>ROUND(Tableau14[[#This Row],[Prix_Unit_TTC]],2)*Tableau14[[#This Row],[Qte_commande]]</f>
        <v>250.68</v>
      </c>
      <c r="Q287" s="224">
        <v>12</v>
      </c>
      <c r="R287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12.000000000000002</v>
      </c>
      <c r="U287" s="224"/>
      <c r="V287" s="224"/>
    </row>
    <row r="288" spans="1:22" ht="12.75" x14ac:dyDescent="0.2">
      <c r="A288" s="225">
        <v>42718</v>
      </c>
      <c r="B288" s="224" t="s">
        <v>201</v>
      </c>
      <c r="C288" s="224" t="s">
        <v>202</v>
      </c>
      <c r="D288" s="224" t="s">
        <v>203</v>
      </c>
      <c r="E288" s="226"/>
      <c r="G288" s="224" t="s">
        <v>1</v>
      </c>
      <c r="H288" s="224" t="s">
        <v>196</v>
      </c>
      <c r="I288" s="224" t="s">
        <v>65</v>
      </c>
      <c r="J288" s="224">
        <v>20</v>
      </c>
      <c r="K288" s="227">
        <f t="array" ref="K288">IFERROR(INDEX([1]Grille_Tarifs_Modulable!$B$2:$B$204,MATCH(Tableau14[[#This Row],[Designation]]&amp;Tableau14[[#This Row],[CL]],[1]Grille_Tarifs_Modulable!$C$2:$C$204&amp;[1]Grille_Tarifs_Modulable!$F$2:$F$204,0)),0)</f>
        <v>4260310553863</v>
      </c>
      <c r="L288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0.81</v>
      </c>
      <c r="M288" s="228">
        <f>IF(Tableau14[[#This Row],[Prix_Unit_HT]]=0,0,Tableau14[[#This Row],[Prix_Unit_HT]]+(Tableau14[[#This Row],[Prix_Unit_HT]]*VLOOKUP(Tableau14[[#This Row],[EAN]],[1]Grille_Tarifs_Modulable!$B$10:$Q$204,16,FALSE)))</f>
        <v>0.85455000000000003</v>
      </c>
      <c r="N288" s="224">
        <v>48</v>
      </c>
      <c r="O288" s="228">
        <f>ROUND(Tableau14[[#This Row],[Prix_Unit_HT]],2)*Tableau14[[#This Row],[Qte_commande]]</f>
        <v>38.880000000000003</v>
      </c>
      <c r="P288" s="228">
        <f>ROUND(Tableau14[[#This Row],[Prix_Unit_TTC]],2)*Tableau14[[#This Row],[Qte_commande]]</f>
        <v>40.799999999999997</v>
      </c>
      <c r="Q288" s="224">
        <v>13.71</v>
      </c>
      <c r="R288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13.714285714285715</v>
      </c>
      <c r="U288" s="224"/>
      <c r="V288" s="224"/>
    </row>
    <row r="289" spans="1:22" ht="12.75" x14ac:dyDescent="0.2">
      <c r="A289" s="225">
        <v>42718</v>
      </c>
      <c r="B289" s="224" t="s">
        <v>201</v>
      </c>
      <c r="C289" s="224" t="s">
        <v>202</v>
      </c>
      <c r="D289" s="224" t="s">
        <v>203</v>
      </c>
      <c r="E289" s="226"/>
      <c r="G289" s="224" t="s">
        <v>1</v>
      </c>
      <c r="H289" s="224" t="s">
        <v>196</v>
      </c>
      <c r="I289" s="224" t="s">
        <v>61</v>
      </c>
      <c r="J289" s="224">
        <v>20</v>
      </c>
      <c r="K289" s="227">
        <f t="array" ref="K289">IFERROR(INDEX([1]Grille_Tarifs_Modulable!$B$2:$B$204,MATCH(Tableau14[[#This Row],[Designation]]&amp;Tableau14[[#This Row],[CL]],[1]Grille_Tarifs_Modulable!$C$2:$C$204&amp;[1]Grille_Tarifs_Modulable!$F$2:$F$204,0)),0)</f>
        <v>4260310553856</v>
      </c>
      <c r="L289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0.81</v>
      </c>
      <c r="M289" s="228">
        <f>IF(Tableau14[[#This Row],[Prix_Unit_HT]]=0,0,Tableau14[[#This Row],[Prix_Unit_HT]]+(Tableau14[[#This Row],[Prix_Unit_HT]]*VLOOKUP(Tableau14[[#This Row],[EAN]],[1]Grille_Tarifs_Modulable!$B$10:$Q$204,16,FALSE)))</f>
        <v>0.85455000000000003</v>
      </c>
      <c r="N289" s="224">
        <v>72</v>
      </c>
      <c r="O289" s="228">
        <f>ROUND(Tableau14[[#This Row],[Prix_Unit_HT]],2)*Tableau14[[#This Row],[Qte_commande]]</f>
        <v>58.320000000000007</v>
      </c>
      <c r="P289" s="228">
        <f>ROUND(Tableau14[[#This Row],[Prix_Unit_TTC]],2)*Tableau14[[#This Row],[Qte_commande]]</f>
        <v>61.199999999999996</v>
      </c>
      <c r="Q289" s="224">
        <v>20.57</v>
      </c>
      <c r="R289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20.571428571428573</v>
      </c>
      <c r="U289" s="224"/>
      <c r="V289" s="224"/>
    </row>
    <row r="290" spans="1:22" ht="12.75" x14ac:dyDescent="0.2">
      <c r="A290" s="225">
        <v>42718</v>
      </c>
      <c r="B290" s="224" t="s">
        <v>201</v>
      </c>
      <c r="C290" s="224" t="s">
        <v>202</v>
      </c>
      <c r="D290" s="224" t="s">
        <v>203</v>
      </c>
      <c r="E290" s="226"/>
      <c r="G290" s="224" t="s">
        <v>1</v>
      </c>
      <c r="H290" s="224" t="s">
        <v>289</v>
      </c>
      <c r="I290" s="224" t="s">
        <v>1352</v>
      </c>
      <c r="J290" s="224">
        <v>70</v>
      </c>
      <c r="K290" s="227">
        <f t="array" ref="K290">IFERROR(INDEX([1]Grille_Tarifs_Modulable!$B$2:$B$204,MATCH(Tableau14[[#This Row],[Designation]]&amp;Tableau14[[#This Row],[CL]],[1]Grille_Tarifs_Modulable!$C$2:$C$204&amp;[1]Grille_Tarifs_Modulable!$F$2:$F$204,0)),0)</f>
        <v>0</v>
      </c>
      <c r="L290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</v>
      </c>
      <c r="M290" s="228">
        <f>IF(Tableau14[[#This Row],[Prix_Unit_HT]]=0,0,Tableau14[[#This Row],[Prix_Unit_HT]]+(Tableau14[[#This Row],[Prix_Unit_HT]]*VLOOKUP(Tableau14[[#This Row],[EAN]],[1]Grille_Tarifs_Modulable!$B$10:$Q$204,16,FALSE)))</f>
        <v>0</v>
      </c>
      <c r="N290" s="224">
        <v>12</v>
      </c>
      <c r="O290" s="228">
        <f>ROUND(Tableau14[[#This Row],[Prix_Unit_HT]],2)*Tableau14[[#This Row],[Qte_commande]]</f>
        <v>0</v>
      </c>
      <c r="P290" s="228">
        <f>ROUND(Tableau14[[#This Row],[Prix_Unit_TTC]],2)*Tableau14[[#This Row],[Qte_commande]]</f>
        <v>0</v>
      </c>
      <c r="Q290" s="224">
        <v>12</v>
      </c>
      <c r="R290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12.000000000000002</v>
      </c>
      <c r="U290" s="224"/>
      <c r="V290" s="224"/>
    </row>
    <row r="291" spans="1:22" ht="12.75" x14ac:dyDescent="0.2">
      <c r="A291" s="225">
        <v>42723</v>
      </c>
      <c r="B291" s="224" t="s">
        <v>807</v>
      </c>
      <c r="C291" s="224" t="s">
        <v>806</v>
      </c>
      <c r="D291" s="224" t="s">
        <v>233</v>
      </c>
      <c r="E291" s="226"/>
      <c r="G291" s="224" t="s">
        <v>13</v>
      </c>
      <c r="H291" s="224" t="s">
        <v>289</v>
      </c>
      <c r="I291" s="224" t="s">
        <v>804</v>
      </c>
      <c r="J291" s="224">
        <v>70</v>
      </c>
      <c r="K291" s="227">
        <f t="array" ref="K291">IFERROR(INDEX([1]Grille_Tarifs_Modulable!$B$2:$B$204,MATCH(Tableau14[[#This Row],[Designation]]&amp;Tableau14[[#This Row],[CL]],[1]Grille_Tarifs_Modulable!$C$2:$C$204&amp;[1]Grille_Tarifs_Modulable!$F$2:$F$204,0)),0)</f>
        <v>0</v>
      </c>
      <c r="L291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</v>
      </c>
      <c r="M291" s="228">
        <f>IF(Tableau14[[#This Row],[Prix_Unit_HT]]=0,0,Tableau14[[#This Row],[Prix_Unit_HT]]+(Tableau14[[#This Row],[Prix_Unit_HT]]*VLOOKUP(Tableau14[[#This Row],[EAN]],[1]Grille_Tarifs_Modulable!$B$10:$Q$204,16,FALSE)))</f>
        <v>0</v>
      </c>
      <c r="N291" s="224">
        <v>-12</v>
      </c>
      <c r="O291" s="228">
        <f>ROUND(Tableau14[[#This Row],[Prix_Unit_HT]],2)*Tableau14[[#This Row],[Qte_commande]]</f>
        <v>0</v>
      </c>
      <c r="P291" s="228">
        <f>ROUND(Tableau14[[#This Row],[Prix_Unit_TTC]],2)*Tableau14[[#This Row],[Qte_commande]]</f>
        <v>0</v>
      </c>
      <c r="Q291" s="224">
        <v>-12</v>
      </c>
      <c r="R291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-12.000000000000002</v>
      </c>
      <c r="U291" s="224"/>
      <c r="V291" s="224"/>
    </row>
    <row r="292" spans="1:22" ht="12.75" x14ac:dyDescent="0.2">
      <c r="A292" s="225">
        <v>42731</v>
      </c>
      <c r="B292" s="224" t="s">
        <v>596</v>
      </c>
      <c r="C292" s="224" t="s">
        <v>557</v>
      </c>
      <c r="D292" s="224" t="s">
        <v>558</v>
      </c>
      <c r="E292" s="226"/>
      <c r="G292" s="224" t="s">
        <v>1</v>
      </c>
      <c r="H292" s="224" t="s">
        <v>289</v>
      </c>
      <c r="I292" s="224" t="s">
        <v>15</v>
      </c>
      <c r="J292" s="224">
        <v>70</v>
      </c>
      <c r="K292" s="227">
        <f t="array" ref="K292">IFERROR(INDEX([1]Grille_Tarifs_Modulable!$B$2:$B$204,MATCH(Tableau14[[#This Row],[Designation]]&amp;Tableau14[[#This Row],[CL]],[1]Grille_Tarifs_Modulable!$C$2:$C$204&amp;[1]Grille_Tarifs_Modulable!$F$2:$F$204,0)),0)</f>
        <v>4067700013859</v>
      </c>
      <c r="L292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12.532563499999998</v>
      </c>
      <c r="M292" s="228">
        <f>IF(Tableau14[[#This Row],[Prix_Unit_HT]]=0,0,Tableau14[[#This Row],[Prix_Unit_HT]]+(Tableau14[[#This Row],[Prix_Unit_HT]]*VLOOKUP(Tableau14[[#This Row],[EAN]],[1]Grille_Tarifs_Modulable!$B$10:$Q$204,16,FALSE)))</f>
        <v>15.039076199999998</v>
      </c>
      <c r="N292" s="224">
        <v>480</v>
      </c>
      <c r="O292" s="228">
        <f>ROUND(Tableau14[[#This Row],[Prix_Unit_HT]],2)*Tableau14[[#This Row],[Qte_commande]]</f>
        <v>6014.4</v>
      </c>
      <c r="P292" s="228">
        <f>ROUND(Tableau14[[#This Row],[Prix_Unit_TTC]],2)*Tableau14[[#This Row],[Qte_commande]]</f>
        <v>7219.2</v>
      </c>
      <c r="Q292" s="224">
        <v>480</v>
      </c>
      <c r="R292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480.00000000000006</v>
      </c>
      <c r="U292" s="224"/>
      <c r="V292" s="224"/>
    </row>
    <row r="293" spans="1:22" ht="12.75" x14ac:dyDescent="0.2">
      <c r="A293" s="225">
        <v>42732</v>
      </c>
      <c r="B293" s="224" t="s">
        <v>204</v>
      </c>
      <c r="C293" s="224" t="s">
        <v>205</v>
      </c>
      <c r="D293" s="224" t="s">
        <v>206</v>
      </c>
      <c r="E293" s="226"/>
      <c r="G293" s="224" t="s">
        <v>1</v>
      </c>
      <c r="H293" s="224" t="s">
        <v>196</v>
      </c>
      <c r="I293" s="224" t="s">
        <v>62</v>
      </c>
      <c r="J293" s="224">
        <v>20</v>
      </c>
      <c r="K293" s="227">
        <f t="array" ref="K293">IFERROR(INDEX([1]Grille_Tarifs_Modulable!$B$2:$B$204,MATCH(Tableau14[[#This Row],[Designation]]&amp;Tableau14[[#This Row],[CL]],[1]Grille_Tarifs_Modulable!$C$2:$C$204&amp;[1]Grille_Tarifs_Modulable!$F$2:$F$204,0)),0)</f>
        <v>4260310550305</v>
      </c>
      <c r="L293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0.81</v>
      </c>
      <c r="M293" s="228">
        <f>IF(Tableau14[[#This Row],[Prix_Unit_HT]]=0,0,Tableau14[[#This Row],[Prix_Unit_HT]]+(Tableau14[[#This Row],[Prix_Unit_HT]]*VLOOKUP(Tableau14[[#This Row],[EAN]],[1]Grille_Tarifs_Modulable!$B$10:$Q$204,16,FALSE)))</f>
        <v>0.85455000000000003</v>
      </c>
      <c r="N293" s="224">
        <v>24</v>
      </c>
      <c r="O293" s="228">
        <f>ROUND(Tableau14[[#This Row],[Prix_Unit_HT]],2)*Tableau14[[#This Row],[Qte_commande]]</f>
        <v>19.440000000000001</v>
      </c>
      <c r="P293" s="228">
        <f>ROUND(Tableau14[[#This Row],[Prix_Unit_TTC]],2)*Tableau14[[#This Row],[Qte_commande]]</f>
        <v>20.399999999999999</v>
      </c>
      <c r="Q293" s="224">
        <v>6.86</v>
      </c>
      <c r="R293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6.8571428571428577</v>
      </c>
      <c r="U293" s="224"/>
      <c r="V293" s="224"/>
    </row>
    <row r="294" spans="1:22" ht="12.75" x14ac:dyDescent="0.2">
      <c r="A294" s="225">
        <v>42732</v>
      </c>
      <c r="B294" s="224" t="s">
        <v>204</v>
      </c>
      <c r="C294" s="224" t="s">
        <v>205</v>
      </c>
      <c r="D294" s="224" t="s">
        <v>206</v>
      </c>
      <c r="E294" s="226"/>
      <c r="G294" s="224" t="s">
        <v>1</v>
      </c>
      <c r="H294" s="224" t="s">
        <v>289</v>
      </c>
      <c r="I294" s="224" t="s">
        <v>15</v>
      </c>
      <c r="J294" s="224">
        <v>70</v>
      </c>
      <c r="K294" s="227">
        <f t="array" ref="K294">IFERROR(INDEX([1]Grille_Tarifs_Modulable!$B$2:$B$204,MATCH(Tableau14[[#This Row],[Designation]]&amp;Tableau14[[#This Row],[CL]],[1]Grille_Tarifs_Modulable!$C$2:$C$204&amp;[1]Grille_Tarifs_Modulable!$F$2:$F$204,0)),0)</f>
        <v>4067700013859</v>
      </c>
      <c r="L294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12.532563499999998</v>
      </c>
      <c r="M294" s="228">
        <f>IF(Tableau14[[#This Row],[Prix_Unit_HT]]=0,0,Tableau14[[#This Row],[Prix_Unit_HT]]+(Tableau14[[#This Row],[Prix_Unit_HT]]*VLOOKUP(Tableau14[[#This Row],[EAN]],[1]Grille_Tarifs_Modulable!$B$10:$Q$204,16,FALSE)))</f>
        <v>15.039076199999998</v>
      </c>
      <c r="N294" s="224">
        <v>36</v>
      </c>
      <c r="O294" s="228">
        <f>ROUND(Tableau14[[#This Row],[Prix_Unit_HT]],2)*Tableau14[[#This Row],[Qte_commande]]</f>
        <v>451.08</v>
      </c>
      <c r="P294" s="228">
        <f>ROUND(Tableau14[[#This Row],[Prix_Unit_TTC]],2)*Tableau14[[#This Row],[Qte_commande]]</f>
        <v>541.43999999999994</v>
      </c>
      <c r="Q294" s="224">
        <v>36</v>
      </c>
      <c r="R294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36</v>
      </c>
      <c r="U294" s="224"/>
      <c r="V294" s="224"/>
    </row>
    <row r="295" spans="1:22" ht="12.75" x14ac:dyDescent="0.2">
      <c r="A295" s="225">
        <v>42739</v>
      </c>
      <c r="B295" s="224" t="s">
        <v>597</v>
      </c>
      <c r="C295" s="224" t="s">
        <v>308</v>
      </c>
      <c r="D295" s="224" t="s">
        <v>309</v>
      </c>
      <c r="E295" s="226"/>
      <c r="G295" s="224" t="s">
        <v>1</v>
      </c>
      <c r="H295" s="224" t="s">
        <v>289</v>
      </c>
      <c r="I295" s="224" t="s">
        <v>15</v>
      </c>
      <c r="J295" s="224">
        <v>100</v>
      </c>
      <c r="K295" s="227">
        <f t="array" ref="K295">IFERROR(INDEX([1]Grille_Tarifs_Modulable!$B$2:$B$204,MATCH(Tableau14[[#This Row],[Designation]]&amp;Tableau14[[#This Row],[CL]],[1]Grille_Tarifs_Modulable!$C$2:$C$204&amp;[1]Grille_Tarifs_Modulable!$F$2:$F$204,0)),0)</f>
        <v>4067700013842</v>
      </c>
      <c r="L295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17.100804999999998</v>
      </c>
      <c r="M295" s="228">
        <f>IF(Tableau14[[#This Row],[Prix_Unit_HT]]=0,0,Tableau14[[#This Row],[Prix_Unit_HT]]+(Tableau14[[#This Row],[Prix_Unit_HT]]*VLOOKUP(Tableau14[[#This Row],[EAN]],[1]Grille_Tarifs_Modulable!$B$10:$Q$204,16,FALSE)))</f>
        <v>20.520965999999998</v>
      </c>
      <c r="N295" s="224">
        <v>240</v>
      </c>
      <c r="O295" s="228">
        <f>ROUND(Tableau14[[#This Row],[Prix_Unit_HT]],2)*Tableau14[[#This Row],[Qte_commande]]</f>
        <v>4104</v>
      </c>
      <c r="P295" s="228">
        <f>ROUND(Tableau14[[#This Row],[Prix_Unit_TTC]],2)*Tableau14[[#This Row],[Qte_commande]]</f>
        <v>4924.8</v>
      </c>
      <c r="Q295" s="224">
        <v>342.86</v>
      </c>
      <c r="R295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342.85714285714289</v>
      </c>
      <c r="U295" s="224"/>
      <c r="V295" s="224"/>
    </row>
    <row r="296" spans="1:22" ht="12.75" x14ac:dyDescent="0.2">
      <c r="A296" s="225">
        <v>42740</v>
      </c>
      <c r="B296" s="224" t="s">
        <v>306</v>
      </c>
      <c r="C296" s="224" t="s">
        <v>198</v>
      </c>
      <c r="D296" s="224" t="s">
        <v>199</v>
      </c>
      <c r="E296" s="226"/>
      <c r="G296" s="224" t="s">
        <v>1</v>
      </c>
      <c r="H296" s="224" t="s">
        <v>289</v>
      </c>
      <c r="I296" s="224" t="s">
        <v>22</v>
      </c>
      <c r="J296" s="224">
        <v>70</v>
      </c>
      <c r="K296" s="227">
        <f t="array" ref="K296">IFERROR(INDEX([1]Grille_Tarifs_Modulable!$B$2:$B$204,MATCH(Tableau14[[#This Row],[Designation]]&amp;Tableau14[[#This Row],[CL]],[1]Grille_Tarifs_Modulable!$C$2:$C$204&amp;[1]Grille_Tarifs_Modulable!$F$2:$F$204,0)),0)</f>
        <v>4055800060200</v>
      </c>
      <c r="L296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17.408644000000002</v>
      </c>
      <c r="M296" s="228">
        <f>IF(Tableau14[[#This Row],[Prix_Unit_HT]]=0,0,Tableau14[[#This Row],[Prix_Unit_HT]]+(Tableau14[[#This Row],[Prix_Unit_HT]]*VLOOKUP(Tableau14[[#This Row],[EAN]],[1]Grille_Tarifs_Modulable!$B$10:$Q$204,16,FALSE)))</f>
        <v>20.890372800000002</v>
      </c>
      <c r="N296" s="224">
        <v>18</v>
      </c>
      <c r="O296" s="228">
        <f>ROUND(Tableau14[[#This Row],[Prix_Unit_HT]],2)*Tableau14[[#This Row],[Qte_commande]]</f>
        <v>313.38</v>
      </c>
      <c r="P296" s="228">
        <f>ROUND(Tableau14[[#This Row],[Prix_Unit_TTC]],2)*Tableau14[[#This Row],[Qte_commande]]</f>
        <v>376.02</v>
      </c>
      <c r="Q296" s="224">
        <v>18</v>
      </c>
      <c r="R296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18</v>
      </c>
      <c r="U296" s="224"/>
      <c r="V296" s="224"/>
    </row>
    <row r="297" spans="1:22" ht="12.75" x14ac:dyDescent="0.2">
      <c r="A297" s="225">
        <v>42740</v>
      </c>
      <c r="B297" s="224" t="s">
        <v>306</v>
      </c>
      <c r="C297" s="224" t="s">
        <v>198</v>
      </c>
      <c r="D297" s="224" t="s">
        <v>199</v>
      </c>
      <c r="E297" s="226"/>
      <c r="G297" s="224" t="s">
        <v>1</v>
      </c>
      <c r="H297" s="224" t="s">
        <v>289</v>
      </c>
      <c r="I297" s="224" t="s">
        <v>15</v>
      </c>
      <c r="J297" s="224">
        <v>70</v>
      </c>
      <c r="K297" s="227">
        <f t="array" ref="K297">IFERROR(INDEX([1]Grille_Tarifs_Modulable!$B$2:$B$204,MATCH(Tableau14[[#This Row],[Designation]]&amp;Tableau14[[#This Row],[CL]],[1]Grille_Tarifs_Modulable!$C$2:$C$204&amp;[1]Grille_Tarifs_Modulable!$F$2:$F$204,0)),0)</f>
        <v>4067700013859</v>
      </c>
      <c r="L297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12.532563499999998</v>
      </c>
      <c r="M297" s="228">
        <f>IF(Tableau14[[#This Row],[Prix_Unit_HT]]=0,0,Tableau14[[#This Row],[Prix_Unit_HT]]+(Tableau14[[#This Row],[Prix_Unit_HT]]*VLOOKUP(Tableau14[[#This Row],[EAN]],[1]Grille_Tarifs_Modulable!$B$10:$Q$204,16,FALSE)))</f>
        <v>15.039076199999998</v>
      </c>
      <c r="N297" s="224">
        <v>60</v>
      </c>
      <c r="O297" s="228">
        <f>ROUND(Tableau14[[#This Row],[Prix_Unit_HT]],2)*Tableau14[[#This Row],[Qte_commande]]</f>
        <v>751.8</v>
      </c>
      <c r="P297" s="228">
        <f>ROUND(Tableau14[[#This Row],[Prix_Unit_TTC]],2)*Tableau14[[#This Row],[Qte_commande]]</f>
        <v>902.4</v>
      </c>
      <c r="Q297" s="224">
        <v>60</v>
      </c>
      <c r="R297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60.000000000000007</v>
      </c>
      <c r="U297" s="224"/>
      <c r="V297" s="224"/>
    </row>
    <row r="298" spans="1:22" ht="12.75" x14ac:dyDescent="0.2">
      <c r="A298" s="225">
        <v>42740</v>
      </c>
      <c r="B298" s="224" t="s">
        <v>306</v>
      </c>
      <c r="C298" s="224" t="s">
        <v>198</v>
      </c>
      <c r="D298" s="224" t="s">
        <v>199</v>
      </c>
      <c r="E298" s="226"/>
      <c r="G298" s="224" t="s">
        <v>1</v>
      </c>
      <c r="H298" s="224" t="s">
        <v>196</v>
      </c>
      <c r="I298" s="224" t="s">
        <v>66</v>
      </c>
      <c r="J298" s="224">
        <v>50</v>
      </c>
      <c r="K298" s="227">
        <f t="array" ref="K298">IFERROR(INDEX([1]Grille_Tarifs_Modulable!$B$2:$B$204,MATCH(Tableau14[[#This Row],[Designation]]&amp;Tableau14[[#This Row],[CL]],[1]Grille_Tarifs_Modulable!$C$2:$C$204&amp;[1]Grille_Tarifs_Modulable!$F$2:$F$204,0)),0)</f>
        <v>4260310553382</v>
      </c>
      <c r="L298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</v>
      </c>
      <c r="M298" s="228">
        <f>IF(Tableau14[[#This Row],[Prix_Unit_HT]]=0,0,Tableau14[[#This Row],[Prix_Unit_HT]]+(Tableau14[[#This Row],[Prix_Unit_HT]]*VLOOKUP(Tableau14[[#This Row],[EAN]],[1]Grille_Tarifs_Modulable!$B$10:$Q$204,16,FALSE)))</f>
        <v>1.0549999999999999</v>
      </c>
      <c r="N298" s="224">
        <v>100</v>
      </c>
      <c r="O298" s="228">
        <f>ROUND(Tableau14[[#This Row],[Prix_Unit_HT]],2)*Tableau14[[#This Row],[Qte_commande]]</f>
        <v>100</v>
      </c>
      <c r="P298" s="228">
        <f>ROUND(Tableau14[[#This Row],[Prix_Unit_TTC]],2)*Tableau14[[#This Row],[Qte_commande]]</f>
        <v>106</v>
      </c>
      <c r="Q298" s="224">
        <v>71.430000000000007</v>
      </c>
      <c r="R298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71.428571428571431</v>
      </c>
      <c r="U298" s="224"/>
      <c r="V298" s="224"/>
    </row>
    <row r="299" spans="1:22" ht="12.75" x14ac:dyDescent="0.2">
      <c r="A299" s="225">
        <v>42740</v>
      </c>
      <c r="B299" s="224" t="s">
        <v>306</v>
      </c>
      <c r="C299" s="224" t="s">
        <v>198</v>
      </c>
      <c r="D299" s="224" t="s">
        <v>199</v>
      </c>
      <c r="E299" s="226"/>
      <c r="G299" s="224" t="s">
        <v>1</v>
      </c>
      <c r="H299" s="224" t="s">
        <v>289</v>
      </c>
      <c r="I299" s="224" t="s">
        <v>42</v>
      </c>
      <c r="J299" s="224">
        <v>70</v>
      </c>
      <c r="K299" s="227">
        <f t="array" ref="K299">IFERROR(INDEX([1]Grille_Tarifs_Modulable!$B$2:$B$204,MATCH(Tableau14[[#This Row],[Designation]]&amp;Tableau14[[#This Row],[CL]],[1]Grille_Tarifs_Modulable!$C$2:$C$204&amp;[1]Grille_Tarifs_Modulable!$F$2:$F$204,0)),0)</f>
        <v>3257150688009</v>
      </c>
      <c r="L299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12.556915199999999</v>
      </c>
      <c r="M299" s="228">
        <f>IF(Tableau14[[#This Row],[Prix_Unit_HT]]=0,0,Tableau14[[#This Row],[Prix_Unit_HT]]+(Tableau14[[#This Row],[Prix_Unit_HT]]*VLOOKUP(Tableau14[[#This Row],[EAN]],[1]Grille_Tarifs_Modulable!$B$10:$Q$204,16,FALSE)))</f>
        <v>15.068298239999999</v>
      </c>
      <c r="N299" s="224">
        <v>18</v>
      </c>
      <c r="O299" s="228">
        <f>ROUND(Tableau14[[#This Row],[Prix_Unit_HT]],2)*Tableau14[[#This Row],[Qte_commande]]</f>
        <v>226.08</v>
      </c>
      <c r="P299" s="228">
        <f>ROUND(Tableau14[[#This Row],[Prix_Unit_TTC]],2)*Tableau14[[#This Row],[Qte_commande]]</f>
        <v>271.26</v>
      </c>
      <c r="Q299" s="224">
        <v>18</v>
      </c>
      <c r="R299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18</v>
      </c>
      <c r="U299" s="224"/>
      <c r="V299" s="224"/>
    </row>
    <row r="300" spans="1:22" ht="12.75" x14ac:dyDescent="0.2">
      <c r="A300" s="225">
        <v>42740</v>
      </c>
      <c r="B300" s="224" t="s">
        <v>306</v>
      </c>
      <c r="C300" s="224" t="s">
        <v>198</v>
      </c>
      <c r="D300" s="224" t="s">
        <v>199</v>
      </c>
      <c r="E300" s="226"/>
      <c r="G300" s="224" t="s">
        <v>1</v>
      </c>
      <c r="H300" s="224" t="s">
        <v>289</v>
      </c>
      <c r="I300" s="224" t="s">
        <v>1352</v>
      </c>
      <c r="J300" s="224">
        <v>175</v>
      </c>
      <c r="K300" s="227">
        <f t="array" ref="K300">IFERROR(INDEX([1]Grille_Tarifs_Modulable!$B$2:$B$204,MATCH(Tableau14[[#This Row],[Designation]]&amp;Tableau14[[#This Row],[CL]],[1]Grille_Tarifs_Modulable!$C$2:$C$204&amp;[1]Grille_Tarifs_Modulable!$F$2:$F$204,0)),0)</f>
        <v>0</v>
      </c>
      <c r="L300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</v>
      </c>
      <c r="M300" s="228">
        <f>IF(Tableau14[[#This Row],[Prix_Unit_HT]]=0,0,Tableau14[[#This Row],[Prix_Unit_HT]]+(Tableau14[[#This Row],[Prix_Unit_HT]]*VLOOKUP(Tableau14[[#This Row],[EAN]],[1]Grille_Tarifs_Modulable!$B$10:$Q$204,16,FALSE)))</f>
        <v>0</v>
      </c>
      <c r="N300" s="224">
        <v>8</v>
      </c>
      <c r="O300" s="228">
        <f>ROUND(Tableau14[[#This Row],[Prix_Unit_HT]],2)*Tableau14[[#This Row],[Qte_commande]]</f>
        <v>0</v>
      </c>
      <c r="P300" s="228">
        <f>ROUND(Tableau14[[#This Row],[Prix_Unit_TTC]],2)*Tableau14[[#This Row],[Qte_commande]]</f>
        <v>0</v>
      </c>
      <c r="Q300" s="224">
        <v>20</v>
      </c>
      <c r="R300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20</v>
      </c>
      <c r="U300" s="224"/>
      <c r="V300" s="224"/>
    </row>
    <row r="301" spans="1:22" ht="12.75" x14ac:dyDescent="0.2">
      <c r="A301" s="225">
        <v>42747</v>
      </c>
      <c r="B301" s="224" t="s">
        <v>598</v>
      </c>
      <c r="C301" s="224" t="s">
        <v>530</v>
      </c>
      <c r="D301" s="224" t="s">
        <v>531</v>
      </c>
      <c r="E301" s="226"/>
      <c r="G301" s="224" t="s">
        <v>1</v>
      </c>
      <c r="H301" s="224" t="s">
        <v>289</v>
      </c>
      <c r="I301" s="224" t="s">
        <v>15</v>
      </c>
      <c r="J301" s="224">
        <v>70</v>
      </c>
      <c r="K301" s="227">
        <f t="array" ref="K301">IFERROR(INDEX([1]Grille_Tarifs_Modulable!$B$2:$B$204,MATCH(Tableau14[[#This Row],[Designation]]&amp;Tableau14[[#This Row],[CL]],[1]Grille_Tarifs_Modulable!$C$2:$C$204&amp;[1]Grille_Tarifs_Modulable!$F$2:$F$204,0)),0)</f>
        <v>4067700013859</v>
      </c>
      <c r="L301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12.532563499999998</v>
      </c>
      <c r="M301" s="228">
        <f>IF(Tableau14[[#This Row],[Prix_Unit_HT]]=0,0,Tableau14[[#This Row],[Prix_Unit_HT]]+(Tableau14[[#This Row],[Prix_Unit_HT]]*VLOOKUP(Tableau14[[#This Row],[EAN]],[1]Grille_Tarifs_Modulable!$B$10:$Q$204,16,FALSE)))</f>
        <v>15.039076199999998</v>
      </c>
      <c r="N301" s="224">
        <v>102</v>
      </c>
      <c r="O301" s="228">
        <f>ROUND(Tableau14[[#This Row],[Prix_Unit_HT]],2)*Tableau14[[#This Row],[Qte_commande]]</f>
        <v>1278.06</v>
      </c>
      <c r="P301" s="228">
        <f>ROUND(Tableau14[[#This Row],[Prix_Unit_TTC]],2)*Tableau14[[#This Row],[Qte_commande]]</f>
        <v>1534.08</v>
      </c>
      <c r="Q301" s="224">
        <v>102</v>
      </c>
      <c r="R301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102.00000000000001</v>
      </c>
      <c r="U301" s="224"/>
      <c r="V301" s="224"/>
    </row>
    <row r="302" spans="1:22" ht="12.75" x14ac:dyDescent="0.2">
      <c r="A302" s="225">
        <v>42747</v>
      </c>
      <c r="B302" s="224" t="s">
        <v>598</v>
      </c>
      <c r="C302" s="224" t="s">
        <v>530</v>
      </c>
      <c r="D302" s="224" t="s">
        <v>531</v>
      </c>
      <c r="E302" s="226"/>
      <c r="G302" s="224" t="s">
        <v>1</v>
      </c>
      <c r="H302" s="224" t="s">
        <v>289</v>
      </c>
      <c r="I302" s="224" t="s">
        <v>15</v>
      </c>
      <c r="J302" s="224">
        <v>70</v>
      </c>
      <c r="K302" s="227">
        <f t="array" ref="K302">IFERROR(INDEX([1]Grille_Tarifs_Modulable!$B$2:$B$204,MATCH(Tableau14[[#This Row],[Designation]]&amp;Tableau14[[#This Row],[CL]],[1]Grille_Tarifs_Modulable!$C$2:$C$204&amp;[1]Grille_Tarifs_Modulable!$F$2:$F$204,0)),0)</f>
        <v>4067700013859</v>
      </c>
      <c r="L302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12.532563499999998</v>
      </c>
      <c r="M302" s="228">
        <f>IF(Tableau14[[#This Row],[Prix_Unit_HT]]=0,0,Tableau14[[#This Row],[Prix_Unit_HT]]+(Tableau14[[#This Row],[Prix_Unit_HT]]*VLOOKUP(Tableau14[[#This Row],[EAN]],[1]Grille_Tarifs_Modulable!$B$10:$Q$204,16,FALSE)))</f>
        <v>15.039076199999998</v>
      </c>
      <c r="N302" s="224">
        <v>48</v>
      </c>
      <c r="O302" s="228">
        <f>ROUND(Tableau14[[#This Row],[Prix_Unit_HT]],2)*Tableau14[[#This Row],[Qte_commande]]</f>
        <v>601.43999999999994</v>
      </c>
      <c r="P302" s="228">
        <f>ROUND(Tableau14[[#This Row],[Prix_Unit_TTC]],2)*Tableau14[[#This Row],[Qte_commande]]</f>
        <v>721.92</v>
      </c>
      <c r="Q302" s="224">
        <v>48</v>
      </c>
      <c r="R302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48.000000000000007</v>
      </c>
      <c r="U302" s="224"/>
      <c r="V302" s="224"/>
    </row>
    <row r="303" spans="1:22" ht="12.75" x14ac:dyDescent="0.2">
      <c r="A303" s="225">
        <v>42751</v>
      </c>
      <c r="B303" s="224" t="s">
        <v>599</v>
      </c>
      <c r="C303" s="224" t="s">
        <v>211</v>
      </c>
      <c r="D303" s="224" t="s">
        <v>212</v>
      </c>
      <c r="E303" s="226"/>
      <c r="G303" s="224" t="s">
        <v>1</v>
      </c>
      <c r="H303" s="224" t="s">
        <v>289</v>
      </c>
      <c r="I303" s="224" t="s">
        <v>15</v>
      </c>
      <c r="J303" s="224">
        <v>70</v>
      </c>
      <c r="K303" s="227">
        <f t="array" ref="K303">IFERROR(INDEX([1]Grille_Tarifs_Modulable!$B$2:$B$204,MATCH(Tableau14[[#This Row],[Designation]]&amp;Tableau14[[#This Row],[CL]],[1]Grille_Tarifs_Modulable!$C$2:$C$204&amp;[1]Grille_Tarifs_Modulable!$F$2:$F$204,0)),0)</f>
        <v>4067700013859</v>
      </c>
      <c r="L303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12.532563499999998</v>
      </c>
      <c r="M303" s="228">
        <f>IF(Tableau14[[#This Row],[Prix_Unit_HT]]=0,0,Tableau14[[#This Row],[Prix_Unit_HT]]+(Tableau14[[#This Row],[Prix_Unit_HT]]*VLOOKUP(Tableau14[[#This Row],[EAN]],[1]Grille_Tarifs_Modulable!$B$10:$Q$204,16,FALSE)))</f>
        <v>15.039076199999998</v>
      </c>
      <c r="N303" s="224">
        <v>18</v>
      </c>
      <c r="O303" s="228">
        <f>ROUND(Tableau14[[#This Row],[Prix_Unit_HT]],2)*Tableau14[[#This Row],[Qte_commande]]</f>
        <v>225.54</v>
      </c>
      <c r="P303" s="228">
        <f>ROUND(Tableau14[[#This Row],[Prix_Unit_TTC]],2)*Tableau14[[#This Row],[Qte_commande]]</f>
        <v>270.71999999999997</v>
      </c>
      <c r="Q303" s="224">
        <v>18</v>
      </c>
      <c r="R303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18</v>
      </c>
      <c r="U303" s="224"/>
      <c r="V303" s="224"/>
    </row>
    <row r="304" spans="1:22" ht="12.75" x14ac:dyDescent="0.2">
      <c r="A304" s="225">
        <v>42751</v>
      </c>
      <c r="B304" s="224" t="s">
        <v>599</v>
      </c>
      <c r="C304" s="224" t="s">
        <v>211</v>
      </c>
      <c r="D304" s="224" t="s">
        <v>212</v>
      </c>
      <c r="E304" s="226"/>
      <c r="G304" s="224" t="s">
        <v>1</v>
      </c>
      <c r="H304" s="224" t="s">
        <v>289</v>
      </c>
      <c r="I304" s="224" t="s">
        <v>20</v>
      </c>
      <c r="J304" s="224">
        <v>70</v>
      </c>
      <c r="K304" s="227">
        <f t="array" ref="K304">IFERROR(INDEX([1]Grille_Tarifs_Modulable!$B$2:$B$204,MATCH(Tableau14[[#This Row],[Designation]]&amp;Tableau14[[#This Row],[CL]],[1]Grille_Tarifs_Modulable!$C$2:$C$204&amp;[1]Grille_Tarifs_Modulable!$F$2:$F$204,0)),0)</f>
        <v>8017450002104</v>
      </c>
      <c r="L304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14.266482999999999</v>
      </c>
      <c r="M304" s="228">
        <f>IF(Tableau14[[#This Row],[Prix_Unit_HT]]=0,0,Tableau14[[#This Row],[Prix_Unit_HT]]+(Tableau14[[#This Row],[Prix_Unit_HT]]*VLOOKUP(Tableau14[[#This Row],[EAN]],[1]Grille_Tarifs_Modulable!$B$10:$Q$204,16,FALSE)))</f>
        <v>17.119779600000001</v>
      </c>
      <c r="N304" s="224">
        <v>6</v>
      </c>
      <c r="O304" s="228">
        <f>ROUND(Tableau14[[#This Row],[Prix_Unit_HT]],2)*Tableau14[[#This Row],[Qte_commande]]</f>
        <v>85.62</v>
      </c>
      <c r="P304" s="228">
        <f>ROUND(Tableau14[[#This Row],[Prix_Unit_TTC]],2)*Tableau14[[#This Row],[Qte_commande]]</f>
        <v>102.72</v>
      </c>
      <c r="Q304" s="224">
        <v>6</v>
      </c>
      <c r="R304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6.0000000000000009</v>
      </c>
      <c r="U304" s="224"/>
      <c r="V304" s="224"/>
    </row>
    <row r="305" spans="1:22" ht="12.75" x14ac:dyDescent="0.2">
      <c r="A305" s="225">
        <v>42751</v>
      </c>
      <c r="B305" s="224" t="s">
        <v>599</v>
      </c>
      <c r="C305" s="224" t="s">
        <v>211</v>
      </c>
      <c r="D305" s="224" t="s">
        <v>212</v>
      </c>
      <c r="E305" s="226"/>
      <c r="G305" s="224" t="s">
        <v>1</v>
      </c>
      <c r="H305" s="224" t="s">
        <v>289</v>
      </c>
      <c r="I305" s="224" t="s">
        <v>18</v>
      </c>
      <c r="J305" s="224">
        <v>70</v>
      </c>
      <c r="K305" s="227">
        <f t="array" ref="K305">IFERROR(INDEX([1]Grille_Tarifs_Modulable!$B$2:$B$204,MATCH(Tableau14[[#This Row],[Designation]]&amp;Tableau14[[#This Row],[CL]],[1]Grille_Tarifs_Modulable!$C$2:$C$204&amp;[1]Grille_Tarifs_Modulable!$F$2:$F$204,0)),0)</f>
        <v>8002095736606</v>
      </c>
      <c r="L305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15.747779600000001</v>
      </c>
      <c r="M305" s="228">
        <f>IF(Tableau14[[#This Row],[Prix_Unit_HT]]=0,0,Tableau14[[#This Row],[Prix_Unit_HT]]+(Tableau14[[#This Row],[Prix_Unit_HT]]*VLOOKUP(Tableau14[[#This Row],[EAN]],[1]Grille_Tarifs_Modulable!$B$10:$Q$204,16,FALSE)))</f>
        <v>18.897335520000002</v>
      </c>
      <c r="N305" s="224">
        <v>6</v>
      </c>
      <c r="O305" s="228">
        <f>ROUND(Tableau14[[#This Row],[Prix_Unit_HT]],2)*Tableau14[[#This Row],[Qte_commande]]</f>
        <v>94.5</v>
      </c>
      <c r="P305" s="228">
        <f>ROUND(Tableau14[[#This Row],[Prix_Unit_TTC]],2)*Tableau14[[#This Row],[Qte_commande]]</f>
        <v>113.39999999999999</v>
      </c>
      <c r="Q305" s="224">
        <v>6</v>
      </c>
      <c r="R305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6.0000000000000009</v>
      </c>
      <c r="U305" s="224"/>
      <c r="V305" s="224"/>
    </row>
    <row r="306" spans="1:22" ht="12.75" x14ac:dyDescent="0.2">
      <c r="A306" s="225">
        <v>42751</v>
      </c>
      <c r="B306" s="224" t="s">
        <v>599</v>
      </c>
      <c r="C306" s="224" t="s">
        <v>211</v>
      </c>
      <c r="D306" s="224" t="s">
        <v>212</v>
      </c>
      <c r="E306" s="226"/>
      <c r="G306" s="224" t="s">
        <v>1</v>
      </c>
      <c r="H306" s="224" t="s">
        <v>289</v>
      </c>
      <c r="I306" s="224" t="s">
        <v>17</v>
      </c>
      <c r="J306" s="224">
        <v>70</v>
      </c>
      <c r="K306" s="227">
        <f t="array" ref="K306">IFERROR(INDEX([1]Grille_Tarifs_Modulable!$B$2:$B$204,MATCH(Tableau14[[#This Row],[Designation]]&amp;Tableau14[[#This Row],[CL]],[1]Grille_Tarifs_Modulable!$C$2:$C$204&amp;[1]Grille_Tarifs_Modulable!$F$2:$F$204,0)),0)</f>
        <v>8002095100001</v>
      </c>
      <c r="L306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16.028644</v>
      </c>
      <c r="M306" s="228">
        <f>IF(Tableau14[[#This Row],[Prix_Unit_HT]]=0,0,Tableau14[[#This Row],[Prix_Unit_HT]]+(Tableau14[[#This Row],[Prix_Unit_HT]]*VLOOKUP(Tableau14[[#This Row],[EAN]],[1]Grille_Tarifs_Modulable!$B$10:$Q$204,16,FALSE)))</f>
        <v>19.234372799999999</v>
      </c>
      <c r="N306" s="224">
        <v>6</v>
      </c>
      <c r="O306" s="228">
        <f>ROUND(Tableau14[[#This Row],[Prix_Unit_HT]],2)*Tableau14[[#This Row],[Qte_commande]]</f>
        <v>96.18</v>
      </c>
      <c r="P306" s="228">
        <f>ROUND(Tableau14[[#This Row],[Prix_Unit_TTC]],2)*Tableau14[[#This Row],[Qte_commande]]</f>
        <v>115.38</v>
      </c>
      <c r="Q306" s="224">
        <v>6</v>
      </c>
      <c r="R306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6.0000000000000009</v>
      </c>
      <c r="U306" s="224"/>
      <c r="V306" s="224"/>
    </row>
    <row r="307" spans="1:22" ht="12.75" x14ac:dyDescent="0.2">
      <c r="A307" s="225">
        <v>42751</v>
      </c>
      <c r="B307" s="224" t="s">
        <v>599</v>
      </c>
      <c r="C307" s="224" t="s">
        <v>211</v>
      </c>
      <c r="D307" s="224" t="s">
        <v>212</v>
      </c>
      <c r="E307" s="226"/>
      <c r="G307" s="224" t="s">
        <v>1</v>
      </c>
      <c r="H307" s="224" t="s">
        <v>196</v>
      </c>
      <c r="I307" s="224" t="s">
        <v>64</v>
      </c>
      <c r="J307" s="224">
        <v>20</v>
      </c>
      <c r="K307" s="227">
        <f t="array" ref="K307">IFERROR(INDEX([1]Grille_Tarifs_Modulable!$B$2:$B$204,MATCH(Tableau14[[#This Row],[Designation]]&amp;Tableau14[[#This Row],[CL]],[1]Grille_Tarifs_Modulable!$C$2:$C$204&amp;[1]Grille_Tarifs_Modulable!$F$2:$F$204,0)),0)</f>
        <v>4260310553849</v>
      </c>
      <c r="L307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0.81</v>
      </c>
      <c r="M307" s="228">
        <f>IF(Tableau14[[#This Row],[Prix_Unit_HT]]=0,0,Tableau14[[#This Row],[Prix_Unit_HT]]+(Tableau14[[#This Row],[Prix_Unit_HT]]*VLOOKUP(Tableau14[[#This Row],[EAN]],[1]Grille_Tarifs_Modulable!$B$10:$Q$204,16,FALSE)))</f>
        <v>0.85455000000000003</v>
      </c>
      <c r="N307" s="224">
        <v>120</v>
      </c>
      <c r="O307" s="228">
        <f>ROUND(Tableau14[[#This Row],[Prix_Unit_HT]],2)*Tableau14[[#This Row],[Qte_commande]]</f>
        <v>97.2</v>
      </c>
      <c r="P307" s="228">
        <f>ROUND(Tableau14[[#This Row],[Prix_Unit_TTC]],2)*Tableau14[[#This Row],[Qte_commande]]</f>
        <v>102</v>
      </c>
      <c r="Q307" s="224">
        <v>34.29</v>
      </c>
      <c r="R307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34.285714285714285</v>
      </c>
      <c r="U307" s="224"/>
      <c r="V307" s="224"/>
    </row>
    <row r="308" spans="1:22" ht="12.75" x14ac:dyDescent="0.2">
      <c r="A308" s="225">
        <v>42751</v>
      </c>
      <c r="B308" s="224" t="s">
        <v>599</v>
      </c>
      <c r="C308" s="224" t="s">
        <v>211</v>
      </c>
      <c r="D308" s="224" t="s">
        <v>212</v>
      </c>
      <c r="E308" s="226"/>
      <c r="G308" s="224" t="s">
        <v>1</v>
      </c>
      <c r="H308" s="224" t="s">
        <v>289</v>
      </c>
      <c r="I308" s="224" t="s">
        <v>1355</v>
      </c>
      <c r="J308" s="224">
        <v>70</v>
      </c>
      <c r="K308" s="227">
        <f t="array" ref="K308">IFERROR(INDEX([1]Grille_Tarifs_Modulable!$B$2:$B$204,MATCH(Tableau14[[#This Row],[Designation]]&amp;Tableau14[[#This Row],[CL]],[1]Grille_Tarifs_Modulable!$C$2:$C$204&amp;[1]Grille_Tarifs_Modulable!$F$2:$F$204,0)),0)</f>
        <v>0</v>
      </c>
      <c r="L308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</v>
      </c>
      <c r="M308" s="228">
        <f>IF(Tableau14[[#This Row],[Prix_Unit_HT]]=0,0,Tableau14[[#This Row],[Prix_Unit_HT]]+(Tableau14[[#This Row],[Prix_Unit_HT]]*VLOOKUP(Tableau14[[#This Row],[EAN]],[1]Grille_Tarifs_Modulable!$B$10:$Q$204,16,FALSE)))</f>
        <v>0</v>
      </c>
      <c r="N308" s="224">
        <v>12</v>
      </c>
      <c r="O308" s="228">
        <f>ROUND(Tableau14[[#This Row],[Prix_Unit_HT]],2)*Tableau14[[#This Row],[Qte_commande]]</f>
        <v>0</v>
      </c>
      <c r="P308" s="228">
        <f>ROUND(Tableau14[[#This Row],[Prix_Unit_TTC]],2)*Tableau14[[#This Row],[Qte_commande]]</f>
        <v>0</v>
      </c>
      <c r="Q308" s="224">
        <v>12</v>
      </c>
      <c r="R308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12.000000000000002</v>
      </c>
      <c r="U308" s="224"/>
      <c r="V308" s="224"/>
    </row>
    <row r="309" spans="1:22" ht="12.75" x14ac:dyDescent="0.2">
      <c r="A309" s="225">
        <v>42751</v>
      </c>
      <c r="B309" s="224" t="s">
        <v>599</v>
      </c>
      <c r="C309" s="224" t="s">
        <v>211</v>
      </c>
      <c r="D309" s="224" t="s">
        <v>212</v>
      </c>
      <c r="E309" s="226"/>
      <c r="G309" s="224" t="s">
        <v>1</v>
      </c>
      <c r="H309" s="224" t="s">
        <v>289</v>
      </c>
      <c r="I309" s="224" t="s">
        <v>1357</v>
      </c>
      <c r="J309" s="224">
        <v>70</v>
      </c>
      <c r="K309" s="227">
        <f t="array" ref="K309">IFERROR(INDEX([1]Grille_Tarifs_Modulable!$B$2:$B$204,MATCH(Tableau14[[#This Row],[Designation]]&amp;Tableau14[[#This Row],[CL]],[1]Grille_Tarifs_Modulable!$C$2:$C$204&amp;[1]Grille_Tarifs_Modulable!$F$2:$F$204,0)),0)</f>
        <v>0</v>
      </c>
      <c r="L309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</v>
      </c>
      <c r="M309" s="228">
        <f>IF(Tableau14[[#This Row],[Prix_Unit_HT]]=0,0,Tableau14[[#This Row],[Prix_Unit_HT]]+(Tableau14[[#This Row],[Prix_Unit_HT]]*VLOOKUP(Tableau14[[#This Row],[EAN]],[1]Grille_Tarifs_Modulable!$B$10:$Q$204,16,FALSE)))</f>
        <v>0</v>
      </c>
      <c r="N309" s="224">
        <v>30</v>
      </c>
      <c r="O309" s="228">
        <f>ROUND(Tableau14[[#This Row],[Prix_Unit_HT]],2)*Tableau14[[#This Row],[Qte_commande]]</f>
        <v>0</v>
      </c>
      <c r="P309" s="228">
        <f>ROUND(Tableau14[[#This Row],[Prix_Unit_TTC]],2)*Tableau14[[#This Row],[Qte_commande]]</f>
        <v>0</v>
      </c>
      <c r="Q309" s="224">
        <v>30</v>
      </c>
      <c r="R309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30.000000000000004</v>
      </c>
      <c r="U309" s="224"/>
      <c r="V309" s="224"/>
    </row>
    <row r="310" spans="1:22" ht="12.75" x14ac:dyDescent="0.2">
      <c r="A310" s="225">
        <v>42751</v>
      </c>
      <c r="B310" s="224" t="s">
        <v>599</v>
      </c>
      <c r="C310" s="224" t="s">
        <v>211</v>
      </c>
      <c r="D310" s="224" t="s">
        <v>212</v>
      </c>
      <c r="E310" s="226"/>
      <c r="G310" s="224" t="s">
        <v>1</v>
      </c>
      <c r="H310" s="224" t="s">
        <v>289</v>
      </c>
      <c r="I310" s="224" t="s">
        <v>1357</v>
      </c>
      <c r="J310" s="224">
        <v>70</v>
      </c>
      <c r="K310" s="227">
        <f t="array" ref="K310">IFERROR(INDEX([1]Grille_Tarifs_Modulable!$B$2:$B$204,MATCH(Tableau14[[#This Row],[Designation]]&amp;Tableau14[[#This Row],[CL]],[1]Grille_Tarifs_Modulable!$C$2:$C$204&amp;[1]Grille_Tarifs_Modulable!$F$2:$F$204,0)),0)</f>
        <v>0</v>
      </c>
      <c r="L310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</v>
      </c>
      <c r="M310" s="228">
        <f>IF(Tableau14[[#This Row],[Prix_Unit_HT]]=0,0,Tableau14[[#This Row],[Prix_Unit_HT]]+(Tableau14[[#This Row],[Prix_Unit_HT]]*VLOOKUP(Tableau14[[#This Row],[EAN]],[1]Grille_Tarifs_Modulable!$B$10:$Q$204,16,FALSE)))</f>
        <v>0</v>
      </c>
      <c r="N310" s="224">
        <v>6</v>
      </c>
      <c r="O310" s="228">
        <f>ROUND(Tableau14[[#This Row],[Prix_Unit_HT]],2)*Tableau14[[#This Row],[Qte_commande]]</f>
        <v>0</v>
      </c>
      <c r="P310" s="228">
        <f>ROUND(Tableau14[[#This Row],[Prix_Unit_TTC]],2)*Tableau14[[#This Row],[Qte_commande]]</f>
        <v>0</v>
      </c>
      <c r="Q310" s="224">
        <v>6</v>
      </c>
      <c r="R310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6.0000000000000009</v>
      </c>
      <c r="U310" s="224"/>
      <c r="V310" s="224"/>
    </row>
    <row r="311" spans="1:22" ht="12.75" x14ac:dyDescent="0.2">
      <c r="A311" s="225">
        <v>42758</v>
      </c>
      <c r="B311" s="224" t="s">
        <v>600</v>
      </c>
      <c r="C311" s="224" t="s">
        <v>545</v>
      </c>
      <c r="D311" s="224" t="s">
        <v>546</v>
      </c>
      <c r="E311" s="226"/>
      <c r="F311" s="224" t="s">
        <v>547</v>
      </c>
      <c r="G311" s="224" t="s">
        <v>13</v>
      </c>
      <c r="H311" s="224" t="s">
        <v>289</v>
      </c>
      <c r="I311" s="224" t="s">
        <v>15</v>
      </c>
      <c r="J311" s="224">
        <v>175</v>
      </c>
      <c r="K311" s="227">
        <f t="array" ref="K311">IFERROR(INDEX([1]Grille_Tarifs_Modulable!$B$2:$B$204,MATCH(Tableau14[[#This Row],[Designation]]&amp;Tableau14[[#This Row],[CL]],[1]Grille_Tarifs_Modulable!$C$2:$C$204&amp;[1]Grille_Tarifs_Modulable!$F$2:$F$204,0)),0)</f>
        <v>4067700013835</v>
      </c>
      <c r="L311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32.266408749999997</v>
      </c>
      <c r="M311" s="228">
        <f>IF(Tableau14[[#This Row],[Prix_Unit_HT]]=0,0,Tableau14[[#This Row],[Prix_Unit_HT]]+(Tableau14[[#This Row],[Prix_Unit_HT]]*VLOOKUP(Tableau14[[#This Row],[EAN]],[1]Grille_Tarifs_Modulable!$B$10:$Q$204,16,FALSE)))</f>
        <v>38.719690499999999</v>
      </c>
      <c r="N311" s="224">
        <v>36</v>
      </c>
      <c r="O311" s="228">
        <f>ROUND(Tableau14[[#This Row],[Prix_Unit_HT]],2)*Tableau14[[#This Row],[Qte_commande]]</f>
        <v>1161.72</v>
      </c>
      <c r="P311" s="228">
        <f>ROUND(Tableau14[[#This Row],[Prix_Unit_TTC]],2)*Tableau14[[#This Row],[Qte_commande]]</f>
        <v>1393.92</v>
      </c>
      <c r="Q311" s="224">
        <v>90</v>
      </c>
      <c r="R311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90</v>
      </c>
      <c r="U311" s="224"/>
      <c r="V311" s="224"/>
    </row>
    <row r="312" spans="1:22" ht="12.75" x14ac:dyDescent="0.2">
      <c r="A312" s="225">
        <v>42759</v>
      </c>
      <c r="B312" s="224" t="s">
        <v>601</v>
      </c>
      <c r="C312" s="224" t="s">
        <v>361</v>
      </c>
      <c r="D312" s="224" t="s">
        <v>180</v>
      </c>
      <c r="E312" s="226"/>
      <c r="G312" s="224" t="s">
        <v>13</v>
      </c>
      <c r="H312" s="224" t="s">
        <v>289</v>
      </c>
      <c r="I312" s="224" t="s">
        <v>15</v>
      </c>
      <c r="J312" s="224">
        <v>70</v>
      </c>
      <c r="K312" s="227">
        <f t="array" ref="K312">IFERROR(INDEX([1]Grille_Tarifs_Modulable!$B$2:$B$204,MATCH(Tableau14[[#This Row],[Designation]]&amp;Tableau14[[#This Row],[CL]],[1]Grille_Tarifs_Modulable!$C$2:$C$204&amp;[1]Grille_Tarifs_Modulable!$F$2:$F$204,0)),0)</f>
        <v>4067700013859</v>
      </c>
      <c r="L312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13.942563499999999</v>
      </c>
      <c r="M312" s="228">
        <f>IF(Tableau14[[#This Row],[Prix_Unit_HT]]=0,0,Tableau14[[#This Row],[Prix_Unit_HT]]+(Tableau14[[#This Row],[Prix_Unit_HT]]*VLOOKUP(Tableau14[[#This Row],[EAN]],[1]Grille_Tarifs_Modulable!$B$10:$Q$204,16,FALSE)))</f>
        <v>16.731076199999997</v>
      </c>
      <c r="N312" s="224">
        <v>24</v>
      </c>
      <c r="O312" s="228">
        <f>ROUND(Tableau14[[#This Row],[Prix_Unit_HT]],2)*Tableau14[[#This Row],[Qte_commande]]</f>
        <v>334.56</v>
      </c>
      <c r="P312" s="228">
        <f>ROUND(Tableau14[[#This Row],[Prix_Unit_TTC]],2)*Tableau14[[#This Row],[Qte_commande]]</f>
        <v>401.52</v>
      </c>
      <c r="Q312" s="224">
        <v>24</v>
      </c>
      <c r="R312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24.000000000000004</v>
      </c>
      <c r="U312" s="224"/>
      <c r="V312" s="224"/>
    </row>
    <row r="313" spans="1:22" ht="12.75" x14ac:dyDescent="0.2">
      <c r="A313" s="225">
        <v>42759</v>
      </c>
      <c r="B313" s="224" t="s">
        <v>601</v>
      </c>
      <c r="C313" s="224" t="s">
        <v>361</v>
      </c>
      <c r="D313" s="224" t="s">
        <v>180</v>
      </c>
      <c r="E313" s="226"/>
      <c r="G313" s="224" t="s">
        <v>13</v>
      </c>
      <c r="H313" s="224" t="s">
        <v>196</v>
      </c>
      <c r="I313" s="224" t="s">
        <v>66</v>
      </c>
      <c r="J313" s="224">
        <v>50</v>
      </c>
      <c r="K313" s="227">
        <f t="array" ref="K313">IFERROR(INDEX([1]Grille_Tarifs_Modulable!$B$2:$B$204,MATCH(Tableau14[[#This Row],[Designation]]&amp;Tableau14[[#This Row],[CL]],[1]Grille_Tarifs_Modulable!$C$2:$C$204&amp;[1]Grille_Tarifs_Modulable!$F$2:$F$204,0)),0)</f>
        <v>4260310553382</v>
      </c>
      <c r="L313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1.1000000000000001</v>
      </c>
      <c r="M313" s="228">
        <f>IF(Tableau14[[#This Row],[Prix_Unit_HT]]=0,0,Tableau14[[#This Row],[Prix_Unit_HT]]+(Tableau14[[#This Row],[Prix_Unit_HT]]*VLOOKUP(Tableau14[[#This Row],[EAN]],[1]Grille_Tarifs_Modulable!$B$10:$Q$204,16,FALSE)))</f>
        <v>1.1605000000000001</v>
      </c>
      <c r="N313" s="224">
        <v>40</v>
      </c>
      <c r="O313" s="228">
        <f>ROUND(Tableau14[[#This Row],[Prix_Unit_HT]],2)*Tableau14[[#This Row],[Qte_commande]]</f>
        <v>44</v>
      </c>
      <c r="P313" s="228">
        <f>ROUND(Tableau14[[#This Row],[Prix_Unit_TTC]],2)*Tableau14[[#This Row],[Qte_commande]]</f>
        <v>46.4</v>
      </c>
      <c r="Q313" s="224">
        <v>28.57</v>
      </c>
      <c r="R313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28.571428571428573</v>
      </c>
      <c r="U313" s="224"/>
      <c r="V313" s="224"/>
    </row>
    <row r="314" spans="1:22" ht="12.75" x14ac:dyDescent="0.2">
      <c r="A314" s="225">
        <v>42774</v>
      </c>
      <c r="B314" s="224" t="s">
        <v>602</v>
      </c>
      <c r="C314" s="224" t="s">
        <v>308</v>
      </c>
      <c r="D314" s="224" t="s">
        <v>309</v>
      </c>
      <c r="E314" s="226"/>
      <c r="G314" s="224" t="s">
        <v>1</v>
      </c>
      <c r="H314" s="224" t="s">
        <v>289</v>
      </c>
      <c r="I314" s="224" t="s">
        <v>15</v>
      </c>
      <c r="J314" s="224">
        <v>100</v>
      </c>
      <c r="K314" s="227">
        <f t="array" ref="K314">IFERROR(INDEX([1]Grille_Tarifs_Modulable!$B$2:$B$204,MATCH(Tableau14[[#This Row],[Designation]]&amp;Tableau14[[#This Row],[CL]],[1]Grille_Tarifs_Modulable!$C$2:$C$204&amp;[1]Grille_Tarifs_Modulable!$F$2:$F$204,0)),0)</f>
        <v>4067700013842</v>
      </c>
      <c r="L314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17.100804999999998</v>
      </c>
      <c r="M314" s="228">
        <f>IF(Tableau14[[#This Row],[Prix_Unit_HT]]=0,0,Tableau14[[#This Row],[Prix_Unit_HT]]+(Tableau14[[#This Row],[Prix_Unit_HT]]*VLOOKUP(Tableau14[[#This Row],[EAN]],[1]Grille_Tarifs_Modulable!$B$10:$Q$204,16,FALSE)))</f>
        <v>20.520965999999998</v>
      </c>
      <c r="N314" s="224">
        <v>240</v>
      </c>
      <c r="O314" s="228">
        <f>ROUND(Tableau14[[#This Row],[Prix_Unit_HT]],2)*Tableau14[[#This Row],[Qte_commande]]</f>
        <v>4104</v>
      </c>
      <c r="P314" s="228">
        <f>ROUND(Tableau14[[#This Row],[Prix_Unit_TTC]],2)*Tableau14[[#This Row],[Qte_commande]]</f>
        <v>4924.8</v>
      </c>
      <c r="Q314" s="224">
        <v>342.86</v>
      </c>
      <c r="R314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342.85714285714289</v>
      </c>
      <c r="U314" s="224"/>
      <c r="V314" s="224"/>
    </row>
    <row r="315" spans="1:22" ht="12.75" x14ac:dyDescent="0.2">
      <c r="A315" s="225">
        <v>42774</v>
      </c>
      <c r="B315" s="224" t="s">
        <v>602</v>
      </c>
      <c r="C315" s="224" t="s">
        <v>308</v>
      </c>
      <c r="D315" s="224" t="s">
        <v>309</v>
      </c>
      <c r="E315" s="226"/>
      <c r="G315" s="224" t="s">
        <v>1</v>
      </c>
      <c r="H315" s="224" t="s">
        <v>289</v>
      </c>
      <c r="I315" s="224" t="s">
        <v>30</v>
      </c>
      <c r="J315" s="224">
        <v>70</v>
      </c>
      <c r="K315" s="227">
        <f t="array" ref="K315">IFERROR(INDEX([1]Grille_Tarifs_Modulable!$B$2:$B$204,MATCH(Tableau14[[#This Row],[Designation]]&amp;Tableau14[[#This Row],[CL]],[1]Grille_Tarifs_Modulable!$C$2:$C$204&amp;[1]Grille_Tarifs_Modulable!$F$2:$F$204,0)),0)</f>
        <v>3257150101904</v>
      </c>
      <c r="L315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16.346482999999999</v>
      </c>
      <c r="M315" s="228">
        <f>IF(Tableau14[[#This Row],[Prix_Unit_HT]]=0,0,Tableau14[[#This Row],[Prix_Unit_HT]]+(Tableau14[[#This Row],[Prix_Unit_HT]]*VLOOKUP(Tableau14[[#This Row],[EAN]],[1]Grille_Tarifs_Modulable!$B$10:$Q$204,16,FALSE)))</f>
        <v>19.6157796</v>
      </c>
      <c r="N315" s="224">
        <v>1</v>
      </c>
      <c r="O315" s="228">
        <f>ROUND(Tableau14[[#This Row],[Prix_Unit_HT]],2)*Tableau14[[#This Row],[Qte_commande]]</f>
        <v>16.350000000000001</v>
      </c>
      <c r="P315" s="228">
        <f>ROUND(Tableau14[[#This Row],[Prix_Unit_TTC]],2)*Tableau14[[#This Row],[Qte_commande]]</f>
        <v>19.62</v>
      </c>
      <c r="Q315" s="224">
        <v>1</v>
      </c>
      <c r="R315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</v>
      </c>
      <c r="U315" s="224"/>
      <c r="V315" s="224"/>
    </row>
    <row r="316" spans="1:22" ht="12.75" x14ac:dyDescent="0.2">
      <c r="A316" s="225">
        <v>42774</v>
      </c>
      <c r="B316" s="224" t="s">
        <v>602</v>
      </c>
      <c r="C316" s="224" t="s">
        <v>308</v>
      </c>
      <c r="D316" s="224" t="s">
        <v>309</v>
      </c>
      <c r="E316" s="226"/>
      <c r="G316" s="224" t="s">
        <v>1</v>
      </c>
      <c r="H316" s="224" t="s">
        <v>289</v>
      </c>
      <c r="I316" s="224" t="s">
        <v>32</v>
      </c>
      <c r="J316" s="224">
        <v>70</v>
      </c>
      <c r="K316" s="227">
        <f t="array" ref="K316">IFERROR(INDEX([1]Grille_Tarifs_Modulable!$B$2:$B$204,MATCH(Tableau14[[#This Row],[Designation]]&amp;Tableau14[[#This Row],[CL]],[1]Grille_Tarifs_Modulable!$C$2:$C$204&amp;[1]Grille_Tarifs_Modulable!$F$2:$F$204,0)),0)</f>
        <v>3257150100228</v>
      </c>
      <c r="L316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19.998643999999999</v>
      </c>
      <c r="M316" s="228">
        <f>IF(Tableau14[[#This Row],[Prix_Unit_HT]]=0,0,Tableau14[[#This Row],[Prix_Unit_HT]]+(Tableau14[[#This Row],[Prix_Unit_HT]]*VLOOKUP(Tableau14[[#This Row],[EAN]],[1]Grille_Tarifs_Modulable!$B$10:$Q$204,16,FALSE)))</f>
        <v>23.998372799999999</v>
      </c>
      <c r="N316" s="224">
        <v>1</v>
      </c>
      <c r="O316" s="228">
        <f>ROUND(Tableau14[[#This Row],[Prix_Unit_HT]],2)*Tableau14[[#This Row],[Qte_commande]]</f>
        <v>20</v>
      </c>
      <c r="P316" s="228">
        <f>ROUND(Tableau14[[#This Row],[Prix_Unit_TTC]],2)*Tableau14[[#This Row],[Qte_commande]]</f>
        <v>24</v>
      </c>
      <c r="Q316" s="224">
        <v>1</v>
      </c>
      <c r="R316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</v>
      </c>
      <c r="U316" s="224"/>
      <c r="V316" s="224"/>
    </row>
    <row r="317" spans="1:22" ht="12.75" x14ac:dyDescent="0.2">
      <c r="A317" s="225">
        <v>42774</v>
      </c>
      <c r="B317" s="224" t="s">
        <v>602</v>
      </c>
      <c r="C317" s="224" t="s">
        <v>308</v>
      </c>
      <c r="D317" s="224" t="s">
        <v>309</v>
      </c>
      <c r="E317" s="226"/>
      <c r="G317" s="224" t="s">
        <v>1</v>
      </c>
      <c r="H317" s="224" t="s">
        <v>289</v>
      </c>
      <c r="I317" s="224" t="s">
        <v>31</v>
      </c>
      <c r="J317" s="224">
        <v>70</v>
      </c>
      <c r="K317" s="227">
        <f t="array" ref="K317">IFERROR(INDEX([1]Grille_Tarifs_Modulable!$B$2:$B$204,MATCH(Tableau14[[#This Row],[Designation]]&amp;Tableau14[[#This Row],[CL]],[1]Grille_Tarifs_Modulable!$C$2:$C$204&amp;[1]Grille_Tarifs_Modulable!$F$2:$F$204,0)),0)</f>
        <v>3257150102017</v>
      </c>
      <c r="L317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14.694322</v>
      </c>
      <c r="M317" s="228">
        <f>IF(Tableau14[[#This Row],[Prix_Unit_HT]]=0,0,Tableau14[[#This Row],[Prix_Unit_HT]]+(Tableau14[[#This Row],[Prix_Unit_HT]]*VLOOKUP(Tableau14[[#This Row],[EAN]],[1]Grille_Tarifs_Modulable!$B$10:$Q$204,16,FALSE)))</f>
        <v>17.6331864</v>
      </c>
      <c r="N317" s="224">
        <v>1</v>
      </c>
      <c r="O317" s="228">
        <f>ROUND(Tableau14[[#This Row],[Prix_Unit_HT]],2)*Tableau14[[#This Row],[Qte_commande]]</f>
        <v>14.69</v>
      </c>
      <c r="P317" s="228">
        <f>ROUND(Tableau14[[#This Row],[Prix_Unit_TTC]],2)*Tableau14[[#This Row],[Qte_commande]]</f>
        <v>17.63</v>
      </c>
      <c r="Q317" s="224">
        <v>1</v>
      </c>
      <c r="R317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</v>
      </c>
      <c r="U317" s="224"/>
      <c r="V317" s="224"/>
    </row>
    <row r="318" spans="1:22" ht="12.75" x14ac:dyDescent="0.2">
      <c r="A318" s="225">
        <v>42774</v>
      </c>
      <c r="B318" s="224" t="s">
        <v>936</v>
      </c>
      <c r="C318" s="224" t="s">
        <v>542</v>
      </c>
      <c r="D318" s="224" t="s">
        <v>209</v>
      </c>
      <c r="E318" s="226"/>
      <c r="G318" s="224" t="s">
        <v>13</v>
      </c>
      <c r="H318" s="224" t="s">
        <v>289</v>
      </c>
      <c r="I318" s="224" t="s">
        <v>931</v>
      </c>
      <c r="J318" s="224">
        <v>100</v>
      </c>
      <c r="K318" s="227">
        <f t="array" ref="K318">IFERROR(INDEX([1]Grille_Tarifs_Modulable!$B$2:$B$204,MATCH(Tableau14[[#This Row],[Designation]]&amp;Tableau14[[#This Row],[CL]],[1]Grille_Tarifs_Modulable!$C$2:$C$204&amp;[1]Grille_Tarifs_Modulable!$F$2:$F$204,0)),0)</f>
        <v>0</v>
      </c>
      <c r="L318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</v>
      </c>
      <c r="M318" s="228">
        <f>IF(Tableau14[[#This Row],[Prix_Unit_HT]]=0,0,Tableau14[[#This Row],[Prix_Unit_HT]]+(Tableau14[[#This Row],[Prix_Unit_HT]]*VLOOKUP(Tableau14[[#This Row],[EAN]],[1]Grille_Tarifs_Modulable!$B$10:$Q$204,16,FALSE)))</f>
        <v>0</v>
      </c>
      <c r="N318" s="224">
        <v>48</v>
      </c>
      <c r="O318" s="228">
        <f>ROUND(Tableau14[[#This Row],[Prix_Unit_HT]],2)*Tableau14[[#This Row],[Qte_commande]]</f>
        <v>0</v>
      </c>
      <c r="P318" s="228">
        <f>ROUND(Tableau14[[#This Row],[Prix_Unit_TTC]],2)*Tableau14[[#This Row],[Qte_commande]]</f>
        <v>0</v>
      </c>
      <c r="Q318" s="224">
        <v>68.569999999999993</v>
      </c>
      <c r="R318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68.571428571428569</v>
      </c>
      <c r="U318" s="224"/>
      <c r="V318" s="224"/>
    </row>
    <row r="319" spans="1:22" ht="12.75" x14ac:dyDescent="0.2">
      <c r="A319" s="225">
        <v>42775</v>
      </c>
      <c r="B319" s="224" t="s">
        <v>603</v>
      </c>
      <c r="C319" s="224" t="s">
        <v>194</v>
      </c>
      <c r="D319" s="224" t="s">
        <v>343</v>
      </c>
      <c r="E319" s="226"/>
      <c r="G319" s="224" t="s">
        <v>1</v>
      </c>
      <c r="H319" s="224" t="s">
        <v>289</v>
      </c>
      <c r="I319" s="224" t="s">
        <v>15</v>
      </c>
      <c r="J319" s="224">
        <v>175</v>
      </c>
      <c r="K319" s="227">
        <f t="array" ref="K319">IFERROR(INDEX([1]Grille_Tarifs_Modulable!$B$2:$B$204,MATCH(Tableau14[[#This Row],[Designation]]&amp;Tableau14[[#This Row],[CL]],[1]Grille_Tarifs_Modulable!$C$2:$C$204&amp;[1]Grille_Tarifs_Modulable!$F$2:$F$204,0)),0)</f>
        <v>4067700013835</v>
      </c>
      <c r="L319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28.916408750000002</v>
      </c>
      <c r="M319" s="228">
        <f>IF(Tableau14[[#This Row],[Prix_Unit_HT]]=0,0,Tableau14[[#This Row],[Prix_Unit_HT]]+(Tableau14[[#This Row],[Prix_Unit_HT]]*VLOOKUP(Tableau14[[#This Row],[EAN]],[1]Grille_Tarifs_Modulable!$B$10:$Q$204,16,FALSE)))</f>
        <v>34.699690500000003</v>
      </c>
      <c r="N319" s="224">
        <v>36</v>
      </c>
      <c r="O319" s="228">
        <f>ROUND(Tableau14[[#This Row],[Prix_Unit_HT]],2)*Tableau14[[#This Row],[Qte_commande]]</f>
        <v>1041.1200000000001</v>
      </c>
      <c r="P319" s="228">
        <f>ROUND(Tableau14[[#This Row],[Prix_Unit_TTC]],2)*Tableau14[[#This Row],[Qte_commande]]</f>
        <v>1249.2</v>
      </c>
      <c r="Q319" s="224">
        <v>90</v>
      </c>
      <c r="R319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90</v>
      </c>
      <c r="U319" s="224"/>
      <c r="V319" s="224"/>
    </row>
    <row r="320" spans="1:22" ht="12.75" x14ac:dyDescent="0.2">
      <c r="A320" s="225">
        <v>42780</v>
      </c>
      <c r="B320" s="224" t="s">
        <v>604</v>
      </c>
      <c r="C320" s="224" t="s">
        <v>530</v>
      </c>
      <c r="D320" s="224" t="s">
        <v>531</v>
      </c>
      <c r="E320" s="226"/>
      <c r="G320" s="224" t="s">
        <v>1</v>
      </c>
      <c r="H320" s="224" t="s">
        <v>289</v>
      </c>
      <c r="I320" s="224" t="s">
        <v>15</v>
      </c>
      <c r="J320" s="224">
        <v>70</v>
      </c>
      <c r="K320" s="227">
        <f t="array" ref="K320">IFERROR(INDEX([1]Grille_Tarifs_Modulable!$B$2:$B$204,MATCH(Tableau14[[#This Row],[Designation]]&amp;Tableau14[[#This Row],[CL]],[1]Grille_Tarifs_Modulable!$C$2:$C$204&amp;[1]Grille_Tarifs_Modulable!$F$2:$F$204,0)),0)</f>
        <v>4067700013859</v>
      </c>
      <c r="L320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12.532563499999998</v>
      </c>
      <c r="M320" s="228">
        <f>IF(Tableau14[[#This Row],[Prix_Unit_HT]]=0,0,Tableau14[[#This Row],[Prix_Unit_HT]]+(Tableau14[[#This Row],[Prix_Unit_HT]]*VLOOKUP(Tableau14[[#This Row],[EAN]],[1]Grille_Tarifs_Modulable!$B$10:$Q$204,16,FALSE)))</f>
        <v>15.039076199999998</v>
      </c>
      <c r="N320" s="224">
        <v>150</v>
      </c>
      <c r="O320" s="228">
        <f>ROUND(Tableau14[[#This Row],[Prix_Unit_HT]],2)*Tableau14[[#This Row],[Qte_commande]]</f>
        <v>1879.5</v>
      </c>
      <c r="P320" s="228">
        <f>ROUND(Tableau14[[#This Row],[Prix_Unit_TTC]],2)*Tableau14[[#This Row],[Qte_commande]]</f>
        <v>2256</v>
      </c>
      <c r="Q320" s="224">
        <v>150</v>
      </c>
      <c r="R320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150</v>
      </c>
      <c r="U320" s="224"/>
      <c r="V320" s="224"/>
    </row>
    <row r="321" spans="1:22" ht="12.75" x14ac:dyDescent="0.2">
      <c r="A321" s="225">
        <v>42786</v>
      </c>
      <c r="B321" s="224" t="s">
        <v>207</v>
      </c>
      <c r="C321" s="224" t="s">
        <v>208</v>
      </c>
      <c r="D321" s="224" t="s">
        <v>209</v>
      </c>
      <c r="E321" s="226"/>
      <c r="G321" s="224" t="s">
        <v>13</v>
      </c>
      <c r="H321" s="224" t="s">
        <v>196</v>
      </c>
      <c r="I321" s="224" t="s">
        <v>62</v>
      </c>
      <c r="J321" s="224">
        <v>20</v>
      </c>
      <c r="K321" s="227">
        <f t="array" ref="K321">IFERROR(INDEX([1]Grille_Tarifs_Modulable!$B$2:$B$204,MATCH(Tableau14[[#This Row],[Designation]]&amp;Tableau14[[#This Row],[CL]],[1]Grille_Tarifs_Modulable!$C$2:$C$204&amp;[1]Grille_Tarifs_Modulable!$F$2:$F$204,0)),0)</f>
        <v>4260310550305</v>
      </c>
      <c r="L321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0.89</v>
      </c>
      <c r="M321" s="228">
        <f>IF(Tableau14[[#This Row],[Prix_Unit_HT]]=0,0,Tableau14[[#This Row],[Prix_Unit_HT]]+(Tableau14[[#This Row],[Prix_Unit_HT]]*VLOOKUP(Tableau14[[#This Row],[EAN]],[1]Grille_Tarifs_Modulable!$B$10:$Q$204,16,FALSE)))</f>
        <v>0.93895000000000006</v>
      </c>
      <c r="N321" s="224">
        <v>72</v>
      </c>
      <c r="O321" s="228">
        <f>ROUND(Tableau14[[#This Row],[Prix_Unit_HT]],2)*Tableau14[[#This Row],[Qte_commande]]</f>
        <v>64.08</v>
      </c>
      <c r="P321" s="228">
        <f>ROUND(Tableau14[[#This Row],[Prix_Unit_TTC]],2)*Tableau14[[#This Row],[Qte_commande]]</f>
        <v>67.679999999999993</v>
      </c>
      <c r="Q321" s="224">
        <v>20.57</v>
      </c>
      <c r="R321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20.571428571428573</v>
      </c>
      <c r="U321" s="224"/>
      <c r="V321" s="224"/>
    </row>
    <row r="322" spans="1:22" ht="12.75" x14ac:dyDescent="0.2">
      <c r="A322" s="225">
        <v>42786</v>
      </c>
      <c r="B322" s="224" t="s">
        <v>207</v>
      </c>
      <c r="C322" s="224" t="s">
        <v>208</v>
      </c>
      <c r="D322" s="224" t="s">
        <v>209</v>
      </c>
      <c r="E322" s="226"/>
      <c r="G322" s="224" t="s">
        <v>13</v>
      </c>
      <c r="H322" s="224" t="s">
        <v>196</v>
      </c>
      <c r="I322" s="224" t="s">
        <v>66</v>
      </c>
      <c r="J322" s="224">
        <v>50</v>
      </c>
      <c r="K322" s="227">
        <f t="array" ref="K322">IFERROR(INDEX([1]Grille_Tarifs_Modulable!$B$2:$B$204,MATCH(Tableau14[[#This Row],[Designation]]&amp;Tableau14[[#This Row],[CL]],[1]Grille_Tarifs_Modulable!$C$2:$C$204&amp;[1]Grille_Tarifs_Modulable!$F$2:$F$204,0)),0)</f>
        <v>4260310553382</v>
      </c>
      <c r="L322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1.1000000000000001</v>
      </c>
      <c r="M322" s="228">
        <f>IF(Tableau14[[#This Row],[Prix_Unit_HT]]=0,0,Tableau14[[#This Row],[Prix_Unit_HT]]+(Tableau14[[#This Row],[Prix_Unit_HT]]*VLOOKUP(Tableau14[[#This Row],[EAN]],[1]Grille_Tarifs_Modulable!$B$10:$Q$204,16,FALSE)))</f>
        <v>1.1605000000000001</v>
      </c>
      <c r="N322" s="224">
        <v>60</v>
      </c>
      <c r="O322" s="228">
        <f>ROUND(Tableau14[[#This Row],[Prix_Unit_HT]],2)*Tableau14[[#This Row],[Qte_commande]]</f>
        <v>66</v>
      </c>
      <c r="P322" s="228">
        <f>ROUND(Tableau14[[#This Row],[Prix_Unit_TTC]],2)*Tableau14[[#This Row],[Qte_commande]]</f>
        <v>69.599999999999994</v>
      </c>
      <c r="Q322" s="224">
        <v>42.86</v>
      </c>
      <c r="R322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42.857142857142861</v>
      </c>
      <c r="U322" s="224"/>
      <c r="V322" s="224"/>
    </row>
    <row r="323" spans="1:22" ht="12.75" x14ac:dyDescent="0.2">
      <c r="A323" s="225">
        <v>42787</v>
      </c>
      <c r="B323" s="224" t="s">
        <v>263</v>
      </c>
      <c r="C323" s="224" t="s">
        <v>198</v>
      </c>
      <c r="D323" s="224" t="s">
        <v>199</v>
      </c>
      <c r="E323" s="226"/>
      <c r="G323" s="224" t="s">
        <v>1</v>
      </c>
      <c r="H323" s="224" t="s">
        <v>196</v>
      </c>
      <c r="I323" s="224" t="s">
        <v>63</v>
      </c>
      <c r="J323" s="224">
        <v>20</v>
      </c>
      <c r="K323" s="227">
        <f t="array" ref="K323">IFERROR(INDEX([1]Grille_Tarifs_Modulable!$B$2:$B$204,MATCH(Tableau14[[#This Row],[Designation]]&amp;Tableau14[[#This Row],[CL]],[1]Grille_Tarifs_Modulable!$C$2:$C$204&amp;[1]Grille_Tarifs_Modulable!$F$2:$F$204,0)),0)</f>
        <v>4260310552941</v>
      </c>
      <c r="L323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0.81</v>
      </c>
      <c r="M323" s="228">
        <f>IF(Tableau14[[#This Row],[Prix_Unit_HT]]=0,0,Tableau14[[#This Row],[Prix_Unit_HT]]+(Tableau14[[#This Row],[Prix_Unit_HT]]*VLOOKUP(Tableau14[[#This Row],[EAN]],[1]Grille_Tarifs_Modulable!$B$10:$Q$204,16,FALSE)))</f>
        <v>0.85455000000000003</v>
      </c>
      <c r="N323" s="224">
        <v>24</v>
      </c>
      <c r="O323" s="228">
        <f>ROUND(Tableau14[[#This Row],[Prix_Unit_HT]],2)*Tableau14[[#This Row],[Qte_commande]]</f>
        <v>19.440000000000001</v>
      </c>
      <c r="P323" s="228">
        <f>ROUND(Tableau14[[#This Row],[Prix_Unit_TTC]],2)*Tableau14[[#This Row],[Qte_commande]]</f>
        <v>20.399999999999999</v>
      </c>
      <c r="Q323" s="224">
        <v>6.86</v>
      </c>
      <c r="R323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6.8571428571428577</v>
      </c>
      <c r="U323" s="224"/>
      <c r="V323" s="224"/>
    </row>
    <row r="324" spans="1:22" ht="12.75" x14ac:dyDescent="0.2">
      <c r="A324" s="225">
        <v>42787</v>
      </c>
      <c r="B324" s="224" t="s">
        <v>263</v>
      </c>
      <c r="C324" s="224" t="s">
        <v>198</v>
      </c>
      <c r="D324" s="224" t="s">
        <v>199</v>
      </c>
      <c r="E324" s="226"/>
      <c r="G324" s="224" t="s">
        <v>1</v>
      </c>
      <c r="H324" s="224" t="s">
        <v>196</v>
      </c>
      <c r="I324" s="224" t="s">
        <v>63</v>
      </c>
      <c r="J324" s="224">
        <v>20</v>
      </c>
      <c r="K324" s="227">
        <f t="array" ref="K324">IFERROR(INDEX([1]Grille_Tarifs_Modulable!$B$2:$B$204,MATCH(Tableau14[[#This Row],[Designation]]&amp;Tableau14[[#This Row],[CL]],[1]Grille_Tarifs_Modulable!$C$2:$C$204&amp;[1]Grille_Tarifs_Modulable!$F$2:$F$204,0)),0)</f>
        <v>4260310552941</v>
      </c>
      <c r="L324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0.81</v>
      </c>
      <c r="M324" s="228">
        <f>IF(Tableau14[[#This Row],[Prix_Unit_HT]]=0,0,Tableau14[[#This Row],[Prix_Unit_HT]]+(Tableau14[[#This Row],[Prix_Unit_HT]]*VLOOKUP(Tableau14[[#This Row],[EAN]],[1]Grille_Tarifs_Modulable!$B$10:$Q$204,16,FALSE)))</f>
        <v>0.85455000000000003</v>
      </c>
      <c r="N324" s="224">
        <v>24</v>
      </c>
      <c r="O324" s="228">
        <f>ROUND(Tableau14[[#This Row],[Prix_Unit_HT]],2)*Tableau14[[#This Row],[Qte_commande]]</f>
        <v>19.440000000000001</v>
      </c>
      <c r="P324" s="228">
        <f>ROUND(Tableau14[[#This Row],[Prix_Unit_TTC]],2)*Tableau14[[#This Row],[Qte_commande]]</f>
        <v>20.399999999999999</v>
      </c>
      <c r="Q324" s="224">
        <v>6.86</v>
      </c>
      <c r="R324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6.8571428571428577</v>
      </c>
      <c r="U324" s="224"/>
      <c r="V324" s="224"/>
    </row>
    <row r="325" spans="1:22" ht="12.75" x14ac:dyDescent="0.2">
      <c r="A325" s="225">
        <v>42787</v>
      </c>
      <c r="B325" s="224" t="s">
        <v>263</v>
      </c>
      <c r="C325" s="224" t="s">
        <v>198</v>
      </c>
      <c r="D325" s="224" t="s">
        <v>199</v>
      </c>
      <c r="E325" s="226"/>
      <c r="G325" s="224" t="s">
        <v>1</v>
      </c>
      <c r="H325" s="224" t="s">
        <v>289</v>
      </c>
      <c r="I325" s="224" t="s">
        <v>22</v>
      </c>
      <c r="J325" s="224">
        <v>70</v>
      </c>
      <c r="K325" s="227">
        <f t="array" ref="K325">IFERROR(INDEX([1]Grille_Tarifs_Modulable!$B$2:$B$204,MATCH(Tableau14[[#This Row],[Designation]]&amp;Tableau14[[#This Row],[CL]],[1]Grille_Tarifs_Modulable!$C$2:$C$204&amp;[1]Grille_Tarifs_Modulable!$F$2:$F$204,0)),0)</f>
        <v>4055800060200</v>
      </c>
      <c r="L325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17.408644000000002</v>
      </c>
      <c r="M325" s="228">
        <f>IF(Tableau14[[#This Row],[Prix_Unit_HT]]=0,0,Tableau14[[#This Row],[Prix_Unit_HT]]+(Tableau14[[#This Row],[Prix_Unit_HT]]*VLOOKUP(Tableau14[[#This Row],[EAN]],[1]Grille_Tarifs_Modulable!$B$10:$Q$204,16,FALSE)))</f>
        <v>20.890372800000002</v>
      </c>
      <c r="N325" s="224">
        <v>6</v>
      </c>
      <c r="O325" s="228">
        <f>ROUND(Tableau14[[#This Row],[Prix_Unit_HT]],2)*Tableau14[[#This Row],[Qte_commande]]</f>
        <v>104.46000000000001</v>
      </c>
      <c r="P325" s="228">
        <f>ROUND(Tableau14[[#This Row],[Prix_Unit_TTC]],2)*Tableau14[[#This Row],[Qte_commande]]</f>
        <v>125.34</v>
      </c>
      <c r="Q325" s="224">
        <v>6</v>
      </c>
      <c r="R325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6.0000000000000009</v>
      </c>
      <c r="U325" s="224"/>
      <c r="V325" s="224"/>
    </row>
    <row r="326" spans="1:22" ht="12.75" x14ac:dyDescent="0.2">
      <c r="A326" s="225">
        <v>42787</v>
      </c>
      <c r="B326" s="224" t="s">
        <v>263</v>
      </c>
      <c r="C326" s="224" t="s">
        <v>198</v>
      </c>
      <c r="D326" s="224" t="s">
        <v>199</v>
      </c>
      <c r="E326" s="226"/>
      <c r="G326" s="224" t="s">
        <v>1</v>
      </c>
      <c r="H326" s="224" t="s">
        <v>196</v>
      </c>
      <c r="I326" s="224" t="s">
        <v>65</v>
      </c>
      <c r="J326" s="224">
        <v>20</v>
      </c>
      <c r="K326" s="227">
        <f t="array" ref="K326">IFERROR(INDEX([1]Grille_Tarifs_Modulable!$B$2:$B$204,MATCH(Tableau14[[#This Row],[Designation]]&amp;Tableau14[[#This Row],[CL]],[1]Grille_Tarifs_Modulable!$C$2:$C$204&amp;[1]Grille_Tarifs_Modulable!$F$2:$F$204,0)),0)</f>
        <v>4260310553863</v>
      </c>
      <c r="L326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0.81</v>
      </c>
      <c r="M326" s="228">
        <f>IF(Tableau14[[#This Row],[Prix_Unit_HT]]=0,0,Tableau14[[#This Row],[Prix_Unit_HT]]+(Tableau14[[#This Row],[Prix_Unit_HT]]*VLOOKUP(Tableau14[[#This Row],[EAN]],[1]Grille_Tarifs_Modulable!$B$10:$Q$204,16,FALSE)))</f>
        <v>0.85455000000000003</v>
      </c>
      <c r="N326" s="224">
        <v>48</v>
      </c>
      <c r="O326" s="228">
        <f>ROUND(Tableau14[[#This Row],[Prix_Unit_HT]],2)*Tableau14[[#This Row],[Qte_commande]]</f>
        <v>38.880000000000003</v>
      </c>
      <c r="P326" s="228">
        <f>ROUND(Tableau14[[#This Row],[Prix_Unit_TTC]],2)*Tableau14[[#This Row],[Qte_commande]]</f>
        <v>40.799999999999997</v>
      </c>
      <c r="Q326" s="224">
        <v>13.71</v>
      </c>
      <c r="R326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13.714285714285715</v>
      </c>
      <c r="U326" s="224"/>
      <c r="V326" s="224"/>
    </row>
    <row r="327" spans="1:22" ht="12.75" x14ac:dyDescent="0.2">
      <c r="A327" s="225">
        <v>42787</v>
      </c>
      <c r="B327" s="224" t="s">
        <v>352</v>
      </c>
      <c r="C327" s="224" t="s">
        <v>308</v>
      </c>
      <c r="D327" s="224" t="s">
        <v>309</v>
      </c>
      <c r="E327" s="226"/>
      <c r="G327" s="224" t="s">
        <v>1</v>
      </c>
      <c r="H327" s="224" t="s">
        <v>196</v>
      </c>
      <c r="I327" s="224" t="s">
        <v>65</v>
      </c>
      <c r="J327" s="224">
        <v>20</v>
      </c>
      <c r="K327" s="227">
        <f t="array" ref="K327">IFERROR(INDEX([1]Grille_Tarifs_Modulable!$B$2:$B$204,MATCH(Tableau14[[#This Row],[Designation]]&amp;Tableau14[[#This Row],[CL]],[1]Grille_Tarifs_Modulable!$C$2:$C$204&amp;[1]Grille_Tarifs_Modulable!$F$2:$F$204,0)),0)</f>
        <v>4260310553863</v>
      </c>
      <c r="L327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0.81</v>
      </c>
      <c r="M327" s="228">
        <f>IF(Tableau14[[#This Row],[Prix_Unit_HT]]=0,0,Tableau14[[#This Row],[Prix_Unit_HT]]+(Tableau14[[#This Row],[Prix_Unit_HT]]*VLOOKUP(Tableau14[[#This Row],[EAN]],[1]Grille_Tarifs_Modulable!$B$10:$Q$204,16,FALSE)))</f>
        <v>0.85455000000000003</v>
      </c>
      <c r="N327" s="224">
        <v>24</v>
      </c>
      <c r="O327" s="228">
        <f>ROUND(Tableau14[[#This Row],[Prix_Unit_HT]],2)*Tableau14[[#This Row],[Qte_commande]]</f>
        <v>19.440000000000001</v>
      </c>
      <c r="P327" s="228">
        <f>ROUND(Tableau14[[#This Row],[Prix_Unit_TTC]],2)*Tableau14[[#This Row],[Qte_commande]]</f>
        <v>20.399999999999999</v>
      </c>
      <c r="Q327" s="224">
        <v>6.86</v>
      </c>
      <c r="R327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6.8571428571428577</v>
      </c>
      <c r="U327" s="224"/>
      <c r="V327" s="224"/>
    </row>
    <row r="328" spans="1:22" ht="12.75" x14ac:dyDescent="0.2">
      <c r="A328" s="225">
        <v>42787</v>
      </c>
      <c r="B328" s="224" t="s">
        <v>263</v>
      </c>
      <c r="C328" s="224" t="s">
        <v>198</v>
      </c>
      <c r="D328" s="224" t="s">
        <v>199</v>
      </c>
      <c r="E328" s="226"/>
      <c r="G328" s="224" t="s">
        <v>1</v>
      </c>
      <c r="H328" s="224" t="s">
        <v>196</v>
      </c>
      <c r="I328" s="224" t="s">
        <v>60</v>
      </c>
      <c r="J328" s="224">
        <v>20</v>
      </c>
      <c r="K328" s="227">
        <f t="array" ref="K328">IFERROR(INDEX([1]Grille_Tarifs_Modulable!$B$2:$B$204,MATCH(Tableau14[[#This Row],[Designation]]&amp;Tableau14[[#This Row],[CL]],[1]Grille_Tarifs_Modulable!$C$2:$C$204&amp;[1]Grille_Tarifs_Modulable!$F$2:$F$204,0)),0)</f>
        <v>4260310553832</v>
      </c>
      <c r="L328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0.81</v>
      </c>
      <c r="M328" s="228">
        <f>IF(Tableau14[[#This Row],[Prix_Unit_HT]]=0,0,Tableau14[[#This Row],[Prix_Unit_HT]]+(Tableau14[[#This Row],[Prix_Unit_HT]]*VLOOKUP(Tableau14[[#This Row],[EAN]],[1]Grille_Tarifs_Modulable!$B$10:$Q$204,16,FALSE)))</f>
        <v>0.85455000000000003</v>
      </c>
      <c r="N328" s="224">
        <v>48</v>
      </c>
      <c r="O328" s="228">
        <f>ROUND(Tableau14[[#This Row],[Prix_Unit_HT]],2)*Tableau14[[#This Row],[Qte_commande]]</f>
        <v>38.880000000000003</v>
      </c>
      <c r="P328" s="228">
        <f>ROUND(Tableau14[[#This Row],[Prix_Unit_TTC]],2)*Tableau14[[#This Row],[Qte_commande]]</f>
        <v>40.799999999999997</v>
      </c>
      <c r="Q328" s="224">
        <v>13.71</v>
      </c>
      <c r="R328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13.714285714285715</v>
      </c>
      <c r="U328" s="224"/>
      <c r="V328" s="224"/>
    </row>
    <row r="329" spans="1:22" ht="12.75" x14ac:dyDescent="0.2">
      <c r="A329" s="225">
        <v>42787</v>
      </c>
      <c r="B329" s="224" t="s">
        <v>352</v>
      </c>
      <c r="C329" s="224" t="s">
        <v>308</v>
      </c>
      <c r="D329" s="224" t="s">
        <v>309</v>
      </c>
      <c r="E329" s="226"/>
      <c r="G329" s="224" t="s">
        <v>1</v>
      </c>
      <c r="H329" s="224" t="s">
        <v>196</v>
      </c>
      <c r="I329" s="224" t="s">
        <v>60</v>
      </c>
      <c r="J329" s="224">
        <v>20</v>
      </c>
      <c r="K329" s="227">
        <f t="array" ref="K329">IFERROR(INDEX([1]Grille_Tarifs_Modulable!$B$2:$B$204,MATCH(Tableau14[[#This Row],[Designation]]&amp;Tableau14[[#This Row],[CL]],[1]Grille_Tarifs_Modulable!$C$2:$C$204&amp;[1]Grille_Tarifs_Modulable!$F$2:$F$204,0)),0)</f>
        <v>4260310553832</v>
      </c>
      <c r="L329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0.81</v>
      </c>
      <c r="M329" s="228">
        <f>IF(Tableau14[[#This Row],[Prix_Unit_HT]]=0,0,Tableau14[[#This Row],[Prix_Unit_HT]]+(Tableau14[[#This Row],[Prix_Unit_HT]]*VLOOKUP(Tableau14[[#This Row],[EAN]],[1]Grille_Tarifs_Modulable!$B$10:$Q$204,16,FALSE)))</f>
        <v>0.85455000000000003</v>
      </c>
      <c r="N329" s="224">
        <v>24</v>
      </c>
      <c r="O329" s="228">
        <f>ROUND(Tableau14[[#This Row],[Prix_Unit_HT]],2)*Tableau14[[#This Row],[Qte_commande]]</f>
        <v>19.440000000000001</v>
      </c>
      <c r="P329" s="228">
        <f>ROUND(Tableau14[[#This Row],[Prix_Unit_TTC]],2)*Tableau14[[#This Row],[Qte_commande]]</f>
        <v>20.399999999999999</v>
      </c>
      <c r="Q329" s="224">
        <v>6.86</v>
      </c>
      <c r="R329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6.8571428571428577</v>
      </c>
      <c r="U329" s="224"/>
      <c r="V329" s="224"/>
    </row>
    <row r="330" spans="1:22" ht="12.75" x14ac:dyDescent="0.2">
      <c r="A330" s="225">
        <v>42787</v>
      </c>
      <c r="B330" s="224" t="s">
        <v>263</v>
      </c>
      <c r="C330" s="224" t="s">
        <v>198</v>
      </c>
      <c r="D330" s="224" t="s">
        <v>199</v>
      </c>
      <c r="E330" s="226"/>
      <c r="G330" s="224" t="s">
        <v>1</v>
      </c>
      <c r="H330" s="224" t="s">
        <v>289</v>
      </c>
      <c r="I330" s="224" t="s">
        <v>15</v>
      </c>
      <c r="J330" s="224">
        <v>100</v>
      </c>
      <c r="K330" s="227">
        <f t="array" ref="K330">IFERROR(INDEX([1]Grille_Tarifs_Modulable!$B$2:$B$204,MATCH(Tableau14[[#This Row],[Designation]]&amp;Tableau14[[#This Row],[CL]],[1]Grille_Tarifs_Modulable!$C$2:$C$204&amp;[1]Grille_Tarifs_Modulable!$F$2:$F$204,0)),0)</f>
        <v>4067700013842</v>
      </c>
      <c r="L330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17.100804999999998</v>
      </c>
      <c r="M330" s="228">
        <f>IF(Tableau14[[#This Row],[Prix_Unit_HT]]=0,0,Tableau14[[#This Row],[Prix_Unit_HT]]+(Tableau14[[#This Row],[Prix_Unit_HT]]*VLOOKUP(Tableau14[[#This Row],[EAN]],[1]Grille_Tarifs_Modulable!$B$10:$Q$204,16,FALSE)))</f>
        <v>20.520965999999998</v>
      </c>
      <c r="N330" s="224">
        <v>6</v>
      </c>
      <c r="O330" s="228">
        <f>ROUND(Tableau14[[#This Row],[Prix_Unit_HT]],2)*Tableau14[[#This Row],[Qte_commande]]</f>
        <v>102.60000000000001</v>
      </c>
      <c r="P330" s="228">
        <f>ROUND(Tableau14[[#This Row],[Prix_Unit_TTC]],2)*Tableau14[[#This Row],[Qte_commande]]</f>
        <v>123.12</v>
      </c>
      <c r="Q330" s="224">
        <v>8.57</v>
      </c>
      <c r="R330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8.5714285714285712</v>
      </c>
      <c r="U330" s="224"/>
      <c r="V330" s="224"/>
    </row>
    <row r="331" spans="1:22" ht="12.75" x14ac:dyDescent="0.2">
      <c r="A331" s="225">
        <v>42787</v>
      </c>
      <c r="B331" s="224" t="s">
        <v>352</v>
      </c>
      <c r="C331" s="224" t="s">
        <v>308</v>
      </c>
      <c r="D331" s="224" t="s">
        <v>309</v>
      </c>
      <c r="E331" s="226"/>
      <c r="G331" s="224" t="s">
        <v>1</v>
      </c>
      <c r="H331" s="224" t="s">
        <v>289</v>
      </c>
      <c r="I331" s="224" t="s">
        <v>15</v>
      </c>
      <c r="J331" s="224">
        <v>100</v>
      </c>
      <c r="K331" s="227">
        <f t="array" ref="K331">IFERROR(INDEX([1]Grille_Tarifs_Modulable!$B$2:$B$204,MATCH(Tableau14[[#This Row],[Designation]]&amp;Tableau14[[#This Row],[CL]],[1]Grille_Tarifs_Modulable!$C$2:$C$204&amp;[1]Grille_Tarifs_Modulable!$F$2:$F$204,0)),0)</f>
        <v>4067700013842</v>
      </c>
      <c r="L331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17.100804999999998</v>
      </c>
      <c r="M331" s="228">
        <f>IF(Tableau14[[#This Row],[Prix_Unit_HT]]=0,0,Tableau14[[#This Row],[Prix_Unit_HT]]+(Tableau14[[#This Row],[Prix_Unit_HT]]*VLOOKUP(Tableau14[[#This Row],[EAN]],[1]Grille_Tarifs_Modulable!$B$10:$Q$204,16,FALSE)))</f>
        <v>20.520965999999998</v>
      </c>
      <c r="N331" s="224">
        <v>90</v>
      </c>
      <c r="O331" s="228">
        <f>ROUND(Tableau14[[#This Row],[Prix_Unit_HT]],2)*Tableau14[[#This Row],[Qte_commande]]</f>
        <v>1539.0000000000002</v>
      </c>
      <c r="P331" s="228">
        <f>ROUND(Tableau14[[#This Row],[Prix_Unit_TTC]],2)*Tableau14[[#This Row],[Qte_commande]]</f>
        <v>1846.8</v>
      </c>
      <c r="Q331" s="224">
        <v>128.57</v>
      </c>
      <c r="R331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128.57142857142858</v>
      </c>
      <c r="U331" s="224"/>
      <c r="V331" s="224"/>
    </row>
    <row r="332" spans="1:22" ht="12.75" x14ac:dyDescent="0.2">
      <c r="A332" s="225">
        <v>42787</v>
      </c>
      <c r="B332" s="224" t="s">
        <v>263</v>
      </c>
      <c r="C332" s="224" t="s">
        <v>198</v>
      </c>
      <c r="D332" s="224" t="s">
        <v>199</v>
      </c>
      <c r="E332" s="226"/>
      <c r="G332" s="224" t="s">
        <v>1</v>
      </c>
      <c r="H332" s="224" t="s">
        <v>196</v>
      </c>
      <c r="I332" s="224" t="s">
        <v>66</v>
      </c>
      <c r="J332" s="224">
        <v>50</v>
      </c>
      <c r="K332" s="227">
        <f t="array" ref="K332">IFERROR(INDEX([1]Grille_Tarifs_Modulable!$B$2:$B$204,MATCH(Tableau14[[#This Row],[Designation]]&amp;Tableau14[[#This Row],[CL]],[1]Grille_Tarifs_Modulable!$C$2:$C$204&amp;[1]Grille_Tarifs_Modulable!$F$2:$F$204,0)),0)</f>
        <v>4260310553382</v>
      </c>
      <c r="L332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</v>
      </c>
      <c r="M332" s="228">
        <f>IF(Tableau14[[#This Row],[Prix_Unit_HT]]=0,0,Tableau14[[#This Row],[Prix_Unit_HT]]+(Tableau14[[#This Row],[Prix_Unit_HT]]*VLOOKUP(Tableau14[[#This Row],[EAN]],[1]Grille_Tarifs_Modulable!$B$10:$Q$204,16,FALSE)))</f>
        <v>1.0549999999999999</v>
      </c>
      <c r="N332" s="224">
        <v>60</v>
      </c>
      <c r="O332" s="228">
        <f>ROUND(Tableau14[[#This Row],[Prix_Unit_HT]],2)*Tableau14[[#This Row],[Qte_commande]]</f>
        <v>60</v>
      </c>
      <c r="P332" s="228">
        <f>ROUND(Tableau14[[#This Row],[Prix_Unit_TTC]],2)*Tableau14[[#This Row],[Qte_commande]]</f>
        <v>63.6</v>
      </c>
      <c r="Q332" s="224">
        <v>42.86</v>
      </c>
      <c r="R332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42.857142857142861</v>
      </c>
      <c r="U332" s="224"/>
      <c r="V332" s="224"/>
    </row>
    <row r="333" spans="1:22" ht="12.75" x14ac:dyDescent="0.2">
      <c r="A333" s="225">
        <v>42787</v>
      </c>
      <c r="B333" s="224" t="s">
        <v>263</v>
      </c>
      <c r="C333" s="224" t="s">
        <v>198</v>
      </c>
      <c r="D333" s="224" t="s">
        <v>199</v>
      </c>
      <c r="E333" s="226"/>
      <c r="G333" s="224" t="s">
        <v>1</v>
      </c>
      <c r="H333" s="224" t="s">
        <v>196</v>
      </c>
      <c r="I333" s="224" t="s">
        <v>66</v>
      </c>
      <c r="J333" s="224">
        <v>50</v>
      </c>
      <c r="K333" s="227">
        <f t="array" ref="K333">IFERROR(INDEX([1]Grille_Tarifs_Modulable!$B$2:$B$204,MATCH(Tableau14[[#This Row],[Designation]]&amp;Tableau14[[#This Row],[CL]],[1]Grille_Tarifs_Modulable!$C$2:$C$204&amp;[1]Grille_Tarifs_Modulable!$F$2:$F$204,0)),0)</f>
        <v>4260310553382</v>
      </c>
      <c r="L333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</v>
      </c>
      <c r="M333" s="228">
        <f>IF(Tableau14[[#This Row],[Prix_Unit_HT]]=0,0,Tableau14[[#This Row],[Prix_Unit_HT]]+(Tableau14[[#This Row],[Prix_Unit_HT]]*VLOOKUP(Tableau14[[#This Row],[EAN]],[1]Grille_Tarifs_Modulable!$B$10:$Q$204,16,FALSE)))</f>
        <v>1.0549999999999999</v>
      </c>
      <c r="N333" s="224">
        <v>20</v>
      </c>
      <c r="O333" s="228">
        <f>ROUND(Tableau14[[#This Row],[Prix_Unit_HT]],2)*Tableau14[[#This Row],[Qte_commande]]</f>
        <v>20</v>
      </c>
      <c r="P333" s="228">
        <f>ROUND(Tableau14[[#This Row],[Prix_Unit_TTC]],2)*Tableau14[[#This Row],[Qte_commande]]</f>
        <v>21.200000000000003</v>
      </c>
      <c r="Q333" s="224">
        <v>14.29</v>
      </c>
      <c r="R333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14.285714285714286</v>
      </c>
      <c r="U333" s="224"/>
      <c r="V333" s="224"/>
    </row>
    <row r="334" spans="1:22" ht="12.75" x14ac:dyDescent="0.2">
      <c r="A334" s="225">
        <v>42787</v>
      </c>
      <c r="B334" s="224" t="s">
        <v>352</v>
      </c>
      <c r="C334" s="224" t="s">
        <v>308</v>
      </c>
      <c r="D334" s="224" t="s">
        <v>309</v>
      </c>
      <c r="E334" s="226"/>
      <c r="G334" s="224" t="s">
        <v>1</v>
      </c>
      <c r="H334" s="224" t="s">
        <v>196</v>
      </c>
      <c r="I334" s="224" t="s">
        <v>66</v>
      </c>
      <c r="J334" s="224">
        <v>50</v>
      </c>
      <c r="K334" s="227">
        <f t="array" ref="K334">IFERROR(INDEX([1]Grille_Tarifs_Modulable!$B$2:$B$204,MATCH(Tableau14[[#This Row],[Designation]]&amp;Tableau14[[#This Row],[CL]],[1]Grille_Tarifs_Modulable!$C$2:$C$204&amp;[1]Grille_Tarifs_Modulable!$F$2:$F$204,0)),0)</f>
        <v>4260310553382</v>
      </c>
      <c r="L334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</v>
      </c>
      <c r="M334" s="228">
        <f>IF(Tableau14[[#This Row],[Prix_Unit_HT]]=0,0,Tableau14[[#This Row],[Prix_Unit_HT]]+(Tableau14[[#This Row],[Prix_Unit_HT]]*VLOOKUP(Tableau14[[#This Row],[EAN]],[1]Grille_Tarifs_Modulable!$B$10:$Q$204,16,FALSE)))</f>
        <v>1.0549999999999999</v>
      </c>
      <c r="N334" s="224">
        <v>200</v>
      </c>
      <c r="O334" s="228">
        <f>ROUND(Tableau14[[#This Row],[Prix_Unit_HT]],2)*Tableau14[[#This Row],[Qte_commande]]</f>
        <v>200</v>
      </c>
      <c r="P334" s="228">
        <f>ROUND(Tableau14[[#This Row],[Prix_Unit_TTC]],2)*Tableau14[[#This Row],[Qte_commande]]</f>
        <v>212</v>
      </c>
      <c r="Q334" s="224">
        <v>142.86000000000001</v>
      </c>
      <c r="R334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142.85714285714286</v>
      </c>
      <c r="U334" s="224"/>
      <c r="V334" s="224"/>
    </row>
    <row r="335" spans="1:22" ht="12.75" x14ac:dyDescent="0.2">
      <c r="A335" s="225">
        <v>42787</v>
      </c>
      <c r="B335" s="224" t="s">
        <v>352</v>
      </c>
      <c r="C335" s="224" t="s">
        <v>308</v>
      </c>
      <c r="D335" s="224" t="s">
        <v>309</v>
      </c>
      <c r="E335" s="226"/>
      <c r="G335" s="224" t="s">
        <v>1</v>
      </c>
      <c r="H335" s="224" t="s">
        <v>289</v>
      </c>
      <c r="I335" s="224" t="s">
        <v>34</v>
      </c>
      <c r="J335" s="224">
        <v>70</v>
      </c>
      <c r="K335" s="227">
        <f t="array" ref="K335">IFERROR(INDEX([1]Grille_Tarifs_Modulable!$B$2:$B$204,MATCH(Tableau14[[#This Row],[Designation]]&amp;Tableau14[[#This Row],[CL]],[1]Grille_Tarifs_Modulable!$C$2:$C$204&amp;[1]Grille_Tarifs_Modulable!$F$2:$F$204,0)),0)</f>
        <v>3257150100167</v>
      </c>
      <c r="L335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27.618644000000003</v>
      </c>
      <c r="M335" s="228">
        <f>IF(Tableau14[[#This Row],[Prix_Unit_HT]]=0,0,Tableau14[[#This Row],[Prix_Unit_HT]]+(Tableau14[[#This Row],[Prix_Unit_HT]]*VLOOKUP(Tableau14[[#This Row],[EAN]],[1]Grille_Tarifs_Modulable!$B$10:$Q$204,16,FALSE)))</f>
        <v>33.142372800000004</v>
      </c>
      <c r="N335" s="224">
        <v>6</v>
      </c>
      <c r="O335" s="228">
        <f>ROUND(Tableau14[[#This Row],[Prix_Unit_HT]],2)*Tableau14[[#This Row],[Qte_commande]]</f>
        <v>165.72</v>
      </c>
      <c r="P335" s="228">
        <f>ROUND(Tableau14[[#This Row],[Prix_Unit_TTC]],2)*Tableau14[[#This Row],[Qte_commande]]</f>
        <v>198.84</v>
      </c>
      <c r="Q335" s="224">
        <v>6</v>
      </c>
      <c r="R335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6.0000000000000009</v>
      </c>
      <c r="U335" s="224"/>
      <c r="V335" s="224"/>
    </row>
    <row r="336" spans="1:22" ht="12.75" x14ac:dyDescent="0.2">
      <c r="A336" s="225">
        <v>42787</v>
      </c>
      <c r="B336" s="224" t="s">
        <v>263</v>
      </c>
      <c r="C336" s="224" t="s">
        <v>198</v>
      </c>
      <c r="D336" s="224" t="s">
        <v>199</v>
      </c>
      <c r="E336" s="226"/>
      <c r="G336" s="224" t="s">
        <v>1</v>
      </c>
      <c r="H336" s="224" t="s">
        <v>289</v>
      </c>
      <c r="I336" s="224" t="s">
        <v>44</v>
      </c>
      <c r="J336" s="224">
        <v>50</v>
      </c>
      <c r="K336" s="227">
        <f t="array" ref="K336">IFERROR(INDEX([1]Grille_Tarifs_Modulable!$B$2:$B$204,MATCH(Tableau14[[#This Row],[Designation]]&amp;Tableau14[[#This Row],[CL]],[1]Grille_Tarifs_Modulable!$C$2:$C$204&amp;[1]Grille_Tarifs_Modulable!$F$2:$F$204,0)),0)</f>
        <v>4260270192645</v>
      </c>
      <c r="L336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25.192506000000002</v>
      </c>
      <c r="M336" s="228">
        <f>IF(Tableau14[[#This Row],[Prix_Unit_HT]]=0,0,Tableau14[[#This Row],[Prix_Unit_HT]]+(Tableau14[[#This Row],[Prix_Unit_HT]]*VLOOKUP(Tableau14[[#This Row],[EAN]],[1]Grille_Tarifs_Modulable!$B$10:$Q$204,16,FALSE)))</f>
        <v>30.231007200000001</v>
      </c>
      <c r="N336" s="224">
        <v>6</v>
      </c>
      <c r="O336" s="228">
        <f>ROUND(Tableau14[[#This Row],[Prix_Unit_HT]],2)*Tableau14[[#This Row],[Qte_commande]]</f>
        <v>151.14000000000001</v>
      </c>
      <c r="P336" s="228">
        <f>ROUND(Tableau14[[#This Row],[Prix_Unit_TTC]],2)*Tableau14[[#This Row],[Qte_commande]]</f>
        <v>181.38</v>
      </c>
      <c r="Q336" s="224">
        <v>4.29</v>
      </c>
      <c r="R336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4.2857142857142856</v>
      </c>
      <c r="U336" s="224"/>
      <c r="V336" s="224"/>
    </row>
    <row r="337" spans="1:22" ht="12.75" x14ac:dyDescent="0.2">
      <c r="A337" s="225">
        <v>42787</v>
      </c>
      <c r="B337" s="224" t="s">
        <v>352</v>
      </c>
      <c r="C337" s="224" t="s">
        <v>308</v>
      </c>
      <c r="D337" s="224" t="s">
        <v>309</v>
      </c>
      <c r="E337" s="226"/>
      <c r="G337" s="224" t="s">
        <v>1</v>
      </c>
      <c r="H337" s="224" t="s">
        <v>289</v>
      </c>
      <c r="I337" s="224" t="s">
        <v>44</v>
      </c>
      <c r="J337" s="224">
        <v>50</v>
      </c>
      <c r="K337" s="227">
        <f t="array" ref="K337">IFERROR(INDEX([1]Grille_Tarifs_Modulable!$B$2:$B$204,MATCH(Tableau14[[#This Row],[Designation]]&amp;Tableau14[[#This Row],[CL]],[1]Grille_Tarifs_Modulable!$C$2:$C$204&amp;[1]Grille_Tarifs_Modulable!$F$2:$F$204,0)),0)</f>
        <v>4260270192645</v>
      </c>
      <c r="L337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25.192506000000002</v>
      </c>
      <c r="M337" s="228">
        <f>IF(Tableau14[[#This Row],[Prix_Unit_HT]]=0,0,Tableau14[[#This Row],[Prix_Unit_HT]]+(Tableau14[[#This Row],[Prix_Unit_HT]]*VLOOKUP(Tableau14[[#This Row],[EAN]],[1]Grille_Tarifs_Modulable!$B$10:$Q$204,16,FALSE)))</f>
        <v>30.231007200000001</v>
      </c>
      <c r="N337" s="224">
        <v>6</v>
      </c>
      <c r="O337" s="228">
        <f>ROUND(Tableau14[[#This Row],[Prix_Unit_HT]],2)*Tableau14[[#This Row],[Qte_commande]]</f>
        <v>151.14000000000001</v>
      </c>
      <c r="P337" s="228">
        <f>ROUND(Tableau14[[#This Row],[Prix_Unit_TTC]],2)*Tableau14[[#This Row],[Qte_commande]]</f>
        <v>181.38</v>
      </c>
      <c r="Q337" s="224">
        <v>4.29</v>
      </c>
      <c r="R337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4.2857142857142856</v>
      </c>
      <c r="U337" s="224"/>
      <c r="V337" s="224"/>
    </row>
    <row r="338" spans="1:22" ht="12.75" x14ac:dyDescent="0.2">
      <c r="A338" s="225">
        <v>42787</v>
      </c>
      <c r="B338" s="224" t="s">
        <v>263</v>
      </c>
      <c r="C338" s="224" t="s">
        <v>198</v>
      </c>
      <c r="D338" s="224" t="s">
        <v>199</v>
      </c>
      <c r="E338" s="226"/>
      <c r="G338" s="224" t="s">
        <v>1</v>
      </c>
      <c r="H338" s="224" t="s">
        <v>289</v>
      </c>
      <c r="I338" s="224" t="s">
        <v>25</v>
      </c>
      <c r="J338" s="224">
        <v>100</v>
      </c>
      <c r="K338" s="227">
        <f t="array" ref="K338">IFERROR(INDEX([1]Grille_Tarifs_Modulable!$B$2:$B$204,MATCH(Tableau14[[#This Row],[Designation]]&amp;Tableau14[[#This Row],[CL]],[1]Grille_Tarifs_Modulable!$C$2:$C$204&amp;[1]Grille_Tarifs_Modulable!$F$2:$F$204,0)),0)</f>
        <v>3257150410167</v>
      </c>
      <c r="L338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15.778874</v>
      </c>
      <c r="M338" s="228">
        <f>IF(Tableau14[[#This Row],[Prix_Unit_HT]]=0,0,Tableau14[[#This Row],[Prix_Unit_HT]]+(Tableau14[[#This Row],[Prix_Unit_HT]]*VLOOKUP(Tableau14[[#This Row],[EAN]],[1]Grille_Tarifs_Modulable!$B$10:$Q$204,16,FALSE)))</f>
        <v>18.934648800000002</v>
      </c>
      <c r="N338" s="224">
        <v>6</v>
      </c>
      <c r="O338" s="228">
        <f>ROUND(Tableau14[[#This Row],[Prix_Unit_HT]],2)*Tableau14[[#This Row],[Qte_commande]]</f>
        <v>94.679999999999993</v>
      </c>
      <c r="P338" s="228">
        <f>ROUND(Tableau14[[#This Row],[Prix_Unit_TTC]],2)*Tableau14[[#This Row],[Qte_commande]]</f>
        <v>113.58</v>
      </c>
      <c r="Q338" s="224">
        <v>8.57</v>
      </c>
      <c r="R338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8.5714285714285712</v>
      </c>
      <c r="U338" s="224"/>
      <c r="V338" s="224"/>
    </row>
    <row r="339" spans="1:22" ht="12.75" x14ac:dyDescent="0.2">
      <c r="A339" s="225">
        <v>42787</v>
      </c>
      <c r="B339" s="224" t="s">
        <v>937</v>
      </c>
      <c r="C339" s="224" t="s">
        <v>301</v>
      </c>
      <c r="D339" s="224" t="s">
        <v>302</v>
      </c>
      <c r="E339" s="226"/>
      <c r="G339" s="224" t="s">
        <v>1</v>
      </c>
      <c r="H339" s="224" t="s">
        <v>289</v>
      </c>
      <c r="I339" s="224" t="s">
        <v>931</v>
      </c>
      <c r="J339" s="224">
        <v>100</v>
      </c>
      <c r="K339" s="227">
        <f t="array" ref="K339">IFERROR(INDEX([1]Grille_Tarifs_Modulable!$B$2:$B$204,MATCH(Tableau14[[#This Row],[Designation]]&amp;Tableau14[[#This Row],[CL]],[1]Grille_Tarifs_Modulable!$C$2:$C$204&amp;[1]Grille_Tarifs_Modulable!$F$2:$F$204,0)),0)</f>
        <v>0</v>
      </c>
      <c r="L339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</v>
      </c>
      <c r="M339" s="228">
        <f>IF(Tableau14[[#This Row],[Prix_Unit_HT]]=0,0,Tableau14[[#This Row],[Prix_Unit_HT]]+(Tableau14[[#This Row],[Prix_Unit_HT]]*VLOOKUP(Tableau14[[#This Row],[EAN]],[1]Grille_Tarifs_Modulable!$B$10:$Q$204,16,FALSE)))</f>
        <v>0</v>
      </c>
      <c r="N339" s="224">
        <v>36</v>
      </c>
      <c r="O339" s="228">
        <f>ROUND(Tableau14[[#This Row],[Prix_Unit_HT]],2)*Tableau14[[#This Row],[Qte_commande]]</f>
        <v>0</v>
      </c>
      <c r="P339" s="228">
        <f>ROUND(Tableau14[[#This Row],[Prix_Unit_TTC]],2)*Tableau14[[#This Row],[Qte_commande]]</f>
        <v>0</v>
      </c>
      <c r="Q339" s="224">
        <v>51.43</v>
      </c>
      <c r="R339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51.428571428571431</v>
      </c>
      <c r="U339" s="224"/>
      <c r="V339" s="224"/>
    </row>
    <row r="340" spans="1:22" ht="12.75" x14ac:dyDescent="0.2">
      <c r="A340" s="225">
        <v>42787</v>
      </c>
      <c r="B340" s="224" t="s">
        <v>263</v>
      </c>
      <c r="C340" s="224" t="s">
        <v>198</v>
      </c>
      <c r="D340" s="224" t="s">
        <v>199</v>
      </c>
      <c r="E340" s="226"/>
      <c r="G340" s="224" t="s">
        <v>1</v>
      </c>
      <c r="H340" s="224" t="s">
        <v>196</v>
      </c>
      <c r="I340" s="224" t="s">
        <v>64</v>
      </c>
      <c r="J340" s="224">
        <v>20</v>
      </c>
      <c r="K340" s="227">
        <f t="array" ref="K340">IFERROR(INDEX([1]Grille_Tarifs_Modulable!$B$2:$B$204,MATCH(Tableau14[[#This Row],[Designation]]&amp;Tableau14[[#This Row],[CL]],[1]Grille_Tarifs_Modulable!$C$2:$C$204&amp;[1]Grille_Tarifs_Modulable!$F$2:$F$204,0)),0)</f>
        <v>4260310553849</v>
      </c>
      <c r="L340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0.81</v>
      </c>
      <c r="M340" s="228">
        <f>IF(Tableau14[[#This Row],[Prix_Unit_HT]]=0,0,Tableau14[[#This Row],[Prix_Unit_HT]]+(Tableau14[[#This Row],[Prix_Unit_HT]]*VLOOKUP(Tableau14[[#This Row],[EAN]],[1]Grille_Tarifs_Modulable!$B$10:$Q$204,16,FALSE)))</f>
        <v>0.85455000000000003</v>
      </c>
      <c r="N340" s="224">
        <v>24</v>
      </c>
      <c r="O340" s="228">
        <f>ROUND(Tableau14[[#This Row],[Prix_Unit_HT]],2)*Tableau14[[#This Row],[Qte_commande]]</f>
        <v>19.440000000000001</v>
      </c>
      <c r="P340" s="228">
        <f>ROUND(Tableau14[[#This Row],[Prix_Unit_TTC]],2)*Tableau14[[#This Row],[Qte_commande]]</f>
        <v>20.399999999999999</v>
      </c>
      <c r="Q340" s="224">
        <v>6.86</v>
      </c>
      <c r="R340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6.8571428571428577</v>
      </c>
      <c r="U340" s="224"/>
      <c r="V340" s="224"/>
    </row>
    <row r="341" spans="1:22" ht="12.75" x14ac:dyDescent="0.2">
      <c r="A341" s="225">
        <v>42787</v>
      </c>
      <c r="B341" s="224" t="s">
        <v>352</v>
      </c>
      <c r="C341" s="224" t="s">
        <v>308</v>
      </c>
      <c r="D341" s="224" t="s">
        <v>309</v>
      </c>
      <c r="E341" s="226"/>
      <c r="G341" s="224" t="s">
        <v>1</v>
      </c>
      <c r="H341" s="224" t="s">
        <v>196</v>
      </c>
      <c r="I341" s="224" t="s">
        <v>59</v>
      </c>
      <c r="J341" s="224">
        <v>20</v>
      </c>
      <c r="K341" s="227">
        <f t="array" ref="K341">IFERROR(INDEX([1]Grille_Tarifs_Modulable!$B$2:$B$204,MATCH(Tableau14[[#This Row],[Designation]]&amp;Tableau14[[#This Row],[CL]],[1]Grille_Tarifs_Modulable!$C$2:$C$204&amp;[1]Grille_Tarifs_Modulable!$F$2:$F$204,0)),0)</f>
        <v>4260310553818</v>
      </c>
      <c r="L341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0.81</v>
      </c>
      <c r="M341" s="228">
        <f>IF(Tableau14[[#This Row],[Prix_Unit_HT]]=0,0,Tableau14[[#This Row],[Prix_Unit_HT]]+(Tableau14[[#This Row],[Prix_Unit_HT]]*VLOOKUP(Tableau14[[#This Row],[EAN]],[1]Grille_Tarifs_Modulable!$B$10:$Q$204,16,FALSE)))</f>
        <v>0.85455000000000003</v>
      </c>
      <c r="N341" s="224">
        <v>24</v>
      </c>
      <c r="O341" s="228">
        <f>ROUND(Tableau14[[#This Row],[Prix_Unit_HT]],2)*Tableau14[[#This Row],[Qte_commande]]</f>
        <v>19.440000000000001</v>
      </c>
      <c r="P341" s="228">
        <f>ROUND(Tableau14[[#This Row],[Prix_Unit_TTC]],2)*Tableau14[[#This Row],[Qte_commande]]</f>
        <v>20.399999999999999</v>
      </c>
      <c r="Q341" s="224">
        <v>6.86</v>
      </c>
      <c r="R341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6.8571428571428577</v>
      </c>
      <c r="U341" s="224"/>
      <c r="V341" s="224"/>
    </row>
    <row r="342" spans="1:22" ht="12.75" x14ac:dyDescent="0.2">
      <c r="A342" s="225">
        <v>42787</v>
      </c>
      <c r="B342" s="224" t="s">
        <v>352</v>
      </c>
      <c r="C342" s="224" t="s">
        <v>308</v>
      </c>
      <c r="D342" s="224" t="s">
        <v>309</v>
      </c>
      <c r="E342" s="226"/>
      <c r="G342" s="224" t="s">
        <v>1</v>
      </c>
      <c r="H342" s="224" t="s">
        <v>289</v>
      </c>
      <c r="I342" s="224" t="s">
        <v>1352</v>
      </c>
      <c r="J342" s="224">
        <v>70</v>
      </c>
      <c r="K342" s="227">
        <f t="array" ref="K342">IFERROR(INDEX([1]Grille_Tarifs_Modulable!$B$2:$B$204,MATCH(Tableau14[[#This Row],[Designation]]&amp;Tableau14[[#This Row],[CL]],[1]Grille_Tarifs_Modulable!$C$2:$C$204&amp;[1]Grille_Tarifs_Modulable!$F$2:$F$204,0)),0)</f>
        <v>0</v>
      </c>
      <c r="L342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</v>
      </c>
      <c r="M342" s="228">
        <f>IF(Tableau14[[#This Row],[Prix_Unit_HT]]=0,0,Tableau14[[#This Row],[Prix_Unit_HT]]+(Tableau14[[#This Row],[Prix_Unit_HT]]*VLOOKUP(Tableau14[[#This Row],[EAN]],[1]Grille_Tarifs_Modulable!$B$10:$Q$204,16,FALSE)))</f>
        <v>0</v>
      </c>
      <c r="N342" s="224">
        <v>6</v>
      </c>
      <c r="O342" s="228">
        <f>ROUND(Tableau14[[#This Row],[Prix_Unit_HT]],2)*Tableau14[[#This Row],[Qte_commande]]</f>
        <v>0</v>
      </c>
      <c r="P342" s="228">
        <f>ROUND(Tableau14[[#This Row],[Prix_Unit_TTC]],2)*Tableau14[[#This Row],[Qte_commande]]</f>
        <v>0</v>
      </c>
      <c r="Q342" s="224">
        <v>6</v>
      </c>
      <c r="R342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6.0000000000000009</v>
      </c>
      <c r="U342" s="224"/>
      <c r="V342" s="224"/>
    </row>
    <row r="343" spans="1:22" ht="12.75" x14ac:dyDescent="0.2">
      <c r="A343" s="225">
        <v>42787</v>
      </c>
      <c r="B343" s="224" t="s">
        <v>937</v>
      </c>
      <c r="C343" s="224" t="s">
        <v>301</v>
      </c>
      <c r="D343" s="224" t="s">
        <v>302</v>
      </c>
      <c r="E343" s="226"/>
      <c r="G343" s="224" t="s">
        <v>1</v>
      </c>
      <c r="H343" s="224" t="s">
        <v>289</v>
      </c>
      <c r="I343" s="224" t="s">
        <v>1357</v>
      </c>
      <c r="J343" s="224">
        <v>70</v>
      </c>
      <c r="K343" s="227">
        <f t="array" ref="K343">IFERROR(INDEX([1]Grille_Tarifs_Modulable!$B$2:$B$204,MATCH(Tableau14[[#This Row],[Designation]]&amp;Tableau14[[#This Row],[CL]],[1]Grille_Tarifs_Modulable!$C$2:$C$204&amp;[1]Grille_Tarifs_Modulable!$F$2:$F$204,0)),0)</f>
        <v>0</v>
      </c>
      <c r="L343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</v>
      </c>
      <c r="M343" s="228">
        <f>IF(Tableau14[[#This Row],[Prix_Unit_HT]]=0,0,Tableau14[[#This Row],[Prix_Unit_HT]]+(Tableau14[[#This Row],[Prix_Unit_HT]]*VLOOKUP(Tableau14[[#This Row],[EAN]],[1]Grille_Tarifs_Modulable!$B$10:$Q$204,16,FALSE)))</f>
        <v>0</v>
      </c>
      <c r="N343" s="224">
        <v>6</v>
      </c>
      <c r="O343" s="228">
        <f>ROUND(Tableau14[[#This Row],[Prix_Unit_HT]],2)*Tableau14[[#This Row],[Qte_commande]]</f>
        <v>0</v>
      </c>
      <c r="P343" s="228">
        <f>ROUND(Tableau14[[#This Row],[Prix_Unit_TTC]],2)*Tableau14[[#This Row],[Qte_commande]]</f>
        <v>0</v>
      </c>
      <c r="Q343" s="224">
        <v>6</v>
      </c>
      <c r="R343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6.0000000000000009</v>
      </c>
      <c r="U343" s="224"/>
      <c r="V343" s="224"/>
    </row>
    <row r="344" spans="1:22" ht="12.75" x14ac:dyDescent="0.2">
      <c r="A344" s="225">
        <v>42788</v>
      </c>
      <c r="B344" s="224" t="s">
        <v>1354</v>
      </c>
      <c r="C344" s="224" t="s">
        <v>214</v>
      </c>
      <c r="D344" s="224" t="s">
        <v>215</v>
      </c>
      <c r="E344" s="226"/>
      <c r="G344" s="224" t="s">
        <v>1</v>
      </c>
      <c r="H344" s="224" t="s">
        <v>289</v>
      </c>
      <c r="I344" s="224" t="s">
        <v>1352</v>
      </c>
      <c r="J344" s="224">
        <v>70</v>
      </c>
      <c r="K344" s="227">
        <f t="array" ref="K344">IFERROR(INDEX([1]Grille_Tarifs_Modulable!$B$2:$B$204,MATCH(Tableau14[[#This Row],[Designation]]&amp;Tableau14[[#This Row],[CL]],[1]Grille_Tarifs_Modulable!$C$2:$C$204&amp;[1]Grille_Tarifs_Modulable!$F$2:$F$204,0)),0)</f>
        <v>0</v>
      </c>
      <c r="L344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</v>
      </c>
      <c r="M344" s="228">
        <f>IF(Tableau14[[#This Row],[Prix_Unit_HT]]=0,0,Tableau14[[#This Row],[Prix_Unit_HT]]+(Tableau14[[#This Row],[Prix_Unit_HT]]*VLOOKUP(Tableau14[[#This Row],[EAN]],[1]Grille_Tarifs_Modulable!$B$10:$Q$204,16,FALSE)))</f>
        <v>0</v>
      </c>
      <c r="N344" s="224">
        <v>60</v>
      </c>
      <c r="O344" s="228">
        <f>ROUND(Tableau14[[#This Row],[Prix_Unit_HT]],2)*Tableau14[[#This Row],[Qte_commande]]</f>
        <v>0</v>
      </c>
      <c r="P344" s="228">
        <f>ROUND(Tableau14[[#This Row],[Prix_Unit_TTC]],2)*Tableau14[[#This Row],[Qte_commande]]</f>
        <v>0</v>
      </c>
      <c r="Q344" s="224">
        <v>60</v>
      </c>
      <c r="R344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60.000000000000007</v>
      </c>
      <c r="U344" s="224"/>
      <c r="V344" s="224"/>
    </row>
    <row r="345" spans="1:22" ht="12.75" x14ac:dyDescent="0.2">
      <c r="A345" s="225">
        <v>42788</v>
      </c>
      <c r="B345" s="224" t="s">
        <v>1354</v>
      </c>
      <c r="C345" s="224" t="s">
        <v>214</v>
      </c>
      <c r="D345" s="224" t="s">
        <v>215</v>
      </c>
      <c r="E345" s="226"/>
      <c r="G345" s="224" t="s">
        <v>1</v>
      </c>
      <c r="H345" s="224" t="s">
        <v>289</v>
      </c>
      <c r="I345" s="224" t="s">
        <v>1352</v>
      </c>
      <c r="J345" s="224">
        <v>100</v>
      </c>
      <c r="K345" s="227">
        <f t="array" ref="K345">IFERROR(INDEX([1]Grille_Tarifs_Modulable!$B$2:$B$204,MATCH(Tableau14[[#This Row],[Designation]]&amp;Tableau14[[#This Row],[CL]],[1]Grille_Tarifs_Modulable!$C$2:$C$204&amp;[1]Grille_Tarifs_Modulable!$F$2:$F$204,0)),0)</f>
        <v>4603514006849</v>
      </c>
      <c r="L345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17.370920000000002</v>
      </c>
      <c r="M345" s="228">
        <f>IF(Tableau14[[#This Row],[Prix_Unit_HT]]=0,0,Tableau14[[#This Row],[Prix_Unit_HT]]+(Tableau14[[#This Row],[Prix_Unit_HT]]*VLOOKUP(Tableau14[[#This Row],[EAN]],[1]Grille_Tarifs_Modulable!$B$10:$Q$204,16,FALSE)))</f>
        <v>20.845104000000003</v>
      </c>
      <c r="N345" s="224">
        <v>60</v>
      </c>
      <c r="O345" s="228">
        <f>ROUND(Tableau14[[#This Row],[Prix_Unit_HT]],2)*Tableau14[[#This Row],[Qte_commande]]</f>
        <v>1042.2</v>
      </c>
      <c r="P345" s="228">
        <f>ROUND(Tableau14[[#This Row],[Prix_Unit_TTC]],2)*Tableau14[[#This Row],[Qte_commande]]</f>
        <v>1251</v>
      </c>
      <c r="Q345" s="224">
        <v>85.71</v>
      </c>
      <c r="R345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85.714285714285722</v>
      </c>
      <c r="U345" s="224"/>
      <c r="V345" s="224"/>
    </row>
    <row r="346" spans="1:22" ht="12.75" x14ac:dyDescent="0.2">
      <c r="A346" s="225">
        <v>42793</v>
      </c>
      <c r="B346" s="224" t="s">
        <v>291</v>
      </c>
      <c r="C346" s="224" t="s">
        <v>287</v>
      </c>
      <c r="D346" s="224" t="s">
        <v>288</v>
      </c>
      <c r="E346" s="226"/>
      <c r="G346" s="224"/>
      <c r="H346" s="224" t="s">
        <v>289</v>
      </c>
      <c r="I346" s="224" t="s">
        <v>290</v>
      </c>
      <c r="J346" s="224">
        <v>70</v>
      </c>
      <c r="K346" s="227">
        <f t="array" ref="K346">IFERROR(INDEX([1]Grille_Tarifs_Modulable!$B$2:$B$204,MATCH(Tableau14[[#This Row],[Designation]]&amp;Tableau14[[#This Row],[CL]],[1]Grille_Tarifs_Modulable!$C$2:$C$204&amp;[1]Grille_Tarifs_Modulable!$F$2:$F$204,0)),0)</f>
        <v>0</v>
      </c>
      <c r="L346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</v>
      </c>
      <c r="M346" s="228">
        <f>IF(Tableau14[[#This Row],[Prix_Unit_HT]]=0,0,Tableau14[[#This Row],[Prix_Unit_HT]]+(Tableau14[[#This Row],[Prix_Unit_HT]]*VLOOKUP(Tableau14[[#This Row],[EAN]],[1]Grille_Tarifs_Modulable!$B$10:$Q$204,16,FALSE)))</f>
        <v>0</v>
      </c>
      <c r="N346" s="224">
        <v>12</v>
      </c>
      <c r="O346" s="228">
        <f>ROUND(Tableau14[[#This Row],[Prix_Unit_HT]],2)*Tableau14[[#This Row],[Qte_commande]]</f>
        <v>0</v>
      </c>
      <c r="P346" s="228">
        <f>ROUND(Tableau14[[#This Row],[Prix_Unit_TTC]],2)*Tableau14[[#This Row],[Qte_commande]]</f>
        <v>0</v>
      </c>
      <c r="Q346" s="224">
        <v>12</v>
      </c>
      <c r="R346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12.000000000000002</v>
      </c>
      <c r="U346" s="224"/>
      <c r="V346" s="224"/>
    </row>
    <row r="347" spans="1:22" ht="12.75" x14ac:dyDescent="0.2">
      <c r="A347" s="225">
        <v>42793</v>
      </c>
      <c r="B347" s="224" t="s">
        <v>291</v>
      </c>
      <c r="C347" s="224" t="s">
        <v>903</v>
      </c>
      <c r="D347" s="224" t="s">
        <v>288</v>
      </c>
      <c r="E347" s="226"/>
      <c r="F347" s="224" t="s">
        <v>504</v>
      </c>
      <c r="G347" s="224"/>
      <c r="H347" s="224" t="s">
        <v>289</v>
      </c>
      <c r="I347" s="224" t="s">
        <v>904</v>
      </c>
      <c r="J347" s="224">
        <v>75</v>
      </c>
      <c r="K347" s="227">
        <f t="array" ref="K347">IFERROR(INDEX([1]Grille_Tarifs_Modulable!$B$2:$B$204,MATCH(Tableau14[[#This Row],[Designation]]&amp;Tableau14[[#This Row],[CL]],[1]Grille_Tarifs_Modulable!$C$2:$C$204&amp;[1]Grille_Tarifs_Modulable!$F$2:$F$204,0)),0)</f>
        <v>0</v>
      </c>
      <c r="L347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</v>
      </c>
      <c r="M347" s="228">
        <f>IF(Tableau14[[#This Row],[Prix_Unit_HT]]=0,0,Tableau14[[#This Row],[Prix_Unit_HT]]+(Tableau14[[#This Row],[Prix_Unit_HT]]*VLOOKUP(Tableau14[[#This Row],[EAN]],[1]Grille_Tarifs_Modulable!$B$10:$Q$204,16,FALSE)))</f>
        <v>0</v>
      </c>
      <c r="N347" s="224">
        <v>6</v>
      </c>
      <c r="O347" s="228">
        <f>ROUND(Tableau14[[#This Row],[Prix_Unit_HT]],2)*Tableau14[[#This Row],[Qte_commande]]</f>
        <v>0</v>
      </c>
      <c r="P347" s="228">
        <f>ROUND(Tableau14[[#This Row],[Prix_Unit_TTC]],2)*Tableau14[[#This Row],[Qte_commande]]</f>
        <v>0</v>
      </c>
      <c r="Q347" s="224">
        <v>6.43</v>
      </c>
      <c r="R347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6.4285714285714288</v>
      </c>
      <c r="U347" s="224"/>
      <c r="V347" s="224"/>
    </row>
    <row r="348" spans="1:22" ht="12.75" x14ac:dyDescent="0.2">
      <c r="A348" s="225">
        <v>42793</v>
      </c>
      <c r="B348" s="224" t="s">
        <v>291</v>
      </c>
      <c r="C348" s="224" t="s">
        <v>903</v>
      </c>
      <c r="D348" s="224" t="s">
        <v>288</v>
      </c>
      <c r="E348" s="226"/>
      <c r="F348" s="224" t="s">
        <v>504</v>
      </c>
      <c r="G348" s="224"/>
      <c r="H348" s="224" t="s">
        <v>289</v>
      </c>
      <c r="I348" s="224" t="s">
        <v>905</v>
      </c>
      <c r="J348" s="224">
        <v>75</v>
      </c>
      <c r="K348" s="227">
        <f t="array" ref="K348">IFERROR(INDEX([1]Grille_Tarifs_Modulable!$B$2:$B$204,MATCH(Tableau14[[#This Row],[Designation]]&amp;Tableau14[[#This Row],[CL]],[1]Grille_Tarifs_Modulable!$C$2:$C$204&amp;[1]Grille_Tarifs_Modulable!$F$2:$F$204,0)),0)</f>
        <v>0</v>
      </c>
      <c r="L348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</v>
      </c>
      <c r="M348" s="228">
        <f>IF(Tableau14[[#This Row],[Prix_Unit_HT]]=0,0,Tableau14[[#This Row],[Prix_Unit_HT]]+(Tableau14[[#This Row],[Prix_Unit_HT]]*VLOOKUP(Tableau14[[#This Row],[EAN]],[1]Grille_Tarifs_Modulable!$B$10:$Q$204,16,FALSE)))</f>
        <v>0</v>
      </c>
      <c r="N348" s="224">
        <v>6</v>
      </c>
      <c r="O348" s="228">
        <f>ROUND(Tableau14[[#This Row],[Prix_Unit_HT]],2)*Tableau14[[#This Row],[Qte_commande]]</f>
        <v>0</v>
      </c>
      <c r="P348" s="228">
        <f>ROUND(Tableau14[[#This Row],[Prix_Unit_TTC]],2)*Tableau14[[#This Row],[Qte_commande]]</f>
        <v>0</v>
      </c>
      <c r="Q348" s="224">
        <v>6.43</v>
      </c>
      <c r="R348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6.4285714285714288</v>
      </c>
      <c r="U348" s="224"/>
      <c r="V348" s="224"/>
    </row>
    <row r="349" spans="1:22" ht="12.75" x14ac:dyDescent="0.2">
      <c r="A349" s="225">
        <v>42793</v>
      </c>
      <c r="B349" s="224" t="s">
        <v>291</v>
      </c>
      <c r="C349" s="224" t="s">
        <v>903</v>
      </c>
      <c r="D349" s="224" t="s">
        <v>288</v>
      </c>
      <c r="E349" s="226"/>
      <c r="F349" s="224" t="s">
        <v>504</v>
      </c>
      <c r="G349" s="224"/>
      <c r="H349" s="224" t="s">
        <v>289</v>
      </c>
      <c r="I349" s="224" t="s">
        <v>905</v>
      </c>
      <c r="J349" s="224">
        <v>75</v>
      </c>
      <c r="K349" s="227">
        <f t="array" ref="K349">IFERROR(INDEX([1]Grille_Tarifs_Modulable!$B$2:$B$204,MATCH(Tableau14[[#This Row],[Designation]]&amp;Tableau14[[#This Row],[CL]],[1]Grille_Tarifs_Modulable!$C$2:$C$204&amp;[1]Grille_Tarifs_Modulable!$F$2:$F$204,0)),0)</f>
        <v>0</v>
      </c>
      <c r="L349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</v>
      </c>
      <c r="M349" s="228">
        <f>IF(Tableau14[[#This Row],[Prix_Unit_HT]]=0,0,Tableau14[[#This Row],[Prix_Unit_HT]]+(Tableau14[[#This Row],[Prix_Unit_HT]]*VLOOKUP(Tableau14[[#This Row],[EAN]],[1]Grille_Tarifs_Modulable!$B$10:$Q$204,16,FALSE)))</f>
        <v>0</v>
      </c>
      <c r="N349" s="224">
        <v>36</v>
      </c>
      <c r="O349" s="228">
        <f>ROUND(Tableau14[[#This Row],[Prix_Unit_HT]],2)*Tableau14[[#This Row],[Qte_commande]]</f>
        <v>0</v>
      </c>
      <c r="P349" s="228">
        <f>ROUND(Tableau14[[#This Row],[Prix_Unit_TTC]],2)*Tableau14[[#This Row],[Qte_commande]]</f>
        <v>0</v>
      </c>
      <c r="Q349" s="224">
        <v>38.57</v>
      </c>
      <c r="R349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38.571428571428577</v>
      </c>
      <c r="U349" s="224"/>
      <c r="V349" s="224"/>
    </row>
    <row r="350" spans="1:22" ht="12.75" x14ac:dyDescent="0.2">
      <c r="A350" s="225">
        <v>42794</v>
      </c>
      <c r="B350" s="224" t="s">
        <v>486</v>
      </c>
      <c r="C350" s="224" t="s">
        <v>299</v>
      </c>
      <c r="D350" s="224" t="s">
        <v>233</v>
      </c>
      <c r="E350" s="226"/>
      <c r="F350" s="224" t="s">
        <v>260</v>
      </c>
      <c r="G350" s="224" t="s">
        <v>13</v>
      </c>
      <c r="H350" s="224" t="s">
        <v>451</v>
      </c>
      <c r="I350" s="224" t="s">
        <v>74</v>
      </c>
      <c r="J350" s="229">
        <v>6</v>
      </c>
      <c r="K350" s="227">
        <f t="array" ref="K350">IFERROR(INDEX([1]Grille_Tarifs_Modulable!$B$2:$B$204,MATCH(Tableau14[[#This Row],[Designation]]&amp;Tableau14[[#This Row],[CL]],[1]Grille_Tarifs_Modulable!$C$2:$C$204&amp;[1]Grille_Tarifs_Modulable!$F$2:$F$204,0)),0)</f>
        <v>125</v>
      </c>
      <c r="L350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139</v>
      </c>
      <c r="M350" s="228">
        <f>IF(Tableau14[[#This Row],[Prix_Unit_HT]]=0,0,Tableau14[[#This Row],[Prix_Unit_HT]]+(Tableau14[[#This Row],[Prix_Unit_HT]]*VLOOKUP(Tableau14[[#This Row],[EAN]],[1]Grille_Tarifs_Modulable!$B$10:$Q$204,16,FALSE)))</f>
        <v>166.8</v>
      </c>
      <c r="N350" s="224">
        <v>1</v>
      </c>
      <c r="O350" s="228">
        <f>ROUND(Tableau14[[#This Row],[Prix_Unit_HT]],2)*Tableau14[[#This Row],[Qte_commande]]</f>
        <v>139</v>
      </c>
      <c r="P350" s="228">
        <f>ROUND(Tableau14[[#This Row],[Prix_Unit_TTC]],2)*Tableau14[[#This Row],[Qte_commande]]</f>
        <v>166.8</v>
      </c>
      <c r="Q350" s="224">
        <v>1</v>
      </c>
      <c r="R350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</v>
      </c>
      <c r="U350" s="224"/>
      <c r="V350" s="224"/>
    </row>
    <row r="351" spans="1:22" ht="12.75" x14ac:dyDescent="0.2">
      <c r="A351" s="225">
        <v>42794</v>
      </c>
      <c r="B351" s="224" t="s">
        <v>956</v>
      </c>
      <c r="C351" s="224" t="s">
        <v>361</v>
      </c>
      <c r="D351" s="224" t="s">
        <v>180</v>
      </c>
      <c r="E351" s="226"/>
      <c r="G351" s="224" t="s">
        <v>13</v>
      </c>
      <c r="H351" s="224" t="s">
        <v>451</v>
      </c>
      <c r="I351" s="224" t="s">
        <v>72</v>
      </c>
      <c r="J351" s="227">
        <v>4</v>
      </c>
      <c r="K351" s="227">
        <f t="array" ref="K351">IFERROR(INDEX([1]Grille_Tarifs_Modulable!$B$2:$B$204,MATCH(Tableau14[[#This Row],[Designation]]&amp;Tableau14[[#This Row],[CL]],[1]Grille_Tarifs_Modulable!$C$2:$C$204&amp;[1]Grille_Tarifs_Modulable!$F$2:$F$204,0)),0)</f>
        <v>123</v>
      </c>
      <c r="L351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139</v>
      </c>
      <c r="M351" s="228">
        <f>IF(Tableau14[[#This Row],[Prix_Unit_HT]]=0,0,Tableau14[[#This Row],[Prix_Unit_HT]]+(Tableau14[[#This Row],[Prix_Unit_HT]]*VLOOKUP(Tableau14[[#This Row],[EAN]],[1]Grille_Tarifs_Modulable!$B$10:$Q$204,16,FALSE)))</f>
        <v>166.8</v>
      </c>
      <c r="N351" s="224">
        <v>1</v>
      </c>
      <c r="O351" s="228">
        <f>ROUND(Tableau14[[#This Row],[Prix_Unit_HT]],2)*Tableau14[[#This Row],[Qte_commande]]</f>
        <v>139</v>
      </c>
      <c r="P351" s="228">
        <f>ROUND(Tableau14[[#This Row],[Prix_Unit_TTC]],2)*Tableau14[[#This Row],[Qte_commande]]</f>
        <v>166.8</v>
      </c>
      <c r="Q351" s="224">
        <v>1</v>
      </c>
      <c r="R351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</v>
      </c>
      <c r="U351" s="224"/>
      <c r="V351" s="224"/>
    </row>
    <row r="352" spans="1:22" ht="12.75" x14ac:dyDescent="0.2">
      <c r="A352" s="225">
        <v>42796</v>
      </c>
      <c r="B352" s="224" t="s">
        <v>210</v>
      </c>
      <c r="C352" s="224" t="s">
        <v>211</v>
      </c>
      <c r="D352" s="224" t="s">
        <v>212</v>
      </c>
      <c r="E352" s="226"/>
      <c r="G352" s="224" t="s">
        <v>1</v>
      </c>
      <c r="H352" s="224" t="s">
        <v>196</v>
      </c>
      <c r="I352" s="224" t="s">
        <v>62</v>
      </c>
      <c r="J352" s="224">
        <v>20</v>
      </c>
      <c r="K352" s="227">
        <f t="array" ref="K352">IFERROR(INDEX([1]Grille_Tarifs_Modulable!$B$2:$B$204,MATCH(Tableau14[[#This Row],[Designation]]&amp;Tableau14[[#This Row],[CL]],[1]Grille_Tarifs_Modulable!$C$2:$C$204&amp;[1]Grille_Tarifs_Modulable!$F$2:$F$204,0)),0)</f>
        <v>4260310550305</v>
      </c>
      <c r="L352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0.81</v>
      </c>
      <c r="M352" s="228">
        <f>IF(Tableau14[[#This Row],[Prix_Unit_HT]]=0,0,Tableau14[[#This Row],[Prix_Unit_HT]]+(Tableau14[[#This Row],[Prix_Unit_HT]]*VLOOKUP(Tableau14[[#This Row],[EAN]],[1]Grille_Tarifs_Modulable!$B$10:$Q$204,16,FALSE)))</f>
        <v>0.85455000000000003</v>
      </c>
      <c r="N352" s="224">
        <v>24</v>
      </c>
      <c r="O352" s="228">
        <f>ROUND(Tableau14[[#This Row],[Prix_Unit_HT]],2)*Tableau14[[#This Row],[Qte_commande]]</f>
        <v>19.440000000000001</v>
      </c>
      <c r="P352" s="228">
        <f>ROUND(Tableau14[[#This Row],[Prix_Unit_TTC]],2)*Tableau14[[#This Row],[Qte_commande]]</f>
        <v>20.399999999999999</v>
      </c>
      <c r="Q352" s="224">
        <v>6.86</v>
      </c>
      <c r="R352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6.8571428571428577</v>
      </c>
      <c r="U352" s="224"/>
      <c r="V352" s="224"/>
    </row>
    <row r="353" spans="1:22" ht="12.75" x14ac:dyDescent="0.2">
      <c r="A353" s="225">
        <v>42796</v>
      </c>
      <c r="B353" s="224" t="s">
        <v>210</v>
      </c>
      <c r="C353" s="224" t="s">
        <v>211</v>
      </c>
      <c r="D353" s="224" t="s">
        <v>212</v>
      </c>
      <c r="E353" s="226"/>
      <c r="G353" s="224" t="s">
        <v>1</v>
      </c>
      <c r="H353" s="224" t="s">
        <v>196</v>
      </c>
      <c r="I353" s="224" t="s">
        <v>63</v>
      </c>
      <c r="J353" s="224">
        <v>20</v>
      </c>
      <c r="K353" s="227">
        <f t="array" ref="K353">IFERROR(INDEX([1]Grille_Tarifs_Modulable!$B$2:$B$204,MATCH(Tableau14[[#This Row],[Designation]]&amp;Tableau14[[#This Row],[CL]],[1]Grille_Tarifs_Modulable!$C$2:$C$204&amp;[1]Grille_Tarifs_Modulable!$F$2:$F$204,0)),0)</f>
        <v>4260310552941</v>
      </c>
      <c r="L353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0.81</v>
      </c>
      <c r="M353" s="228">
        <f>IF(Tableau14[[#This Row],[Prix_Unit_HT]]=0,0,Tableau14[[#This Row],[Prix_Unit_HT]]+(Tableau14[[#This Row],[Prix_Unit_HT]]*VLOOKUP(Tableau14[[#This Row],[EAN]],[1]Grille_Tarifs_Modulable!$B$10:$Q$204,16,FALSE)))</f>
        <v>0.85455000000000003</v>
      </c>
      <c r="N353" s="224">
        <v>24</v>
      </c>
      <c r="O353" s="228">
        <f>ROUND(Tableau14[[#This Row],[Prix_Unit_HT]],2)*Tableau14[[#This Row],[Qte_commande]]</f>
        <v>19.440000000000001</v>
      </c>
      <c r="P353" s="228">
        <f>ROUND(Tableau14[[#This Row],[Prix_Unit_TTC]],2)*Tableau14[[#This Row],[Qte_commande]]</f>
        <v>20.399999999999999</v>
      </c>
      <c r="Q353" s="224">
        <v>6.86</v>
      </c>
      <c r="R353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6.8571428571428577</v>
      </c>
      <c r="U353" s="224"/>
      <c r="V353" s="224"/>
    </row>
    <row r="354" spans="1:22" ht="12.75" x14ac:dyDescent="0.2">
      <c r="A354" s="225">
        <v>42796</v>
      </c>
      <c r="B354" s="224" t="s">
        <v>210</v>
      </c>
      <c r="C354" s="224" t="s">
        <v>211</v>
      </c>
      <c r="D354" s="224" t="s">
        <v>212</v>
      </c>
      <c r="E354" s="226"/>
      <c r="G354" s="224" t="s">
        <v>1</v>
      </c>
      <c r="H354" s="224" t="s">
        <v>196</v>
      </c>
      <c r="I354" s="224" t="s">
        <v>65</v>
      </c>
      <c r="J354" s="224">
        <v>20</v>
      </c>
      <c r="K354" s="227">
        <f t="array" ref="K354">IFERROR(INDEX([1]Grille_Tarifs_Modulable!$B$2:$B$204,MATCH(Tableau14[[#This Row],[Designation]]&amp;Tableau14[[#This Row],[CL]],[1]Grille_Tarifs_Modulable!$C$2:$C$204&amp;[1]Grille_Tarifs_Modulable!$F$2:$F$204,0)),0)</f>
        <v>4260310553863</v>
      </c>
      <c r="L354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0.81</v>
      </c>
      <c r="M354" s="228">
        <f>IF(Tableau14[[#This Row],[Prix_Unit_HT]]=0,0,Tableau14[[#This Row],[Prix_Unit_HT]]+(Tableau14[[#This Row],[Prix_Unit_HT]]*VLOOKUP(Tableau14[[#This Row],[EAN]],[1]Grille_Tarifs_Modulable!$B$10:$Q$204,16,FALSE)))</f>
        <v>0.85455000000000003</v>
      </c>
      <c r="N354" s="224">
        <v>24</v>
      </c>
      <c r="O354" s="228">
        <f>ROUND(Tableau14[[#This Row],[Prix_Unit_HT]],2)*Tableau14[[#This Row],[Qte_commande]]</f>
        <v>19.440000000000001</v>
      </c>
      <c r="P354" s="228">
        <f>ROUND(Tableau14[[#This Row],[Prix_Unit_TTC]],2)*Tableau14[[#This Row],[Qte_commande]]</f>
        <v>20.399999999999999</v>
      </c>
      <c r="Q354" s="224">
        <v>6.86</v>
      </c>
      <c r="R354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6.8571428571428577</v>
      </c>
      <c r="U354" s="224"/>
      <c r="V354" s="224"/>
    </row>
    <row r="355" spans="1:22" ht="12.75" x14ac:dyDescent="0.2">
      <c r="A355" s="225">
        <v>42796</v>
      </c>
      <c r="B355" s="224" t="s">
        <v>210</v>
      </c>
      <c r="C355" s="224" t="s">
        <v>211</v>
      </c>
      <c r="D355" s="224" t="s">
        <v>212</v>
      </c>
      <c r="E355" s="226"/>
      <c r="G355" s="224" t="s">
        <v>1</v>
      </c>
      <c r="H355" s="224" t="s">
        <v>196</v>
      </c>
      <c r="I355" s="224" t="s">
        <v>60</v>
      </c>
      <c r="J355" s="224">
        <v>20</v>
      </c>
      <c r="K355" s="227">
        <f t="array" ref="K355">IFERROR(INDEX([1]Grille_Tarifs_Modulable!$B$2:$B$204,MATCH(Tableau14[[#This Row],[Designation]]&amp;Tableau14[[#This Row],[CL]],[1]Grille_Tarifs_Modulable!$C$2:$C$204&amp;[1]Grille_Tarifs_Modulable!$F$2:$F$204,0)),0)</f>
        <v>4260310553832</v>
      </c>
      <c r="L355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0.81</v>
      </c>
      <c r="M355" s="228">
        <f>IF(Tableau14[[#This Row],[Prix_Unit_HT]]=0,0,Tableau14[[#This Row],[Prix_Unit_HT]]+(Tableau14[[#This Row],[Prix_Unit_HT]]*VLOOKUP(Tableau14[[#This Row],[EAN]],[1]Grille_Tarifs_Modulable!$B$10:$Q$204,16,FALSE)))</f>
        <v>0.85455000000000003</v>
      </c>
      <c r="N355" s="224">
        <v>24</v>
      </c>
      <c r="O355" s="228">
        <f>ROUND(Tableau14[[#This Row],[Prix_Unit_HT]],2)*Tableau14[[#This Row],[Qte_commande]]</f>
        <v>19.440000000000001</v>
      </c>
      <c r="P355" s="228">
        <f>ROUND(Tableau14[[#This Row],[Prix_Unit_TTC]],2)*Tableau14[[#This Row],[Qte_commande]]</f>
        <v>20.399999999999999</v>
      </c>
      <c r="Q355" s="224">
        <v>6.86</v>
      </c>
      <c r="R355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6.8571428571428577</v>
      </c>
      <c r="U355" s="224"/>
      <c r="V355" s="224"/>
    </row>
    <row r="356" spans="1:22" ht="12.75" x14ac:dyDescent="0.2">
      <c r="A356" s="225">
        <v>42796</v>
      </c>
      <c r="B356" s="224" t="s">
        <v>210</v>
      </c>
      <c r="C356" s="224" t="s">
        <v>211</v>
      </c>
      <c r="D356" s="224" t="s">
        <v>212</v>
      </c>
      <c r="E356" s="226"/>
      <c r="G356" s="224" t="s">
        <v>1</v>
      </c>
      <c r="H356" s="224" t="s">
        <v>289</v>
      </c>
      <c r="I356" s="224" t="s">
        <v>15</v>
      </c>
      <c r="J356" s="224">
        <v>70</v>
      </c>
      <c r="K356" s="227">
        <f t="array" ref="K356">IFERROR(INDEX([1]Grille_Tarifs_Modulable!$B$2:$B$204,MATCH(Tableau14[[#This Row],[Designation]]&amp;Tableau14[[#This Row],[CL]],[1]Grille_Tarifs_Modulable!$C$2:$C$204&amp;[1]Grille_Tarifs_Modulable!$F$2:$F$204,0)),0)</f>
        <v>4067700013859</v>
      </c>
      <c r="L356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12.532563499999998</v>
      </c>
      <c r="M356" s="228">
        <f>IF(Tableau14[[#This Row],[Prix_Unit_HT]]=0,0,Tableau14[[#This Row],[Prix_Unit_HT]]+(Tableau14[[#This Row],[Prix_Unit_HT]]*VLOOKUP(Tableau14[[#This Row],[EAN]],[1]Grille_Tarifs_Modulable!$B$10:$Q$204,16,FALSE)))</f>
        <v>15.039076199999998</v>
      </c>
      <c r="N356" s="224">
        <v>18</v>
      </c>
      <c r="O356" s="228">
        <f>ROUND(Tableau14[[#This Row],[Prix_Unit_HT]],2)*Tableau14[[#This Row],[Qte_commande]]</f>
        <v>225.54</v>
      </c>
      <c r="P356" s="228">
        <f>ROUND(Tableau14[[#This Row],[Prix_Unit_TTC]],2)*Tableau14[[#This Row],[Qte_commande]]</f>
        <v>270.71999999999997</v>
      </c>
      <c r="Q356" s="224">
        <v>18</v>
      </c>
      <c r="R356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18</v>
      </c>
      <c r="U356" s="224"/>
      <c r="V356" s="224"/>
    </row>
    <row r="357" spans="1:22" ht="12.75" x14ac:dyDescent="0.2">
      <c r="A357" s="225">
        <v>42796</v>
      </c>
      <c r="B357" s="224" t="s">
        <v>210</v>
      </c>
      <c r="C357" s="224" t="s">
        <v>211</v>
      </c>
      <c r="D357" s="224" t="s">
        <v>212</v>
      </c>
      <c r="E357" s="226"/>
      <c r="G357" s="224" t="s">
        <v>1</v>
      </c>
      <c r="H357" s="224" t="s">
        <v>289</v>
      </c>
      <c r="I357" s="224" t="s">
        <v>30</v>
      </c>
      <c r="J357" s="224">
        <v>70</v>
      </c>
      <c r="K357" s="227">
        <f t="array" ref="K357">IFERROR(INDEX([1]Grille_Tarifs_Modulable!$B$2:$B$204,MATCH(Tableau14[[#This Row],[Designation]]&amp;Tableau14[[#This Row],[CL]],[1]Grille_Tarifs_Modulable!$C$2:$C$204&amp;[1]Grille_Tarifs_Modulable!$F$2:$F$204,0)),0)</f>
        <v>3257150101904</v>
      </c>
      <c r="L357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16.346482999999999</v>
      </c>
      <c r="M357" s="228">
        <f>IF(Tableau14[[#This Row],[Prix_Unit_HT]]=0,0,Tableau14[[#This Row],[Prix_Unit_HT]]+(Tableau14[[#This Row],[Prix_Unit_HT]]*VLOOKUP(Tableau14[[#This Row],[EAN]],[1]Grille_Tarifs_Modulable!$B$10:$Q$204,16,FALSE)))</f>
        <v>19.6157796</v>
      </c>
      <c r="N357" s="224">
        <v>6</v>
      </c>
      <c r="O357" s="228">
        <f>ROUND(Tableau14[[#This Row],[Prix_Unit_HT]],2)*Tableau14[[#This Row],[Qte_commande]]</f>
        <v>98.100000000000009</v>
      </c>
      <c r="P357" s="228">
        <f>ROUND(Tableau14[[#This Row],[Prix_Unit_TTC]],2)*Tableau14[[#This Row],[Qte_commande]]</f>
        <v>117.72</v>
      </c>
      <c r="Q357" s="224">
        <v>6</v>
      </c>
      <c r="R357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6.0000000000000009</v>
      </c>
      <c r="U357" s="224"/>
      <c r="V357" s="224"/>
    </row>
    <row r="358" spans="1:22" ht="12.75" x14ac:dyDescent="0.2">
      <c r="A358" s="225">
        <v>42796</v>
      </c>
      <c r="B358" s="224" t="s">
        <v>210</v>
      </c>
      <c r="C358" s="224" t="s">
        <v>211</v>
      </c>
      <c r="D358" s="224" t="s">
        <v>212</v>
      </c>
      <c r="E358" s="226"/>
      <c r="G358" s="224" t="s">
        <v>1</v>
      </c>
      <c r="H358" s="224" t="s">
        <v>289</v>
      </c>
      <c r="I358" s="224" t="s">
        <v>31</v>
      </c>
      <c r="J358" s="224">
        <v>70</v>
      </c>
      <c r="K358" s="227">
        <f t="array" ref="K358">IFERROR(INDEX([1]Grille_Tarifs_Modulable!$B$2:$B$204,MATCH(Tableau14[[#This Row],[Designation]]&amp;Tableau14[[#This Row],[CL]],[1]Grille_Tarifs_Modulable!$C$2:$C$204&amp;[1]Grille_Tarifs_Modulable!$F$2:$F$204,0)),0)</f>
        <v>3257150102017</v>
      </c>
      <c r="L358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14.694322</v>
      </c>
      <c r="M358" s="228">
        <f>IF(Tableau14[[#This Row],[Prix_Unit_HT]]=0,0,Tableau14[[#This Row],[Prix_Unit_HT]]+(Tableau14[[#This Row],[Prix_Unit_HT]]*VLOOKUP(Tableau14[[#This Row],[EAN]],[1]Grille_Tarifs_Modulable!$B$10:$Q$204,16,FALSE)))</f>
        <v>17.6331864</v>
      </c>
      <c r="N358" s="224">
        <v>6</v>
      </c>
      <c r="O358" s="228">
        <f>ROUND(Tableau14[[#This Row],[Prix_Unit_HT]],2)*Tableau14[[#This Row],[Qte_commande]]</f>
        <v>88.14</v>
      </c>
      <c r="P358" s="228">
        <f>ROUND(Tableau14[[#This Row],[Prix_Unit_TTC]],2)*Tableau14[[#This Row],[Qte_commande]]</f>
        <v>105.78</v>
      </c>
      <c r="Q358" s="224">
        <v>6</v>
      </c>
      <c r="R358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6.0000000000000009</v>
      </c>
      <c r="U358" s="224"/>
      <c r="V358" s="224"/>
    </row>
    <row r="359" spans="1:22" ht="12.75" x14ac:dyDescent="0.2">
      <c r="A359" s="225">
        <v>42796</v>
      </c>
      <c r="B359" s="224" t="s">
        <v>210</v>
      </c>
      <c r="C359" s="224" t="s">
        <v>211</v>
      </c>
      <c r="D359" s="224" t="s">
        <v>212</v>
      </c>
      <c r="E359" s="226"/>
      <c r="G359" s="224" t="s">
        <v>1</v>
      </c>
      <c r="H359" s="224" t="s">
        <v>289</v>
      </c>
      <c r="I359" s="224" t="s">
        <v>44</v>
      </c>
      <c r="J359" s="224">
        <v>50</v>
      </c>
      <c r="K359" s="227">
        <f t="array" ref="K359">IFERROR(INDEX([1]Grille_Tarifs_Modulable!$B$2:$B$204,MATCH(Tableau14[[#This Row],[Designation]]&amp;Tableau14[[#This Row],[CL]],[1]Grille_Tarifs_Modulable!$C$2:$C$204&amp;[1]Grille_Tarifs_Modulable!$F$2:$F$204,0)),0)</f>
        <v>4260270192645</v>
      </c>
      <c r="L359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25.192506000000002</v>
      </c>
      <c r="M359" s="228">
        <f>IF(Tableau14[[#This Row],[Prix_Unit_HT]]=0,0,Tableau14[[#This Row],[Prix_Unit_HT]]+(Tableau14[[#This Row],[Prix_Unit_HT]]*VLOOKUP(Tableau14[[#This Row],[EAN]],[1]Grille_Tarifs_Modulable!$B$10:$Q$204,16,FALSE)))</f>
        <v>30.231007200000001</v>
      </c>
      <c r="N359" s="224">
        <v>6</v>
      </c>
      <c r="O359" s="228">
        <f>ROUND(Tableau14[[#This Row],[Prix_Unit_HT]],2)*Tableau14[[#This Row],[Qte_commande]]</f>
        <v>151.14000000000001</v>
      </c>
      <c r="P359" s="228">
        <f>ROUND(Tableau14[[#This Row],[Prix_Unit_TTC]],2)*Tableau14[[#This Row],[Qte_commande]]</f>
        <v>181.38</v>
      </c>
      <c r="Q359" s="224">
        <v>4.29</v>
      </c>
      <c r="R359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4.2857142857142856</v>
      </c>
      <c r="U359" s="224"/>
      <c r="V359" s="224"/>
    </row>
    <row r="360" spans="1:22" ht="12.75" x14ac:dyDescent="0.2">
      <c r="A360" s="225">
        <v>42796</v>
      </c>
      <c r="B360" s="224" t="s">
        <v>210</v>
      </c>
      <c r="C360" s="224" t="s">
        <v>211</v>
      </c>
      <c r="D360" s="224" t="s">
        <v>212</v>
      </c>
      <c r="E360" s="226"/>
      <c r="G360" s="224" t="s">
        <v>1</v>
      </c>
      <c r="H360" s="224" t="s">
        <v>289</v>
      </c>
      <c r="I360" s="224" t="s">
        <v>27</v>
      </c>
      <c r="J360" s="224">
        <v>70</v>
      </c>
      <c r="K360" s="227">
        <f t="array" ref="K360">IFERROR(INDEX([1]Grille_Tarifs_Modulable!$B$2:$B$204,MATCH(Tableau14[[#This Row],[Designation]]&amp;Tableau14[[#This Row],[CL]],[1]Grille_Tarifs_Modulable!$C$2:$C$204&amp;[1]Grille_Tarifs_Modulable!$F$2:$F$204,0)),0)</f>
        <v>8500000917022</v>
      </c>
      <c r="L360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68.208643999999993</v>
      </c>
      <c r="M360" s="228">
        <f>IF(Tableau14[[#This Row],[Prix_Unit_HT]]=0,0,Tableau14[[#This Row],[Prix_Unit_HT]]+(Tableau14[[#This Row],[Prix_Unit_HT]]*VLOOKUP(Tableau14[[#This Row],[EAN]],[1]Grille_Tarifs_Modulable!$B$10:$Q$204,16,FALSE)))</f>
        <v>81.850372799999988</v>
      </c>
      <c r="N360" s="224">
        <v>1</v>
      </c>
      <c r="O360" s="228">
        <f>ROUND(Tableau14[[#This Row],[Prix_Unit_HT]],2)*Tableau14[[#This Row],[Qte_commande]]</f>
        <v>68.209999999999994</v>
      </c>
      <c r="P360" s="228">
        <f>ROUND(Tableau14[[#This Row],[Prix_Unit_TTC]],2)*Tableau14[[#This Row],[Qte_commande]]</f>
        <v>81.849999999999994</v>
      </c>
      <c r="Q360" s="224">
        <v>1</v>
      </c>
      <c r="R360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</v>
      </c>
      <c r="U360" s="224"/>
      <c r="V360" s="224"/>
    </row>
    <row r="361" spans="1:22" ht="12.75" x14ac:dyDescent="0.2">
      <c r="A361" s="225">
        <v>42796</v>
      </c>
      <c r="B361" s="224" t="s">
        <v>210</v>
      </c>
      <c r="C361" s="224" t="s">
        <v>211</v>
      </c>
      <c r="D361" s="224" t="s">
        <v>212</v>
      </c>
      <c r="E361" s="226"/>
      <c r="G361" s="224" t="s">
        <v>1</v>
      </c>
      <c r="H361" s="224" t="s">
        <v>196</v>
      </c>
      <c r="I361" s="224" t="s">
        <v>64</v>
      </c>
      <c r="J361" s="224">
        <v>20</v>
      </c>
      <c r="K361" s="227">
        <f t="array" ref="K361">IFERROR(INDEX([1]Grille_Tarifs_Modulable!$B$2:$B$204,MATCH(Tableau14[[#This Row],[Designation]]&amp;Tableau14[[#This Row],[CL]],[1]Grille_Tarifs_Modulable!$C$2:$C$204&amp;[1]Grille_Tarifs_Modulable!$F$2:$F$204,0)),0)</f>
        <v>4260310553849</v>
      </c>
      <c r="L361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0.81</v>
      </c>
      <c r="M361" s="228">
        <f>IF(Tableau14[[#This Row],[Prix_Unit_HT]]=0,0,Tableau14[[#This Row],[Prix_Unit_HT]]+(Tableau14[[#This Row],[Prix_Unit_HT]]*VLOOKUP(Tableau14[[#This Row],[EAN]],[1]Grille_Tarifs_Modulable!$B$10:$Q$204,16,FALSE)))</f>
        <v>0.85455000000000003</v>
      </c>
      <c r="N361" s="224">
        <v>24</v>
      </c>
      <c r="O361" s="228">
        <f>ROUND(Tableau14[[#This Row],[Prix_Unit_HT]],2)*Tableau14[[#This Row],[Qte_commande]]</f>
        <v>19.440000000000001</v>
      </c>
      <c r="P361" s="228">
        <f>ROUND(Tableau14[[#This Row],[Prix_Unit_TTC]],2)*Tableau14[[#This Row],[Qte_commande]]</f>
        <v>20.399999999999999</v>
      </c>
      <c r="Q361" s="224">
        <v>6.86</v>
      </c>
      <c r="R361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6.8571428571428577</v>
      </c>
      <c r="U361" s="224"/>
      <c r="V361" s="224"/>
    </row>
    <row r="362" spans="1:22" ht="12.75" x14ac:dyDescent="0.2">
      <c r="A362" s="225">
        <v>42796</v>
      </c>
      <c r="B362" s="224" t="s">
        <v>210</v>
      </c>
      <c r="C362" s="224" t="s">
        <v>211</v>
      </c>
      <c r="D362" s="224" t="s">
        <v>212</v>
      </c>
      <c r="E362" s="226"/>
      <c r="G362" s="224" t="s">
        <v>1</v>
      </c>
      <c r="H362" s="224" t="s">
        <v>196</v>
      </c>
      <c r="I362" s="224" t="s">
        <v>59</v>
      </c>
      <c r="J362" s="224">
        <v>20</v>
      </c>
      <c r="K362" s="227">
        <f t="array" ref="K362">IFERROR(INDEX([1]Grille_Tarifs_Modulable!$B$2:$B$204,MATCH(Tableau14[[#This Row],[Designation]]&amp;Tableau14[[#This Row],[CL]],[1]Grille_Tarifs_Modulable!$C$2:$C$204&amp;[1]Grille_Tarifs_Modulable!$F$2:$F$204,0)),0)</f>
        <v>4260310553818</v>
      </c>
      <c r="L362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0.81</v>
      </c>
      <c r="M362" s="228">
        <f>IF(Tableau14[[#This Row],[Prix_Unit_HT]]=0,0,Tableau14[[#This Row],[Prix_Unit_HT]]+(Tableau14[[#This Row],[Prix_Unit_HT]]*VLOOKUP(Tableau14[[#This Row],[EAN]],[1]Grille_Tarifs_Modulable!$B$10:$Q$204,16,FALSE)))</f>
        <v>0.85455000000000003</v>
      </c>
      <c r="N362" s="224">
        <v>24</v>
      </c>
      <c r="O362" s="228">
        <f>ROUND(Tableau14[[#This Row],[Prix_Unit_HT]],2)*Tableau14[[#This Row],[Qte_commande]]</f>
        <v>19.440000000000001</v>
      </c>
      <c r="P362" s="228">
        <f>ROUND(Tableau14[[#This Row],[Prix_Unit_TTC]],2)*Tableau14[[#This Row],[Qte_commande]]</f>
        <v>20.399999999999999</v>
      </c>
      <c r="Q362" s="224">
        <v>6.86</v>
      </c>
      <c r="R362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6.8571428571428577</v>
      </c>
      <c r="U362" s="224"/>
      <c r="V362" s="224"/>
    </row>
    <row r="363" spans="1:22" ht="12.75" x14ac:dyDescent="0.2">
      <c r="A363" s="225">
        <v>42796</v>
      </c>
      <c r="B363" s="224" t="s">
        <v>210</v>
      </c>
      <c r="C363" s="224" t="s">
        <v>211</v>
      </c>
      <c r="D363" s="224" t="s">
        <v>212</v>
      </c>
      <c r="E363" s="226"/>
      <c r="G363" s="224" t="s">
        <v>1</v>
      </c>
      <c r="H363" s="224" t="s">
        <v>289</v>
      </c>
      <c r="I363" s="224" t="s">
        <v>1352</v>
      </c>
      <c r="J363" s="224">
        <v>70</v>
      </c>
      <c r="K363" s="227">
        <f t="array" ref="K363">IFERROR(INDEX([1]Grille_Tarifs_Modulable!$B$2:$B$204,MATCH(Tableau14[[#This Row],[Designation]]&amp;Tableau14[[#This Row],[CL]],[1]Grille_Tarifs_Modulable!$C$2:$C$204&amp;[1]Grille_Tarifs_Modulable!$F$2:$F$204,0)),0)</f>
        <v>0</v>
      </c>
      <c r="L363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</v>
      </c>
      <c r="M363" s="228">
        <f>IF(Tableau14[[#This Row],[Prix_Unit_HT]]=0,0,Tableau14[[#This Row],[Prix_Unit_HT]]+(Tableau14[[#This Row],[Prix_Unit_HT]]*VLOOKUP(Tableau14[[#This Row],[EAN]],[1]Grille_Tarifs_Modulable!$B$10:$Q$204,16,FALSE)))</f>
        <v>0</v>
      </c>
      <c r="N363" s="224">
        <v>6</v>
      </c>
      <c r="O363" s="228">
        <f>ROUND(Tableau14[[#This Row],[Prix_Unit_HT]],2)*Tableau14[[#This Row],[Qte_commande]]</f>
        <v>0</v>
      </c>
      <c r="P363" s="228">
        <f>ROUND(Tableau14[[#This Row],[Prix_Unit_TTC]],2)*Tableau14[[#This Row],[Qte_commande]]</f>
        <v>0</v>
      </c>
      <c r="Q363" s="224">
        <v>6</v>
      </c>
      <c r="R363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6.0000000000000009</v>
      </c>
      <c r="U363" s="224"/>
      <c r="V363" s="224"/>
    </row>
    <row r="364" spans="1:22" ht="12.75" x14ac:dyDescent="0.2">
      <c r="A364" s="225">
        <v>42797</v>
      </c>
      <c r="B364" s="224" t="s">
        <v>605</v>
      </c>
      <c r="C364" s="224" t="s">
        <v>530</v>
      </c>
      <c r="D364" s="224" t="s">
        <v>531</v>
      </c>
      <c r="E364" s="226"/>
      <c r="G364" s="224" t="s">
        <v>1</v>
      </c>
      <c r="H364" s="224" t="s">
        <v>289</v>
      </c>
      <c r="I364" s="224" t="s">
        <v>15</v>
      </c>
      <c r="J364" s="224">
        <v>70</v>
      </c>
      <c r="K364" s="227">
        <f t="array" ref="K364">IFERROR(INDEX([1]Grille_Tarifs_Modulable!$B$2:$B$204,MATCH(Tableau14[[#This Row],[Designation]]&amp;Tableau14[[#This Row],[CL]],[1]Grille_Tarifs_Modulable!$C$2:$C$204&amp;[1]Grille_Tarifs_Modulable!$F$2:$F$204,0)),0)</f>
        <v>4067700013859</v>
      </c>
      <c r="L364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12.532563499999998</v>
      </c>
      <c r="M364" s="228">
        <f>IF(Tableau14[[#This Row],[Prix_Unit_HT]]=0,0,Tableau14[[#This Row],[Prix_Unit_HT]]+(Tableau14[[#This Row],[Prix_Unit_HT]]*VLOOKUP(Tableau14[[#This Row],[EAN]],[1]Grille_Tarifs_Modulable!$B$10:$Q$204,16,FALSE)))</f>
        <v>15.039076199999998</v>
      </c>
      <c r="N364" s="224">
        <v>150</v>
      </c>
      <c r="O364" s="228">
        <f>ROUND(Tableau14[[#This Row],[Prix_Unit_HT]],2)*Tableau14[[#This Row],[Qte_commande]]</f>
        <v>1879.5</v>
      </c>
      <c r="P364" s="228">
        <f>ROUND(Tableau14[[#This Row],[Prix_Unit_TTC]],2)*Tableau14[[#This Row],[Qte_commande]]</f>
        <v>2256</v>
      </c>
      <c r="Q364" s="224">
        <v>150</v>
      </c>
      <c r="R364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150</v>
      </c>
      <c r="U364" s="224"/>
      <c r="V364" s="224"/>
    </row>
    <row r="365" spans="1:22" ht="12.75" x14ac:dyDescent="0.2">
      <c r="A365" s="225">
        <v>42800</v>
      </c>
      <c r="B365" s="224" t="s">
        <v>1004</v>
      </c>
      <c r="C365" s="224" t="s">
        <v>1005</v>
      </c>
      <c r="D365" s="224" t="s">
        <v>209</v>
      </c>
      <c r="E365" s="226"/>
      <c r="G365" s="224" t="s">
        <v>13</v>
      </c>
      <c r="H365" s="224" t="s">
        <v>451</v>
      </c>
      <c r="I365" s="224" t="s">
        <v>69</v>
      </c>
      <c r="J365" s="227">
        <v>3</v>
      </c>
      <c r="K365" s="227">
        <f t="array" ref="K365">IFERROR(INDEX([1]Grille_Tarifs_Modulable!$B$2:$B$204,MATCH(Tableau14[[#This Row],[Designation]]&amp;Tableau14[[#This Row],[CL]],[1]Grille_Tarifs_Modulable!$C$2:$C$204&amp;[1]Grille_Tarifs_Modulable!$F$2:$F$204,0)),0)</f>
        <v>121</v>
      </c>
      <c r="L365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299</v>
      </c>
      <c r="M365" s="228">
        <f>IF(Tableau14[[#This Row],[Prix_Unit_HT]]=0,0,Tableau14[[#This Row],[Prix_Unit_HT]]+(Tableau14[[#This Row],[Prix_Unit_HT]]*VLOOKUP(Tableau14[[#This Row],[EAN]],[1]Grille_Tarifs_Modulable!$B$10:$Q$204,16,FALSE)))</f>
        <v>358.8</v>
      </c>
      <c r="N365" s="224">
        <v>1</v>
      </c>
      <c r="O365" s="228">
        <f>ROUND(Tableau14[[#This Row],[Prix_Unit_HT]],2)*Tableau14[[#This Row],[Qte_commande]]</f>
        <v>299</v>
      </c>
      <c r="P365" s="228">
        <f>ROUND(Tableau14[[#This Row],[Prix_Unit_TTC]],2)*Tableau14[[#This Row],[Qte_commande]]</f>
        <v>358.8</v>
      </c>
      <c r="Q365" s="224">
        <v>1</v>
      </c>
      <c r="R365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</v>
      </c>
      <c r="U365" s="224"/>
      <c r="V365" s="224"/>
    </row>
    <row r="366" spans="1:22" ht="12.75" x14ac:dyDescent="0.2">
      <c r="A366" s="225">
        <v>42801</v>
      </c>
      <c r="B366" s="224" t="s">
        <v>307</v>
      </c>
      <c r="C366" s="224" t="s">
        <v>308</v>
      </c>
      <c r="D366" s="224" t="s">
        <v>309</v>
      </c>
      <c r="E366" s="226"/>
      <c r="G366" s="224" t="s">
        <v>1</v>
      </c>
      <c r="H366" s="224" t="s">
        <v>289</v>
      </c>
      <c r="I366" s="224" t="s">
        <v>22</v>
      </c>
      <c r="J366" s="224">
        <v>70</v>
      </c>
      <c r="K366" s="227">
        <f t="array" ref="K366">IFERROR(INDEX([1]Grille_Tarifs_Modulable!$B$2:$B$204,MATCH(Tableau14[[#This Row],[Designation]]&amp;Tableau14[[#This Row],[CL]],[1]Grille_Tarifs_Modulable!$C$2:$C$204&amp;[1]Grille_Tarifs_Modulable!$F$2:$F$204,0)),0)</f>
        <v>4055800060200</v>
      </c>
      <c r="L366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17.408644000000002</v>
      </c>
      <c r="M366" s="228">
        <f>IF(Tableau14[[#This Row],[Prix_Unit_HT]]=0,0,Tableau14[[#This Row],[Prix_Unit_HT]]+(Tableau14[[#This Row],[Prix_Unit_HT]]*VLOOKUP(Tableau14[[#This Row],[EAN]],[1]Grille_Tarifs_Modulable!$B$10:$Q$204,16,FALSE)))</f>
        <v>20.890372800000002</v>
      </c>
      <c r="N366" s="224">
        <v>6</v>
      </c>
      <c r="O366" s="228">
        <f>ROUND(Tableau14[[#This Row],[Prix_Unit_HT]],2)*Tableau14[[#This Row],[Qte_commande]]</f>
        <v>104.46000000000001</v>
      </c>
      <c r="P366" s="228">
        <f>ROUND(Tableau14[[#This Row],[Prix_Unit_TTC]],2)*Tableau14[[#This Row],[Qte_commande]]</f>
        <v>125.34</v>
      </c>
      <c r="Q366" s="224">
        <v>6</v>
      </c>
      <c r="R366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6.0000000000000009</v>
      </c>
      <c r="U366" s="224"/>
      <c r="V366" s="224"/>
    </row>
    <row r="367" spans="1:22" ht="12.75" x14ac:dyDescent="0.2">
      <c r="A367" s="225">
        <v>42801</v>
      </c>
      <c r="B367" s="224" t="s">
        <v>307</v>
      </c>
      <c r="C367" s="224" t="s">
        <v>308</v>
      </c>
      <c r="D367" s="224" t="s">
        <v>309</v>
      </c>
      <c r="E367" s="226"/>
      <c r="G367" s="224" t="s">
        <v>1</v>
      </c>
      <c r="H367" s="224" t="s">
        <v>289</v>
      </c>
      <c r="I367" s="224" t="s">
        <v>1358</v>
      </c>
      <c r="J367" s="224">
        <v>100</v>
      </c>
      <c r="K367" s="227">
        <f t="array" ref="K367">IFERROR(INDEX([1]Grille_Tarifs_Modulable!$B$2:$B$204,MATCH(Tableau14[[#This Row],[Designation]]&amp;Tableau14[[#This Row],[CL]],[1]Grille_Tarifs_Modulable!$C$2:$C$204&amp;[1]Grille_Tarifs_Modulable!$F$2:$F$204,0)),0)</f>
        <v>0</v>
      </c>
      <c r="L367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</v>
      </c>
      <c r="M367" s="228">
        <f>IF(Tableau14[[#This Row],[Prix_Unit_HT]]=0,0,Tableau14[[#This Row],[Prix_Unit_HT]]+(Tableau14[[#This Row],[Prix_Unit_HT]]*VLOOKUP(Tableau14[[#This Row],[EAN]],[1]Grille_Tarifs_Modulable!$B$10:$Q$204,16,FALSE)))</f>
        <v>0</v>
      </c>
      <c r="N367" s="224">
        <v>6</v>
      </c>
      <c r="O367" s="228">
        <f>ROUND(Tableau14[[#This Row],[Prix_Unit_HT]],2)*Tableau14[[#This Row],[Qte_commande]]</f>
        <v>0</v>
      </c>
      <c r="P367" s="228">
        <f>ROUND(Tableau14[[#This Row],[Prix_Unit_TTC]],2)*Tableau14[[#This Row],[Qte_commande]]</f>
        <v>0</v>
      </c>
      <c r="Q367" s="224">
        <v>8.57</v>
      </c>
      <c r="R367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8.5714285714285712</v>
      </c>
      <c r="U367" s="224"/>
      <c r="V367" s="224"/>
    </row>
    <row r="368" spans="1:22" ht="12.75" x14ac:dyDescent="0.2">
      <c r="A368" s="225">
        <v>42803</v>
      </c>
      <c r="B368" s="224" t="s">
        <v>606</v>
      </c>
      <c r="C368" s="224" t="s">
        <v>545</v>
      </c>
      <c r="D368" s="224" t="s">
        <v>546</v>
      </c>
      <c r="E368" s="226"/>
      <c r="F368" s="224" t="s">
        <v>547</v>
      </c>
      <c r="G368" s="224" t="s">
        <v>13</v>
      </c>
      <c r="H368" s="224" t="s">
        <v>289</v>
      </c>
      <c r="I368" s="224" t="s">
        <v>15</v>
      </c>
      <c r="J368" s="224">
        <v>175</v>
      </c>
      <c r="K368" s="227">
        <f t="array" ref="K368">IFERROR(INDEX([1]Grille_Tarifs_Modulable!$B$2:$B$204,MATCH(Tableau14[[#This Row],[Designation]]&amp;Tableau14[[#This Row],[CL]],[1]Grille_Tarifs_Modulable!$C$2:$C$204&amp;[1]Grille_Tarifs_Modulable!$F$2:$F$204,0)),0)</f>
        <v>4067700013835</v>
      </c>
      <c r="L368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32.266408749999997</v>
      </c>
      <c r="M368" s="228">
        <f>IF(Tableau14[[#This Row],[Prix_Unit_HT]]=0,0,Tableau14[[#This Row],[Prix_Unit_HT]]+(Tableau14[[#This Row],[Prix_Unit_HT]]*VLOOKUP(Tableau14[[#This Row],[EAN]],[1]Grille_Tarifs_Modulable!$B$10:$Q$204,16,FALSE)))</f>
        <v>38.719690499999999</v>
      </c>
      <c r="N368" s="224">
        <v>36</v>
      </c>
      <c r="O368" s="228">
        <f>ROUND(Tableau14[[#This Row],[Prix_Unit_HT]],2)*Tableau14[[#This Row],[Qte_commande]]</f>
        <v>1161.72</v>
      </c>
      <c r="P368" s="228">
        <f>ROUND(Tableau14[[#This Row],[Prix_Unit_TTC]],2)*Tableau14[[#This Row],[Qte_commande]]</f>
        <v>1393.92</v>
      </c>
      <c r="Q368" s="224">
        <v>90</v>
      </c>
      <c r="R368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90</v>
      </c>
      <c r="U368" s="224"/>
      <c r="V368" s="224"/>
    </row>
    <row r="369" spans="1:22" ht="12.75" x14ac:dyDescent="0.2">
      <c r="A369" s="225">
        <v>42808</v>
      </c>
      <c r="B369" s="224" t="s">
        <v>819</v>
      </c>
      <c r="C369" s="224" t="s">
        <v>488</v>
      </c>
      <c r="D369" s="224" t="s">
        <v>489</v>
      </c>
      <c r="E369" s="226"/>
      <c r="G369" s="224" t="s">
        <v>13</v>
      </c>
      <c r="H369" s="224" t="s">
        <v>196</v>
      </c>
      <c r="I369" s="224" t="s">
        <v>66</v>
      </c>
      <c r="J369" s="224">
        <v>50</v>
      </c>
      <c r="K369" s="227">
        <f t="array" ref="K369">IFERROR(INDEX([1]Grille_Tarifs_Modulable!$B$2:$B$204,MATCH(Tableau14[[#This Row],[Designation]]&amp;Tableau14[[#This Row],[CL]],[1]Grille_Tarifs_Modulable!$C$2:$C$204&amp;[1]Grille_Tarifs_Modulable!$F$2:$F$204,0)),0)</f>
        <v>4260310553382</v>
      </c>
      <c r="L369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1.1000000000000001</v>
      </c>
      <c r="M369" s="228">
        <f>IF(Tableau14[[#This Row],[Prix_Unit_HT]]=0,0,Tableau14[[#This Row],[Prix_Unit_HT]]+(Tableau14[[#This Row],[Prix_Unit_HT]]*VLOOKUP(Tableau14[[#This Row],[EAN]],[1]Grille_Tarifs_Modulable!$B$10:$Q$204,16,FALSE)))</f>
        <v>1.1605000000000001</v>
      </c>
      <c r="N369" s="224">
        <v>20</v>
      </c>
      <c r="O369" s="228">
        <f>ROUND(Tableau14[[#This Row],[Prix_Unit_HT]],2)*Tableau14[[#This Row],[Qte_commande]]</f>
        <v>22</v>
      </c>
      <c r="P369" s="228">
        <f>ROUND(Tableau14[[#This Row],[Prix_Unit_TTC]],2)*Tableau14[[#This Row],[Qte_commande]]</f>
        <v>23.2</v>
      </c>
      <c r="Q369" s="224">
        <v>14.29</v>
      </c>
      <c r="R369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14.285714285714286</v>
      </c>
      <c r="U369" s="224"/>
      <c r="V369" s="224"/>
    </row>
    <row r="370" spans="1:22" ht="12.75" x14ac:dyDescent="0.2">
      <c r="A370" s="225">
        <v>42808</v>
      </c>
      <c r="B370" s="224" t="s">
        <v>819</v>
      </c>
      <c r="C370" s="224" t="s">
        <v>488</v>
      </c>
      <c r="D370" s="224" t="s">
        <v>489</v>
      </c>
      <c r="E370" s="226"/>
      <c r="G370" s="224" t="s">
        <v>13</v>
      </c>
      <c r="H370" s="224" t="s">
        <v>289</v>
      </c>
      <c r="I370" s="224" t="s">
        <v>44</v>
      </c>
      <c r="J370" s="224">
        <v>50</v>
      </c>
      <c r="K370" s="227">
        <f t="array" ref="K370">IFERROR(INDEX([1]Grille_Tarifs_Modulable!$B$2:$B$204,MATCH(Tableau14[[#This Row],[Designation]]&amp;Tableau14[[#This Row],[CL]],[1]Grille_Tarifs_Modulable!$C$2:$C$204&amp;[1]Grille_Tarifs_Modulable!$F$2:$F$204,0)),0)</f>
        <v>4260270192645</v>
      </c>
      <c r="L370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28.052506000000001</v>
      </c>
      <c r="M370" s="228">
        <f>IF(Tableau14[[#This Row],[Prix_Unit_HT]]=0,0,Tableau14[[#This Row],[Prix_Unit_HT]]+(Tableau14[[#This Row],[Prix_Unit_HT]]*VLOOKUP(Tableau14[[#This Row],[EAN]],[1]Grille_Tarifs_Modulable!$B$10:$Q$204,16,FALSE)))</f>
        <v>33.663007200000003</v>
      </c>
      <c r="N370" s="224">
        <v>6</v>
      </c>
      <c r="O370" s="228">
        <f>ROUND(Tableau14[[#This Row],[Prix_Unit_HT]],2)*Tableau14[[#This Row],[Qte_commande]]</f>
        <v>168.3</v>
      </c>
      <c r="P370" s="228">
        <f>ROUND(Tableau14[[#This Row],[Prix_Unit_TTC]],2)*Tableau14[[#This Row],[Qte_commande]]</f>
        <v>201.95999999999998</v>
      </c>
      <c r="Q370" s="224">
        <v>4.29</v>
      </c>
      <c r="R370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4.2857142857142856</v>
      </c>
      <c r="U370" s="224"/>
      <c r="V370" s="224"/>
    </row>
    <row r="371" spans="1:22" ht="12.75" x14ac:dyDescent="0.2">
      <c r="A371" s="225">
        <v>42808</v>
      </c>
      <c r="B371" s="224" t="s">
        <v>819</v>
      </c>
      <c r="C371" s="224" t="s">
        <v>488</v>
      </c>
      <c r="D371" s="224" t="s">
        <v>489</v>
      </c>
      <c r="E371" s="226"/>
      <c r="G371" s="224" t="s">
        <v>13</v>
      </c>
      <c r="H371" s="224" t="s">
        <v>289</v>
      </c>
      <c r="I371" s="224" t="s">
        <v>26</v>
      </c>
      <c r="J371" s="224">
        <v>70</v>
      </c>
      <c r="K371" s="227">
        <f t="array" ref="K371">IFERROR(INDEX([1]Grille_Tarifs_Modulable!$B$2:$B$204,MATCH(Tableau14[[#This Row],[Designation]]&amp;Tableau14[[#This Row],[CL]],[1]Grille_Tarifs_Modulable!$C$2:$C$204&amp;[1]Grille_Tarifs_Modulable!$F$2:$F$204,0)),0)</f>
        <v>8500000916445</v>
      </c>
      <c r="L371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43.608643999999998</v>
      </c>
      <c r="M371" s="228">
        <f>IF(Tableau14[[#This Row],[Prix_Unit_HT]]=0,0,Tableau14[[#This Row],[Prix_Unit_HT]]+(Tableau14[[#This Row],[Prix_Unit_HT]]*VLOOKUP(Tableau14[[#This Row],[EAN]],[1]Grille_Tarifs_Modulable!$B$10:$Q$204,16,FALSE)))</f>
        <v>52.330372799999999</v>
      </c>
      <c r="N371" s="224">
        <v>1</v>
      </c>
      <c r="O371" s="228">
        <f>ROUND(Tableau14[[#This Row],[Prix_Unit_HT]],2)*Tableau14[[#This Row],[Qte_commande]]</f>
        <v>43.61</v>
      </c>
      <c r="P371" s="228">
        <f>ROUND(Tableau14[[#This Row],[Prix_Unit_TTC]],2)*Tableau14[[#This Row],[Qte_commande]]</f>
        <v>52.33</v>
      </c>
      <c r="Q371" s="224">
        <v>1</v>
      </c>
      <c r="R371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</v>
      </c>
      <c r="U371" s="224"/>
      <c r="V371" s="224"/>
    </row>
    <row r="372" spans="1:22" ht="12.75" x14ac:dyDescent="0.2">
      <c r="A372" s="225">
        <v>42808</v>
      </c>
      <c r="B372" s="224" t="s">
        <v>819</v>
      </c>
      <c r="C372" s="224" t="s">
        <v>488</v>
      </c>
      <c r="D372" s="224" t="s">
        <v>489</v>
      </c>
      <c r="E372" s="226"/>
      <c r="G372" s="224" t="s">
        <v>13</v>
      </c>
      <c r="H372" s="224" t="s">
        <v>289</v>
      </c>
      <c r="I372" s="224" t="s">
        <v>931</v>
      </c>
      <c r="J372" s="224">
        <v>100</v>
      </c>
      <c r="K372" s="227">
        <f t="array" ref="K372">IFERROR(INDEX([1]Grille_Tarifs_Modulable!$B$2:$B$204,MATCH(Tableau14[[#This Row],[Designation]]&amp;Tableau14[[#This Row],[CL]],[1]Grille_Tarifs_Modulable!$C$2:$C$204&amp;[1]Grille_Tarifs_Modulable!$F$2:$F$204,0)),0)</f>
        <v>0</v>
      </c>
      <c r="L372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</v>
      </c>
      <c r="M372" s="228">
        <f>IF(Tableau14[[#This Row],[Prix_Unit_HT]]=0,0,Tableau14[[#This Row],[Prix_Unit_HT]]+(Tableau14[[#This Row],[Prix_Unit_HT]]*VLOOKUP(Tableau14[[#This Row],[EAN]],[1]Grille_Tarifs_Modulable!$B$10:$Q$204,16,FALSE)))</f>
        <v>0</v>
      </c>
      <c r="N372" s="224">
        <v>6</v>
      </c>
      <c r="O372" s="228">
        <f>ROUND(Tableau14[[#This Row],[Prix_Unit_HT]],2)*Tableau14[[#This Row],[Qte_commande]]</f>
        <v>0</v>
      </c>
      <c r="P372" s="228">
        <f>ROUND(Tableau14[[#This Row],[Prix_Unit_TTC]],2)*Tableau14[[#This Row],[Qte_commande]]</f>
        <v>0</v>
      </c>
      <c r="Q372" s="224">
        <v>8.57</v>
      </c>
      <c r="R372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8.5714285714285712</v>
      </c>
      <c r="U372" s="224"/>
      <c r="V372" s="224"/>
    </row>
    <row r="373" spans="1:22" ht="12.75" x14ac:dyDescent="0.2">
      <c r="A373" s="225">
        <v>42808</v>
      </c>
      <c r="B373" s="224" t="s">
        <v>819</v>
      </c>
      <c r="C373" s="224" t="s">
        <v>488</v>
      </c>
      <c r="D373" s="224" t="s">
        <v>489</v>
      </c>
      <c r="E373" s="226"/>
      <c r="G373" s="224" t="s">
        <v>13</v>
      </c>
      <c r="H373" s="224" t="s">
        <v>196</v>
      </c>
      <c r="I373" s="224" t="s">
        <v>59</v>
      </c>
      <c r="J373" s="224">
        <v>20</v>
      </c>
      <c r="K373" s="227">
        <f t="array" ref="K373">IFERROR(INDEX([1]Grille_Tarifs_Modulable!$B$2:$B$204,MATCH(Tableau14[[#This Row],[Designation]]&amp;Tableau14[[#This Row],[CL]],[1]Grille_Tarifs_Modulable!$C$2:$C$204&amp;[1]Grille_Tarifs_Modulable!$F$2:$F$204,0)),0)</f>
        <v>4260310553818</v>
      </c>
      <c r="L373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0.89</v>
      </c>
      <c r="M373" s="228">
        <f>IF(Tableau14[[#This Row],[Prix_Unit_HT]]=0,0,Tableau14[[#This Row],[Prix_Unit_HT]]+(Tableau14[[#This Row],[Prix_Unit_HT]]*VLOOKUP(Tableau14[[#This Row],[EAN]],[1]Grille_Tarifs_Modulable!$B$10:$Q$204,16,FALSE)))</f>
        <v>0.93895000000000006</v>
      </c>
      <c r="N373" s="224">
        <v>72</v>
      </c>
      <c r="O373" s="228">
        <f>ROUND(Tableau14[[#This Row],[Prix_Unit_HT]],2)*Tableau14[[#This Row],[Qte_commande]]</f>
        <v>64.08</v>
      </c>
      <c r="P373" s="228">
        <f>ROUND(Tableau14[[#This Row],[Prix_Unit_TTC]],2)*Tableau14[[#This Row],[Qte_commande]]</f>
        <v>67.679999999999993</v>
      </c>
      <c r="Q373" s="224">
        <v>20.57</v>
      </c>
      <c r="R373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20.571428571428573</v>
      </c>
      <c r="U373" s="224"/>
      <c r="V373" s="224"/>
    </row>
    <row r="374" spans="1:22" ht="12.75" x14ac:dyDescent="0.2">
      <c r="A374" s="225">
        <v>42810</v>
      </c>
      <c r="B374" s="224" t="s">
        <v>213</v>
      </c>
      <c r="C374" s="224" t="s">
        <v>214</v>
      </c>
      <c r="D374" s="224" t="s">
        <v>215</v>
      </c>
      <c r="E374" s="226"/>
      <c r="G374" s="224" t="s">
        <v>1</v>
      </c>
      <c r="H374" s="224" t="s">
        <v>196</v>
      </c>
      <c r="I374" s="224" t="s">
        <v>62</v>
      </c>
      <c r="J374" s="224">
        <v>20</v>
      </c>
      <c r="K374" s="227">
        <f t="array" ref="K374">IFERROR(INDEX([1]Grille_Tarifs_Modulable!$B$2:$B$204,MATCH(Tableau14[[#This Row],[Designation]]&amp;Tableau14[[#This Row],[CL]],[1]Grille_Tarifs_Modulable!$C$2:$C$204&amp;[1]Grille_Tarifs_Modulable!$F$2:$F$204,0)),0)</f>
        <v>4260310550305</v>
      </c>
      <c r="L374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0.81</v>
      </c>
      <c r="M374" s="228">
        <f>IF(Tableau14[[#This Row],[Prix_Unit_HT]]=0,0,Tableau14[[#This Row],[Prix_Unit_HT]]+(Tableau14[[#This Row],[Prix_Unit_HT]]*VLOOKUP(Tableau14[[#This Row],[EAN]],[1]Grille_Tarifs_Modulable!$B$10:$Q$204,16,FALSE)))</f>
        <v>0.85455000000000003</v>
      </c>
      <c r="N374" s="224">
        <v>96</v>
      </c>
      <c r="O374" s="228">
        <f>ROUND(Tableau14[[#This Row],[Prix_Unit_HT]],2)*Tableau14[[#This Row],[Qte_commande]]</f>
        <v>77.760000000000005</v>
      </c>
      <c r="P374" s="228">
        <f>ROUND(Tableau14[[#This Row],[Prix_Unit_TTC]],2)*Tableau14[[#This Row],[Qte_commande]]</f>
        <v>81.599999999999994</v>
      </c>
      <c r="Q374" s="224">
        <v>27.43</v>
      </c>
      <c r="R374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27.428571428571431</v>
      </c>
      <c r="U374" s="224"/>
      <c r="V374" s="224"/>
    </row>
    <row r="375" spans="1:22" ht="12.75" x14ac:dyDescent="0.2">
      <c r="A375" s="225">
        <v>42810</v>
      </c>
      <c r="B375" s="224" t="s">
        <v>213</v>
      </c>
      <c r="C375" s="224" t="s">
        <v>214</v>
      </c>
      <c r="D375" s="224" t="s">
        <v>215</v>
      </c>
      <c r="E375" s="226"/>
      <c r="G375" s="224" t="s">
        <v>1</v>
      </c>
      <c r="H375" s="224" t="s">
        <v>196</v>
      </c>
      <c r="I375" s="224" t="s">
        <v>65</v>
      </c>
      <c r="J375" s="224">
        <v>20</v>
      </c>
      <c r="K375" s="227">
        <f t="array" ref="K375">IFERROR(INDEX([1]Grille_Tarifs_Modulable!$B$2:$B$204,MATCH(Tableau14[[#This Row],[Designation]]&amp;Tableau14[[#This Row],[CL]],[1]Grille_Tarifs_Modulable!$C$2:$C$204&amp;[1]Grille_Tarifs_Modulable!$F$2:$F$204,0)),0)</f>
        <v>4260310553863</v>
      </c>
      <c r="L375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0.81</v>
      </c>
      <c r="M375" s="228">
        <f>IF(Tableau14[[#This Row],[Prix_Unit_HT]]=0,0,Tableau14[[#This Row],[Prix_Unit_HT]]+(Tableau14[[#This Row],[Prix_Unit_HT]]*VLOOKUP(Tableau14[[#This Row],[EAN]],[1]Grille_Tarifs_Modulable!$B$10:$Q$204,16,FALSE)))</f>
        <v>0.85455000000000003</v>
      </c>
      <c r="N375" s="224">
        <v>96</v>
      </c>
      <c r="O375" s="228">
        <f>ROUND(Tableau14[[#This Row],[Prix_Unit_HT]],2)*Tableau14[[#This Row],[Qte_commande]]</f>
        <v>77.760000000000005</v>
      </c>
      <c r="P375" s="228">
        <f>ROUND(Tableau14[[#This Row],[Prix_Unit_TTC]],2)*Tableau14[[#This Row],[Qte_commande]]</f>
        <v>81.599999999999994</v>
      </c>
      <c r="Q375" s="224">
        <v>27.43</v>
      </c>
      <c r="R375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27.428571428571431</v>
      </c>
      <c r="U375" s="224"/>
      <c r="V375" s="224"/>
    </row>
    <row r="376" spans="1:22" ht="12.75" x14ac:dyDescent="0.2">
      <c r="A376" s="225">
        <v>42810</v>
      </c>
      <c r="B376" s="224" t="s">
        <v>213</v>
      </c>
      <c r="C376" s="224" t="s">
        <v>214</v>
      </c>
      <c r="D376" s="224" t="s">
        <v>215</v>
      </c>
      <c r="E376" s="226"/>
      <c r="G376" s="224" t="s">
        <v>1</v>
      </c>
      <c r="H376" s="224" t="s">
        <v>196</v>
      </c>
      <c r="I376" s="224" t="s">
        <v>66</v>
      </c>
      <c r="J376" s="224">
        <v>50</v>
      </c>
      <c r="K376" s="227">
        <f t="array" ref="K376">IFERROR(INDEX([1]Grille_Tarifs_Modulable!$B$2:$B$204,MATCH(Tableau14[[#This Row],[Designation]]&amp;Tableau14[[#This Row],[CL]],[1]Grille_Tarifs_Modulable!$C$2:$C$204&amp;[1]Grille_Tarifs_Modulable!$F$2:$F$204,0)),0)</f>
        <v>4260310553382</v>
      </c>
      <c r="L376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</v>
      </c>
      <c r="M376" s="228">
        <f>IF(Tableau14[[#This Row],[Prix_Unit_HT]]=0,0,Tableau14[[#This Row],[Prix_Unit_HT]]+(Tableau14[[#This Row],[Prix_Unit_HT]]*VLOOKUP(Tableau14[[#This Row],[EAN]],[1]Grille_Tarifs_Modulable!$B$10:$Q$204,16,FALSE)))</f>
        <v>1.0549999999999999</v>
      </c>
      <c r="N376" s="224">
        <v>80</v>
      </c>
      <c r="O376" s="228">
        <f>ROUND(Tableau14[[#This Row],[Prix_Unit_HT]],2)*Tableau14[[#This Row],[Qte_commande]]</f>
        <v>80</v>
      </c>
      <c r="P376" s="228">
        <f>ROUND(Tableau14[[#This Row],[Prix_Unit_TTC]],2)*Tableau14[[#This Row],[Qte_commande]]</f>
        <v>84.800000000000011</v>
      </c>
      <c r="Q376" s="224">
        <v>57.14</v>
      </c>
      <c r="R376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57.142857142857146</v>
      </c>
      <c r="U376" s="224"/>
      <c r="V376" s="224"/>
    </row>
    <row r="377" spans="1:22" ht="12.75" x14ac:dyDescent="0.2">
      <c r="A377" s="225">
        <v>42825</v>
      </c>
      <c r="B377" s="224" t="s">
        <v>487</v>
      </c>
      <c r="C377" s="224" t="s">
        <v>488</v>
      </c>
      <c r="D377" s="224" t="s">
        <v>489</v>
      </c>
      <c r="E377" s="226"/>
      <c r="G377" s="224" t="s">
        <v>13</v>
      </c>
      <c r="H377" s="224" t="s">
        <v>451</v>
      </c>
      <c r="I377" s="224" t="s">
        <v>74</v>
      </c>
      <c r="J377" s="229">
        <v>6</v>
      </c>
      <c r="K377" s="227">
        <f t="array" ref="K377">IFERROR(INDEX([1]Grille_Tarifs_Modulable!$B$2:$B$204,MATCH(Tableau14[[#This Row],[Designation]]&amp;Tableau14[[#This Row],[CL]],[1]Grille_Tarifs_Modulable!$C$2:$C$204&amp;[1]Grille_Tarifs_Modulable!$F$2:$F$204,0)),0)</f>
        <v>125</v>
      </c>
      <c r="L377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139</v>
      </c>
      <c r="M377" s="228">
        <f>IF(Tableau14[[#This Row],[Prix_Unit_HT]]=0,0,Tableau14[[#This Row],[Prix_Unit_HT]]+(Tableau14[[#This Row],[Prix_Unit_HT]]*VLOOKUP(Tableau14[[#This Row],[EAN]],[1]Grille_Tarifs_Modulable!$B$10:$Q$204,16,FALSE)))</f>
        <v>166.8</v>
      </c>
      <c r="N377" s="224">
        <v>1</v>
      </c>
      <c r="O377" s="228">
        <f>ROUND(Tableau14[[#This Row],[Prix_Unit_HT]],2)*Tableau14[[#This Row],[Qte_commande]]</f>
        <v>139</v>
      </c>
      <c r="P377" s="228">
        <f>ROUND(Tableau14[[#This Row],[Prix_Unit_TTC]],2)*Tableau14[[#This Row],[Qte_commande]]</f>
        <v>166.8</v>
      </c>
      <c r="Q377" s="224">
        <v>1</v>
      </c>
      <c r="R377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</v>
      </c>
      <c r="U377" s="224"/>
      <c r="V377" s="224"/>
    </row>
    <row r="378" spans="1:22" ht="12.75" x14ac:dyDescent="0.2">
      <c r="A378" s="225">
        <v>42825</v>
      </c>
      <c r="B378" s="224" t="s">
        <v>490</v>
      </c>
      <c r="C378" s="224" t="s">
        <v>491</v>
      </c>
      <c r="D378" s="224" t="s">
        <v>443</v>
      </c>
      <c r="E378" s="226"/>
      <c r="G378" s="224" t="s">
        <v>1</v>
      </c>
      <c r="H378" s="224" t="s">
        <v>451</v>
      </c>
      <c r="I378" s="224" t="s">
        <v>74</v>
      </c>
      <c r="J378" s="229">
        <v>6</v>
      </c>
      <c r="K378" s="227">
        <f t="array" ref="K378">IFERROR(INDEX([1]Grille_Tarifs_Modulable!$B$2:$B$204,MATCH(Tableau14[[#This Row],[Designation]]&amp;Tableau14[[#This Row],[CL]],[1]Grille_Tarifs_Modulable!$C$2:$C$204&amp;[1]Grille_Tarifs_Modulable!$F$2:$F$204,0)),0)</f>
        <v>125</v>
      </c>
      <c r="L378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139</v>
      </c>
      <c r="M378" s="228">
        <f>IF(Tableau14[[#This Row],[Prix_Unit_HT]]=0,0,Tableau14[[#This Row],[Prix_Unit_HT]]+(Tableau14[[#This Row],[Prix_Unit_HT]]*VLOOKUP(Tableau14[[#This Row],[EAN]],[1]Grille_Tarifs_Modulable!$B$10:$Q$204,16,FALSE)))</f>
        <v>166.8</v>
      </c>
      <c r="N378" s="224">
        <v>1</v>
      </c>
      <c r="O378" s="228">
        <f>ROUND(Tableau14[[#This Row],[Prix_Unit_HT]],2)*Tableau14[[#This Row],[Qte_commande]]</f>
        <v>139</v>
      </c>
      <c r="P378" s="228">
        <f>ROUND(Tableau14[[#This Row],[Prix_Unit_TTC]],2)*Tableau14[[#This Row],[Qte_commande]]</f>
        <v>166.8</v>
      </c>
      <c r="Q378" s="224">
        <v>1</v>
      </c>
      <c r="R378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</v>
      </c>
      <c r="U378" s="224"/>
      <c r="V378" s="224"/>
    </row>
    <row r="379" spans="1:22" ht="12.75" x14ac:dyDescent="0.2">
      <c r="A379" s="225">
        <v>42825</v>
      </c>
      <c r="B379" s="224" t="s">
        <v>492</v>
      </c>
      <c r="C379" s="224" t="s">
        <v>493</v>
      </c>
      <c r="D379" s="224" t="s">
        <v>203</v>
      </c>
      <c r="E379" s="226"/>
      <c r="G379" s="224" t="s">
        <v>13</v>
      </c>
      <c r="H379" s="224" t="s">
        <v>451</v>
      </c>
      <c r="I379" s="224" t="s">
        <v>74</v>
      </c>
      <c r="J379" s="229">
        <v>6</v>
      </c>
      <c r="K379" s="227">
        <f t="array" ref="K379">IFERROR(INDEX([1]Grille_Tarifs_Modulable!$B$2:$B$204,MATCH(Tableau14[[#This Row],[Designation]]&amp;Tableau14[[#This Row],[CL]],[1]Grille_Tarifs_Modulable!$C$2:$C$204&amp;[1]Grille_Tarifs_Modulable!$F$2:$F$204,0)),0)</f>
        <v>125</v>
      </c>
      <c r="L379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139</v>
      </c>
      <c r="M379" s="228">
        <f>IF(Tableau14[[#This Row],[Prix_Unit_HT]]=0,0,Tableau14[[#This Row],[Prix_Unit_HT]]+(Tableau14[[#This Row],[Prix_Unit_HT]]*VLOOKUP(Tableau14[[#This Row],[EAN]],[1]Grille_Tarifs_Modulable!$B$10:$Q$204,16,FALSE)))</f>
        <v>166.8</v>
      </c>
      <c r="N379" s="224">
        <v>1</v>
      </c>
      <c r="O379" s="228">
        <f>ROUND(Tableau14[[#This Row],[Prix_Unit_HT]],2)*Tableau14[[#This Row],[Qte_commande]]</f>
        <v>139</v>
      </c>
      <c r="P379" s="228">
        <f>ROUND(Tableau14[[#This Row],[Prix_Unit_TTC]],2)*Tableau14[[#This Row],[Qte_commande]]</f>
        <v>166.8</v>
      </c>
      <c r="Q379" s="224">
        <v>1</v>
      </c>
      <c r="R379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</v>
      </c>
      <c r="U379" s="224"/>
      <c r="V379" s="224"/>
    </row>
    <row r="380" spans="1:22" ht="12.75" x14ac:dyDescent="0.2">
      <c r="A380" s="225">
        <v>42825</v>
      </c>
      <c r="B380" s="224" t="s">
        <v>494</v>
      </c>
      <c r="C380" s="224" t="s">
        <v>495</v>
      </c>
      <c r="D380" s="224" t="s">
        <v>302</v>
      </c>
      <c r="E380" s="226"/>
      <c r="G380" s="224" t="s">
        <v>13</v>
      </c>
      <c r="H380" s="224" t="s">
        <v>451</v>
      </c>
      <c r="I380" s="224" t="s">
        <v>74</v>
      </c>
      <c r="J380" s="229">
        <v>6</v>
      </c>
      <c r="K380" s="227">
        <f t="array" ref="K380">IFERROR(INDEX([1]Grille_Tarifs_Modulable!$B$2:$B$204,MATCH(Tableau14[[#This Row],[Designation]]&amp;Tableau14[[#This Row],[CL]],[1]Grille_Tarifs_Modulable!$C$2:$C$204&amp;[1]Grille_Tarifs_Modulable!$F$2:$F$204,0)),0)</f>
        <v>125</v>
      </c>
      <c r="L380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139</v>
      </c>
      <c r="M380" s="228">
        <f>IF(Tableau14[[#This Row],[Prix_Unit_HT]]=0,0,Tableau14[[#This Row],[Prix_Unit_HT]]+(Tableau14[[#This Row],[Prix_Unit_HT]]*VLOOKUP(Tableau14[[#This Row],[EAN]],[1]Grille_Tarifs_Modulable!$B$10:$Q$204,16,FALSE)))</f>
        <v>166.8</v>
      </c>
      <c r="N380" s="224">
        <v>1</v>
      </c>
      <c r="O380" s="228">
        <f>ROUND(Tableau14[[#This Row],[Prix_Unit_HT]],2)*Tableau14[[#This Row],[Qte_commande]]</f>
        <v>139</v>
      </c>
      <c r="P380" s="228">
        <f>ROUND(Tableau14[[#This Row],[Prix_Unit_TTC]],2)*Tableau14[[#This Row],[Qte_commande]]</f>
        <v>166.8</v>
      </c>
      <c r="Q380" s="224">
        <v>1</v>
      </c>
      <c r="R380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</v>
      </c>
      <c r="U380" s="224"/>
      <c r="V380" s="224"/>
    </row>
    <row r="381" spans="1:22" ht="12.75" x14ac:dyDescent="0.2">
      <c r="A381" s="225">
        <v>42825</v>
      </c>
      <c r="B381" s="224" t="s">
        <v>496</v>
      </c>
      <c r="C381" s="224" t="s">
        <v>178</v>
      </c>
      <c r="D381" s="224" t="s">
        <v>209</v>
      </c>
      <c r="E381" s="226"/>
      <c r="G381" s="224" t="s">
        <v>13</v>
      </c>
      <c r="H381" s="224" t="s">
        <v>451</v>
      </c>
      <c r="I381" s="224" t="s">
        <v>74</v>
      </c>
      <c r="J381" s="229">
        <v>6</v>
      </c>
      <c r="K381" s="227">
        <f t="array" ref="K381">IFERROR(INDEX([1]Grille_Tarifs_Modulable!$B$2:$B$204,MATCH(Tableau14[[#This Row],[Designation]]&amp;Tableau14[[#This Row],[CL]],[1]Grille_Tarifs_Modulable!$C$2:$C$204&amp;[1]Grille_Tarifs_Modulable!$F$2:$F$204,0)),0)</f>
        <v>125</v>
      </c>
      <c r="L381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139</v>
      </c>
      <c r="M381" s="228">
        <f>IF(Tableau14[[#This Row],[Prix_Unit_HT]]=0,0,Tableau14[[#This Row],[Prix_Unit_HT]]+(Tableau14[[#This Row],[Prix_Unit_HT]]*VLOOKUP(Tableau14[[#This Row],[EAN]],[1]Grille_Tarifs_Modulable!$B$10:$Q$204,16,FALSE)))</f>
        <v>166.8</v>
      </c>
      <c r="N381" s="224">
        <v>1</v>
      </c>
      <c r="O381" s="228">
        <f>ROUND(Tableau14[[#This Row],[Prix_Unit_HT]],2)*Tableau14[[#This Row],[Qte_commande]]</f>
        <v>139</v>
      </c>
      <c r="P381" s="228">
        <f>ROUND(Tableau14[[#This Row],[Prix_Unit_TTC]],2)*Tableau14[[#This Row],[Qte_commande]]</f>
        <v>166.8</v>
      </c>
      <c r="Q381" s="224">
        <v>1</v>
      </c>
      <c r="R381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</v>
      </c>
      <c r="U381" s="224"/>
      <c r="V381" s="224"/>
    </row>
    <row r="382" spans="1:22" ht="12.75" x14ac:dyDescent="0.2">
      <c r="A382" s="225">
        <v>42825</v>
      </c>
      <c r="B382" s="224" t="s">
        <v>1006</v>
      </c>
      <c r="C382" s="224" t="s">
        <v>1007</v>
      </c>
      <c r="D382" s="224" t="s">
        <v>330</v>
      </c>
      <c r="E382" s="226"/>
      <c r="G382" s="224" t="s">
        <v>13</v>
      </c>
      <c r="H382" s="224" t="s">
        <v>451</v>
      </c>
      <c r="I382" s="224" t="s">
        <v>69</v>
      </c>
      <c r="J382" s="227">
        <v>3</v>
      </c>
      <c r="K382" s="227">
        <f t="array" ref="K382">IFERROR(INDEX([1]Grille_Tarifs_Modulable!$B$2:$B$204,MATCH(Tableau14[[#This Row],[Designation]]&amp;Tableau14[[#This Row],[CL]],[1]Grille_Tarifs_Modulable!$C$2:$C$204&amp;[1]Grille_Tarifs_Modulable!$F$2:$F$204,0)),0)</f>
        <v>121</v>
      </c>
      <c r="L382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299</v>
      </c>
      <c r="M382" s="228">
        <f>IF(Tableau14[[#This Row],[Prix_Unit_HT]]=0,0,Tableau14[[#This Row],[Prix_Unit_HT]]+(Tableau14[[#This Row],[Prix_Unit_HT]]*VLOOKUP(Tableau14[[#This Row],[EAN]],[1]Grille_Tarifs_Modulable!$B$10:$Q$204,16,FALSE)))</f>
        <v>358.8</v>
      </c>
      <c r="N382" s="224">
        <v>1</v>
      </c>
      <c r="O382" s="228">
        <f>ROUND(Tableau14[[#This Row],[Prix_Unit_HT]],2)*Tableau14[[#This Row],[Qte_commande]]</f>
        <v>299</v>
      </c>
      <c r="P382" s="228">
        <f>ROUND(Tableau14[[#This Row],[Prix_Unit_TTC]],2)*Tableau14[[#This Row],[Qte_commande]]</f>
        <v>358.8</v>
      </c>
      <c r="Q382" s="224">
        <v>1</v>
      </c>
      <c r="R382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</v>
      </c>
      <c r="U382" s="224"/>
      <c r="V382" s="224"/>
    </row>
    <row r="383" spans="1:22" ht="12.75" x14ac:dyDescent="0.2">
      <c r="A383" s="225">
        <v>42825</v>
      </c>
      <c r="B383" s="224" t="s">
        <v>1008</v>
      </c>
      <c r="C383" s="224" t="s">
        <v>1009</v>
      </c>
      <c r="D383" s="224" t="s">
        <v>527</v>
      </c>
      <c r="E383" s="226"/>
      <c r="G383" s="224" t="s">
        <v>13</v>
      </c>
      <c r="H383" s="224" t="s">
        <v>451</v>
      </c>
      <c r="I383" s="224" t="s">
        <v>69</v>
      </c>
      <c r="J383" s="227">
        <v>3</v>
      </c>
      <c r="K383" s="227">
        <f t="array" ref="K383">IFERROR(INDEX([1]Grille_Tarifs_Modulable!$B$2:$B$204,MATCH(Tableau14[[#This Row],[Designation]]&amp;Tableau14[[#This Row],[CL]],[1]Grille_Tarifs_Modulable!$C$2:$C$204&amp;[1]Grille_Tarifs_Modulable!$F$2:$F$204,0)),0)</f>
        <v>121</v>
      </c>
      <c r="L383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299</v>
      </c>
      <c r="M383" s="228">
        <f>IF(Tableau14[[#This Row],[Prix_Unit_HT]]=0,0,Tableau14[[#This Row],[Prix_Unit_HT]]+(Tableau14[[#This Row],[Prix_Unit_HT]]*VLOOKUP(Tableau14[[#This Row],[EAN]],[1]Grille_Tarifs_Modulable!$B$10:$Q$204,16,FALSE)))</f>
        <v>358.8</v>
      </c>
      <c r="N383" s="224">
        <v>1</v>
      </c>
      <c r="O383" s="228">
        <f>ROUND(Tableau14[[#This Row],[Prix_Unit_HT]],2)*Tableau14[[#This Row],[Qte_commande]]</f>
        <v>299</v>
      </c>
      <c r="P383" s="228">
        <f>ROUND(Tableau14[[#This Row],[Prix_Unit_TTC]],2)*Tableau14[[#This Row],[Qte_commande]]</f>
        <v>358.8</v>
      </c>
      <c r="Q383" s="224">
        <v>1</v>
      </c>
      <c r="R383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</v>
      </c>
      <c r="U383" s="224"/>
      <c r="V383" s="224"/>
    </row>
    <row r="384" spans="1:22" ht="12.75" x14ac:dyDescent="0.2">
      <c r="A384" s="225">
        <v>42825</v>
      </c>
      <c r="B384" s="224" t="s">
        <v>1010</v>
      </c>
      <c r="C384" s="224" t="s">
        <v>1011</v>
      </c>
      <c r="D384" s="224" t="s">
        <v>437</v>
      </c>
      <c r="E384" s="226"/>
      <c r="G384" s="224" t="s">
        <v>13</v>
      </c>
      <c r="H384" s="224" t="s">
        <v>451</v>
      </c>
      <c r="I384" s="224" t="s">
        <v>69</v>
      </c>
      <c r="J384" s="227">
        <v>3</v>
      </c>
      <c r="K384" s="227">
        <f t="array" ref="K384">IFERROR(INDEX([1]Grille_Tarifs_Modulable!$B$2:$B$204,MATCH(Tableau14[[#This Row],[Designation]]&amp;Tableau14[[#This Row],[CL]],[1]Grille_Tarifs_Modulable!$C$2:$C$204&amp;[1]Grille_Tarifs_Modulable!$F$2:$F$204,0)),0)</f>
        <v>121</v>
      </c>
      <c r="L384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299</v>
      </c>
      <c r="M384" s="228">
        <f>IF(Tableau14[[#This Row],[Prix_Unit_HT]]=0,0,Tableau14[[#This Row],[Prix_Unit_HT]]+(Tableau14[[#This Row],[Prix_Unit_HT]]*VLOOKUP(Tableau14[[#This Row],[EAN]],[1]Grille_Tarifs_Modulable!$B$10:$Q$204,16,FALSE)))</f>
        <v>358.8</v>
      </c>
      <c r="N384" s="224">
        <v>1</v>
      </c>
      <c r="O384" s="228">
        <f>ROUND(Tableau14[[#This Row],[Prix_Unit_HT]],2)*Tableau14[[#This Row],[Qte_commande]]</f>
        <v>299</v>
      </c>
      <c r="P384" s="228">
        <f>ROUND(Tableau14[[#This Row],[Prix_Unit_TTC]],2)*Tableau14[[#This Row],[Qte_commande]]</f>
        <v>358.8</v>
      </c>
      <c r="Q384" s="224">
        <v>1</v>
      </c>
      <c r="R384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</v>
      </c>
      <c r="U384" s="224"/>
      <c r="V384" s="224"/>
    </row>
    <row r="385" spans="1:22" ht="12.75" x14ac:dyDescent="0.2">
      <c r="A385" s="225">
        <v>42825</v>
      </c>
      <c r="B385" s="224" t="s">
        <v>1012</v>
      </c>
      <c r="C385" s="224" t="s">
        <v>162</v>
      </c>
      <c r="D385" s="224" t="s">
        <v>970</v>
      </c>
      <c r="E385" s="226"/>
      <c r="G385" s="224" t="s">
        <v>13</v>
      </c>
      <c r="H385" s="224" t="s">
        <v>451</v>
      </c>
      <c r="I385" s="224" t="s">
        <v>69</v>
      </c>
      <c r="J385" s="227">
        <v>3</v>
      </c>
      <c r="K385" s="227">
        <f t="array" ref="K385">IFERROR(INDEX([1]Grille_Tarifs_Modulable!$B$2:$B$204,MATCH(Tableau14[[#This Row],[Designation]]&amp;Tableau14[[#This Row],[CL]],[1]Grille_Tarifs_Modulable!$C$2:$C$204&amp;[1]Grille_Tarifs_Modulable!$F$2:$F$204,0)),0)</f>
        <v>121</v>
      </c>
      <c r="L385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299</v>
      </c>
      <c r="M385" s="228">
        <f>IF(Tableau14[[#This Row],[Prix_Unit_HT]]=0,0,Tableau14[[#This Row],[Prix_Unit_HT]]+(Tableau14[[#This Row],[Prix_Unit_HT]]*VLOOKUP(Tableau14[[#This Row],[EAN]],[1]Grille_Tarifs_Modulable!$B$10:$Q$204,16,FALSE)))</f>
        <v>358.8</v>
      </c>
      <c r="N385" s="224">
        <v>1</v>
      </c>
      <c r="O385" s="228">
        <f>ROUND(Tableau14[[#This Row],[Prix_Unit_HT]],2)*Tableau14[[#This Row],[Qte_commande]]</f>
        <v>299</v>
      </c>
      <c r="P385" s="228">
        <f>ROUND(Tableau14[[#This Row],[Prix_Unit_TTC]],2)*Tableau14[[#This Row],[Qte_commande]]</f>
        <v>358.8</v>
      </c>
      <c r="Q385" s="224">
        <v>1</v>
      </c>
      <c r="R385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</v>
      </c>
      <c r="U385" s="224"/>
      <c r="V385" s="224"/>
    </row>
    <row r="386" spans="1:22" ht="12.75" x14ac:dyDescent="0.2">
      <c r="A386" s="225">
        <v>42825</v>
      </c>
      <c r="B386" s="224" t="s">
        <v>1013</v>
      </c>
      <c r="C386" s="224" t="s">
        <v>1014</v>
      </c>
      <c r="D386" s="224" t="s">
        <v>1015</v>
      </c>
      <c r="E386" s="226"/>
      <c r="G386" s="224" t="s">
        <v>13</v>
      </c>
      <c r="H386" s="224" t="s">
        <v>451</v>
      </c>
      <c r="I386" s="224" t="s">
        <v>69</v>
      </c>
      <c r="J386" s="227">
        <v>3</v>
      </c>
      <c r="K386" s="227">
        <f t="array" ref="K386">IFERROR(INDEX([1]Grille_Tarifs_Modulable!$B$2:$B$204,MATCH(Tableau14[[#This Row],[Designation]]&amp;Tableau14[[#This Row],[CL]],[1]Grille_Tarifs_Modulable!$C$2:$C$204&amp;[1]Grille_Tarifs_Modulable!$F$2:$F$204,0)),0)</f>
        <v>121</v>
      </c>
      <c r="L386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299</v>
      </c>
      <c r="M386" s="228">
        <f>IF(Tableau14[[#This Row],[Prix_Unit_HT]]=0,0,Tableau14[[#This Row],[Prix_Unit_HT]]+(Tableau14[[#This Row],[Prix_Unit_HT]]*VLOOKUP(Tableau14[[#This Row],[EAN]],[1]Grille_Tarifs_Modulable!$B$10:$Q$204,16,FALSE)))</f>
        <v>358.8</v>
      </c>
      <c r="N386" s="224">
        <v>2</v>
      </c>
      <c r="O386" s="228">
        <f>ROUND(Tableau14[[#This Row],[Prix_Unit_HT]],2)*Tableau14[[#This Row],[Qte_commande]]</f>
        <v>598</v>
      </c>
      <c r="P386" s="228">
        <f>ROUND(Tableau14[[#This Row],[Prix_Unit_TTC]],2)*Tableau14[[#This Row],[Qte_commande]]</f>
        <v>717.6</v>
      </c>
      <c r="Q386" s="224">
        <v>2</v>
      </c>
      <c r="R386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2</v>
      </c>
      <c r="U386" s="224"/>
      <c r="V386" s="224"/>
    </row>
    <row r="387" spans="1:22" ht="12.75" x14ac:dyDescent="0.2">
      <c r="A387" s="225">
        <v>42825</v>
      </c>
      <c r="B387" s="224" t="s">
        <v>1016</v>
      </c>
      <c r="C387" s="224" t="s">
        <v>542</v>
      </c>
      <c r="D387" s="224" t="s">
        <v>209</v>
      </c>
      <c r="E387" s="226"/>
      <c r="G387" s="224" t="s">
        <v>13</v>
      </c>
      <c r="H387" s="224" t="s">
        <v>451</v>
      </c>
      <c r="I387" s="224" t="s">
        <v>69</v>
      </c>
      <c r="J387" s="227">
        <v>3</v>
      </c>
      <c r="K387" s="227">
        <f t="array" ref="K387">IFERROR(INDEX([1]Grille_Tarifs_Modulable!$B$2:$B$204,MATCH(Tableau14[[#This Row],[Designation]]&amp;Tableau14[[#This Row],[CL]],[1]Grille_Tarifs_Modulable!$C$2:$C$204&amp;[1]Grille_Tarifs_Modulable!$F$2:$F$204,0)),0)</f>
        <v>121</v>
      </c>
      <c r="L387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299</v>
      </c>
      <c r="M387" s="228">
        <f>IF(Tableau14[[#This Row],[Prix_Unit_HT]]=0,0,Tableau14[[#This Row],[Prix_Unit_HT]]+(Tableau14[[#This Row],[Prix_Unit_HT]]*VLOOKUP(Tableau14[[#This Row],[EAN]],[1]Grille_Tarifs_Modulable!$B$10:$Q$204,16,FALSE)))</f>
        <v>358.8</v>
      </c>
      <c r="N387" s="224">
        <v>1</v>
      </c>
      <c r="O387" s="228">
        <f>ROUND(Tableau14[[#This Row],[Prix_Unit_HT]],2)*Tableau14[[#This Row],[Qte_commande]]</f>
        <v>299</v>
      </c>
      <c r="P387" s="228">
        <f>ROUND(Tableau14[[#This Row],[Prix_Unit_TTC]],2)*Tableau14[[#This Row],[Qte_commande]]</f>
        <v>358.8</v>
      </c>
      <c r="Q387" s="224">
        <v>1</v>
      </c>
      <c r="R387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</v>
      </c>
      <c r="U387" s="224"/>
      <c r="V387" s="224"/>
    </row>
    <row r="388" spans="1:22" ht="12.75" x14ac:dyDescent="0.2">
      <c r="A388" s="225">
        <v>42825</v>
      </c>
      <c r="B388" s="224" t="s">
        <v>1017</v>
      </c>
      <c r="C388" s="224" t="s">
        <v>995</v>
      </c>
      <c r="D388" s="224" t="s">
        <v>330</v>
      </c>
      <c r="E388" s="226"/>
      <c r="G388" s="224" t="s">
        <v>13</v>
      </c>
      <c r="H388" s="224" t="s">
        <v>451</v>
      </c>
      <c r="I388" s="224" t="s">
        <v>69</v>
      </c>
      <c r="J388" s="227">
        <v>3</v>
      </c>
      <c r="K388" s="227">
        <f t="array" ref="K388">IFERROR(INDEX([1]Grille_Tarifs_Modulable!$B$2:$B$204,MATCH(Tableau14[[#This Row],[Designation]]&amp;Tableau14[[#This Row],[CL]],[1]Grille_Tarifs_Modulable!$C$2:$C$204&amp;[1]Grille_Tarifs_Modulable!$F$2:$F$204,0)),0)</f>
        <v>121</v>
      </c>
      <c r="L388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299</v>
      </c>
      <c r="M388" s="228">
        <f>IF(Tableau14[[#This Row],[Prix_Unit_HT]]=0,0,Tableau14[[#This Row],[Prix_Unit_HT]]+(Tableau14[[#This Row],[Prix_Unit_HT]]*VLOOKUP(Tableau14[[#This Row],[EAN]],[1]Grille_Tarifs_Modulable!$B$10:$Q$204,16,FALSE)))</f>
        <v>358.8</v>
      </c>
      <c r="N388" s="224">
        <v>1</v>
      </c>
      <c r="O388" s="228">
        <f>ROUND(Tableau14[[#This Row],[Prix_Unit_HT]],2)*Tableau14[[#This Row],[Qte_commande]]</f>
        <v>299</v>
      </c>
      <c r="P388" s="228">
        <f>ROUND(Tableau14[[#This Row],[Prix_Unit_TTC]],2)*Tableau14[[#This Row],[Qte_commande]]</f>
        <v>358.8</v>
      </c>
      <c r="Q388" s="224">
        <v>1</v>
      </c>
      <c r="R388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</v>
      </c>
      <c r="U388" s="224"/>
      <c r="V388" s="224"/>
    </row>
    <row r="389" spans="1:22" ht="12.75" x14ac:dyDescent="0.2">
      <c r="A389" s="225">
        <v>42825</v>
      </c>
      <c r="B389" s="224" t="s">
        <v>1018</v>
      </c>
      <c r="C389" s="224" t="s">
        <v>301</v>
      </c>
      <c r="D389" s="224" t="s">
        <v>302</v>
      </c>
      <c r="E389" s="226"/>
      <c r="G389" s="224" t="s">
        <v>13</v>
      </c>
      <c r="H389" s="224" t="s">
        <v>451</v>
      </c>
      <c r="I389" s="224" t="s">
        <v>69</v>
      </c>
      <c r="J389" s="227">
        <v>3</v>
      </c>
      <c r="K389" s="227">
        <f t="array" ref="K389">IFERROR(INDEX([1]Grille_Tarifs_Modulable!$B$2:$B$204,MATCH(Tableau14[[#This Row],[Designation]]&amp;Tableau14[[#This Row],[CL]],[1]Grille_Tarifs_Modulable!$C$2:$C$204&amp;[1]Grille_Tarifs_Modulable!$F$2:$F$204,0)),0)</f>
        <v>121</v>
      </c>
      <c r="L389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299</v>
      </c>
      <c r="M389" s="228">
        <f>IF(Tableau14[[#This Row],[Prix_Unit_HT]]=0,0,Tableau14[[#This Row],[Prix_Unit_HT]]+(Tableau14[[#This Row],[Prix_Unit_HT]]*VLOOKUP(Tableau14[[#This Row],[EAN]],[1]Grille_Tarifs_Modulable!$B$10:$Q$204,16,FALSE)))</f>
        <v>358.8</v>
      </c>
      <c r="N389" s="224">
        <v>1</v>
      </c>
      <c r="O389" s="228">
        <f>ROUND(Tableau14[[#This Row],[Prix_Unit_HT]],2)*Tableau14[[#This Row],[Qte_commande]]</f>
        <v>299</v>
      </c>
      <c r="P389" s="228">
        <f>ROUND(Tableau14[[#This Row],[Prix_Unit_TTC]],2)*Tableau14[[#This Row],[Qte_commande]]</f>
        <v>358.8</v>
      </c>
      <c r="Q389" s="224">
        <v>1</v>
      </c>
      <c r="R389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</v>
      </c>
      <c r="U389" s="224"/>
      <c r="V389" s="224"/>
    </row>
    <row r="390" spans="1:22" ht="12.75" x14ac:dyDescent="0.2">
      <c r="A390" s="225">
        <v>42825</v>
      </c>
      <c r="B390" s="224" t="s">
        <v>490</v>
      </c>
      <c r="C390" s="224" t="s">
        <v>491</v>
      </c>
      <c r="D390" s="224" t="s">
        <v>443</v>
      </c>
      <c r="E390" s="226"/>
      <c r="G390" s="224" t="s">
        <v>13</v>
      </c>
      <c r="H390" s="224" t="s">
        <v>451</v>
      </c>
      <c r="I390" s="224" t="s">
        <v>69</v>
      </c>
      <c r="J390" s="227">
        <v>3</v>
      </c>
      <c r="K390" s="227">
        <f t="array" ref="K390">IFERROR(INDEX([1]Grille_Tarifs_Modulable!$B$2:$B$204,MATCH(Tableau14[[#This Row],[Designation]]&amp;Tableau14[[#This Row],[CL]],[1]Grille_Tarifs_Modulable!$C$2:$C$204&amp;[1]Grille_Tarifs_Modulable!$F$2:$F$204,0)),0)</f>
        <v>121</v>
      </c>
      <c r="L390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299</v>
      </c>
      <c r="M390" s="228">
        <f>IF(Tableau14[[#This Row],[Prix_Unit_HT]]=0,0,Tableau14[[#This Row],[Prix_Unit_HT]]+(Tableau14[[#This Row],[Prix_Unit_HT]]*VLOOKUP(Tableau14[[#This Row],[EAN]],[1]Grille_Tarifs_Modulable!$B$10:$Q$204,16,FALSE)))</f>
        <v>358.8</v>
      </c>
      <c r="N390" s="224">
        <v>1</v>
      </c>
      <c r="O390" s="228">
        <f>ROUND(Tableau14[[#This Row],[Prix_Unit_HT]],2)*Tableau14[[#This Row],[Qte_commande]]</f>
        <v>299</v>
      </c>
      <c r="P390" s="228">
        <f>ROUND(Tableau14[[#This Row],[Prix_Unit_TTC]],2)*Tableau14[[#This Row],[Qte_commande]]</f>
        <v>358.8</v>
      </c>
      <c r="Q390" s="224">
        <v>1</v>
      </c>
      <c r="R390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</v>
      </c>
      <c r="U390" s="224"/>
      <c r="V390" s="224"/>
    </row>
    <row r="391" spans="1:22" ht="12.75" x14ac:dyDescent="0.2">
      <c r="A391" s="225">
        <v>42825</v>
      </c>
      <c r="B391" s="224" t="s">
        <v>1019</v>
      </c>
      <c r="C391" s="224" t="s">
        <v>1020</v>
      </c>
      <c r="D391" s="224" t="s">
        <v>1021</v>
      </c>
      <c r="E391" s="226"/>
      <c r="G391" s="224" t="s">
        <v>13</v>
      </c>
      <c r="H391" s="224" t="s">
        <v>451</v>
      </c>
      <c r="I391" s="224" t="s">
        <v>69</v>
      </c>
      <c r="J391" s="227">
        <v>3</v>
      </c>
      <c r="K391" s="227">
        <f t="array" ref="K391">IFERROR(INDEX([1]Grille_Tarifs_Modulable!$B$2:$B$204,MATCH(Tableau14[[#This Row],[Designation]]&amp;Tableau14[[#This Row],[CL]],[1]Grille_Tarifs_Modulable!$C$2:$C$204&amp;[1]Grille_Tarifs_Modulable!$F$2:$F$204,0)),0)</f>
        <v>121</v>
      </c>
      <c r="L391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299</v>
      </c>
      <c r="M391" s="228">
        <f>IF(Tableau14[[#This Row],[Prix_Unit_HT]]=0,0,Tableau14[[#This Row],[Prix_Unit_HT]]+(Tableau14[[#This Row],[Prix_Unit_HT]]*VLOOKUP(Tableau14[[#This Row],[EAN]],[1]Grille_Tarifs_Modulable!$B$10:$Q$204,16,FALSE)))</f>
        <v>358.8</v>
      </c>
      <c r="N391" s="224">
        <v>1</v>
      </c>
      <c r="O391" s="228">
        <f>ROUND(Tableau14[[#This Row],[Prix_Unit_HT]],2)*Tableau14[[#This Row],[Qte_commande]]</f>
        <v>299</v>
      </c>
      <c r="P391" s="228">
        <f>ROUND(Tableau14[[#This Row],[Prix_Unit_TTC]],2)*Tableau14[[#This Row],[Qte_commande]]</f>
        <v>358.8</v>
      </c>
      <c r="Q391" s="224">
        <v>1</v>
      </c>
      <c r="R391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</v>
      </c>
      <c r="U391" s="224"/>
      <c r="V391" s="224"/>
    </row>
    <row r="392" spans="1:22" ht="12.75" x14ac:dyDescent="0.2">
      <c r="A392" s="225">
        <v>42825</v>
      </c>
      <c r="B392" s="224" t="s">
        <v>1022</v>
      </c>
      <c r="C392" s="224" t="s">
        <v>1023</v>
      </c>
      <c r="D392" s="224" t="s">
        <v>443</v>
      </c>
      <c r="E392" s="226"/>
      <c r="G392" s="224" t="s">
        <v>13</v>
      </c>
      <c r="H392" s="224" t="s">
        <v>451</v>
      </c>
      <c r="I392" s="224" t="s">
        <v>69</v>
      </c>
      <c r="J392" s="227">
        <v>3</v>
      </c>
      <c r="K392" s="227">
        <f t="array" ref="K392">IFERROR(INDEX([1]Grille_Tarifs_Modulable!$B$2:$B$204,MATCH(Tableau14[[#This Row],[Designation]]&amp;Tableau14[[#This Row],[CL]],[1]Grille_Tarifs_Modulable!$C$2:$C$204&amp;[1]Grille_Tarifs_Modulable!$F$2:$F$204,0)),0)</f>
        <v>121</v>
      </c>
      <c r="L392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299</v>
      </c>
      <c r="M392" s="228">
        <f>IF(Tableau14[[#This Row],[Prix_Unit_HT]]=0,0,Tableau14[[#This Row],[Prix_Unit_HT]]+(Tableau14[[#This Row],[Prix_Unit_HT]]*VLOOKUP(Tableau14[[#This Row],[EAN]],[1]Grille_Tarifs_Modulable!$B$10:$Q$204,16,FALSE)))</f>
        <v>358.8</v>
      </c>
      <c r="N392" s="224">
        <v>1</v>
      </c>
      <c r="O392" s="228">
        <f>ROUND(Tableau14[[#This Row],[Prix_Unit_HT]],2)*Tableau14[[#This Row],[Qte_commande]]</f>
        <v>299</v>
      </c>
      <c r="P392" s="228">
        <f>ROUND(Tableau14[[#This Row],[Prix_Unit_TTC]],2)*Tableau14[[#This Row],[Qte_commande]]</f>
        <v>358.8</v>
      </c>
      <c r="Q392" s="224">
        <v>1</v>
      </c>
      <c r="R392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</v>
      </c>
      <c r="U392" s="224"/>
      <c r="V392" s="224"/>
    </row>
    <row r="393" spans="1:22" ht="12.75" x14ac:dyDescent="0.2">
      <c r="A393" s="225">
        <v>42828</v>
      </c>
      <c r="B393" s="224" t="s">
        <v>607</v>
      </c>
      <c r="C393" s="224" t="s">
        <v>530</v>
      </c>
      <c r="D393" s="224" t="s">
        <v>531</v>
      </c>
      <c r="E393" s="226"/>
      <c r="G393" s="224" t="s">
        <v>1</v>
      </c>
      <c r="H393" s="224" t="s">
        <v>289</v>
      </c>
      <c r="I393" s="224" t="s">
        <v>15</v>
      </c>
      <c r="J393" s="224">
        <v>70</v>
      </c>
      <c r="K393" s="227">
        <f t="array" ref="K393">IFERROR(INDEX([1]Grille_Tarifs_Modulable!$B$2:$B$204,MATCH(Tableau14[[#This Row],[Designation]]&amp;Tableau14[[#This Row],[CL]],[1]Grille_Tarifs_Modulable!$C$2:$C$204&amp;[1]Grille_Tarifs_Modulable!$F$2:$F$204,0)),0)</f>
        <v>4067700013859</v>
      </c>
      <c r="L393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12.532563499999998</v>
      </c>
      <c r="M393" s="228">
        <f>IF(Tableau14[[#This Row],[Prix_Unit_HT]]=0,0,Tableau14[[#This Row],[Prix_Unit_HT]]+(Tableau14[[#This Row],[Prix_Unit_HT]]*VLOOKUP(Tableau14[[#This Row],[EAN]],[1]Grille_Tarifs_Modulable!$B$10:$Q$204,16,FALSE)))</f>
        <v>15.039076199999998</v>
      </c>
      <c r="N393" s="224">
        <v>36</v>
      </c>
      <c r="O393" s="228">
        <f>ROUND(Tableau14[[#This Row],[Prix_Unit_HT]],2)*Tableau14[[#This Row],[Qte_commande]]</f>
        <v>451.08</v>
      </c>
      <c r="P393" s="228">
        <f>ROUND(Tableau14[[#This Row],[Prix_Unit_TTC]],2)*Tableau14[[#This Row],[Qte_commande]]</f>
        <v>541.43999999999994</v>
      </c>
      <c r="Q393" s="224">
        <v>36</v>
      </c>
      <c r="R393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36</v>
      </c>
      <c r="U393" s="224"/>
      <c r="V393" s="224"/>
    </row>
    <row r="394" spans="1:22" ht="12.75" x14ac:dyDescent="0.2">
      <c r="A394" s="225">
        <v>42828</v>
      </c>
      <c r="B394" s="224" t="s">
        <v>607</v>
      </c>
      <c r="C394" s="224" t="s">
        <v>530</v>
      </c>
      <c r="D394" s="224" t="s">
        <v>531</v>
      </c>
      <c r="E394" s="226"/>
      <c r="G394" s="224" t="s">
        <v>1</v>
      </c>
      <c r="H394" s="224" t="s">
        <v>289</v>
      </c>
      <c r="I394" s="224" t="s">
        <v>15</v>
      </c>
      <c r="J394" s="224">
        <v>70</v>
      </c>
      <c r="K394" s="227">
        <f t="array" ref="K394">IFERROR(INDEX([1]Grille_Tarifs_Modulable!$B$2:$B$204,MATCH(Tableau14[[#This Row],[Designation]]&amp;Tableau14[[#This Row],[CL]],[1]Grille_Tarifs_Modulable!$C$2:$C$204&amp;[1]Grille_Tarifs_Modulable!$F$2:$F$204,0)),0)</f>
        <v>4067700013859</v>
      </c>
      <c r="L394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12.532563499999998</v>
      </c>
      <c r="M394" s="228">
        <f>IF(Tableau14[[#This Row],[Prix_Unit_HT]]=0,0,Tableau14[[#This Row],[Prix_Unit_HT]]+(Tableau14[[#This Row],[Prix_Unit_HT]]*VLOOKUP(Tableau14[[#This Row],[EAN]],[1]Grille_Tarifs_Modulable!$B$10:$Q$204,16,FALSE)))</f>
        <v>15.039076199999998</v>
      </c>
      <c r="N394" s="224">
        <v>114</v>
      </c>
      <c r="O394" s="228">
        <f>ROUND(Tableau14[[#This Row],[Prix_Unit_HT]],2)*Tableau14[[#This Row],[Qte_commande]]</f>
        <v>1428.4199999999998</v>
      </c>
      <c r="P394" s="228">
        <f>ROUND(Tableau14[[#This Row],[Prix_Unit_TTC]],2)*Tableau14[[#This Row],[Qte_commande]]</f>
        <v>1714.56</v>
      </c>
      <c r="Q394" s="224">
        <v>114</v>
      </c>
      <c r="R394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114</v>
      </c>
      <c r="U394" s="224"/>
      <c r="V394" s="224"/>
    </row>
    <row r="395" spans="1:22" ht="12.75" x14ac:dyDescent="0.2">
      <c r="A395" s="225">
        <v>42828</v>
      </c>
      <c r="B395" s="224" t="s">
        <v>1024</v>
      </c>
      <c r="C395" s="224" t="s">
        <v>1023</v>
      </c>
      <c r="D395" s="224" t="s">
        <v>443</v>
      </c>
      <c r="E395" s="226"/>
      <c r="G395" s="224" t="s">
        <v>13</v>
      </c>
      <c r="H395" s="224" t="s">
        <v>451</v>
      </c>
      <c r="I395" s="224" t="s">
        <v>69</v>
      </c>
      <c r="J395" s="227">
        <v>3</v>
      </c>
      <c r="K395" s="227">
        <f t="array" ref="K395">IFERROR(INDEX([1]Grille_Tarifs_Modulable!$B$2:$B$204,MATCH(Tableau14[[#This Row],[Designation]]&amp;Tableau14[[#This Row],[CL]],[1]Grille_Tarifs_Modulable!$C$2:$C$204&amp;[1]Grille_Tarifs_Modulable!$F$2:$F$204,0)),0)</f>
        <v>121</v>
      </c>
      <c r="L395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299</v>
      </c>
      <c r="M395" s="228">
        <f>IF(Tableau14[[#This Row],[Prix_Unit_HT]]=0,0,Tableau14[[#This Row],[Prix_Unit_HT]]+(Tableau14[[#This Row],[Prix_Unit_HT]]*VLOOKUP(Tableau14[[#This Row],[EAN]],[1]Grille_Tarifs_Modulable!$B$10:$Q$204,16,FALSE)))</f>
        <v>358.8</v>
      </c>
      <c r="N395" s="224">
        <v>0</v>
      </c>
      <c r="O395" s="228">
        <f>ROUND(Tableau14[[#This Row],[Prix_Unit_HT]],2)*Tableau14[[#This Row],[Qte_commande]]</f>
        <v>0</v>
      </c>
      <c r="P395" s="228">
        <f>ROUND(Tableau14[[#This Row],[Prix_Unit_TTC]],2)*Tableau14[[#This Row],[Qte_commande]]</f>
        <v>0</v>
      </c>
      <c r="Q395" s="224">
        <v>0</v>
      </c>
      <c r="R395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0</v>
      </c>
      <c r="U395" s="224"/>
      <c r="V395" s="224"/>
    </row>
    <row r="396" spans="1:22" ht="12.75" x14ac:dyDescent="0.2">
      <c r="A396" s="225">
        <v>42831</v>
      </c>
      <c r="B396" s="224" t="s">
        <v>608</v>
      </c>
      <c r="C396" s="224" t="s">
        <v>194</v>
      </c>
      <c r="D396" s="224" t="s">
        <v>343</v>
      </c>
      <c r="E396" s="226"/>
      <c r="G396" s="224" t="s">
        <v>1</v>
      </c>
      <c r="H396" s="224" t="s">
        <v>289</v>
      </c>
      <c r="I396" s="224" t="s">
        <v>15</v>
      </c>
      <c r="J396" s="224">
        <v>175</v>
      </c>
      <c r="K396" s="227">
        <f t="array" ref="K396">IFERROR(INDEX([1]Grille_Tarifs_Modulable!$B$2:$B$204,MATCH(Tableau14[[#This Row],[Designation]]&amp;Tableau14[[#This Row],[CL]],[1]Grille_Tarifs_Modulable!$C$2:$C$204&amp;[1]Grille_Tarifs_Modulable!$F$2:$F$204,0)),0)</f>
        <v>4067700013835</v>
      </c>
      <c r="L396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28.916408750000002</v>
      </c>
      <c r="M396" s="228">
        <f>IF(Tableau14[[#This Row],[Prix_Unit_HT]]=0,0,Tableau14[[#This Row],[Prix_Unit_HT]]+(Tableau14[[#This Row],[Prix_Unit_HT]]*VLOOKUP(Tableau14[[#This Row],[EAN]],[1]Grille_Tarifs_Modulable!$B$10:$Q$204,16,FALSE)))</f>
        <v>34.699690500000003</v>
      </c>
      <c r="N396" s="224">
        <v>36</v>
      </c>
      <c r="O396" s="228">
        <f>ROUND(Tableau14[[#This Row],[Prix_Unit_HT]],2)*Tableau14[[#This Row],[Qte_commande]]</f>
        <v>1041.1200000000001</v>
      </c>
      <c r="P396" s="228">
        <f>ROUND(Tableau14[[#This Row],[Prix_Unit_TTC]],2)*Tableau14[[#This Row],[Qte_commande]]</f>
        <v>1249.2</v>
      </c>
      <c r="Q396" s="224">
        <v>90</v>
      </c>
      <c r="R396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90</v>
      </c>
      <c r="U396" s="224"/>
      <c r="V396" s="224"/>
    </row>
    <row r="397" spans="1:22" ht="12.75" x14ac:dyDescent="0.2">
      <c r="A397" s="225">
        <v>42831</v>
      </c>
      <c r="B397" s="224" t="s">
        <v>1025</v>
      </c>
      <c r="C397" s="224" t="s">
        <v>1023</v>
      </c>
      <c r="D397" s="224" t="s">
        <v>443</v>
      </c>
      <c r="E397" s="226"/>
      <c r="G397" s="224" t="s">
        <v>13</v>
      </c>
      <c r="H397" s="224" t="s">
        <v>451</v>
      </c>
      <c r="I397" s="224" t="s">
        <v>69</v>
      </c>
      <c r="J397" s="227">
        <v>3</v>
      </c>
      <c r="K397" s="227">
        <f t="array" ref="K397">IFERROR(INDEX([1]Grille_Tarifs_Modulable!$B$2:$B$204,MATCH(Tableau14[[#This Row],[Designation]]&amp;Tableau14[[#This Row],[CL]],[1]Grille_Tarifs_Modulable!$C$2:$C$204&amp;[1]Grille_Tarifs_Modulable!$F$2:$F$204,0)),0)</f>
        <v>121</v>
      </c>
      <c r="L397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299</v>
      </c>
      <c r="M397" s="228">
        <f>IF(Tableau14[[#This Row],[Prix_Unit_HT]]=0,0,Tableau14[[#This Row],[Prix_Unit_HT]]+(Tableau14[[#This Row],[Prix_Unit_HT]]*VLOOKUP(Tableau14[[#This Row],[EAN]],[1]Grille_Tarifs_Modulable!$B$10:$Q$204,16,FALSE)))</f>
        <v>358.8</v>
      </c>
      <c r="N397" s="224">
        <v>2</v>
      </c>
      <c r="O397" s="228">
        <f>ROUND(Tableau14[[#This Row],[Prix_Unit_HT]],2)*Tableau14[[#This Row],[Qte_commande]]</f>
        <v>598</v>
      </c>
      <c r="P397" s="228">
        <f>ROUND(Tableau14[[#This Row],[Prix_Unit_TTC]],2)*Tableau14[[#This Row],[Qte_commande]]</f>
        <v>717.6</v>
      </c>
      <c r="Q397" s="224">
        <v>2</v>
      </c>
      <c r="R397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2</v>
      </c>
      <c r="U397" s="224"/>
      <c r="V397" s="224"/>
    </row>
    <row r="398" spans="1:22" ht="12.75" x14ac:dyDescent="0.2">
      <c r="A398" s="225">
        <v>42836</v>
      </c>
      <c r="B398" s="224" t="s">
        <v>609</v>
      </c>
      <c r="C398" s="224" t="s">
        <v>308</v>
      </c>
      <c r="D398" s="224" t="s">
        <v>309</v>
      </c>
      <c r="E398" s="226"/>
      <c r="G398" s="224" t="s">
        <v>1</v>
      </c>
      <c r="H398" s="224" t="s">
        <v>289</v>
      </c>
      <c r="I398" s="224" t="s">
        <v>15</v>
      </c>
      <c r="J398" s="224">
        <v>100</v>
      </c>
      <c r="K398" s="227">
        <f t="array" ref="K398">IFERROR(INDEX([1]Grille_Tarifs_Modulable!$B$2:$B$204,MATCH(Tableau14[[#This Row],[Designation]]&amp;Tableau14[[#This Row],[CL]],[1]Grille_Tarifs_Modulable!$C$2:$C$204&amp;[1]Grille_Tarifs_Modulable!$F$2:$F$204,0)),0)</f>
        <v>4067700013842</v>
      </c>
      <c r="L398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17.100804999999998</v>
      </c>
      <c r="M398" s="228">
        <f>IF(Tableau14[[#This Row],[Prix_Unit_HT]]=0,0,Tableau14[[#This Row],[Prix_Unit_HT]]+(Tableau14[[#This Row],[Prix_Unit_HT]]*VLOOKUP(Tableau14[[#This Row],[EAN]],[1]Grille_Tarifs_Modulable!$B$10:$Q$204,16,FALSE)))</f>
        <v>20.520965999999998</v>
      </c>
      <c r="N398" s="224">
        <v>210</v>
      </c>
      <c r="O398" s="228">
        <f>ROUND(Tableau14[[#This Row],[Prix_Unit_HT]],2)*Tableau14[[#This Row],[Qte_commande]]</f>
        <v>3591.0000000000005</v>
      </c>
      <c r="P398" s="228">
        <f>ROUND(Tableau14[[#This Row],[Prix_Unit_TTC]],2)*Tableau14[[#This Row],[Qte_commande]]</f>
        <v>4309.2</v>
      </c>
      <c r="Q398" s="224">
        <v>300</v>
      </c>
      <c r="R398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300</v>
      </c>
      <c r="U398" s="224"/>
      <c r="V398" s="224"/>
    </row>
    <row r="399" spans="1:22" ht="12.75" x14ac:dyDescent="0.2">
      <c r="A399" s="225">
        <v>42836</v>
      </c>
      <c r="B399" s="224" t="s">
        <v>609</v>
      </c>
      <c r="C399" s="224" t="s">
        <v>308</v>
      </c>
      <c r="D399" s="224" t="s">
        <v>309</v>
      </c>
      <c r="E399" s="226"/>
      <c r="G399" s="224" t="s">
        <v>1</v>
      </c>
      <c r="H399" s="224" t="s">
        <v>289</v>
      </c>
      <c r="I399" s="224" t="s">
        <v>30</v>
      </c>
      <c r="J399" s="224">
        <v>70</v>
      </c>
      <c r="K399" s="227">
        <f t="array" ref="K399">IFERROR(INDEX([1]Grille_Tarifs_Modulable!$B$2:$B$204,MATCH(Tableau14[[#This Row],[Designation]]&amp;Tableau14[[#This Row],[CL]],[1]Grille_Tarifs_Modulable!$C$2:$C$204&amp;[1]Grille_Tarifs_Modulable!$F$2:$F$204,0)),0)</f>
        <v>3257150101904</v>
      </c>
      <c r="L399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16.346482999999999</v>
      </c>
      <c r="M399" s="228">
        <f>IF(Tableau14[[#This Row],[Prix_Unit_HT]]=0,0,Tableau14[[#This Row],[Prix_Unit_HT]]+(Tableau14[[#This Row],[Prix_Unit_HT]]*VLOOKUP(Tableau14[[#This Row],[EAN]],[1]Grille_Tarifs_Modulable!$B$10:$Q$204,16,FALSE)))</f>
        <v>19.6157796</v>
      </c>
      <c r="N399" s="224">
        <v>1</v>
      </c>
      <c r="O399" s="228">
        <f>ROUND(Tableau14[[#This Row],[Prix_Unit_HT]],2)*Tableau14[[#This Row],[Qte_commande]]</f>
        <v>16.350000000000001</v>
      </c>
      <c r="P399" s="228">
        <f>ROUND(Tableau14[[#This Row],[Prix_Unit_TTC]],2)*Tableau14[[#This Row],[Qte_commande]]</f>
        <v>19.62</v>
      </c>
      <c r="Q399" s="224">
        <v>1</v>
      </c>
      <c r="R399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</v>
      </c>
      <c r="U399" s="224"/>
      <c r="V399" s="224"/>
    </row>
    <row r="400" spans="1:22" ht="12.75" x14ac:dyDescent="0.2">
      <c r="A400" s="225">
        <v>42836</v>
      </c>
      <c r="B400" s="224" t="s">
        <v>609</v>
      </c>
      <c r="C400" s="224" t="s">
        <v>308</v>
      </c>
      <c r="D400" s="224" t="s">
        <v>309</v>
      </c>
      <c r="E400" s="226"/>
      <c r="G400" s="224" t="s">
        <v>1</v>
      </c>
      <c r="H400" s="224" t="s">
        <v>289</v>
      </c>
      <c r="I400" s="224" t="s">
        <v>32</v>
      </c>
      <c r="J400" s="224">
        <v>70</v>
      </c>
      <c r="K400" s="227">
        <f t="array" ref="K400">IFERROR(INDEX([1]Grille_Tarifs_Modulable!$B$2:$B$204,MATCH(Tableau14[[#This Row],[Designation]]&amp;Tableau14[[#This Row],[CL]],[1]Grille_Tarifs_Modulable!$C$2:$C$204&amp;[1]Grille_Tarifs_Modulable!$F$2:$F$204,0)),0)</f>
        <v>3257150100228</v>
      </c>
      <c r="L400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19.998643999999999</v>
      </c>
      <c r="M400" s="228">
        <f>IF(Tableau14[[#This Row],[Prix_Unit_HT]]=0,0,Tableau14[[#This Row],[Prix_Unit_HT]]+(Tableau14[[#This Row],[Prix_Unit_HT]]*VLOOKUP(Tableau14[[#This Row],[EAN]],[1]Grille_Tarifs_Modulable!$B$10:$Q$204,16,FALSE)))</f>
        <v>23.998372799999999</v>
      </c>
      <c r="N400" s="224">
        <v>1</v>
      </c>
      <c r="O400" s="228">
        <f>ROUND(Tableau14[[#This Row],[Prix_Unit_HT]],2)*Tableau14[[#This Row],[Qte_commande]]</f>
        <v>20</v>
      </c>
      <c r="P400" s="228">
        <f>ROUND(Tableau14[[#This Row],[Prix_Unit_TTC]],2)*Tableau14[[#This Row],[Qte_commande]]</f>
        <v>24</v>
      </c>
      <c r="Q400" s="224">
        <v>1</v>
      </c>
      <c r="R400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</v>
      </c>
      <c r="U400" s="224"/>
      <c r="V400" s="224"/>
    </row>
    <row r="401" spans="1:22" ht="12.75" x14ac:dyDescent="0.2">
      <c r="A401" s="225">
        <v>42836</v>
      </c>
      <c r="B401" s="224" t="s">
        <v>609</v>
      </c>
      <c r="C401" s="224" t="s">
        <v>308</v>
      </c>
      <c r="D401" s="224" t="s">
        <v>309</v>
      </c>
      <c r="E401" s="226"/>
      <c r="G401" s="224" t="s">
        <v>1</v>
      </c>
      <c r="H401" s="224" t="s">
        <v>289</v>
      </c>
      <c r="I401" s="224" t="s">
        <v>31</v>
      </c>
      <c r="J401" s="224">
        <v>70</v>
      </c>
      <c r="K401" s="227">
        <f t="array" ref="K401">IFERROR(INDEX([1]Grille_Tarifs_Modulable!$B$2:$B$204,MATCH(Tableau14[[#This Row],[Designation]]&amp;Tableau14[[#This Row],[CL]],[1]Grille_Tarifs_Modulable!$C$2:$C$204&amp;[1]Grille_Tarifs_Modulable!$F$2:$F$204,0)),0)</f>
        <v>3257150102017</v>
      </c>
      <c r="L401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14.694322</v>
      </c>
      <c r="M401" s="228">
        <f>IF(Tableau14[[#This Row],[Prix_Unit_HT]]=0,0,Tableau14[[#This Row],[Prix_Unit_HT]]+(Tableau14[[#This Row],[Prix_Unit_HT]]*VLOOKUP(Tableau14[[#This Row],[EAN]],[1]Grille_Tarifs_Modulable!$B$10:$Q$204,16,FALSE)))</f>
        <v>17.6331864</v>
      </c>
      <c r="N401" s="224">
        <v>1</v>
      </c>
      <c r="O401" s="228">
        <f>ROUND(Tableau14[[#This Row],[Prix_Unit_HT]],2)*Tableau14[[#This Row],[Qte_commande]]</f>
        <v>14.69</v>
      </c>
      <c r="P401" s="228">
        <f>ROUND(Tableau14[[#This Row],[Prix_Unit_TTC]],2)*Tableau14[[#This Row],[Qte_commande]]</f>
        <v>17.63</v>
      </c>
      <c r="Q401" s="224">
        <v>1</v>
      </c>
      <c r="R401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</v>
      </c>
      <c r="U401" s="224"/>
      <c r="V401" s="224"/>
    </row>
    <row r="402" spans="1:22" ht="12.75" x14ac:dyDescent="0.2">
      <c r="A402" s="225">
        <v>42836</v>
      </c>
      <c r="B402" s="224" t="s">
        <v>1026</v>
      </c>
      <c r="C402" s="224" t="s">
        <v>493</v>
      </c>
      <c r="D402" s="224" t="s">
        <v>203</v>
      </c>
      <c r="E402" s="226"/>
      <c r="G402" s="224" t="s">
        <v>13</v>
      </c>
      <c r="H402" s="224" t="s">
        <v>451</v>
      </c>
      <c r="I402" s="224" t="s">
        <v>69</v>
      </c>
      <c r="J402" s="227">
        <v>3</v>
      </c>
      <c r="K402" s="227">
        <f t="array" ref="K402">IFERROR(INDEX([1]Grille_Tarifs_Modulable!$B$2:$B$204,MATCH(Tableau14[[#This Row],[Designation]]&amp;Tableau14[[#This Row],[CL]],[1]Grille_Tarifs_Modulable!$C$2:$C$204&amp;[1]Grille_Tarifs_Modulable!$F$2:$F$204,0)),0)</f>
        <v>121</v>
      </c>
      <c r="L402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299</v>
      </c>
      <c r="M402" s="228">
        <f>IF(Tableau14[[#This Row],[Prix_Unit_HT]]=0,0,Tableau14[[#This Row],[Prix_Unit_HT]]+(Tableau14[[#This Row],[Prix_Unit_HT]]*VLOOKUP(Tableau14[[#This Row],[EAN]],[1]Grille_Tarifs_Modulable!$B$10:$Q$204,16,FALSE)))</f>
        <v>358.8</v>
      </c>
      <c r="N402" s="224">
        <v>1</v>
      </c>
      <c r="O402" s="228">
        <f>ROUND(Tableau14[[#This Row],[Prix_Unit_HT]],2)*Tableau14[[#This Row],[Qte_commande]]</f>
        <v>299</v>
      </c>
      <c r="P402" s="228">
        <f>ROUND(Tableau14[[#This Row],[Prix_Unit_TTC]],2)*Tableau14[[#This Row],[Qte_commande]]</f>
        <v>358.8</v>
      </c>
      <c r="Q402" s="224">
        <v>1</v>
      </c>
      <c r="R402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</v>
      </c>
      <c r="U402" s="224"/>
      <c r="V402" s="224"/>
    </row>
    <row r="403" spans="1:22" ht="12.75" x14ac:dyDescent="0.2">
      <c r="A403" s="225">
        <v>42836</v>
      </c>
      <c r="B403" s="224" t="s">
        <v>1027</v>
      </c>
      <c r="C403" s="224" t="s">
        <v>1028</v>
      </c>
      <c r="D403" s="224" t="s">
        <v>1029</v>
      </c>
      <c r="E403" s="226"/>
      <c r="G403" s="224" t="s">
        <v>13</v>
      </c>
      <c r="H403" s="224" t="s">
        <v>451</v>
      </c>
      <c r="I403" s="224" t="s">
        <v>69</v>
      </c>
      <c r="J403" s="227">
        <v>3</v>
      </c>
      <c r="K403" s="227">
        <f t="array" ref="K403">IFERROR(INDEX([1]Grille_Tarifs_Modulable!$B$2:$B$204,MATCH(Tableau14[[#This Row],[Designation]]&amp;Tableau14[[#This Row],[CL]],[1]Grille_Tarifs_Modulable!$C$2:$C$204&amp;[1]Grille_Tarifs_Modulable!$F$2:$F$204,0)),0)</f>
        <v>121</v>
      </c>
      <c r="L403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299</v>
      </c>
      <c r="M403" s="228">
        <f>IF(Tableau14[[#This Row],[Prix_Unit_HT]]=0,0,Tableau14[[#This Row],[Prix_Unit_HT]]+(Tableau14[[#This Row],[Prix_Unit_HT]]*VLOOKUP(Tableau14[[#This Row],[EAN]],[1]Grille_Tarifs_Modulable!$B$10:$Q$204,16,FALSE)))</f>
        <v>358.8</v>
      </c>
      <c r="N403" s="224">
        <v>1</v>
      </c>
      <c r="O403" s="228">
        <f>ROUND(Tableau14[[#This Row],[Prix_Unit_HT]],2)*Tableau14[[#This Row],[Qte_commande]]</f>
        <v>299</v>
      </c>
      <c r="P403" s="228">
        <f>ROUND(Tableau14[[#This Row],[Prix_Unit_TTC]],2)*Tableau14[[#This Row],[Qte_commande]]</f>
        <v>358.8</v>
      </c>
      <c r="Q403" s="224">
        <v>1</v>
      </c>
      <c r="R403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</v>
      </c>
      <c r="U403" s="224"/>
      <c r="V403" s="224"/>
    </row>
    <row r="404" spans="1:22" ht="12.75" x14ac:dyDescent="0.2">
      <c r="A404" s="225">
        <v>42838</v>
      </c>
      <c r="B404" s="224" t="s">
        <v>921</v>
      </c>
      <c r="C404" s="224" t="s">
        <v>159</v>
      </c>
      <c r="D404" s="224" t="s">
        <v>209</v>
      </c>
      <c r="E404" s="226"/>
      <c r="G404" s="224" t="s">
        <v>1</v>
      </c>
      <c r="H404" s="224" t="s">
        <v>289</v>
      </c>
      <c r="I404" s="224" t="s">
        <v>25</v>
      </c>
      <c r="J404" s="224">
        <v>100</v>
      </c>
      <c r="K404" s="227">
        <f t="array" ref="K404">IFERROR(INDEX([1]Grille_Tarifs_Modulable!$B$2:$B$204,MATCH(Tableau14[[#This Row],[Designation]]&amp;Tableau14[[#This Row],[CL]],[1]Grille_Tarifs_Modulable!$C$2:$C$204&amp;[1]Grille_Tarifs_Modulable!$F$2:$F$204,0)),0)</f>
        <v>3257150410167</v>
      </c>
      <c r="L404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15.778874</v>
      </c>
      <c r="M404" s="228">
        <f>IF(Tableau14[[#This Row],[Prix_Unit_HT]]=0,0,Tableau14[[#This Row],[Prix_Unit_HT]]+(Tableau14[[#This Row],[Prix_Unit_HT]]*VLOOKUP(Tableau14[[#This Row],[EAN]],[1]Grille_Tarifs_Modulable!$B$10:$Q$204,16,FALSE)))</f>
        <v>18.934648800000002</v>
      </c>
      <c r="N404" s="224">
        <v>60</v>
      </c>
      <c r="O404" s="228">
        <f>ROUND(Tableau14[[#This Row],[Prix_Unit_HT]],2)*Tableau14[[#This Row],[Qte_commande]]</f>
        <v>946.8</v>
      </c>
      <c r="P404" s="228">
        <f>ROUND(Tableau14[[#This Row],[Prix_Unit_TTC]],2)*Tableau14[[#This Row],[Qte_commande]]</f>
        <v>1135.8</v>
      </c>
      <c r="Q404" s="224">
        <v>85.71</v>
      </c>
      <c r="R404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85.714285714285722</v>
      </c>
      <c r="U404" s="224"/>
      <c r="V404" s="224"/>
    </row>
    <row r="405" spans="1:22" ht="12.75" x14ac:dyDescent="0.2">
      <c r="A405" s="225">
        <v>42838</v>
      </c>
      <c r="B405" s="224" t="s">
        <v>929</v>
      </c>
      <c r="C405" s="224" t="s">
        <v>301</v>
      </c>
      <c r="D405" s="224" t="s">
        <v>302</v>
      </c>
      <c r="E405" s="226"/>
      <c r="G405" s="224" t="s">
        <v>1</v>
      </c>
      <c r="H405" s="224" t="s">
        <v>289</v>
      </c>
      <c r="I405" s="224" t="s">
        <v>24</v>
      </c>
      <c r="J405" s="224">
        <v>70</v>
      </c>
      <c r="K405" s="227">
        <f t="array" ref="K405">IFERROR(INDEX([1]Grille_Tarifs_Modulable!$B$2:$B$204,MATCH(Tableau14[[#This Row],[Designation]]&amp;Tableau14[[#This Row],[CL]],[1]Grille_Tarifs_Modulable!$C$2:$C$204&amp;[1]Grille_Tarifs_Modulable!$F$2:$F$204,0)),0)</f>
        <v>8500000917008</v>
      </c>
      <c r="L405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11.028211800000001</v>
      </c>
      <c r="M405" s="228">
        <f>IF(Tableau14[[#This Row],[Prix_Unit_HT]]=0,0,Tableau14[[#This Row],[Prix_Unit_HT]]+(Tableau14[[#This Row],[Prix_Unit_HT]]*VLOOKUP(Tableau14[[#This Row],[EAN]],[1]Grille_Tarifs_Modulable!$B$10:$Q$204,16,FALSE)))</f>
        <v>13.233854160000002</v>
      </c>
      <c r="N405" s="224">
        <v>48</v>
      </c>
      <c r="O405" s="228">
        <f>ROUND(Tableau14[[#This Row],[Prix_Unit_HT]],2)*Tableau14[[#This Row],[Qte_commande]]</f>
        <v>529.43999999999994</v>
      </c>
      <c r="P405" s="228">
        <f>ROUND(Tableau14[[#This Row],[Prix_Unit_TTC]],2)*Tableau14[[#This Row],[Qte_commande]]</f>
        <v>635.04</v>
      </c>
      <c r="Q405" s="224">
        <v>48</v>
      </c>
      <c r="R405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48.000000000000007</v>
      </c>
      <c r="U405" s="224"/>
      <c r="V405" s="224"/>
    </row>
    <row r="406" spans="1:22" ht="12.75" x14ac:dyDescent="0.2">
      <c r="A406" s="225">
        <v>42838</v>
      </c>
      <c r="B406" s="224" t="s">
        <v>929</v>
      </c>
      <c r="C406" s="224" t="s">
        <v>301</v>
      </c>
      <c r="D406" s="224" t="s">
        <v>302</v>
      </c>
      <c r="E406" s="226"/>
      <c r="G406" s="224" t="s">
        <v>1</v>
      </c>
      <c r="H406" s="224" t="s">
        <v>289</v>
      </c>
      <c r="I406" s="224" t="s">
        <v>931</v>
      </c>
      <c r="J406" s="224">
        <v>100</v>
      </c>
      <c r="K406" s="227">
        <f t="array" ref="K406">IFERROR(INDEX([1]Grille_Tarifs_Modulable!$B$2:$B$204,MATCH(Tableau14[[#This Row],[Designation]]&amp;Tableau14[[#This Row],[CL]],[1]Grille_Tarifs_Modulable!$C$2:$C$204&amp;[1]Grille_Tarifs_Modulable!$F$2:$F$204,0)),0)</f>
        <v>0</v>
      </c>
      <c r="L406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</v>
      </c>
      <c r="M406" s="228">
        <f>IF(Tableau14[[#This Row],[Prix_Unit_HT]]=0,0,Tableau14[[#This Row],[Prix_Unit_HT]]+(Tableau14[[#This Row],[Prix_Unit_HT]]*VLOOKUP(Tableau14[[#This Row],[EAN]],[1]Grille_Tarifs_Modulable!$B$10:$Q$204,16,FALSE)))</f>
        <v>0</v>
      </c>
      <c r="N406" s="224">
        <v>6</v>
      </c>
      <c r="O406" s="228">
        <f>ROUND(Tableau14[[#This Row],[Prix_Unit_HT]],2)*Tableau14[[#This Row],[Qte_commande]]</f>
        <v>0</v>
      </c>
      <c r="P406" s="228">
        <f>ROUND(Tableau14[[#This Row],[Prix_Unit_TTC]],2)*Tableau14[[#This Row],[Qte_commande]]</f>
        <v>0</v>
      </c>
      <c r="Q406" s="224">
        <v>8.57</v>
      </c>
      <c r="R406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8.5714285714285712</v>
      </c>
      <c r="U406" s="224"/>
      <c r="V406" s="224"/>
    </row>
    <row r="407" spans="1:22" ht="12.75" x14ac:dyDescent="0.2">
      <c r="A407" s="225">
        <v>42838</v>
      </c>
      <c r="B407" s="224" t="s">
        <v>1030</v>
      </c>
      <c r="C407" s="224" t="s">
        <v>1031</v>
      </c>
      <c r="D407" s="224" t="s">
        <v>527</v>
      </c>
      <c r="E407" s="226"/>
      <c r="G407" s="224" t="s">
        <v>13</v>
      </c>
      <c r="H407" s="224" t="s">
        <v>451</v>
      </c>
      <c r="I407" s="224" t="s">
        <v>69</v>
      </c>
      <c r="J407" s="227">
        <v>3</v>
      </c>
      <c r="K407" s="227">
        <f t="array" ref="K407">IFERROR(INDEX([1]Grille_Tarifs_Modulable!$B$2:$B$204,MATCH(Tableau14[[#This Row],[Designation]]&amp;Tableau14[[#This Row],[CL]],[1]Grille_Tarifs_Modulable!$C$2:$C$204&amp;[1]Grille_Tarifs_Modulable!$F$2:$F$204,0)),0)</f>
        <v>121</v>
      </c>
      <c r="L407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299</v>
      </c>
      <c r="M407" s="228">
        <f>IF(Tableau14[[#This Row],[Prix_Unit_HT]]=0,0,Tableau14[[#This Row],[Prix_Unit_HT]]+(Tableau14[[#This Row],[Prix_Unit_HT]]*VLOOKUP(Tableau14[[#This Row],[EAN]],[1]Grille_Tarifs_Modulable!$B$10:$Q$204,16,FALSE)))</f>
        <v>358.8</v>
      </c>
      <c r="N407" s="224">
        <v>1</v>
      </c>
      <c r="O407" s="228">
        <f>ROUND(Tableau14[[#This Row],[Prix_Unit_HT]],2)*Tableau14[[#This Row],[Qte_commande]]</f>
        <v>299</v>
      </c>
      <c r="P407" s="228">
        <f>ROUND(Tableau14[[#This Row],[Prix_Unit_TTC]],2)*Tableau14[[#This Row],[Qte_commande]]</f>
        <v>358.8</v>
      </c>
      <c r="Q407" s="224">
        <v>1</v>
      </c>
      <c r="R407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</v>
      </c>
      <c r="U407" s="224"/>
      <c r="V407" s="224"/>
    </row>
    <row r="408" spans="1:22" ht="12.75" x14ac:dyDescent="0.2">
      <c r="A408" s="225">
        <v>42838</v>
      </c>
      <c r="B408" s="224" t="s">
        <v>1032</v>
      </c>
      <c r="C408" s="224" t="s">
        <v>1033</v>
      </c>
      <c r="D408" s="224" t="s">
        <v>1034</v>
      </c>
      <c r="E408" s="226"/>
      <c r="G408" s="224" t="s">
        <v>13</v>
      </c>
      <c r="H408" s="224" t="s">
        <v>451</v>
      </c>
      <c r="I408" s="224" t="s">
        <v>69</v>
      </c>
      <c r="J408" s="227">
        <v>3</v>
      </c>
      <c r="K408" s="227">
        <f t="array" ref="K408">IFERROR(INDEX([1]Grille_Tarifs_Modulable!$B$2:$B$204,MATCH(Tableau14[[#This Row],[Designation]]&amp;Tableau14[[#This Row],[CL]],[1]Grille_Tarifs_Modulable!$C$2:$C$204&amp;[1]Grille_Tarifs_Modulable!$F$2:$F$204,0)),0)</f>
        <v>121</v>
      </c>
      <c r="L408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299</v>
      </c>
      <c r="M408" s="228">
        <f>IF(Tableau14[[#This Row],[Prix_Unit_HT]]=0,0,Tableau14[[#This Row],[Prix_Unit_HT]]+(Tableau14[[#This Row],[Prix_Unit_HT]]*VLOOKUP(Tableau14[[#This Row],[EAN]],[1]Grille_Tarifs_Modulable!$B$10:$Q$204,16,FALSE)))</f>
        <v>358.8</v>
      </c>
      <c r="N408" s="224">
        <v>1</v>
      </c>
      <c r="O408" s="228">
        <f>ROUND(Tableau14[[#This Row],[Prix_Unit_HT]],2)*Tableau14[[#This Row],[Qte_commande]]</f>
        <v>299</v>
      </c>
      <c r="P408" s="228">
        <f>ROUND(Tableau14[[#This Row],[Prix_Unit_TTC]],2)*Tableau14[[#This Row],[Qte_commande]]</f>
        <v>358.8</v>
      </c>
      <c r="Q408" s="224">
        <v>1</v>
      </c>
      <c r="R408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</v>
      </c>
      <c r="U408" s="224"/>
      <c r="V408" s="224"/>
    </row>
    <row r="409" spans="1:22" ht="12.75" x14ac:dyDescent="0.2">
      <c r="A409" s="225">
        <v>42838</v>
      </c>
      <c r="B409" s="224" t="s">
        <v>1035</v>
      </c>
      <c r="C409" s="224" t="s">
        <v>1036</v>
      </c>
      <c r="D409" s="224" t="s">
        <v>1037</v>
      </c>
      <c r="E409" s="226"/>
      <c r="G409" s="224" t="s">
        <v>13</v>
      </c>
      <c r="H409" s="224" t="s">
        <v>451</v>
      </c>
      <c r="I409" s="224" t="s">
        <v>69</v>
      </c>
      <c r="J409" s="227">
        <v>3</v>
      </c>
      <c r="K409" s="227">
        <f t="array" ref="K409">IFERROR(INDEX([1]Grille_Tarifs_Modulable!$B$2:$B$204,MATCH(Tableau14[[#This Row],[Designation]]&amp;Tableau14[[#This Row],[CL]],[1]Grille_Tarifs_Modulable!$C$2:$C$204&amp;[1]Grille_Tarifs_Modulable!$F$2:$F$204,0)),0)</f>
        <v>121</v>
      </c>
      <c r="L409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299</v>
      </c>
      <c r="M409" s="228">
        <f>IF(Tableau14[[#This Row],[Prix_Unit_HT]]=0,0,Tableau14[[#This Row],[Prix_Unit_HT]]+(Tableau14[[#This Row],[Prix_Unit_HT]]*VLOOKUP(Tableau14[[#This Row],[EAN]],[1]Grille_Tarifs_Modulable!$B$10:$Q$204,16,FALSE)))</f>
        <v>358.8</v>
      </c>
      <c r="N409" s="224">
        <v>2</v>
      </c>
      <c r="O409" s="228">
        <f>ROUND(Tableau14[[#This Row],[Prix_Unit_HT]],2)*Tableau14[[#This Row],[Qte_commande]]</f>
        <v>598</v>
      </c>
      <c r="P409" s="228">
        <f>ROUND(Tableau14[[#This Row],[Prix_Unit_TTC]],2)*Tableau14[[#This Row],[Qte_commande]]</f>
        <v>717.6</v>
      </c>
      <c r="Q409" s="224">
        <v>2</v>
      </c>
      <c r="R409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2</v>
      </c>
      <c r="U409" s="224"/>
      <c r="V409" s="224"/>
    </row>
    <row r="410" spans="1:22" ht="12.75" x14ac:dyDescent="0.2">
      <c r="A410" s="225">
        <v>42838</v>
      </c>
      <c r="B410" s="224" t="s">
        <v>1038</v>
      </c>
      <c r="C410" s="224" t="s">
        <v>1039</v>
      </c>
      <c r="D410" s="224" t="s">
        <v>972</v>
      </c>
      <c r="E410" s="226"/>
      <c r="G410" s="224" t="s">
        <v>13</v>
      </c>
      <c r="H410" s="224" t="s">
        <v>451</v>
      </c>
      <c r="I410" s="224" t="s">
        <v>69</v>
      </c>
      <c r="J410" s="227">
        <v>3</v>
      </c>
      <c r="K410" s="227">
        <f t="array" ref="K410">IFERROR(INDEX([1]Grille_Tarifs_Modulable!$B$2:$B$204,MATCH(Tableau14[[#This Row],[Designation]]&amp;Tableau14[[#This Row],[CL]],[1]Grille_Tarifs_Modulable!$C$2:$C$204&amp;[1]Grille_Tarifs_Modulable!$F$2:$F$204,0)),0)</f>
        <v>121</v>
      </c>
      <c r="L410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299</v>
      </c>
      <c r="M410" s="228">
        <f>IF(Tableau14[[#This Row],[Prix_Unit_HT]]=0,0,Tableau14[[#This Row],[Prix_Unit_HT]]+(Tableau14[[#This Row],[Prix_Unit_HT]]*VLOOKUP(Tableau14[[#This Row],[EAN]],[1]Grille_Tarifs_Modulable!$B$10:$Q$204,16,FALSE)))</f>
        <v>358.8</v>
      </c>
      <c r="N410" s="224">
        <v>2</v>
      </c>
      <c r="O410" s="228">
        <f>ROUND(Tableau14[[#This Row],[Prix_Unit_HT]],2)*Tableau14[[#This Row],[Qte_commande]]</f>
        <v>598</v>
      </c>
      <c r="P410" s="228">
        <f>ROUND(Tableau14[[#This Row],[Prix_Unit_TTC]],2)*Tableau14[[#This Row],[Qte_commande]]</f>
        <v>717.6</v>
      </c>
      <c r="Q410" s="224">
        <v>2</v>
      </c>
      <c r="R410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2</v>
      </c>
      <c r="U410" s="224"/>
      <c r="V410" s="224"/>
    </row>
    <row r="411" spans="1:22" ht="12.75" x14ac:dyDescent="0.2">
      <c r="A411" s="225">
        <v>42838</v>
      </c>
      <c r="B411" s="224" t="s">
        <v>1040</v>
      </c>
      <c r="C411" s="224" t="s">
        <v>1041</v>
      </c>
      <c r="D411" s="224" t="s">
        <v>203</v>
      </c>
      <c r="E411" s="226"/>
      <c r="G411" s="224" t="s">
        <v>13</v>
      </c>
      <c r="H411" s="224" t="s">
        <v>451</v>
      </c>
      <c r="I411" s="224" t="s">
        <v>69</v>
      </c>
      <c r="J411" s="227">
        <v>3</v>
      </c>
      <c r="K411" s="227">
        <f t="array" ref="K411">IFERROR(INDEX([1]Grille_Tarifs_Modulable!$B$2:$B$204,MATCH(Tableau14[[#This Row],[Designation]]&amp;Tableau14[[#This Row],[CL]],[1]Grille_Tarifs_Modulable!$C$2:$C$204&amp;[1]Grille_Tarifs_Modulable!$F$2:$F$204,0)),0)</f>
        <v>121</v>
      </c>
      <c r="L411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299</v>
      </c>
      <c r="M411" s="228">
        <f>IF(Tableau14[[#This Row],[Prix_Unit_HT]]=0,0,Tableau14[[#This Row],[Prix_Unit_HT]]+(Tableau14[[#This Row],[Prix_Unit_HT]]*VLOOKUP(Tableau14[[#This Row],[EAN]],[1]Grille_Tarifs_Modulable!$B$10:$Q$204,16,FALSE)))</f>
        <v>358.8</v>
      </c>
      <c r="N411" s="224">
        <v>1</v>
      </c>
      <c r="O411" s="228">
        <f>ROUND(Tableau14[[#This Row],[Prix_Unit_HT]],2)*Tableau14[[#This Row],[Qte_commande]]</f>
        <v>299</v>
      </c>
      <c r="P411" s="228">
        <f>ROUND(Tableau14[[#This Row],[Prix_Unit_TTC]],2)*Tableau14[[#This Row],[Qte_commande]]</f>
        <v>358.8</v>
      </c>
      <c r="Q411" s="224">
        <v>1</v>
      </c>
      <c r="R411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</v>
      </c>
      <c r="U411" s="224"/>
      <c r="V411" s="224"/>
    </row>
    <row r="412" spans="1:22" ht="12.75" x14ac:dyDescent="0.2">
      <c r="A412" s="225">
        <v>42839</v>
      </c>
      <c r="B412" s="224" t="s">
        <v>820</v>
      </c>
      <c r="C412" s="224" t="s">
        <v>464</v>
      </c>
      <c r="D412" s="224" t="s">
        <v>180</v>
      </c>
      <c r="E412" s="226"/>
      <c r="G412" s="224" t="s">
        <v>13</v>
      </c>
      <c r="H412" s="224" t="s">
        <v>196</v>
      </c>
      <c r="I412" s="224" t="s">
        <v>66</v>
      </c>
      <c r="J412" s="224">
        <v>50</v>
      </c>
      <c r="K412" s="227">
        <f t="array" ref="K412">IFERROR(INDEX([1]Grille_Tarifs_Modulable!$B$2:$B$204,MATCH(Tableau14[[#This Row],[Designation]]&amp;Tableau14[[#This Row],[CL]],[1]Grille_Tarifs_Modulable!$C$2:$C$204&amp;[1]Grille_Tarifs_Modulable!$F$2:$F$204,0)),0)</f>
        <v>4260310553382</v>
      </c>
      <c r="L412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1.1000000000000001</v>
      </c>
      <c r="M412" s="228">
        <f>IF(Tableau14[[#This Row],[Prix_Unit_HT]]=0,0,Tableau14[[#This Row],[Prix_Unit_HT]]+(Tableau14[[#This Row],[Prix_Unit_HT]]*VLOOKUP(Tableau14[[#This Row],[EAN]],[1]Grille_Tarifs_Modulable!$B$10:$Q$204,16,FALSE)))</f>
        <v>1.1605000000000001</v>
      </c>
      <c r="N412" s="224">
        <v>100</v>
      </c>
      <c r="O412" s="228">
        <f>ROUND(Tableau14[[#This Row],[Prix_Unit_HT]],2)*Tableau14[[#This Row],[Qte_commande]]</f>
        <v>110.00000000000001</v>
      </c>
      <c r="P412" s="228">
        <f>ROUND(Tableau14[[#This Row],[Prix_Unit_TTC]],2)*Tableau14[[#This Row],[Qte_commande]]</f>
        <v>115.99999999999999</v>
      </c>
      <c r="Q412" s="224">
        <v>71.430000000000007</v>
      </c>
      <c r="R412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71.428571428571431</v>
      </c>
      <c r="U412" s="224"/>
      <c r="V412" s="224"/>
    </row>
    <row r="413" spans="1:22" ht="12.75" x14ac:dyDescent="0.2">
      <c r="A413" s="225">
        <v>42839</v>
      </c>
      <c r="B413" s="224" t="s">
        <v>1042</v>
      </c>
      <c r="C413" s="224" t="s">
        <v>1043</v>
      </c>
      <c r="D413" s="224" t="s">
        <v>1044</v>
      </c>
      <c r="E413" s="226"/>
      <c r="G413" s="224" t="s">
        <v>13</v>
      </c>
      <c r="H413" s="224" t="s">
        <v>451</v>
      </c>
      <c r="I413" s="224" t="s">
        <v>69</v>
      </c>
      <c r="J413" s="227">
        <v>3</v>
      </c>
      <c r="K413" s="227">
        <f t="array" ref="K413">IFERROR(INDEX([1]Grille_Tarifs_Modulable!$B$2:$B$204,MATCH(Tableau14[[#This Row],[Designation]]&amp;Tableau14[[#This Row],[CL]],[1]Grille_Tarifs_Modulable!$C$2:$C$204&amp;[1]Grille_Tarifs_Modulable!$F$2:$F$204,0)),0)</f>
        <v>121</v>
      </c>
      <c r="L413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299</v>
      </c>
      <c r="M413" s="228">
        <f>IF(Tableau14[[#This Row],[Prix_Unit_HT]]=0,0,Tableau14[[#This Row],[Prix_Unit_HT]]+(Tableau14[[#This Row],[Prix_Unit_HT]]*VLOOKUP(Tableau14[[#This Row],[EAN]],[1]Grille_Tarifs_Modulable!$B$10:$Q$204,16,FALSE)))</f>
        <v>358.8</v>
      </c>
      <c r="N413" s="224">
        <v>1</v>
      </c>
      <c r="O413" s="228">
        <f>ROUND(Tableau14[[#This Row],[Prix_Unit_HT]],2)*Tableau14[[#This Row],[Qte_commande]]</f>
        <v>299</v>
      </c>
      <c r="P413" s="228">
        <f>ROUND(Tableau14[[#This Row],[Prix_Unit_TTC]],2)*Tableau14[[#This Row],[Qte_commande]]</f>
        <v>358.8</v>
      </c>
      <c r="Q413" s="224">
        <v>1</v>
      </c>
      <c r="R413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</v>
      </c>
      <c r="U413" s="224"/>
      <c r="V413" s="224"/>
    </row>
    <row r="414" spans="1:22" ht="12.75" x14ac:dyDescent="0.2">
      <c r="A414" s="225">
        <v>42845</v>
      </c>
      <c r="B414" s="224" t="s">
        <v>310</v>
      </c>
      <c r="C414" s="224" t="s">
        <v>211</v>
      </c>
      <c r="D414" s="224" t="s">
        <v>212</v>
      </c>
      <c r="E414" s="226"/>
      <c r="G414" s="224" t="s">
        <v>1</v>
      </c>
      <c r="H414" s="224" t="s">
        <v>289</v>
      </c>
      <c r="I414" s="224" t="s">
        <v>22</v>
      </c>
      <c r="J414" s="224">
        <v>70</v>
      </c>
      <c r="K414" s="227">
        <f t="array" ref="K414">IFERROR(INDEX([1]Grille_Tarifs_Modulable!$B$2:$B$204,MATCH(Tableau14[[#This Row],[Designation]]&amp;Tableau14[[#This Row],[CL]],[1]Grille_Tarifs_Modulable!$C$2:$C$204&amp;[1]Grille_Tarifs_Modulable!$F$2:$F$204,0)),0)</f>
        <v>4055800060200</v>
      </c>
      <c r="L414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17.408644000000002</v>
      </c>
      <c r="M414" s="228">
        <f>IF(Tableau14[[#This Row],[Prix_Unit_HT]]=0,0,Tableau14[[#This Row],[Prix_Unit_HT]]+(Tableau14[[#This Row],[Prix_Unit_HT]]*VLOOKUP(Tableau14[[#This Row],[EAN]],[1]Grille_Tarifs_Modulable!$B$10:$Q$204,16,FALSE)))</f>
        <v>20.890372800000002</v>
      </c>
      <c r="N414" s="224">
        <v>6</v>
      </c>
      <c r="O414" s="228">
        <f>ROUND(Tableau14[[#This Row],[Prix_Unit_HT]],2)*Tableau14[[#This Row],[Qte_commande]]</f>
        <v>104.46000000000001</v>
      </c>
      <c r="P414" s="228">
        <f>ROUND(Tableau14[[#This Row],[Prix_Unit_TTC]],2)*Tableau14[[#This Row],[Qte_commande]]</f>
        <v>125.34</v>
      </c>
      <c r="Q414" s="224">
        <v>6</v>
      </c>
      <c r="R414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6.0000000000000009</v>
      </c>
      <c r="U414" s="224"/>
      <c r="V414" s="224"/>
    </row>
    <row r="415" spans="1:22" ht="12.75" x14ac:dyDescent="0.2">
      <c r="A415" s="225">
        <v>42845</v>
      </c>
      <c r="B415" s="224" t="s">
        <v>310</v>
      </c>
      <c r="C415" s="224" t="s">
        <v>211</v>
      </c>
      <c r="D415" s="224" t="s">
        <v>212</v>
      </c>
      <c r="E415" s="226"/>
      <c r="G415" s="224" t="s">
        <v>1</v>
      </c>
      <c r="H415" s="224" t="s">
        <v>289</v>
      </c>
      <c r="I415" s="224" t="s">
        <v>15</v>
      </c>
      <c r="J415" s="224">
        <v>70</v>
      </c>
      <c r="K415" s="227">
        <f t="array" ref="K415">IFERROR(INDEX([1]Grille_Tarifs_Modulable!$B$2:$B$204,MATCH(Tableau14[[#This Row],[Designation]]&amp;Tableau14[[#This Row],[CL]],[1]Grille_Tarifs_Modulable!$C$2:$C$204&amp;[1]Grille_Tarifs_Modulable!$F$2:$F$204,0)),0)</f>
        <v>4067700013859</v>
      </c>
      <c r="L415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12.532563499999998</v>
      </c>
      <c r="M415" s="228">
        <f>IF(Tableau14[[#This Row],[Prix_Unit_HT]]=0,0,Tableau14[[#This Row],[Prix_Unit_HT]]+(Tableau14[[#This Row],[Prix_Unit_HT]]*VLOOKUP(Tableau14[[#This Row],[EAN]],[1]Grille_Tarifs_Modulable!$B$10:$Q$204,16,FALSE)))</f>
        <v>15.039076199999998</v>
      </c>
      <c r="N415" s="224">
        <v>48</v>
      </c>
      <c r="O415" s="228">
        <f>ROUND(Tableau14[[#This Row],[Prix_Unit_HT]],2)*Tableau14[[#This Row],[Qte_commande]]</f>
        <v>601.43999999999994</v>
      </c>
      <c r="P415" s="228">
        <f>ROUND(Tableau14[[#This Row],[Prix_Unit_TTC]],2)*Tableau14[[#This Row],[Qte_commande]]</f>
        <v>721.92</v>
      </c>
      <c r="Q415" s="224">
        <v>48</v>
      </c>
      <c r="R415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48.000000000000007</v>
      </c>
      <c r="U415" s="224"/>
      <c r="V415" s="224"/>
    </row>
    <row r="416" spans="1:22" ht="12.75" x14ac:dyDescent="0.2">
      <c r="A416" s="225">
        <v>42845</v>
      </c>
      <c r="B416" s="224" t="s">
        <v>310</v>
      </c>
      <c r="C416" s="224" t="s">
        <v>211</v>
      </c>
      <c r="D416" s="224" t="s">
        <v>212</v>
      </c>
      <c r="E416" s="226"/>
      <c r="G416" s="224" t="s">
        <v>1</v>
      </c>
      <c r="H416" s="224" t="s">
        <v>289</v>
      </c>
      <c r="I416" s="224" t="s">
        <v>1352</v>
      </c>
      <c r="J416" s="224">
        <v>70</v>
      </c>
      <c r="K416" s="227">
        <f t="array" ref="K416">IFERROR(INDEX([1]Grille_Tarifs_Modulable!$B$2:$B$204,MATCH(Tableau14[[#This Row],[Designation]]&amp;Tableau14[[#This Row],[CL]],[1]Grille_Tarifs_Modulable!$C$2:$C$204&amp;[1]Grille_Tarifs_Modulable!$F$2:$F$204,0)),0)</f>
        <v>0</v>
      </c>
      <c r="L416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</v>
      </c>
      <c r="M416" s="228">
        <f>IF(Tableau14[[#This Row],[Prix_Unit_HT]]=0,0,Tableau14[[#This Row],[Prix_Unit_HT]]+(Tableau14[[#This Row],[Prix_Unit_HT]]*VLOOKUP(Tableau14[[#This Row],[EAN]],[1]Grille_Tarifs_Modulable!$B$10:$Q$204,16,FALSE)))</f>
        <v>0</v>
      </c>
      <c r="N416" s="224">
        <v>30</v>
      </c>
      <c r="O416" s="228">
        <f>ROUND(Tableau14[[#This Row],[Prix_Unit_HT]],2)*Tableau14[[#This Row],[Qte_commande]]</f>
        <v>0</v>
      </c>
      <c r="P416" s="228">
        <f>ROUND(Tableau14[[#This Row],[Prix_Unit_TTC]],2)*Tableau14[[#This Row],[Qte_commande]]</f>
        <v>0</v>
      </c>
      <c r="Q416" s="224">
        <v>30</v>
      </c>
      <c r="R416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30.000000000000004</v>
      </c>
      <c r="U416" s="224"/>
      <c r="V416" s="224"/>
    </row>
    <row r="417" spans="1:22" ht="12.75" x14ac:dyDescent="0.2">
      <c r="A417" s="225">
        <v>42849</v>
      </c>
      <c r="B417" s="224" t="s">
        <v>1045</v>
      </c>
      <c r="C417" s="224" t="s">
        <v>1046</v>
      </c>
      <c r="D417" s="224" t="s">
        <v>1047</v>
      </c>
      <c r="E417" s="226"/>
      <c r="G417" s="224" t="s">
        <v>13</v>
      </c>
      <c r="H417" s="224" t="s">
        <v>451</v>
      </c>
      <c r="I417" s="224" t="s">
        <v>69</v>
      </c>
      <c r="J417" s="227">
        <v>3</v>
      </c>
      <c r="K417" s="227">
        <f t="array" ref="K417">IFERROR(INDEX([1]Grille_Tarifs_Modulable!$B$2:$B$204,MATCH(Tableau14[[#This Row],[Designation]]&amp;Tableau14[[#This Row],[CL]],[1]Grille_Tarifs_Modulable!$C$2:$C$204&amp;[1]Grille_Tarifs_Modulable!$F$2:$F$204,0)),0)</f>
        <v>121</v>
      </c>
      <c r="L417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299</v>
      </c>
      <c r="M417" s="228">
        <f>IF(Tableau14[[#This Row],[Prix_Unit_HT]]=0,0,Tableau14[[#This Row],[Prix_Unit_HT]]+(Tableau14[[#This Row],[Prix_Unit_HT]]*VLOOKUP(Tableau14[[#This Row],[EAN]],[1]Grille_Tarifs_Modulable!$B$10:$Q$204,16,FALSE)))</f>
        <v>358.8</v>
      </c>
      <c r="N417" s="224">
        <v>1</v>
      </c>
      <c r="O417" s="228">
        <f>ROUND(Tableau14[[#This Row],[Prix_Unit_HT]],2)*Tableau14[[#This Row],[Qte_commande]]</f>
        <v>299</v>
      </c>
      <c r="P417" s="228">
        <f>ROUND(Tableau14[[#This Row],[Prix_Unit_TTC]],2)*Tableau14[[#This Row],[Qte_commande]]</f>
        <v>358.8</v>
      </c>
      <c r="Q417" s="224">
        <v>1</v>
      </c>
      <c r="R417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</v>
      </c>
      <c r="U417" s="224"/>
      <c r="V417" s="224"/>
    </row>
    <row r="418" spans="1:22" ht="12.75" x14ac:dyDescent="0.2">
      <c r="A418" s="225">
        <v>42850</v>
      </c>
      <c r="B418" s="224" t="s">
        <v>922</v>
      </c>
      <c r="C418" s="224" t="s">
        <v>159</v>
      </c>
      <c r="D418" s="224" t="s">
        <v>209</v>
      </c>
      <c r="E418" s="226"/>
      <c r="G418" s="224" t="s">
        <v>1</v>
      </c>
      <c r="H418" s="224" t="s">
        <v>289</v>
      </c>
      <c r="I418" s="224" t="s">
        <v>25</v>
      </c>
      <c r="J418" s="224">
        <v>100</v>
      </c>
      <c r="K418" s="227">
        <f t="array" ref="K418">IFERROR(INDEX([1]Grille_Tarifs_Modulable!$B$2:$B$204,MATCH(Tableau14[[#This Row],[Designation]]&amp;Tableau14[[#This Row],[CL]],[1]Grille_Tarifs_Modulable!$C$2:$C$204&amp;[1]Grille_Tarifs_Modulable!$F$2:$F$204,0)),0)</f>
        <v>3257150410167</v>
      </c>
      <c r="L418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15.778874</v>
      </c>
      <c r="M418" s="228">
        <f>IF(Tableau14[[#This Row],[Prix_Unit_HT]]=0,0,Tableau14[[#This Row],[Prix_Unit_HT]]+(Tableau14[[#This Row],[Prix_Unit_HT]]*VLOOKUP(Tableau14[[#This Row],[EAN]],[1]Grille_Tarifs_Modulable!$B$10:$Q$204,16,FALSE)))</f>
        <v>18.934648800000002</v>
      </c>
      <c r="N418" s="224">
        <v>36</v>
      </c>
      <c r="O418" s="228">
        <f>ROUND(Tableau14[[#This Row],[Prix_Unit_HT]],2)*Tableau14[[#This Row],[Qte_commande]]</f>
        <v>568.07999999999993</v>
      </c>
      <c r="P418" s="228">
        <f>ROUND(Tableau14[[#This Row],[Prix_Unit_TTC]],2)*Tableau14[[#This Row],[Qte_commande]]</f>
        <v>681.48</v>
      </c>
      <c r="Q418" s="224">
        <v>51.43</v>
      </c>
      <c r="R418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51.428571428571431</v>
      </c>
      <c r="U418" s="224"/>
      <c r="V418" s="224"/>
    </row>
    <row r="419" spans="1:22" ht="12.75" x14ac:dyDescent="0.2">
      <c r="A419" s="225">
        <v>42852</v>
      </c>
      <c r="B419" s="224" t="s">
        <v>610</v>
      </c>
      <c r="C419" s="224" t="s">
        <v>557</v>
      </c>
      <c r="D419" s="224" t="s">
        <v>558</v>
      </c>
      <c r="E419" s="226"/>
      <c r="G419" s="224" t="s">
        <v>1</v>
      </c>
      <c r="H419" s="224" t="s">
        <v>289</v>
      </c>
      <c r="I419" s="224" t="s">
        <v>15</v>
      </c>
      <c r="J419" s="224">
        <v>70</v>
      </c>
      <c r="K419" s="227">
        <f t="array" ref="K419">IFERROR(INDEX([1]Grille_Tarifs_Modulable!$B$2:$B$204,MATCH(Tableau14[[#This Row],[Designation]]&amp;Tableau14[[#This Row],[CL]],[1]Grille_Tarifs_Modulable!$C$2:$C$204&amp;[1]Grille_Tarifs_Modulable!$F$2:$F$204,0)),0)</f>
        <v>4067700013859</v>
      </c>
      <c r="L419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12.532563499999998</v>
      </c>
      <c r="M419" s="228">
        <f>IF(Tableau14[[#This Row],[Prix_Unit_HT]]=0,0,Tableau14[[#This Row],[Prix_Unit_HT]]+(Tableau14[[#This Row],[Prix_Unit_HT]]*VLOOKUP(Tableau14[[#This Row],[EAN]],[1]Grille_Tarifs_Modulable!$B$10:$Q$204,16,FALSE)))</f>
        <v>15.039076199999998</v>
      </c>
      <c r="N419" s="224">
        <v>480</v>
      </c>
      <c r="O419" s="228">
        <f>ROUND(Tableau14[[#This Row],[Prix_Unit_HT]],2)*Tableau14[[#This Row],[Qte_commande]]</f>
        <v>6014.4</v>
      </c>
      <c r="P419" s="228">
        <f>ROUND(Tableau14[[#This Row],[Prix_Unit_TTC]],2)*Tableau14[[#This Row],[Qte_commande]]</f>
        <v>7219.2</v>
      </c>
      <c r="Q419" s="224">
        <v>480</v>
      </c>
      <c r="R419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480.00000000000006</v>
      </c>
      <c r="U419" s="224"/>
      <c r="V419" s="224"/>
    </row>
    <row r="420" spans="1:22" ht="12.75" x14ac:dyDescent="0.2">
      <c r="A420" s="225">
        <v>42853</v>
      </c>
      <c r="B420" s="224" t="s">
        <v>216</v>
      </c>
      <c r="C420" s="224" t="s">
        <v>198</v>
      </c>
      <c r="D420" s="224" t="s">
        <v>199</v>
      </c>
      <c r="E420" s="226"/>
      <c r="G420" s="224" t="s">
        <v>1</v>
      </c>
      <c r="H420" s="224" t="s">
        <v>196</v>
      </c>
      <c r="I420" s="224" t="s">
        <v>62</v>
      </c>
      <c r="J420" s="224">
        <v>20</v>
      </c>
      <c r="K420" s="227">
        <f t="array" ref="K420">IFERROR(INDEX([1]Grille_Tarifs_Modulable!$B$2:$B$204,MATCH(Tableau14[[#This Row],[Designation]]&amp;Tableau14[[#This Row],[CL]],[1]Grille_Tarifs_Modulable!$C$2:$C$204&amp;[1]Grille_Tarifs_Modulable!$F$2:$F$204,0)),0)</f>
        <v>4260310550305</v>
      </c>
      <c r="L420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0.81</v>
      </c>
      <c r="M420" s="228">
        <f>IF(Tableau14[[#This Row],[Prix_Unit_HT]]=0,0,Tableau14[[#This Row],[Prix_Unit_HT]]+(Tableau14[[#This Row],[Prix_Unit_HT]]*VLOOKUP(Tableau14[[#This Row],[EAN]],[1]Grille_Tarifs_Modulable!$B$10:$Q$204,16,FALSE)))</f>
        <v>0.85455000000000003</v>
      </c>
      <c r="N420" s="224">
        <v>48</v>
      </c>
      <c r="O420" s="228">
        <f>ROUND(Tableau14[[#This Row],[Prix_Unit_HT]],2)*Tableau14[[#This Row],[Qte_commande]]</f>
        <v>38.880000000000003</v>
      </c>
      <c r="P420" s="228">
        <f>ROUND(Tableau14[[#This Row],[Prix_Unit_TTC]],2)*Tableau14[[#This Row],[Qte_commande]]</f>
        <v>40.799999999999997</v>
      </c>
      <c r="Q420" s="224">
        <v>13.71</v>
      </c>
      <c r="R420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13.714285714285715</v>
      </c>
      <c r="U420" s="224"/>
      <c r="V420" s="224"/>
    </row>
    <row r="421" spans="1:22" ht="12.75" x14ac:dyDescent="0.2">
      <c r="A421" s="225">
        <v>42853</v>
      </c>
      <c r="B421" s="224" t="s">
        <v>216</v>
      </c>
      <c r="C421" s="224" t="s">
        <v>198</v>
      </c>
      <c r="D421" s="224" t="s">
        <v>199</v>
      </c>
      <c r="E421" s="226"/>
      <c r="G421" s="224" t="s">
        <v>1</v>
      </c>
      <c r="H421" s="224" t="s">
        <v>196</v>
      </c>
      <c r="I421" s="224" t="s">
        <v>63</v>
      </c>
      <c r="J421" s="224">
        <v>20</v>
      </c>
      <c r="K421" s="227">
        <f t="array" ref="K421">IFERROR(INDEX([1]Grille_Tarifs_Modulable!$B$2:$B$204,MATCH(Tableau14[[#This Row],[Designation]]&amp;Tableau14[[#This Row],[CL]],[1]Grille_Tarifs_Modulable!$C$2:$C$204&amp;[1]Grille_Tarifs_Modulable!$F$2:$F$204,0)),0)</f>
        <v>4260310552941</v>
      </c>
      <c r="L421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0.81</v>
      </c>
      <c r="M421" s="228">
        <f>IF(Tableau14[[#This Row],[Prix_Unit_HT]]=0,0,Tableau14[[#This Row],[Prix_Unit_HT]]+(Tableau14[[#This Row],[Prix_Unit_HT]]*VLOOKUP(Tableau14[[#This Row],[EAN]],[1]Grille_Tarifs_Modulable!$B$10:$Q$204,16,FALSE)))</f>
        <v>0.85455000000000003</v>
      </c>
      <c r="N421" s="224">
        <v>48</v>
      </c>
      <c r="O421" s="228">
        <f>ROUND(Tableau14[[#This Row],[Prix_Unit_HT]],2)*Tableau14[[#This Row],[Qte_commande]]</f>
        <v>38.880000000000003</v>
      </c>
      <c r="P421" s="228">
        <f>ROUND(Tableau14[[#This Row],[Prix_Unit_TTC]],2)*Tableau14[[#This Row],[Qte_commande]]</f>
        <v>40.799999999999997</v>
      </c>
      <c r="Q421" s="224">
        <v>13.71</v>
      </c>
      <c r="R421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13.714285714285715</v>
      </c>
      <c r="U421" s="224"/>
      <c r="V421" s="224"/>
    </row>
    <row r="422" spans="1:22" ht="12.75" x14ac:dyDescent="0.2">
      <c r="A422" s="225">
        <v>42853</v>
      </c>
      <c r="B422" s="224" t="s">
        <v>216</v>
      </c>
      <c r="C422" s="224" t="s">
        <v>198</v>
      </c>
      <c r="D422" s="224" t="s">
        <v>199</v>
      </c>
      <c r="E422" s="226"/>
      <c r="G422" s="224" t="s">
        <v>1</v>
      </c>
      <c r="H422" s="224" t="s">
        <v>289</v>
      </c>
      <c r="I422" s="224" t="s">
        <v>22</v>
      </c>
      <c r="J422" s="224">
        <v>70</v>
      </c>
      <c r="K422" s="227">
        <f t="array" ref="K422">IFERROR(INDEX([1]Grille_Tarifs_Modulable!$B$2:$B$204,MATCH(Tableau14[[#This Row],[Designation]]&amp;Tableau14[[#This Row],[CL]],[1]Grille_Tarifs_Modulable!$C$2:$C$204&amp;[1]Grille_Tarifs_Modulable!$F$2:$F$204,0)),0)</f>
        <v>4055800060200</v>
      </c>
      <c r="L422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17.408644000000002</v>
      </c>
      <c r="M422" s="228">
        <f>IF(Tableau14[[#This Row],[Prix_Unit_HT]]=0,0,Tableau14[[#This Row],[Prix_Unit_HT]]+(Tableau14[[#This Row],[Prix_Unit_HT]]*VLOOKUP(Tableau14[[#This Row],[EAN]],[1]Grille_Tarifs_Modulable!$B$10:$Q$204,16,FALSE)))</f>
        <v>20.890372800000002</v>
      </c>
      <c r="N422" s="224">
        <v>6</v>
      </c>
      <c r="O422" s="228">
        <f>ROUND(Tableau14[[#This Row],[Prix_Unit_HT]],2)*Tableau14[[#This Row],[Qte_commande]]</f>
        <v>104.46000000000001</v>
      </c>
      <c r="P422" s="228">
        <f>ROUND(Tableau14[[#This Row],[Prix_Unit_TTC]],2)*Tableau14[[#This Row],[Qte_commande]]</f>
        <v>125.34</v>
      </c>
      <c r="Q422" s="224">
        <v>6</v>
      </c>
      <c r="R422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6.0000000000000009</v>
      </c>
      <c r="U422" s="224"/>
      <c r="V422" s="224"/>
    </row>
    <row r="423" spans="1:22" ht="12.75" x14ac:dyDescent="0.2">
      <c r="A423" s="225">
        <v>42853</v>
      </c>
      <c r="B423" s="224" t="s">
        <v>216</v>
      </c>
      <c r="C423" s="224" t="s">
        <v>198</v>
      </c>
      <c r="D423" s="224" t="s">
        <v>199</v>
      </c>
      <c r="E423" s="226"/>
      <c r="G423" s="224" t="s">
        <v>1</v>
      </c>
      <c r="H423" s="224" t="s">
        <v>196</v>
      </c>
      <c r="I423" s="224" t="s">
        <v>60</v>
      </c>
      <c r="J423" s="224">
        <v>20</v>
      </c>
      <c r="K423" s="227">
        <f t="array" ref="K423">IFERROR(INDEX([1]Grille_Tarifs_Modulable!$B$2:$B$204,MATCH(Tableau14[[#This Row],[Designation]]&amp;Tableau14[[#This Row],[CL]],[1]Grille_Tarifs_Modulable!$C$2:$C$204&amp;[1]Grille_Tarifs_Modulable!$F$2:$F$204,0)),0)</f>
        <v>4260310553832</v>
      </c>
      <c r="L423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0.81</v>
      </c>
      <c r="M423" s="228">
        <f>IF(Tableau14[[#This Row],[Prix_Unit_HT]]=0,0,Tableau14[[#This Row],[Prix_Unit_HT]]+(Tableau14[[#This Row],[Prix_Unit_HT]]*VLOOKUP(Tableau14[[#This Row],[EAN]],[1]Grille_Tarifs_Modulable!$B$10:$Q$204,16,FALSE)))</f>
        <v>0.85455000000000003</v>
      </c>
      <c r="N423" s="224">
        <v>24</v>
      </c>
      <c r="O423" s="228">
        <f>ROUND(Tableau14[[#This Row],[Prix_Unit_HT]],2)*Tableau14[[#This Row],[Qte_commande]]</f>
        <v>19.440000000000001</v>
      </c>
      <c r="P423" s="228">
        <f>ROUND(Tableau14[[#This Row],[Prix_Unit_TTC]],2)*Tableau14[[#This Row],[Qte_commande]]</f>
        <v>20.399999999999999</v>
      </c>
      <c r="Q423" s="224">
        <v>6.86</v>
      </c>
      <c r="R423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6.8571428571428577</v>
      </c>
      <c r="U423" s="224"/>
      <c r="V423" s="224"/>
    </row>
    <row r="424" spans="1:22" ht="12.75" x14ac:dyDescent="0.2">
      <c r="A424" s="225">
        <v>42853</v>
      </c>
      <c r="B424" s="224" t="s">
        <v>216</v>
      </c>
      <c r="C424" s="224" t="s">
        <v>198</v>
      </c>
      <c r="D424" s="224" t="s">
        <v>199</v>
      </c>
      <c r="E424" s="226"/>
      <c r="G424" s="224" t="s">
        <v>1</v>
      </c>
      <c r="H424" s="224" t="s">
        <v>289</v>
      </c>
      <c r="I424" s="224" t="s">
        <v>15</v>
      </c>
      <c r="J424" s="224">
        <v>70</v>
      </c>
      <c r="K424" s="227">
        <f t="array" ref="K424">IFERROR(INDEX([1]Grille_Tarifs_Modulable!$B$2:$B$204,MATCH(Tableau14[[#This Row],[Designation]]&amp;Tableau14[[#This Row],[CL]],[1]Grille_Tarifs_Modulable!$C$2:$C$204&amp;[1]Grille_Tarifs_Modulable!$F$2:$F$204,0)),0)</f>
        <v>4067700013859</v>
      </c>
      <c r="L424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12.532563499999998</v>
      </c>
      <c r="M424" s="228">
        <f>IF(Tableau14[[#This Row],[Prix_Unit_HT]]=0,0,Tableau14[[#This Row],[Prix_Unit_HT]]+(Tableau14[[#This Row],[Prix_Unit_HT]]*VLOOKUP(Tableau14[[#This Row],[EAN]],[1]Grille_Tarifs_Modulable!$B$10:$Q$204,16,FALSE)))</f>
        <v>15.039076199999998</v>
      </c>
      <c r="N424" s="224">
        <v>24</v>
      </c>
      <c r="O424" s="228">
        <f>ROUND(Tableau14[[#This Row],[Prix_Unit_HT]],2)*Tableau14[[#This Row],[Qte_commande]]</f>
        <v>300.71999999999997</v>
      </c>
      <c r="P424" s="228">
        <f>ROUND(Tableau14[[#This Row],[Prix_Unit_TTC]],2)*Tableau14[[#This Row],[Qte_commande]]</f>
        <v>360.96</v>
      </c>
      <c r="Q424" s="224">
        <v>24</v>
      </c>
      <c r="R424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24.000000000000004</v>
      </c>
      <c r="U424" s="224"/>
      <c r="V424" s="224"/>
    </row>
    <row r="425" spans="1:22" ht="12.75" x14ac:dyDescent="0.2">
      <c r="A425" s="225">
        <v>42853</v>
      </c>
      <c r="B425" s="224" t="s">
        <v>216</v>
      </c>
      <c r="C425" s="224" t="s">
        <v>198</v>
      </c>
      <c r="D425" s="224" t="s">
        <v>199</v>
      </c>
      <c r="E425" s="226"/>
      <c r="G425" s="224" t="s">
        <v>1</v>
      </c>
      <c r="H425" s="224" t="s">
        <v>289</v>
      </c>
      <c r="I425" s="224" t="s">
        <v>15</v>
      </c>
      <c r="J425" s="224">
        <v>100</v>
      </c>
      <c r="K425" s="227">
        <f t="array" ref="K425">IFERROR(INDEX([1]Grille_Tarifs_Modulable!$B$2:$B$204,MATCH(Tableau14[[#This Row],[Designation]]&amp;Tableau14[[#This Row],[CL]],[1]Grille_Tarifs_Modulable!$C$2:$C$204&amp;[1]Grille_Tarifs_Modulable!$F$2:$F$204,0)),0)</f>
        <v>4067700013842</v>
      </c>
      <c r="L425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17.100804999999998</v>
      </c>
      <c r="M425" s="228">
        <f>IF(Tableau14[[#This Row],[Prix_Unit_HT]]=0,0,Tableau14[[#This Row],[Prix_Unit_HT]]+(Tableau14[[#This Row],[Prix_Unit_HT]]*VLOOKUP(Tableau14[[#This Row],[EAN]],[1]Grille_Tarifs_Modulable!$B$10:$Q$204,16,FALSE)))</f>
        <v>20.520965999999998</v>
      </c>
      <c r="N425" s="224">
        <v>24</v>
      </c>
      <c r="O425" s="228">
        <f>ROUND(Tableau14[[#This Row],[Prix_Unit_HT]],2)*Tableau14[[#This Row],[Qte_commande]]</f>
        <v>410.40000000000003</v>
      </c>
      <c r="P425" s="228">
        <f>ROUND(Tableau14[[#This Row],[Prix_Unit_TTC]],2)*Tableau14[[#This Row],[Qte_commande]]</f>
        <v>492.48</v>
      </c>
      <c r="Q425" s="224">
        <v>34.29</v>
      </c>
      <c r="R425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34.285714285714285</v>
      </c>
      <c r="U425" s="224"/>
      <c r="V425" s="224"/>
    </row>
    <row r="426" spans="1:22" ht="12.75" x14ac:dyDescent="0.2">
      <c r="A426" s="225">
        <v>42853</v>
      </c>
      <c r="B426" s="224" t="s">
        <v>216</v>
      </c>
      <c r="C426" s="224" t="s">
        <v>198</v>
      </c>
      <c r="D426" s="224" t="s">
        <v>199</v>
      </c>
      <c r="E426" s="226"/>
      <c r="G426" s="224" t="s">
        <v>1</v>
      </c>
      <c r="H426" s="224" t="s">
        <v>196</v>
      </c>
      <c r="I426" s="224" t="s">
        <v>66</v>
      </c>
      <c r="J426" s="224">
        <v>50</v>
      </c>
      <c r="K426" s="227">
        <f t="array" ref="K426">IFERROR(INDEX([1]Grille_Tarifs_Modulable!$B$2:$B$204,MATCH(Tableau14[[#This Row],[Designation]]&amp;Tableau14[[#This Row],[CL]],[1]Grille_Tarifs_Modulable!$C$2:$C$204&amp;[1]Grille_Tarifs_Modulable!$F$2:$F$204,0)),0)</f>
        <v>4260310553382</v>
      </c>
      <c r="L426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</v>
      </c>
      <c r="M426" s="228">
        <f>IF(Tableau14[[#This Row],[Prix_Unit_HT]]=0,0,Tableau14[[#This Row],[Prix_Unit_HT]]+(Tableau14[[#This Row],[Prix_Unit_HT]]*VLOOKUP(Tableau14[[#This Row],[EAN]],[1]Grille_Tarifs_Modulable!$B$10:$Q$204,16,FALSE)))</f>
        <v>1.0549999999999999</v>
      </c>
      <c r="N426" s="224">
        <v>40</v>
      </c>
      <c r="O426" s="228">
        <f>ROUND(Tableau14[[#This Row],[Prix_Unit_HT]],2)*Tableau14[[#This Row],[Qte_commande]]</f>
        <v>40</v>
      </c>
      <c r="P426" s="228">
        <f>ROUND(Tableau14[[#This Row],[Prix_Unit_TTC]],2)*Tableau14[[#This Row],[Qte_commande]]</f>
        <v>42.400000000000006</v>
      </c>
      <c r="Q426" s="224">
        <v>28.57</v>
      </c>
      <c r="R426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28.571428571428573</v>
      </c>
      <c r="U426" s="224"/>
      <c r="V426" s="224"/>
    </row>
    <row r="427" spans="1:22" ht="12.75" x14ac:dyDescent="0.2">
      <c r="A427" s="225">
        <v>42853</v>
      </c>
      <c r="B427" s="224" t="s">
        <v>216</v>
      </c>
      <c r="C427" s="224" t="s">
        <v>198</v>
      </c>
      <c r="D427" s="224" t="s">
        <v>199</v>
      </c>
      <c r="E427" s="226"/>
      <c r="G427" s="224" t="s">
        <v>1</v>
      </c>
      <c r="H427" s="224" t="s">
        <v>289</v>
      </c>
      <c r="I427" s="224" t="s">
        <v>44</v>
      </c>
      <c r="J427" s="224">
        <v>50</v>
      </c>
      <c r="K427" s="227">
        <f t="array" ref="K427">IFERROR(INDEX([1]Grille_Tarifs_Modulable!$B$2:$B$204,MATCH(Tableau14[[#This Row],[Designation]]&amp;Tableau14[[#This Row],[CL]],[1]Grille_Tarifs_Modulable!$C$2:$C$204&amp;[1]Grille_Tarifs_Modulable!$F$2:$F$204,0)),0)</f>
        <v>4260270192645</v>
      </c>
      <c r="L427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25.192506000000002</v>
      </c>
      <c r="M427" s="228">
        <f>IF(Tableau14[[#This Row],[Prix_Unit_HT]]=0,0,Tableau14[[#This Row],[Prix_Unit_HT]]+(Tableau14[[#This Row],[Prix_Unit_HT]]*VLOOKUP(Tableau14[[#This Row],[EAN]],[1]Grille_Tarifs_Modulable!$B$10:$Q$204,16,FALSE)))</f>
        <v>30.231007200000001</v>
      </c>
      <c r="N427" s="224">
        <v>6</v>
      </c>
      <c r="O427" s="228">
        <f>ROUND(Tableau14[[#This Row],[Prix_Unit_HT]],2)*Tableau14[[#This Row],[Qte_commande]]</f>
        <v>151.14000000000001</v>
      </c>
      <c r="P427" s="228">
        <f>ROUND(Tableau14[[#This Row],[Prix_Unit_TTC]],2)*Tableau14[[#This Row],[Qte_commande]]</f>
        <v>181.38</v>
      </c>
      <c r="Q427" s="224">
        <v>4.29</v>
      </c>
      <c r="R427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4.2857142857142856</v>
      </c>
      <c r="U427" s="224"/>
      <c r="V427" s="224"/>
    </row>
    <row r="428" spans="1:22" ht="12.75" x14ac:dyDescent="0.2">
      <c r="A428" s="225">
        <v>42853</v>
      </c>
      <c r="B428" s="224" t="s">
        <v>216</v>
      </c>
      <c r="C428" s="224" t="s">
        <v>198</v>
      </c>
      <c r="D428" s="224" t="s">
        <v>199</v>
      </c>
      <c r="E428" s="226"/>
      <c r="G428" s="224" t="s">
        <v>1</v>
      </c>
      <c r="H428" s="224" t="s">
        <v>289</v>
      </c>
      <c r="I428" s="224" t="s">
        <v>42</v>
      </c>
      <c r="J428" s="224">
        <v>70</v>
      </c>
      <c r="K428" s="227">
        <f t="array" ref="K428">IFERROR(INDEX([1]Grille_Tarifs_Modulable!$B$2:$B$204,MATCH(Tableau14[[#This Row],[Designation]]&amp;Tableau14[[#This Row],[CL]],[1]Grille_Tarifs_Modulable!$C$2:$C$204&amp;[1]Grille_Tarifs_Modulable!$F$2:$F$204,0)),0)</f>
        <v>3257150688009</v>
      </c>
      <c r="L428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12.556915199999999</v>
      </c>
      <c r="M428" s="228">
        <f>IF(Tableau14[[#This Row],[Prix_Unit_HT]]=0,0,Tableau14[[#This Row],[Prix_Unit_HT]]+(Tableau14[[#This Row],[Prix_Unit_HT]]*VLOOKUP(Tableau14[[#This Row],[EAN]],[1]Grille_Tarifs_Modulable!$B$10:$Q$204,16,FALSE)))</f>
        <v>15.068298239999999</v>
      </c>
      <c r="N428" s="224">
        <v>18</v>
      </c>
      <c r="O428" s="228">
        <f>ROUND(Tableau14[[#This Row],[Prix_Unit_HT]],2)*Tableau14[[#This Row],[Qte_commande]]</f>
        <v>226.08</v>
      </c>
      <c r="P428" s="228">
        <f>ROUND(Tableau14[[#This Row],[Prix_Unit_TTC]],2)*Tableau14[[#This Row],[Qte_commande]]</f>
        <v>271.26</v>
      </c>
      <c r="Q428" s="224">
        <v>18</v>
      </c>
      <c r="R428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18</v>
      </c>
      <c r="U428" s="224"/>
      <c r="V428" s="224"/>
    </row>
    <row r="429" spans="1:22" ht="12.75" x14ac:dyDescent="0.2">
      <c r="A429" s="225">
        <v>42857</v>
      </c>
      <c r="B429" s="224" t="s">
        <v>611</v>
      </c>
      <c r="C429" s="224" t="s">
        <v>530</v>
      </c>
      <c r="D429" s="224" t="s">
        <v>531</v>
      </c>
      <c r="E429" s="226"/>
      <c r="G429" s="224" t="s">
        <v>1</v>
      </c>
      <c r="H429" s="224" t="s">
        <v>289</v>
      </c>
      <c r="I429" s="224" t="s">
        <v>15</v>
      </c>
      <c r="J429" s="224">
        <v>70</v>
      </c>
      <c r="K429" s="227">
        <f t="array" ref="K429">IFERROR(INDEX([1]Grille_Tarifs_Modulable!$B$2:$B$204,MATCH(Tableau14[[#This Row],[Designation]]&amp;Tableau14[[#This Row],[CL]],[1]Grille_Tarifs_Modulable!$C$2:$C$204&amp;[1]Grille_Tarifs_Modulable!$F$2:$F$204,0)),0)</f>
        <v>4067700013859</v>
      </c>
      <c r="L429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12.532563499999998</v>
      </c>
      <c r="M429" s="228">
        <f>IF(Tableau14[[#This Row],[Prix_Unit_HT]]=0,0,Tableau14[[#This Row],[Prix_Unit_HT]]+(Tableau14[[#This Row],[Prix_Unit_HT]]*VLOOKUP(Tableau14[[#This Row],[EAN]],[1]Grille_Tarifs_Modulable!$B$10:$Q$204,16,FALSE)))</f>
        <v>15.039076199999998</v>
      </c>
      <c r="N429" s="224">
        <v>150</v>
      </c>
      <c r="O429" s="228">
        <f>ROUND(Tableau14[[#This Row],[Prix_Unit_HT]],2)*Tableau14[[#This Row],[Qte_commande]]</f>
        <v>1879.5</v>
      </c>
      <c r="P429" s="228">
        <f>ROUND(Tableau14[[#This Row],[Prix_Unit_TTC]],2)*Tableau14[[#This Row],[Qte_commande]]</f>
        <v>2256</v>
      </c>
      <c r="Q429" s="224">
        <v>150</v>
      </c>
      <c r="R429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150</v>
      </c>
      <c r="U429" s="224"/>
      <c r="V429" s="224"/>
    </row>
    <row r="430" spans="1:22" ht="12.75" x14ac:dyDescent="0.2">
      <c r="A430" s="225">
        <v>42860</v>
      </c>
      <c r="B430" s="224" t="s">
        <v>612</v>
      </c>
      <c r="C430" s="224" t="s">
        <v>545</v>
      </c>
      <c r="D430" s="224" t="s">
        <v>546</v>
      </c>
      <c r="E430" s="226"/>
      <c r="F430" s="224" t="s">
        <v>547</v>
      </c>
      <c r="G430" s="224" t="s">
        <v>13</v>
      </c>
      <c r="H430" s="224" t="s">
        <v>289</v>
      </c>
      <c r="I430" s="224" t="s">
        <v>15</v>
      </c>
      <c r="J430" s="224">
        <v>175</v>
      </c>
      <c r="K430" s="227">
        <f t="array" ref="K430">IFERROR(INDEX([1]Grille_Tarifs_Modulable!$B$2:$B$204,MATCH(Tableau14[[#This Row],[Designation]]&amp;Tableau14[[#This Row],[CL]],[1]Grille_Tarifs_Modulable!$C$2:$C$204&amp;[1]Grille_Tarifs_Modulable!$F$2:$F$204,0)),0)</f>
        <v>4067700013835</v>
      </c>
      <c r="L430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32.266408749999997</v>
      </c>
      <c r="M430" s="228">
        <f>IF(Tableau14[[#This Row],[Prix_Unit_HT]]=0,0,Tableau14[[#This Row],[Prix_Unit_HT]]+(Tableau14[[#This Row],[Prix_Unit_HT]]*VLOOKUP(Tableau14[[#This Row],[EAN]],[1]Grille_Tarifs_Modulable!$B$10:$Q$204,16,FALSE)))</f>
        <v>38.719690499999999</v>
      </c>
      <c r="N430" s="224">
        <v>36</v>
      </c>
      <c r="O430" s="228">
        <f>ROUND(Tableau14[[#This Row],[Prix_Unit_HT]],2)*Tableau14[[#This Row],[Qte_commande]]</f>
        <v>1161.72</v>
      </c>
      <c r="P430" s="228">
        <f>ROUND(Tableau14[[#This Row],[Prix_Unit_TTC]],2)*Tableau14[[#This Row],[Qte_commande]]</f>
        <v>1393.92</v>
      </c>
      <c r="Q430" s="224">
        <v>90</v>
      </c>
      <c r="R430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90</v>
      </c>
      <c r="U430" s="224"/>
      <c r="V430" s="224"/>
    </row>
    <row r="431" spans="1:22" ht="12.75" x14ac:dyDescent="0.2">
      <c r="A431" s="225">
        <v>42871</v>
      </c>
      <c r="B431" s="224" t="s">
        <v>1048</v>
      </c>
      <c r="C431" s="224" t="s">
        <v>1049</v>
      </c>
      <c r="D431" s="224" t="s">
        <v>1050</v>
      </c>
      <c r="E431" s="226"/>
      <c r="G431" s="224" t="s">
        <v>13</v>
      </c>
      <c r="H431" s="224" t="s">
        <v>451</v>
      </c>
      <c r="I431" s="224" t="s">
        <v>69</v>
      </c>
      <c r="J431" s="227">
        <v>3</v>
      </c>
      <c r="K431" s="227">
        <f t="array" ref="K431">IFERROR(INDEX([1]Grille_Tarifs_Modulable!$B$2:$B$204,MATCH(Tableau14[[#This Row],[Designation]]&amp;Tableau14[[#This Row],[CL]],[1]Grille_Tarifs_Modulable!$C$2:$C$204&amp;[1]Grille_Tarifs_Modulable!$F$2:$F$204,0)),0)</f>
        <v>121</v>
      </c>
      <c r="L431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299</v>
      </c>
      <c r="M431" s="228">
        <f>IF(Tableau14[[#This Row],[Prix_Unit_HT]]=0,0,Tableau14[[#This Row],[Prix_Unit_HT]]+(Tableau14[[#This Row],[Prix_Unit_HT]]*VLOOKUP(Tableau14[[#This Row],[EAN]],[1]Grille_Tarifs_Modulable!$B$10:$Q$204,16,FALSE)))</f>
        <v>358.8</v>
      </c>
      <c r="N431" s="224">
        <v>1</v>
      </c>
      <c r="O431" s="228">
        <f>ROUND(Tableau14[[#This Row],[Prix_Unit_HT]],2)*Tableau14[[#This Row],[Qte_commande]]</f>
        <v>299</v>
      </c>
      <c r="P431" s="228">
        <f>ROUND(Tableau14[[#This Row],[Prix_Unit_TTC]],2)*Tableau14[[#This Row],[Qte_commande]]</f>
        <v>358.8</v>
      </c>
      <c r="Q431" s="224">
        <v>1</v>
      </c>
      <c r="R431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</v>
      </c>
      <c r="U431" s="224"/>
      <c r="V431" s="224"/>
    </row>
    <row r="432" spans="1:22" ht="12.75" x14ac:dyDescent="0.2">
      <c r="A432" s="225">
        <v>42873</v>
      </c>
      <c r="B432" s="224" t="s">
        <v>217</v>
      </c>
      <c r="C432" s="224" t="s">
        <v>198</v>
      </c>
      <c r="D432" s="224" t="s">
        <v>199</v>
      </c>
      <c r="E432" s="226"/>
      <c r="G432" s="224" t="s">
        <v>1</v>
      </c>
      <c r="H432" s="224" t="s">
        <v>196</v>
      </c>
      <c r="I432" s="224" t="s">
        <v>62</v>
      </c>
      <c r="J432" s="224">
        <v>20</v>
      </c>
      <c r="K432" s="227">
        <f t="array" ref="K432">IFERROR(INDEX([1]Grille_Tarifs_Modulable!$B$2:$B$204,MATCH(Tableau14[[#This Row],[Designation]]&amp;Tableau14[[#This Row],[CL]],[1]Grille_Tarifs_Modulable!$C$2:$C$204&amp;[1]Grille_Tarifs_Modulable!$F$2:$F$204,0)),0)</f>
        <v>4260310550305</v>
      </c>
      <c r="L432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0.81</v>
      </c>
      <c r="M432" s="228">
        <f>IF(Tableau14[[#This Row],[Prix_Unit_HT]]=0,0,Tableau14[[#This Row],[Prix_Unit_HT]]+(Tableau14[[#This Row],[Prix_Unit_HT]]*VLOOKUP(Tableau14[[#This Row],[EAN]],[1]Grille_Tarifs_Modulable!$B$10:$Q$204,16,FALSE)))</f>
        <v>0.85455000000000003</v>
      </c>
      <c r="N432" s="224">
        <v>240</v>
      </c>
      <c r="O432" s="228">
        <f>ROUND(Tableau14[[#This Row],[Prix_Unit_HT]],2)*Tableau14[[#This Row],[Qte_commande]]</f>
        <v>194.4</v>
      </c>
      <c r="P432" s="228">
        <f>ROUND(Tableau14[[#This Row],[Prix_Unit_TTC]],2)*Tableau14[[#This Row],[Qte_commande]]</f>
        <v>204</v>
      </c>
      <c r="Q432" s="224">
        <v>68.569999999999993</v>
      </c>
      <c r="R432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68.571428571428569</v>
      </c>
      <c r="U432" s="224"/>
      <c r="V432" s="224"/>
    </row>
    <row r="433" spans="1:22" ht="12.75" x14ac:dyDescent="0.2">
      <c r="A433" s="225">
        <v>42873</v>
      </c>
      <c r="B433" s="224" t="s">
        <v>217</v>
      </c>
      <c r="C433" s="224" t="s">
        <v>198</v>
      </c>
      <c r="D433" s="224" t="s">
        <v>199</v>
      </c>
      <c r="E433" s="226"/>
      <c r="G433" s="224" t="s">
        <v>1</v>
      </c>
      <c r="H433" s="224" t="s">
        <v>196</v>
      </c>
      <c r="I433" s="224" t="s">
        <v>63</v>
      </c>
      <c r="J433" s="224">
        <v>20</v>
      </c>
      <c r="K433" s="227">
        <f t="array" ref="K433">IFERROR(INDEX([1]Grille_Tarifs_Modulable!$B$2:$B$204,MATCH(Tableau14[[#This Row],[Designation]]&amp;Tableau14[[#This Row],[CL]],[1]Grille_Tarifs_Modulable!$C$2:$C$204&amp;[1]Grille_Tarifs_Modulable!$F$2:$F$204,0)),0)</f>
        <v>4260310552941</v>
      </c>
      <c r="L433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0.81</v>
      </c>
      <c r="M433" s="228">
        <f>IF(Tableau14[[#This Row],[Prix_Unit_HT]]=0,0,Tableau14[[#This Row],[Prix_Unit_HT]]+(Tableau14[[#This Row],[Prix_Unit_HT]]*VLOOKUP(Tableau14[[#This Row],[EAN]],[1]Grille_Tarifs_Modulable!$B$10:$Q$204,16,FALSE)))</f>
        <v>0.85455000000000003</v>
      </c>
      <c r="N433" s="224">
        <v>48</v>
      </c>
      <c r="O433" s="228">
        <f>ROUND(Tableau14[[#This Row],[Prix_Unit_HT]],2)*Tableau14[[#This Row],[Qte_commande]]</f>
        <v>38.880000000000003</v>
      </c>
      <c r="P433" s="228">
        <f>ROUND(Tableau14[[#This Row],[Prix_Unit_TTC]],2)*Tableau14[[#This Row],[Qte_commande]]</f>
        <v>40.799999999999997</v>
      </c>
      <c r="Q433" s="224">
        <v>13.71</v>
      </c>
      <c r="R433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13.714285714285715</v>
      </c>
      <c r="U433" s="224"/>
      <c r="V433" s="224"/>
    </row>
    <row r="434" spans="1:22" ht="12.75" x14ac:dyDescent="0.2">
      <c r="A434" s="225">
        <v>42873</v>
      </c>
      <c r="B434" s="224" t="s">
        <v>217</v>
      </c>
      <c r="C434" s="224" t="s">
        <v>198</v>
      </c>
      <c r="D434" s="224" t="s">
        <v>199</v>
      </c>
      <c r="E434" s="226"/>
      <c r="G434" s="224" t="s">
        <v>1</v>
      </c>
      <c r="H434" s="224" t="s">
        <v>196</v>
      </c>
      <c r="I434" s="224" t="s">
        <v>65</v>
      </c>
      <c r="J434" s="224">
        <v>20</v>
      </c>
      <c r="K434" s="227">
        <f t="array" ref="K434">IFERROR(INDEX([1]Grille_Tarifs_Modulable!$B$2:$B$204,MATCH(Tableau14[[#This Row],[Designation]]&amp;Tableau14[[#This Row],[CL]],[1]Grille_Tarifs_Modulable!$C$2:$C$204&amp;[1]Grille_Tarifs_Modulable!$F$2:$F$204,0)),0)</f>
        <v>4260310553863</v>
      </c>
      <c r="L434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0.81</v>
      </c>
      <c r="M434" s="228">
        <f>IF(Tableau14[[#This Row],[Prix_Unit_HT]]=0,0,Tableau14[[#This Row],[Prix_Unit_HT]]+(Tableau14[[#This Row],[Prix_Unit_HT]]*VLOOKUP(Tableau14[[#This Row],[EAN]],[1]Grille_Tarifs_Modulable!$B$10:$Q$204,16,FALSE)))</f>
        <v>0.85455000000000003</v>
      </c>
      <c r="N434" s="224">
        <v>72</v>
      </c>
      <c r="O434" s="228">
        <f>ROUND(Tableau14[[#This Row],[Prix_Unit_HT]],2)*Tableau14[[#This Row],[Qte_commande]]</f>
        <v>58.320000000000007</v>
      </c>
      <c r="P434" s="228">
        <f>ROUND(Tableau14[[#This Row],[Prix_Unit_TTC]],2)*Tableau14[[#This Row],[Qte_commande]]</f>
        <v>61.199999999999996</v>
      </c>
      <c r="Q434" s="224">
        <v>20.57</v>
      </c>
      <c r="R434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20.571428571428573</v>
      </c>
      <c r="U434" s="224"/>
      <c r="V434" s="224"/>
    </row>
    <row r="435" spans="1:22" ht="12.75" x14ac:dyDescent="0.2">
      <c r="A435" s="225">
        <v>42873</v>
      </c>
      <c r="B435" s="224" t="s">
        <v>217</v>
      </c>
      <c r="C435" s="224" t="s">
        <v>198</v>
      </c>
      <c r="D435" s="224" t="s">
        <v>199</v>
      </c>
      <c r="E435" s="226"/>
      <c r="G435" s="224" t="s">
        <v>1</v>
      </c>
      <c r="H435" s="224" t="s">
        <v>196</v>
      </c>
      <c r="I435" s="224" t="s">
        <v>60</v>
      </c>
      <c r="J435" s="224">
        <v>20</v>
      </c>
      <c r="K435" s="227">
        <f t="array" ref="K435">IFERROR(INDEX([1]Grille_Tarifs_Modulable!$B$2:$B$204,MATCH(Tableau14[[#This Row],[Designation]]&amp;Tableau14[[#This Row],[CL]],[1]Grille_Tarifs_Modulable!$C$2:$C$204&amp;[1]Grille_Tarifs_Modulable!$F$2:$F$204,0)),0)</f>
        <v>4260310553832</v>
      </c>
      <c r="L435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0.81</v>
      </c>
      <c r="M435" s="228">
        <f>IF(Tableau14[[#This Row],[Prix_Unit_HT]]=0,0,Tableau14[[#This Row],[Prix_Unit_HT]]+(Tableau14[[#This Row],[Prix_Unit_HT]]*VLOOKUP(Tableau14[[#This Row],[EAN]],[1]Grille_Tarifs_Modulable!$B$10:$Q$204,16,FALSE)))</f>
        <v>0.85455000000000003</v>
      </c>
      <c r="N435" s="224">
        <v>96</v>
      </c>
      <c r="O435" s="228">
        <f>ROUND(Tableau14[[#This Row],[Prix_Unit_HT]],2)*Tableau14[[#This Row],[Qte_commande]]</f>
        <v>77.760000000000005</v>
      </c>
      <c r="P435" s="228">
        <f>ROUND(Tableau14[[#This Row],[Prix_Unit_TTC]],2)*Tableau14[[#This Row],[Qte_commande]]</f>
        <v>81.599999999999994</v>
      </c>
      <c r="Q435" s="224">
        <v>27.43</v>
      </c>
      <c r="R435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27.428571428571431</v>
      </c>
      <c r="U435" s="224"/>
      <c r="V435" s="224"/>
    </row>
    <row r="436" spans="1:22" ht="12.75" x14ac:dyDescent="0.2">
      <c r="A436" s="225">
        <v>42873</v>
      </c>
      <c r="B436" s="224" t="s">
        <v>217</v>
      </c>
      <c r="C436" s="224" t="s">
        <v>198</v>
      </c>
      <c r="D436" s="224" t="s">
        <v>199</v>
      </c>
      <c r="E436" s="226"/>
      <c r="G436" s="224" t="s">
        <v>1</v>
      </c>
      <c r="H436" s="224" t="s">
        <v>289</v>
      </c>
      <c r="I436" s="224" t="s">
        <v>15</v>
      </c>
      <c r="J436" s="224">
        <v>70</v>
      </c>
      <c r="K436" s="227">
        <f t="array" ref="K436">IFERROR(INDEX([1]Grille_Tarifs_Modulable!$B$2:$B$204,MATCH(Tableau14[[#This Row],[Designation]]&amp;Tableau14[[#This Row],[CL]],[1]Grille_Tarifs_Modulable!$C$2:$C$204&amp;[1]Grille_Tarifs_Modulable!$F$2:$F$204,0)),0)</f>
        <v>4067700013859</v>
      </c>
      <c r="L436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12.532563499999998</v>
      </c>
      <c r="M436" s="228">
        <f>IF(Tableau14[[#This Row],[Prix_Unit_HT]]=0,0,Tableau14[[#This Row],[Prix_Unit_HT]]+(Tableau14[[#This Row],[Prix_Unit_HT]]*VLOOKUP(Tableau14[[#This Row],[EAN]],[1]Grille_Tarifs_Modulable!$B$10:$Q$204,16,FALSE)))</f>
        <v>15.039076199999998</v>
      </c>
      <c r="N436" s="224">
        <v>60</v>
      </c>
      <c r="O436" s="228">
        <f>ROUND(Tableau14[[#This Row],[Prix_Unit_HT]],2)*Tableau14[[#This Row],[Qte_commande]]</f>
        <v>751.8</v>
      </c>
      <c r="P436" s="228">
        <f>ROUND(Tableau14[[#This Row],[Prix_Unit_TTC]],2)*Tableau14[[#This Row],[Qte_commande]]</f>
        <v>902.4</v>
      </c>
      <c r="Q436" s="224">
        <v>60</v>
      </c>
      <c r="R436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60.000000000000007</v>
      </c>
      <c r="U436" s="224"/>
      <c r="V436" s="224"/>
    </row>
    <row r="437" spans="1:22" ht="12.75" x14ac:dyDescent="0.2">
      <c r="A437" s="225">
        <v>42873</v>
      </c>
      <c r="B437" s="224" t="s">
        <v>217</v>
      </c>
      <c r="C437" s="224" t="s">
        <v>198</v>
      </c>
      <c r="D437" s="224" t="s">
        <v>199</v>
      </c>
      <c r="E437" s="226"/>
      <c r="G437" s="224" t="s">
        <v>1</v>
      </c>
      <c r="H437" s="224" t="s">
        <v>196</v>
      </c>
      <c r="I437" s="224" t="s">
        <v>66</v>
      </c>
      <c r="J437" s="224">
        <v>50</v>
      </c>
      <c r="K437" s="227">
        <f t="array" ref="K437">IFERROR(INDEX([1]Grille_Tarifs_Modulable!$B$2:$B$204,MATCH(Tableau14[[#This Row],[Designation]]&amp;Tableau14[[#This Row],[CL]],[1]Grille_Tarifs_Modulable!$C$2:$C$204&amp;[1]Grille_Tarifs_Modulable!$F$2:$F$204,0)),0)</f>
        <v>4260310553382</v>
      </c>
      <c r="L437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</v>
      </c>
      <c r="M437" s="228">
        <f>IF(Tableau14[[#This Row],[Prix_Unit_HT]]=0,0,Tableau14[[#This Row],[Prix_Unit_HT]]+(Tableau14[[#This Row],[Prix_Unit_HT]]*VLOOKUP(Tableau14[[#This Row],[EAN]],[1]Grille_Tarifs_Modulable!$B$10:$Q$204,16,FALSE)))</f>
        <v>1.0549999999999999</v>
      </c>
      <c r="N437" s="224">
        <v>800</v>
      </c>
      <c r="O437" s="228">
        <f>ROUND(Tableau14[[#This Row],[Prix_Unit_HT]],2)*Tableau14[[#This Row],[Qte_commande]]</f>
        <v>800</v>
      </c>
      <c r="P437" s="228">
        <f>ROUND(Tableau14[[#This Row],[Prix_Unit_TTC]],2)*Tableau14[[#This Row],[Qte_commande]]</f>
        <v>848</v>
      </c>
      <c r="Q437" s="224">
        <v>571.42999999999995</v>
      </c>
      <c r="R437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571.42857142857144</v>
      </c>
      <c r="U437" s="224"/>
      <c r="V437" s="224"/>
    </row>
    <row r="438" spans="1:22" ht="12.75" x14ac:dyDescent="0.2">
      <c r="A438" s="225">
        <v>42873</v>
      </c>
      <c r="B438" s="224" t="s">
        <v>217</v>
      </c>
      <c r="C438" s="224" t="s">
        <v>198</v>
      </c>
      <c r="D438" s="224" t="s">
        <v>199</v>
      </c>
      <c r="E438" s="226"/>
      <c r="G438" s="224" t="s">
        <v>1</v>
      </c>
      <c r="H438" s="224" t="s">
        <v>196</v>
      </c>
      <c r="I438" s="224" t="s">
        <v>64</v>
      </c>
      <c r="J438" s="224">
        <v>20</v>
      </c>
      <c r="K438" s="227">
        <f t="array" ref="K438">IFERROR(INDEX([1]Grille_Tarifs_Modulable!$B$2:$B$204,MATCH(Tableau14[[#This Row],[Designation]]&amp;Tableau14[[#This Row],[CL]],[1]Grille_Tarifs_Modulable!$C$2:$C$204&amp;[1]Grille_Tarifs_Modulable!$F$2:$F$204,0)),0)</f>
        <v>4260310553849</v>
      </c>
      <c r="L438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0.81</v>
      </c>
      <c r="M438" s="228">
        <f>IF(Tableau14[[#This Row],[Prix_Unit_HT]]=0,0,Tableau14[[#This Row],[Prix_Unit_HT]]+(Tableau14[[#This Row],[Prix_Unit_HT]]*VLOOKUP(Tableau14[[#This Row],[EAN]],[1]Grille_Tarifs_Modulable!$B$10:$Q$204,16,FALSE)))</f>
        <v>0.85455000000000003</v>
      </c>
      <c r="N438" s="224">
        <v>288</v>
      </c>
      <c r="O438" s="228">
        <f>ROUND(Tableau14[[#This Row],[Prix_Unit_HT]],2)*Tableau14[[#This Row],[Qte_commande]]</f>
        <v>233.28000000000003</v>
      </c>
      <c r="P438" s="228">
        <f>ROUND(Tableau14[[#This Row],[Prix_Unit_TTC]],2)*Tableau14[[#This Row],[Qte_commande]]</f>
        <v>244.79999999999998</v>
      </c>
      <c r="Q438" s="224">
        <v>82.29</v>
      </c>
      <c r="R438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82.285714285714292</v>
      </c>
      <c r="U438" s="224"/>
      <c r="V438" s="224"/>
    </row>
    <row r="439" spans="1:22" ht="12.75" x14ac:dyDescent="0.2">
      <c r="A439" s="225">
        <v>42873</v>
      </c>
      <c r="B439" s="224" t="s">
        <v>217</v>
      </c>
      <c r="C439" s="224" t="s">
        <v>198</v>
      </c>
      <c r="D439" s="224" t="s">
        <v>199</v>
      </c>
      <c r="E439" s="226"/>
      <c r="G439" s="224" t="s">
        <v>1</v>
      </c>
      <c r="H439" s="224" t="s">
        <v>196</v>
      </c>
      <c r="I439" s="224" t="s">
        <v>59</v>
      </c>
      <c r="J439" s="224">
        <v>20</v>
      </c>
      <c r="K439" s="227">
        <f t="array" ref="K439">IFERROR(INDEX([1]Grille_Tarifs_Modulable!$B$2:$B$204,MATCH(Tableau14[[#This Row],[Designation]]&amp;Tableau14[[#This Row],[CL]],[1]Grille_Tarifs_Modulable!$C$2:$C$204&amp;[1]Grille_Tarifs_Modulable!$F$2:$F$204,0)),0)</f>
        <v>4260310553818</v>
      </c>
      <c r="L439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0.81</v>
      </c>
      <c r="M439" s="228">
        <f>IF(Tableau14[[#This Row],[Prix_Unit_HT]]=0,0,Tableau14[[#This Row],[Prix_Unit_HT]]+(Tableau14[[#This Row],[Prix_Unit_HT]]*VLOOKUP(Tableau14[[#This Row],[EAN]],[1]Grille_Tarifs_Modulable!$B$10:$Q$204,16,FALSE)))</f>
        <v>0.85455000000000003</v>
      </c>
      <c r="N439" s="224">
        <v>240</v>
      </c>
      <c r="O439" s="228">
        <f>ROUND(Tableau14[[#This Row],[Prix_Unit_HT]],2)*Tableau14[[#This Row],[Qte_commande]]</f>
        <v>194.4</v>
      </c>
      <c r="P439" s="228">
        <f>ROUND(Tableau14[[#This Row],[Prix_Unit_TTC]],2)*Tableau14[[#This Row],[Qte_commande]]</f>
        <v>204</v>
      </c>
      <c r="Q439" s="224">
        <v>68.569999999999993</v>
      </c>
      <c r="R439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68.571428571428569</v>
      </c>
      <c r="U439" s="224"/>
      <c r="V439" s="224"/>
    </row>
    <row r="440" spans="1:22" ht="12.75" x14ac:dyDescent="0.2">
      <c r="A440" s="225">
        <v>42878</v>
      </c>
      <c r="B440" s="224" t="s">
        <v>1051</v>
      </c>
      <c r="C440" s="224" t="s">
        <v>1052</v>
      </c>
      <c r="D440" s="224" t="s">
        <v>302</v>
      </c>
      <c r="E440" s="226"/>
      <c r="G440" s="224" t="s">
        <v>13</v>
      </c>
      <c r="H440" s="224" t="s">
        <v>451</v>
      </c>
      <c r="I440" s="224" t="s">
        <v>69</v>
      </c>
      <c r="J440" s="227">
        <v>3</v>
      </c>
      <c r="K440" s="227">
        <f t="array" ref="K440">IFERROR(INDEX([1]Grille_Tarifs_Modulable!$B$2:$B$204,MATCH(Tableau14[[#This Row],[Designation]]&amp;Tableau14[[#This Row],[CL]],[1]Grille_Tarifs_Modulable!$C$2:$C$204&amp;[1]Grille_Tarifs_Modulable!$F$2:$F$204,0)),0)</f>
        <v>121</v>
      </c>
      <c r="L440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299</v>
      </c>
      <c r="M440" s="228">
        <f>IF(Tableau14[[#This Row],[Prix_Unit_HT]]=0,0,Tableau14[[#This Row],[Prix_Unit_HT]]+(Tableau14[[#This Row],[Prix_Unit_HT]]*VLOOKUP(Tableau14[[#This Row],[EAN]],[1]Grille_Tarifs_Modulable!$B$10:$Q$204,16,FALSE)))</f>
        <v>358.8</v>
      </c>
      <c r="N440" s="224">
        <v>1</v>
      </c>
      <c r="O440" s="228">
        <f>ROUND(Tableau14[[#This Row],[Prix_Unit_HT]],2)*Tableau14[[#This Row],[Qte_commande]]</f>
        <v>299</v>
      </c>
      <c r="P440" s="228">
        <f>ROUND(Tableau14[[#This Row],[Prix_Unit_TTC]],2)*Tableau14[[#This Row],[Qte_commande]]</f>
        <v>358.8</v>
      </c>
      <c r="Q440" s="224">
        <v>1</v>
      </c>
      <c r="R440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</v>
      </c>
      <c r="U440" s="224"/>
      <c r="V440" s="224"/>
    </row>
    <row r="441" spans="1:22" ht="12.75" x14ac:dyDescent="0.2">
      <c r="A441" s="225">
        <v>42885</v>
      </c>
      <c r="B441" s="224" t="s">
        <v>613</v>
      </c>
      <c r="C441" s="224" t="s">
        <v>530</v>
      </c>
      <c r="D441" s="224" t="s">
        <v>531</v>
      </c>
      <c r="E441" s="226"/>
      <c r="G441" s="224" t="s">
        <v>1</v>
      </c>
      <c r="H441" s="224" t="s">
        <v>289</v>
      </c>
      <c r="I441" s="224" t="s">
        <v>15</v>
      </c>
      <c r="J441" s="224">
        <v>70</v>
      </c>
      <c r="K441" s="227">
        <f t="array" ref="K441">IFERROR(INDEX([1]Grille_Tarifs_Modulable!$B$2:$B$204,MATCH(Tableau14[[#This Row],[Designation]]&amp;Tableau14[[#This Row],[CL]],[1]Grille_Tarifs_Modulable!$C$2:$C$204&amp;[1]Grille_Tarifs_Modulable!$F$2:$F$204,0)),0)</f>
        <v>4067700013859</v>
      </c>
      <c r="L441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12.532563499999998</v>
      </c>
      <c r="M441" s="228">
        <f>IF(Tableau14[[#This Row],[Prix_Unit_HT]]=0,0,Tableau14[[#This Row],[Prix_Unit_HT]]+(Tableau14[[#This Row],[Prix_Unit_HT]]*VLOOKUP(Tableau14[[#This Row],[EAN]],[1]Grille_Tarifs_Modulable!$B$10:$Q$204,16,FALSE)))</f>
        <v>15.039076199999998</v>
      </c>
      <c r="N441" s="224">
        <v>150</v>
      </c>
      <c r="O441" s="228">
        <f>ROUND(Tableau14[[#This Row],[Prix_Unit_HT]],2)*Tableau14[[#This Row],[Qte_commande]]</f>
        <v>1879.5</v>
      </c>
      <c r="P441" s="228">
        <f>ROUND(Tableau14[[#This Row],[Prix_Unit_TTC]],2)*Tableau14[[#This Row],[Qte_commande]]</f>
        <v>2256</v>
      </c>
      <c r="Q441" s="224">
        <v>150</v>
      </c>
      <c r="R441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150</v>
      </c>
      <c r="U441" s="224"/>
      <c r="V441" s="224"/>
    </row>
    <row r="442" spans="1:22" ht="12.75" x14ac:dyDescent="0.2">
      <c r="A442" s="225">
        <v>42886</v>
      </c>
      <c r="B442" s="224" t="s">
        <v>938</v>
      </c>
      <c r="C442" s="224" t="s">
        <v>542</v>
      </c>
      <c r="D442" s="224" t="s">
        <v>209</v>
      </c>
      <c r="E442" s="226"/>
      <c r="G442" s="224" t="s">
        <v>13</v>
      </c>
      <c r="H442" s="224" t="s">
        <v>289</v>
      </c>
      <c r="I442" s="224" t="s">
        <v>931</v>
      </c>
      <c r="J442" s="224">
        <v>100</v>
      </c>
      <c r="K442" s="227">
        <f t="array" ref="K442">IFERROR(INDEX([1]Grille_Tarifs_Modulable!$B$2:$B$204,MATCH(Tableau14[[#This Row],[Designation]]&amp;Tableau14[[#This Row],[CL]],[1]Grille_Tarifs_Modulable!$C$2:$C$204&amp;[1]Grille_Tarifs_Modulable!$F$2:$F$204,0)),0)</f>
        <v>0</v>
      </c>
      <c r="L442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</v>
      </c>
      <c r="M442" s="228">
        <f>IF(Tableau14[[#This Row],[Prix_Unit_HT]]=0,0,Tableau14[[#This Row],[Prix_Unit_HT]]+(Tableau14[[#This Row],[Prix_Unit_HT]]*VLOOKUP(Tableau14[[#This Row],[EAN]],[1]Grille_Tarifs_Modulable!$B$10:$Q$204,16,FALSE)))</f>
        <v>0</v>
      </c>
      <c r="N442" s="224">
        <v>48</v>
      </c>
      <c r="O442" s="228">
        <f>ROUND(Tableau14[[#This Row],[Prix_Unit_HT]],2)*Tableau14[[#This Row],[Qte_commande]]</f>
        <v>0</v>
      </c>
      <c r="P442" s="228">
        <f>ROUND(Tableau14[[#This Row],[Prix_Unit_TTC]],2)*Tableau14[[#This Row],[Qte_commande]]</f>
        <v>0</v>
      </c>
      <c r="Q442" s="224">
        <v>68.569999999999993</v>
      </c>
      <c r="R442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68.571428571428569</v>
      </c>
      <c r="U442" s="224"/>
      <c r="V442" s="224"/>
    </row>
    <row r="443" spans="1:22" ht="12.75" x14ac:dyDescent="0.2">
      <c r="A443" s="225">
        <v>42886</v>
      </c>
      <c r="B443" s="224" t="s">
        <v>1053</v>
      </c>
      <c r="C443" s="224" t="s">
        <v>1054</v>
      </c>
      <c r="D443" s="224" t="s">
        <v>1055</v>
      </c>
      <c r="E443" s="226"/>
      <c r="G443" s="224" t="s">
        <v>13</v>
      </c>
      <c r="H443" s="224" t="s">
        <v>451</v>
      </c>
      <c r="I443" s="224" t="s">
        <v>69</v>
      </c>
      <c r="J443" s="227">
        <v>3</v>
      </c>
      <c r="K443" s="227">
        <f t="array" ref="K443">IFERROR(INDEX([1]Grille_Tarifs_Modulable!$B$2:$B$204,MATCH(Tableau14[[#This Row],[Designation]]&amp;Tableau14[[#This Row],[CL]],[1]Grille_Tarifs_Modulable!$C$2:$C$204&amp;[1]Grille_Tarifs_Modulable!$F$2:$F$204,0)),0)</f>
        <v>121</v>
      </c>
      <c r="L443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299</v>
      </c>
      <c r="M443" s="228">
        <f>IF(Tableau14[[#This Row],[Prix_Unit_HT]]=0,0,Tableau14[[#This Row],[Prix_Unit_HT]]+(Tableau14[[#This Row],[Prix_Unit_HT]]*VLOOKUP(Tableau14[[#This Row],[EAN]],[1]Grille_Tarifs_Modulable!$B$10:$Q$204,16,FALSE)))</f>
        <v>358.8</v>
      </c>
      <c r="N443" s="224">
        <v>1</v>
      </c>
      <c r="O443" s="228">
        <f>ROUND(Tableau14[[#This Row],[Prix_Unit_HT]],2)*Tableau14[[#This Row],[Qte_commande]]</f>
        <v>299</v>
      </c>
      <c r="P443" s="228">
        <f>ROUND(Tableau14[[#This Row],[Prix_Unit_TTC]],2)*Tableau14[[#This Row],[Qte_commande]]</f>
        <v>358.8</v>
      </c>
      <c r="Q443" s="224">
        <v>1</v>
      </c>
      <c r="R443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</v>
      </c>
      <c r="U443" s="224"/>
      <c r="V443" s="224"/>
    </row>
    <row r="444" spans="1:22" ht="12.75" x14ac:dyDescent="0.2">
      <c r="A444" s="225">
        <v>42886</v>
      </c>
      <c r="B444" s="224" t="s">
        <v>1056</v>
      </c>
      <c r="C444" s="224" t="s">
        <v>1057</v>
      </c>
      <c r="D444" s="224" t="s">
        <v>209</v>
      </c>
      <c r="E444" s="226"/>
      <c r="G444" s="224" t="s">
        <v>13</v>
      </c>
      <c r="H444" s="224" t="s">
        <v>451</v>
      </c>
      <c r="I444" s="224" t="s">
        <v>69</v>
      </c>
      <c r="J444" s="227">
        <v>3</v>
      </c>
      <c r="K444" s="227">
        <f t="array" ref="K444">IFERROR(INDEX([1]Grille_Tarifs_Modulable!$B$2:$B$204,MATCH(Tableau14[[#This Row],[Designation]]&amp;Tableau14[[#This Row],[CL]],[1]Grille_Tarifs_Modulable!$C$2:$C$204&amp;[1]Grille_Tarifs_Modulable!$F$2:$F$204,0)),0)</f>
        <v>121</v>
      </c>
      <c r="L444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299</v>
      </c>
      <c r="M444" s="228">
        <f>IF(Tableau14[[#This Row],[Prix_Unit_HT]]=0,0,Tableau14[[#This Row],[Prix_Unit_HT]]+(Tableau14[[#This Row],[Prix_Unit_HT]]*VLOOKUP(Tableau14[[#This Row],[EAN]],[1]Grille_Tarifs_Modulable!$B$10:$Q$204,16,FALSE)))</f>
        <v>358.8</v>
      </c>
      <c r="N444" s="224">
        <v>1</v>
      </c>
      <c r="O444" s="228">
        <f>ROUND(Tableau14[[#This Row],[Prix_Unit_HT]],2)*Tableau14[[#This Row],[Qte_commande]]</f>
        <v>299</v>
      </c>
      <c r="P444" s="228">
        <f>ROUND(Tableau14[[#This Row],[Prix_Unit_TTC]],2)*Tableau14[[#This Row],[Qte_commande]]</f>
        <v>358.8</v>
      </c>
      <c r="Q444" s="224">
        <v>1</v>
      </c>
      <c r="R444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</v>
      </c>
      <c r="U444" s="224"/>
      <c r="V444" s="224"/>
    </row>
    <row r="445" spans="1:22" ht="12.75" x14ac:dyDescent="0.2">
      <c r="A445" s="225">
        <v>42887</v>
      </c>
      <c r="B445" s="224" t="s">
        <v>311</v>
      </c>
      <c r="C445" s="224" t="s">
        <v>308</v>
      </c>
      <c r="D445" s="224" t="s">
        <v>309</v>
      </c>
      <c r="E445" s="226"/>
      <c r="G445" s="224" t="s">
        <v>1</v>
      </c>
      <c r="H445" s="224" t="s">
        <v>289</v>
      </c>
      <c r="I445" s="224" t="s">
        <v>22</v>
      </c>
      <c r="J445" s="224">
        <v>70</v>
      </c>
      <c r="K445" s="227">
        <f t="array" ref="K445">IFERROR(INDEX([1]Grille_Tarifs_Modulable!$B$2:$B$204,MATCH(Tableau14[[#This Row],[Designation]]&amp;Tableau14[[#This Row],[CL]],[1]Grille_Tarifs_Modulable!$C$2:$C$204&amp;[1]Grille_Tarifs_Modulable!$F$2:$F$204,0)),0)</f>
        <v>4055800060200</v>
      </c>
      <c r="L445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17.408644000000002</v>
      </c>
      <c r="M445" s="228">
        <f>IF(Tableau14[[#This Row],[Prix_Unit_HT]]=0,0,Tableau14[[#This Row],[Prix_Unit_HT]]+(Tableau14[[#This Row],[Prix_Unit_HT]]*VLOOKUP(Tableau14[[#This Row],[EAN]],[1]Grille_Tarifs_Modulable!$B$10:$Q$204,16,FALSE)))</f>
        <v>20.890372800000002</v>
      </c>
      <c r="N445" s="224">
        <v>6</v>
      </c>
      <c r="O445" s="228">
        <f>ROUND(Tableau14[[#This Row],[Prix_Unit_HT]],2)*Tableau14[[#This Row],[Qte_commande]]</f>
        <v>104.46000000000001</v>
      </c>
      <c r="P445" s="228">
        <f>ROUND(Tableau14[[#This Row],[Prix_Unit_TTC]],2)*Tableau14[[#This Row],[Qte_commande]]</f>
        <v>125.34</v>
      </c>
      <c r="Q445" s="224">
        <v>6</v>
      </c>
      <c r="R445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6.0000000000000009</v>
      </c>
      <c r="U445" s="224"/>
      <c r="V445" s="224"/>
    </row>
    <row r="446" spans="1:22" ht="12.75" x14ac:dyDescent="0.2">
      <c r="A446" s="225">
        <v>42887</v>
      </c>
      <c r="B446" s="224" t="s">
        <v>311</v>
      </c>
      <c r="C446" s="224" t="s">
        <v>308</v>
      </c>
      <c r="D446" s="224" t="s">
        <v>309</v>
      </c>
      <c r="E446" s="226"/>
      <c r="G446" s="224" t="s">
        <v>1</v>
      </c>
      <c r="H446" s="224" t="s">
        <v>289</v>
      </c>
      <c r="I446" s="224" t="s">
        <v>15</v>
      </c>
      <c r="J446" s="224">
        <v>100</v>
      </c>
      <c r="K446" s="227">
        <f t="array" ref="K446">IFERROR(INDEX([1]Grille_Tarifs_Modulable!$B$2:$B$204,MATCH(Tableau14[[#This Row],[Designation]]&amp;Tableau14[[#This Row],[CL]],[1]Grille_Tarifs_Modulable!$C$2:$C$204&amp;[1]Grille_Tarifs_Modulable!$F$2:$F$204,0)),0)</f>
        <v>4067700013842</v>
      </c>
      <c r="L446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17.100804999999998</v>
      </c>
      <c r="M446" s="228">
        <f>IF(Tableau14[[#This Row],[Prix_Unit_HT]]=0,0,Tableau14[[#This Row],[Prix_Unit_HT]]+(Tableau14[[#This Row],[Prix_Unit_HT]]*VLOOKUP(Tableau14[[#This Row],[EAN]],[1]Grille_Tarifs_Modulable!$B$10:$Q$204,16,FALSE)))</f>
        <v>20.520965999999998</v>
      </c>
      <c r="N446" s="224">
        <v>180</v>
      </c>
      <c r="O446" s="228">
        <f>ROUND(Tableau14[[#This Row],[Prix_Unit_HT]],2)*Tableau14[[#This Row],[Qte_commande]]</f>
        <v>3078.0000000000005</v>
      </c>
      <c r="P446" s="228">
        <f>ROUND(Tableau14[[#This Row],[Prix_Unit_TTC]],2)*Tableau14[[#This Row],[Qte_commande]]</f>
        <v>3693.6</v>
      </c>
      <c r="Q446" s="224">
        <v>257.14</v>
      </c>
      <c r="R446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257.14285714285717</v>
      </c>
      <c r="U446" s="224"/>
      <c r="V446" s="224"/>
    </row>
    <row r="447" spans="1:22" ht="12.75" x14ac:dyDescent="0.2">
      <c r="A447" s="225">
        <v>42887</v>
      </c>
      <c r="B447" s="224" t="s">
        <v>821</v>
      </c>
      <c r="C447" s="224" t="s">
        <v>198</v>
      </c>
      <c r="D447" s="224" t="s">
        <v>199</v>
      </c>
      <c r="E447" s="226"/>
      <c r="G447" s="224" t="s">
        <v>1</v>
      </c>
      <c r="H447" s="224" t="s">
        <v>196</v>
      </c>
      <c r="I447" s="224" t="s">
        <v>66</v>
      </c>
      <c r="J447" s="224">
        <v>50</v>
      </c>
      <c r="K447" s="227">
        <f t="array" ref="K447">IFERROR(INDEX([1]Grille_Tarifs_Modulable!$B$2:$B$204,MATCH(Tableau14[[#This Row],[Designation]]&amp;Tableau14[[#This Row],[CL]],[1]Grille_Tarifs_Modulable!$C$2:$C$204&amp;[1]Grille_Tarifs_Modulable!$F$2:$F$204,0)),0)</f>
        <v>4260310553382</v>
      </c>
      <c r="L447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</v>
      </c>
      <c r="M447" s="228">
        <f>IF(Tableau14[[#This Row],[Prix_Unit_HT]]=0,0,Tableau14[[#This Row],[Prix_Unit_HT]]+(Tableau14[[#This Row],[Prix_Unit_HT]]*VLOOKUP(Tableau14[[#This Row],[EAN]],[1]Grille_Tarifs_Modulable!$B$10:$Q$204,16,FALSE)))</f>
        <v>1.0549999999999999</v>
      </c>
      <c r="N447" s="224">
        <v>800</v>
      </c>
      <c r="O447" s="228">
        <f>ROUND(Tableau14[[#This Row],[Prix_Unit_HT]],2)*Tableau14[[#This Row],[Qte_commande]]</f>
        <v>800</v>
      </c>
      <c r="P447" s="228">
        <f>ROUND(Tableau14[[#This Row],[Prix_Unit_TTC]],2)*Tableau14[[#This Row],[Qte_commande]]</f>
        <v>848</v>
      </c>
      <c r="Q447" s="224">
        <v>571.42999999999995</v>
      </c>
      <c r="R447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571.42857142857144</v>
      </c>
      <c r="U447" s="224"/>
      <c r="V447" s="224"/>
    </row>
    <row r="448" spans="1:22" ht="12.75" x14ac:dyDescent="0.2">
      <c r="A448" s="225">
        <v>42887</v>
      </c>
      <c r="B448" s="224" t="s">
        <v>311</v>
      </c>
      <c r="C448" s="224" t="s">
        <v>308</v>
      </c>
      <c r="D448" s="224" t="s">
        <v>309</v>
      </c>
      <c r="E448" s="226"/>
      <c r="G448" s="224" t="s">
        <v>1</v>
      </c>
      <c r="H448" s="224" t="s">
        <v>289</v>
      </c>
      <c r="I448" s="224" t="s">
        <v>30</v>
      </c>
      <c r="J448" s="224">
        <v>70</v>
      </c>
      <c r="K448" s="227">
        <f t="array" ref="K448">IFERROR(INDEX([1]Grille_Tarifs_Modulable!$B$2:$B$204,MATCH(Tableau14[[#This Row],[Designation]]&amp;Tableau14[[#This Row],[CL]],[1]Grille_Tarifs_Modulable!$C$2:$C$204&amp;[1]Grille_Tarifs_Modulable!$F$2:$F$204,0)),0)</f>
        <v>3257150101904</v>
      </c>
      <c r="L448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16.346482999999999</v>
      </c>
      <c r="M448" s="228">
        <f>IF(Tableau14[[#This Row],[Prix_Unit_HT]]=0,0,Tableau14[[#This Row],[Prix_Unit_HT]]+(Tableau14[[#This Row],[Prix_Unit_HT]]*VLOOKUP(Tableau14[[#This Row],[EAN]],[1]Grille_Tarifs_Modulable!$B$10:$Q$204,16,FALSE)))</f>
        <v>19.6157796</v>
      </c>
      <c r="N448" s="224">
        <v>1</v>
      </c>
      <c r="O448" s="228">
        <f>ROUND(Tableau14[[#This Row],[Prix_Unit_HT]],2)*Tableau14[[#This Row],[Qte_commande]]</f>
        <v>16.350000000000001</v>
      </c>
      <c r="P448" s="228">
        <f>ROUND(Tableau14[[#This Row],[Prix_Unit_TTC]],2)*Tableau14[[#This Row],[Qte_commande]]</f>
        <v>19.62</v>
      </c>
      <c r="Q448" s="224">
        <v>1</v>
      </c>
      <c r="R448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</v>
      </c>
      <c r="U448" s="224"/>
      <c r="V448" s="224"/>
    </row>
    <row r="449" spans="1:22" ht="12.75" x14ac:dyDescent="0.2">
      <c r="A449" s="225">
        <v>42887</v>
      </c>
      <c r="B449" s="224" t="s">
        <v>311</v>
      </c>
      <c r="C449" s="224" t="s">
        <v>308</v>
      </c>
      <c r="D449" s="224" t="s">
        <v>309</v>
      </c>
      <c r="E449" s="226"/>
      <c r="G449" s="224" t="s">
        <v>1</v>
      </c>
      <c r="H449" s="224" t="s">
        <v>289</v>
      </c>
      <c r="I449" s="224" t="s">
        <v>32</v>
      </c>
      <c r="J449" s="224">
        <v>70</v>
      </c>
      <c r="K449" s="227">
        <f t="array" ref="K449">IFERROR(INDEX([1]Grille_Tarifs_Modulable!$B$2:$B$204,MATCH(Tableau14[[#This Row],[Designation]]&amp;Tableau14[[#This Row],[CL]],[1]Grille_Tarifs_Modulable!$C$2:$C$204&amp;[1]Grille_Tarifs_Modulable!$F$2:$F$204,0)),0)</f>
        <v>3257150100228</v>
      </c>
      <c r="L449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19.998643999999999</v>
      </c>
      <c r="M449" s="228">
        <f>IF(Tableau14[[#This Row],[Prix_Unit_HT]]=0,0,Tableau14[[#This Row],[Prix_Unit_HT]]+(Tableau14[[#This Row],[Prix_Unit_HT]]*VLOOKUP(Tableau14[[#This Row],[EAN]],[1]Grille_Tarifs_Modulable!$B$10:$Q$204,16,FALSE)))</f>
        <v>23.998372799999999</v>
      </c>
      <c r="N449" s="224">
        <v>1</v>
      </c>
      <c r="O449" s="228">
        <f>ROUND(Tableau14[[#This Row],[Prix_Unit_HT]],2)*Tableau14[[#This Row],[Qte_commande]]</f>
        <v>20</v>
      </c>
      <c r="P449" s="228">
        <f>ROUND(Tableau14[[#This Row],[Prix_Unit_TTC]],2)*Tableau14[[#This Row],[Qte_commande]]</f>
        <v>24</v>
      </c>
      <c r="Q449" s="224">
        <v>1</v>
      </c>
      <c r="R449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</v>
      </c>
      <c r="U449" s="224"/>
      <c r="V449" s="224"/>
    </row>
    <row r="450" spans="1:22" ht="12.75" x14ac:dyDescent="0.2">
      <c r="A450" s="225">
        <v>42887</v>
      </c>
      <c r="B450" s="224" t="s">
        <v>311</v>
      </c>
      <c r="C450" s="224" t="s">
        <v>308</v>
      </c>
      <c r="D450" s="224" t="s">
        <v>309</v>
      </c>
      <c r="E450" s="226"/>
      <c r="G450" s="224" t="s">
        <v>1</v>
      </c>
      <c r="H450" s="224" t="s">
        <v>289</v>
      </c>
      <c r="I450" s="224" t="s">
        <v>31</v>
      </c>
      <c r="J450" s="224">
        <v>70</v>
      </c>
      <c r="K450" s="227">
        <f t="array" ref="K450">IFERROR(INDEX([1]Grille_Tarifs_Modulable!$B$2:$B$204,MATCH(Tableau14[[#This Row],[Designation]]&amp;Tableau14[[#This Row],[CL]],[1]Grille_Tarifs_Modulable!$C$2:$C$204&amp;[1]Grille_Tarifs_Modulable!$F$2:$F$204,0)),0)</f>
        <v>3257150102017</v>
      </c>
      <c r="L450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14.694322</v>
      </c>
      <c r="M450" s="228">
        <f>IF(Tableau14[[#This Row],[Prix_Unit_HT]]=0,0,Tableau14[[#This Row],[Prix_Unit_HT]]+(Tableau14[[#This Row],[Prix_Unit_HT]]*VLOOKUP(Tableau14[[#This Row],[EAN]],[1]Grille_Tarifs_Modulable!$B$10:$Q$204,16,FALSE)))</f>
        <v>17.6331864</v>
      </c>
      <c r="N450" s="224">
        <v>1</v>
      </c>
      <c r="O450" s="228">
        <f>ROUND(Tableau14[[#This Row],[Prix_Unit_HT]],2)*Tableau14[[#This Row],[Qte_commande]]</f>
        <v>14.69</v>
      </c>
      <c r="P450" s="228">
        <f>ROUND(Tableau14[[#This Row],[Prix_Unit_TTC]],2)*Tableau14[[#This Row],[Qte_commande]]</f>
        <v>17.63</v>
      </c>
      <c r="Q450" s="224">
        <v>1</v>
      </c>
      <c r="R450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</v>
      </c>
      <c r="U450" s="224"/>
      <c r="V450" s="224"/>
    </row>
    <row r="451" spans="1:22" ht="12.75" x14ac:dyDescent="0.2">
      <c r="A451" s="225">
        <v>42887</v>
      </c>
      <c r="B451" s="224" t="s">
        <v>821</v>
      </c>
      <c r="C451" s="224" t="s">
        <v>198</v>
      </c>
      <c r="D451" s="224" t="s">
        <v>199</v>
      </c>
      <c r="E451" s="226"/>
      <c r="G451" s="224" t="s">
        <v>1</v>
      </c>
      <c r="H451" s="224" t="s">
        <v>196</v>
      </c>
      <c r="I451" s="224" t="s">
        <v>64</v>
      </c>
      <c r="J451" s="224">
        <v>20</v>
      </c>
      <c r="K451" s="227">
        <f t="array" ref="K451">IFERROR(INDEX([1]Grille_Tarifs_Modulable!$B$2:$B$204,MATCH(Tableau14[[#This Row],[Designation]]&amp;Tableau14[[#This Row],[CL]],[1]Grille_Tarifs_Modulable!$C$2:$C$204&amp;[1]Grille_Tarifs_Modulable!$F$2:$F$204,0)),0)</f>
        <v>4260310553849</v>
      </c>
      <c r="L451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0.81</v>
      </c>
      <c r="M451" s="228">
        <f>IF(Tableau14[[#This Row],[Prix_Unit_HT]]=0,0,Tableau14[[#This Row],[Prix_Unit_HT]]+(Tableau14[[#This Row],[Prix_Unit_HT]]*VLOOKUP(Tableau14[[#This Row],[EAN]],[1]Grille_Tarifs_Modulable!$B$10:$Q$204,16,FALSE)))</f>
        <v>0.85455000000000003</v>
      </c>
      <c r="N451" s="224">
        <v>480</v>
      </c>
      <c r="O451" s="228">
        <f>ROUND(Tableau14[[#This Row],[Prix_Unit_HT]],2)*Tableau14[[#This Row],[Qte_commande]]</f>
        <v>388.8</v>
      </c>
      <c r="P451" s="228">
        <f>ROUND(Tableau14[[#This Row],[Prix_Unit_TTC]],2)*Tableau14[[#This Row],[Qte_commande]]</f>
        <v>408</v>
      </c>
      <c r="Q451" s="224">
        <v>137.13999999999999</v>
      </c>
      <c r="R451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137.14285714285714</v>
      </c>
      <c r="U451" s="224"/>
      <c r="V451" s="224"/>
    </row>
    <row r="452" spans="1:22" ht="12.75" x14ac:dyDescent="0.2">
      <c r="A452" s="225">
        <v>42887</v>
      </c>
      <c r="B452" s="224" t="s">
        <v>311</v>
      </c>
      <c r="C452" s="224" t="s">
        <v>308</v>
      </c>
      <c r="D452" s="224" t="s">
        <v>309</v>
      </c>
      <c r="E452" s="226"/>
      <c r="G452" s="224" t="s">
        <v>1</v>
      </c>
      <c r="H452" s="224" t="s">
        <v>289</v>
      </c>
      <c r="I452" s="224" t="s">
        <v>1352</v>
      </c>
      <c r="J452" s="224">
        <v>70</v>
      </c>
      <c r="K452" s="227">
        <f t="array" ref="K452">IFERROR(INDEX([1]Grille_Tarifs_Modulable!$B$2:$B$204,MATCH(Tableau14[[#This Row],[Designation]]&amp;Tableau14[[#This Row],[CL]],[1]Grille_Tarifs_Modulable!$C$2:$C$204&amp;[1]Grille_Tarifs_Modulable!$F$2:$F$204,0)),0)</f>
        <v>0</v>
      </c>
      <c r="L452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</v>
      </c>
      <c r="M452" s="228">
        <f>IF(Tableau14[[#This Row],[Prix_Unit_HT]]=0,0,Tableau14[[#This Row],[Prix_Unit_HT]]+(Tableau14[[#This Row],[Prix_Unit_HT]]*VLOOKUP(Tableau14[[#This Row],[EAN]],[1]Grille_Tarifs_Modulable!$B$10:$Q$204,16,FALSE)))</f>
        <v>0</v>
      </c>
      <c r="N452" s="224">
        <v>24</v>
      </c>
      <c r="O452" s="228">
        <f>ROUND(Tableau14[[#This Row],[Prix_Unit_HT]],2)*Tableau14[[#This Row],[Qte_commande]]</f>
        <v>0</v>
      </c>
      <c r="P452" s="228">
        <f>ROUND(Tableau14[[#This Row],[Prix_Unit_TTC]],2)*Tableau14[[#This Row],[Qte_commande]]</f>
        <v>0</v>
      </c>
      <c r="Q452" s="224">
        <v>24</v>
      </c>
      <c r="R452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24.000000000000004</v>
      </c>
      <c r="U452" s="224"/>
      <c r="V452" s="224"/>
    </row>
    <row r="453" spans="1:22" ht="12.75" x14ac:dyDescent="0.2">
      <c r="A453" s="225">
        <v>42893</v>
      </c>
      <c r="B453" s="224" t="s">
        <v>939</v>
      </c>
      <c r="C453" s="224" t="s">
        <v>159</v>
      </c>
      <c r="D453" s="224" t="s">
        <v>209</v>
      </c>
      <c r="E453" s="226"/>
      <c r="G453" s="224" t="s">
        <v>1</v>
      </c>
      <c r="H453" s="224" t="s">
        <v>289</v>
      </c>
      <c r="I453" s="224" t="s">
        <v>931</v>
      </c>
      <c r="J453" s="224">
        <v>100</v>
      </c>
      <c r="K453" s="227">
        <f t="array" ref="K453">IFERROR(INDEX([1]Grille_Tarifs_Modulable!$B$2:$B$204,MATCH(Tableau14[[#This Row],[Designation]]&amp;Tableau14[[#This Row],[CL]],[1]Grille_Tarifs_Modulable!$C$2:$C$204&amp;[1]Grille_Tarifs_Modulable!$F$2:$F$204,0)),0)</f>
        <v>0</v>
      </c>
      <c r="L453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</v>
      </c>
      <c r="M453" s="228">
        <f>IF(Tableau14[[#This Row],[Prix_Unit_HT]]=0,0,Tableau14[[#This Row],[Prix_Unit_HT]]+(Tableau14[[#This Row],[Prix_Unit_HT]]*VLOOKUP(Tableau14[[#This Row],[EAN]],[1]Grille_Tarifs_Modulable!$B$10:$Q$204,16,FALSE)))</f>
        <v>0</v>
      </c>
      <c r="N453" s="224">
        <v>48</v>
      </c>
      <c r="O453" s="228">
        <f>ROUND(Tableau14[[#This Row],[Prix_Unit_HT]],2)*Tableau14[[#This Row],[Qte_commande]]</f>
        <v>0</v>
      </c>
      <c r="P453" s="228">
        <f>ROUND(Tableau14[[#This Row],[Prix_Unit_TTC]],2)*Tableau14[[#This Row],[Qte_commande]]</f>
        <v>0</v>
      </c>
      <c r="Q453" s="224">
        <v>68.569999999999993</v>
      </c>
      <c r="R453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68.571428571428569</v>
      </c>
      <c r="U453" s="224"/>
      <c r="V453" s="224"/>
    </row>
    <row r="454" spans="1:22" ht="12.75" x14ac:dyDescent="0.2">
      <c r="A454" s="225">
        <v>42893</v>
      </c>
      <c r="B454" s="224" t="s">
        <v>940</v>
      </c>
      <c r="C454" s="224" t="s">
        <v>301</v>
      </c>
      <c r="D454" s="224" t="s">
        <v>302</v>
      </c>
      <c r="E454" s="226"/>
      <c r="G454" s="224" t="s">
        <v>1</v>
      </c>
      <c r="H454" s="224" t="s">
        <v>289</v>
      </c>
      <c r="I454" s="224" t="s">
        <v>931</v>
      </c>
      <c r="J454" s="224">
        <v>100</v>
      </c>
      <c r="K454" s="227">
        <f t="array" ref="K454">IFERROR(INDEX([1]Grille_Tarifs_Modulable!$B$2:$B$204,MATCH(Tableau14[[#This Row],[Designation]]&amp;Tableau14[[#This Row],[CL]],[1]Grille_Tarifs_Modulable!$C$2:$C$204&amp;[1]Grille_Tarifs_Modulable!$F$2:$F$204,0)),0)</f>
        <v>0</v>
      </c>
      <c r="L454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</v>
      </c>
      <c r="M454" s="228">
        <f>IF(Tableau14[[#This Row],[Prix_Unit_HT]]=0,0,Tableau14[[#This Row],[Prix_Unit_HT]]+(Tableau14[[#This Row],[Prix_Unit_HT]]*VLOOKUP(Tableau14[[#This Row],[EAN]],[1]Grille_Tarifs_Modulable!$B$10:$Q$204,16,FALSE)))</f>
        <v>0</v>
      </c>
      <c r="N454" s="224">
        <v>48</v>
      </c>
      <c r="O454" s="228">
        <f>ROUND(Tableau14[[#This Row],[Prix_Unit_HT]],2)*Tableau14[[#This Row],[Qte_commande]]</f>
        <v>0</v>
      </c>
      <c r="P454" s="228">
        <f>ROUND(Tableau14[[#This Row],[Prix_Unit_TTC]],2)*Tableau14[[#This Row],[Qte_commande]]</f>
        <v>0</v>
      </c>
      <c r="Q454" s="224">
        <v>68.569999999999993</v>
      </c>
      <c r="R454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68.571428571428569</v>
      </c>
      <c r="U454" s="224"/>
      <c r="V454" s="224"/>
    </row>
    <row r="455" spans="1:22" ht="12.75" x14ac:dyDescent="0.2">
      <c r="A455" s="225">
        <v>42893</v>
      </c>
      <c r="B455" s="224" t="s">
        <v>939</v>
      </c>
      <c r="C455" s="224" t="s">
        <v>159</v>
      </c>
      <c r="D455" s="224" t="s">
        <v>209</v>
      </c>
      <c r="E455" s="226"/>
      <c r="G455" s="224" t="s">
        <v>1</v>
      </c>
      <c r="H455" s="224" t="s">
        <v>289</v>
      </c>
      <c r="I455" s="224" t="s">
        <v>1352</v>
      </c>
      <c r="J455" s="224">
        <v>70</v>
      </c>
      <c r="K455" s="227">
        <f t="array" ref="K455">IFERROR(INDEX([1]Grille_Tarifs_Modulable!$B$2:$B$204,MATCH(Tableau14[[#This Row],[Designation]]&amp;Tableau14[[#This Row],[CL]],[1]Grille_Tarifs_Modulable!$C$2:$C$204&amp;[1]Grille_Tarifs_Modulable!$F$2:$F$204,0)),0)</f>
        <v>0</v>
      </c>
      <c r="L455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</v>
      </c>
      <c r="M455" s="228">
        <f>IF(Tableau14[[#This Row],[Prix_Unit_HT]]=0,0,Tableau14[[#This Row],[Prix_Unit_HT]]+(Tableau14[[#This Row],[Prix_Unit_HT]]*VLOOKUP(Tableau14[[#This Row],[EAN]],[1]Grille_Tarifs_Modulable!$B$10:$Q$204,16,FALSE)))</f>
        <v>0</v>
      </c>
      <c r="N455" s="224">
        <v>6</v>
      </c>
      <c r="O455" s="228">
        <f>ROUND(Tableau14[[#This Row],[Prix_Unit_HT]],2)*Tableau14[[#This Row],[Qte_commande]]</f>
        <v>0</v>
      </c>
      <c r="P455" s="228">
        <f>ROUND(Tableau14[[#This Row],[Prix_Unit_TTC]],2)*Tableau14[[#This Row],[Qte_commande]]</f>
        <v>0</v>
      </c>
      <c r="Q455" s="224">
        <v>6</v>
      </c>
      <c r="R455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6.0000000000000009</v>
      </c>
      <c r="U455" s="224"/>
      <c r="V455" s="224"/>
    </row>
    <row r="456" spans="1:22" ht="12.75" x14ac:dyDescent="0.2">
      <c r="A456" s="225">
        <v>42893</v>
      </c>
      <c r="B456" s="224" t="s">
        <v>940</v>
      </c>
      <c r="C456" s="224" t="s">
        <v>301</v>
      </c>
      <c r="D456" s="224" t="s">
        <v>302</v>
      </c>
      <c r="E456" s="226"/>
      <c r="G456" s="224" t="s">
        <v>1</v>
      </c>
      <c r="H456" s="224" t="s">
        <v>289</v>
      </c>
      <c r="I456" s="224" t="s">
        <v>1352</v>
      </c>
      <c r="J456" s="224">
        <v>70</v>
      </c>
      <c r="K456" s="227">
        <f t="array" ref="K456">IFERROR(INDEX([1]Grille_Tarifs_Modulable!$B$2:$B$204,MATCH(Tableau14[[#This Row],[Designation]]&amp;Tableau14[[#This Row],[CL]],[1]Grille_Tarifs_Modulable!$C$2:$C$204&amp;[1]Grille_Tarifs_Modulable!$F$2:$F$204,0)),0)</f>
        <v>0</v>
      </c>
      <c r="L456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</v>
      </c>
      <c r="M456" s="228">
        <f>IF(Tableau14[[#This Row],[Prix_Unit_HT]]=0,0,Tableau14[[#This Row],[Prix_Unit_HT]]+(Tableau14[[#This Row],[Prix_Unit_HT]]*VLOOKUP(Tableau14[[#This Row],[EAN]],[1]Grille_Tarifs_Modulable!$B$10:$Q$204,16,FALSE)))</f>
        <v>0</v>
      </c>
      <c r="N456" s="224">
        <v>6</v>
      </c>
      <c r="O456" s="228">
        <f>ROUND(Tableau14[[#This Row],[Prix_Unit_HT]],2)*Tableau14[[#This Row],[Qte_commande]]</f>
        <v>0</v>
      </c>
      <c r="P456" s="228">
        <f>ROUND(Tableau14[[#This Row],[Prix_Unit_TTC]],2)*Tableau14[[#This Row],[Qte_commande]]</f>
        <v>0</v>
      </c>
      <c r="Q456" s="224">
        <v>6</v>
      </c>
      <c r="R456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6.0000000000000009</v>
      </c>
      <c r="U456" s="224"/>
      <c r="V456" s="224"/>
    </row>
    <row r="457" spans="1:22" ht="12.75" x14ac:dyDescent="0.2">
      <c r="A457" s="225">
        <v>42900</v>
      </c>
      <c r="B457" s="224" t="s">
        <v>923</v>
      </c>
      <c r="C457" s="224" t="s">
        <v>924</v>
      </c>
      <c r="D457" s="224" t="s">
        <v>209</v>
      </c>
      <c r="E457" s="226"/>
      <c r="G457" s="224" t="s">
        <v>1</v>
      </c>
      <c r="H457" s="224" t="s">
        <v>289</v>
      </c>
      <c r="I457" s="224" t="s">
        <v>25</v>
      </c>
      <c r="J457" s="224">
        <v>100</v>
      </c>
      <c r="K457" s="227">
        <f t="array" ref="K457">IFERROR(INDEX([1]Grille_Tarifs_Modulable!$B$2:$B$204,MATCH(Tableau14[[#This Row],[Designation]]&amp;Tableau14[[#This Row],[CL]],[1]Grille_Tarifs_Modulable!$C$2:$C$204&amp;[1]Grille_Tarifs_Modulable!$F$2:$F$204,0)),0)</f>
        <v>3257150410167</v>
      </c>
      <c r="L457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15.778874</v>
      </c>
      <c r="M457" s="228">
        <f>IF(Tableau14[[#This Row],[Prix_Unit_HT]]=0,0,Tableau14[[#This Row],[Prix_Unit_HT]]+(Tableau14[[#This Row],[Prix_Unit_HT]]*VLOOKUP(Tableau14[[#This Row],[EAN]],[1]Grille_Tarifs_Modulable!$B$10:$Q$204,16,FALSE)))</f>
        <v>18.934648800000002</v>
      </c>
      <c r="N457" s="224">
        <v>36</v>
      </c>
      <c r="O457" s="228">
        <f>ROUND(Tableau14[[#This Row],[Prix_Unit_HT]],2)*Tableau14[[#This Row],[Qte_commande]]</f>
        <v>568.07999999999993</v>
      </c>
      <c r="P457" s="228">
        <f>ROUND(Tableau14[[#This Row],[Prix_Unit_TTC]],2)*Tableau14[[#This Row],[Qte_commande]]</f>
        <v>681.48</v>
      </c>
      <c r="Q457" s="224">
        <v>51.43</v>
      </c>
      <c r="R457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51.428571428571431</v>
      </c>
      <c r="U457" s="224"/>
      <c r="V457" s="224"/>
    </row>
    <row r="458" spans="1:22" ht="12.75" x14ac:dyDescent="0.2">
      <c r="A458" s="225">
        <v>42900</v>
      </c>
      <c r="B458" s="224" t="s">
        <v>923</v>
      </c>
      <c r="C458" s="224" t="s">
        <v>924</v>
      </c>
      <c r="D458" s="224" t="s">
        <v>209</v>
      </c>
      <c r="E458" s="226"/>
      <c r="G458" s="224" t="s">
        <v>1</v>
      </c>
      <c r="H458" s="224" t="s">
        <v>289</v>
      </c>
      <c r="I458" s="224" t="s">
        <v>26</v>
      </c>
      <c r="J458" s="224">
        <v>70</v>
      </c>
      <c r="K458" s="227">
        <f t="array" ref="K458">IFERROR(INDEX([1]Grille_Tarifs_Modulable!$B$2:$B$204,MATCH(Tableau14[[#This Row],[Designation]]&amp;Tableau14[[#This Row],[CL]],[1]Grille_Tarifs_Modulable!$C$2:$C$204&amp;[1]Grille_Tarifs_Modulable!$F$2:$F$204,0)),0)</f>
        <v>8500000916445</v>
      </c>
      <c r="L458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37.408644000000002</v>
      </c>
      <c r="M458" s="228">
        <f>IF(Tableau14[[#This Row],[Prix_Unit_HT]]=0,0,Tableau14[[#This Row],[Prix_Unit_HT]]+(Tableau14[[#This Row],[Prix_Unit_HT]]*VLOOKUP(Tableau14[[#This Row],[EAN]],[1]Grille_Tarifs_Modulable!$B$10:$Q$204,16,FALSE)))</f>
        <v>44.890372800000002</v>
      </c>
      <c r="N458" s="224">
        <v>2</v>
      </c>
      <c r="O458" s="228">
        <f>ROUND(Tableau14[[#This Row],[Prix_Unit_HT]],2)*Tableau14[[#This Row],[Qte_commande]]</f>
        <v>74.819999999999993</v>
      </c>
      <c r="P458" s="228">
        <f>ROUND(Tableau14[[#This Row],[Prix_Unit_TTC]],2)*Tableau14[[#This Row],[Qte_commande]]</f>
        <v>89.78</v>
      </c>
      <c r="Q458" s="224">
        <v>2</v>
      </c>
      <c r="R458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2</v>
      </c>
      <c r="U458" s="224"/>
      <c r="V458" s="224"/>
    </row>
    <row r="459" spans="1:22" ht="12.75" x14ac:dyDescent="0.2">
      <c r="A459" s="225">
        <v>42900</v>
      </c>
      <c r="B459" s="224" t="s">
        <v>923</v>
      </c>
      <c r="C459" s="224" t="s">
        <v>924</v>
      </c>
      <c r="D459" s="224" t="s">
        <v>209</v>
      </c>
      <c r="E459" s="226"/>
      <c r="G459" s="224" t="s">
        <v>1</v>
      </c>
      <c r="H459" s="224" t="s">
        <v>289</v>
      </c>
      <c r="I459" s="224" t="s">
        <v>27</v>
      </c>
      <c r="J459" s="224">
        <v>70</v>
      </c>
      <c r="K459" s="227">
        <f t="array" ref="K459">IFERROR(INDEX([1]Grille_Tarifs_Modulable!$B$2:$B$204,MATCH(Tableau14[[#This Row],[Designation]]&amp;Tableau14[[#This Row],[CL]],[1]Grille_Tarifs_Modulable!$C$2:$C$204&amp;[1]Grille_Tarifs_Modulable!$F$2:$F$204,0)),0)</f>
        <v>8500000917022</v>
      </c>
      <c r="L459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68.208643999999993</v>
      </c>
      <c r="M459" s="228">
        <f>IF(Tableau14[[#This Row],[Prix_Unit_HT]]=0,0,Tableau14[[#This Row],[Prix_Unit_HT]]+(Tableau14[[#This Row],[Prix_Unit_HT]]*VLOOKUP(Tableau14[[#This Row],[EAN]],[1]Grille_Tarifs_Modulable!$B$10:$Q$204,16,FALSE)))</f>
        <v>81.850372799999988</v>
      </c>
      <c r="N459" s="224">
        <v>1</v>
      </c>
      <c r="O459" s="228">
        <f>ROUND(Tableau14[[#This Row],[Prix_Unit_HT]],2)*Tableau14[[#This Row],[Qte_commande]]</f>
        <v>68.209999999999994</v>
      </c>
      <c r="P459" s="228">
        <f>ROUND(Tableau14[[#This Row],[Prix_Unit_TTC]],2)*Tableau14[[#This Row],[Qte_commande]]</f>
        <v>81.849999999999994</v>
      </c>
      <c r="Q459" s="224">
        <v>1</v>
      </c>
      <c r="R459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</v>
      </c>
      <c r="U459" s="224"/>
      <c r="V459" s="224"/>
    </row>
    <row r="460" spans="1:22" ht="12.75" x14ac:dyDescent="0.2">
      <c r="A460" s="225">
        <v>42900</v>
      </c>
      <c r="B460" s="224" t="s">
        <v>923</v>
      </c>
      <c r="C460" s="224" t="s">
        <v>924</v>
      </c>
      <c r="D460" s="224" t="s">
        <v>209</v>
      </c>
      <c r="E460" s="226"/>
      <c r="G460" s="224" t="s">
        <v>1</v>
      </c>
      <c r="H460" s="224" t="s">
        <v>289</v>
      </c>
      <c r="I460" s="224" t="s">
        <v>28</v>
      </c>
      <c r="J460" s="224">
        <v>70</v>
      </c>
      <c r="K460" s="227">
        <f t="array" ref="K460">IFERROR(INDEX([1]Grille_Tarifs_Modulable!$B$2:$B$204,MATCH(Tableau14[[#This Row],[Designation]]&amp;Tableau14[[#This Row],[CL]],[1]Grille_Tarifs_Modulable!$C$2:$C$204&amp;[1]Grille_Tarifs_Modulable!$F$2:$F$204,0)),0)</f>
        <v>8500000917039</v>
      </c>
      <c r="L460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191.40864400000001</v>
      </c>
      <c r="M460" s="228">
        <f>IF(Tableau14[[#This Row],[Prix_Unit_HT]]=0,0,Tableau14[[#This Row],[Prix_Unit_HT]]+(Tableau14[[#This Row],[Prix_Unit_HT]]*VLOOKUP(Tableau14[[#This Row],[EAN]],[1]Grille_Tarifs_Modulable!$B$10:$Q$204,16,FALSE)))</f>
        <v>229.69037280000001</v>
      </c>
      <c r="N460" s="224">
        <v>1</v>
      </c>
      <c r="O460" s="228">
        <f>ROUND(Tableau14[[#This Row],[Prix_Unit_HT]],2)*Tableau14[[#This Row],[Qte_commande]]</f>
        <v>191.41</v>
      </c>
      <c r="P460" s="228">
        <f>ROUND(Tableau14[[#This Row],[Prix_Unit_TTC]],2)*Tableau14[[#This Row],[Qte_commande]]</f>
        <v>229.69</v>
      </c>
      <c r="Q460" s="224">
        <v>1</v>
      </c>
      <c r="R460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</v>
      </c>
      <c r="U460" s="224"/>
      <c r="V460" s="224"/>
    </row>
    <row r="461" spans="1:22" ht="12.75" x14ac:dyDescent="0.2">
      <c r="A461" s="225">
        <v>42900</v>
      </c>
      <c r="B461" s="224" t="s">
        <v>923</v>
      </c>
      <c r="C461" s="224" t="s">
        <v>924</v>
      </c>
      <c r="D461" s="224" t="s">
        <v>209</v>
      </c>
      <c r="E461" s="226"/>
      <c r="G461" s="224" t="s">
        <v>1</v>
      </c>
      <c r="H461" s="224" t="s">
        <v>289</v>
      </c>
      <c r="I461" s="224" t="s">
        <v>931</v>
      </c>
      <c r="J461" s="224">
        <v>100</v>
      </c>
      <c r="K461" s="227">
        <f t="array" ref="K461">IFERROR(INDEX([1]Grille_Tarifs_Modulable!$B$2:$B$204,MATCH(Tableau14[[#This Row],[Designation]]&amp;Tableau14[[#This Row],[CL]],[1]Grille_Tarifs_Modulable!$C$2:$C$204&amp;[1]Grille_Tarifs_Modulable!$F$2:$F$204,0)),0)</f>
        <v>0</v>
      </c>
      <c r="L461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</v>
      </c>
      <c r="M461" s="228">
        <f>IF(Tableau14[[#This Row],[Prix_Unit_HT]]=0,0,Tableau14[[#This Row],[Prix_Unit_HT]]+(Tableau14[[#This Row],[Prix_Unit_HT]]*VLOOKUP(Tableau14[[#This Row],[EAN]],[1]Grille_Tarifs_Modulable!$B$10:$Q$204,16,FALSE)))</f>
        <v>0</v>
      </c>
      <c r="N461" s="224">
        <v>12</v>
      </c>
      <c r="O461" s="228">
        <f>ROUND(Tableau14[[#This Row],[Prix_Unit_HT]],2)*Tableau14[[#This Row],[Qte_commande]]</f>
        <v>0</v>
      </c>
      <c r="P461" s="228">
        <f>ROUND(Tableau14[[#This Row],[Prix_Unit_TTC]],2)*Tableau14[[#This Row],[Qte_commande]]</f>
        <v>0</v>
      </c>
      <c r="Q461" s="224">
        <v>17.14</v>
      </c>
      <c r="R461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17.142857142857142</v>
      </c>
      <c r="U461" s="224"/>
      <c r="V461" s="224"/>
    </row>
    <row r="462" spans="1:22" ht="12.75" x14ac:dyDescent="0.2">
      <c r="A462" s="225">
        <v>42900</v>
      </c>
      <c r="B462" s="224" t="s">
        <v>923</v>
      </c>
      <c r="C462" s="224" t="s">
        <v>924</v>
      </c>
      <c r="D462" s="224" t="s">
        <v>209</v>
      </c>
      <c r="E462" s="226"/>
      <c r="G462" s="224" t="s">
        <v>1</v>
      </c>
      <c r="H462" s="224" t="s">
        <v>289</v>
      </c>
      <c r="I462" s="224" t="s">
        <v>931</v>
      </c>
      <c r="J462" s="224">
        <v>100</v>
      </c>
      <c r="K462" s="227">
        <f t="array" ref="K462">IFERROR(INDEX([1]Grille_Tarifs_Modulable!$B$2:$B$204,MATCH(Tableau14[[#This Row],[Designation]]&amp;Tableau14[[#This Row],[CL]],[1]Grille_Tarifs_Modulable!$C$2:$C$204&amp;[1]Grille_Tarifs_Modulable!$F$2:$F$204,0)),0)</f>
        <v>0</v>
      </c>
      <c r="L462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</v>
      </c>
      <c r="M462" s="228">
        <f>IF(Tableau14[[#This Row],[Prix_Unit_HT]]=0,0,Tableau14[[#This Row],[Prix_Unit_HT]]+(Tableau14[[#This Row],[Prix_Unit_HT]]*VLOOKUP(Tableau14[[#This Row],[EAN]],[1]Grille_Tarifs_Modulable!$B$10:$Q$204,16,FALSE)))</f>
        <v>0</v>
      </c>
      <c r="N462" s="224">
        <v>42</v>
      </c>
      <c r="O462" s="228">
        <f>ROUND(Tableau14[[#This Row],[Prix_Unit_HT]],2)*Tableau14[[#This Row],[Qte_commande]]</f>
        <v>0</v>
      </c>
      <c r="P462" s="228">
        <f>ROUND(Tableau14[[#This Row],[Prix_Unit_TTC]],2)*Tableau14[[#This Row],[Qte_commande]]</f>
        <v>0</v>
      </c>
      <c r="Q462" s="224">
        <v>60</v>
      </c>
      <c r="R462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60.000000000000007</v>
      </c>
      <c r="U462" s="224"/>
      <c r="V462" s="224"/>
    </row>
    <row r="463" spans="1:22" ht="12.75" x14ac:dyDescent="0.2">
      <c r="A463" s="225">
        <v>42900</v>
      </c>
      <c r="B463" s="224" t="s">
        <v>958</v>
      </c>
      <c r="C463" s="224" t="s">
        <v>198</v>
      </c>
      <c r="D463" s="224" t="s">
        <v>199</v>
      </c>
      <c r="E463" s="226"/>
      <c r="G463" s="224" t="s">
        <v>1</v>
      </c>
      <c r="H463" s="224" t="s">
        <v>196</v>
      </c>
      <c r="I463" s="224" t="s">
        <v>64</v>
      </c>
      <c r="J463" s="224">
        <v>20</v>
      </c>
      <c r="K463" s="227">
        <f t="array" ref="K463">IFERROR(INDEX([1]Grille_Tarifs_Modulable!$B$2:$B$204,MATCH(Tableau14[[#This Row],[Designation]]&amp;Tableau14[[#This Row],[CL]],[1]Grille_Tarifs_Modulable!$C$2:$C$204&amp;[1]Grille_Tarifs_Modulable!$F$2:$F$204,0)),0)</f>
        <v>4260310553849</v>
      </c>
      <c r="L463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0.81</v>
      </c>
      <c r="M463" s="228">
        <f>IF(Tableau14[[#This Row],[Prix_Unit_HT]]=0,0,Tableau14[[#This Row],[Prix_Unit_HT]]+(Tableau14[[#This Row],[Prix_Unit_HT]]*VLOOKUP(Tableau14[[#This Row],[EAN]],[1]Grille_Tarifs_Modulable!$B$10:$Q$204,16,FALSE)))</f>
        <v>0.85455000000000003</v>
      </c>
      <c r="N463" s="224">
        <v>480</v>
      </c>
      <c r="O463" s="228">
        <f>ROUND(Tableau14[[#This Row],[Prix_Unit_HT]],2)*Tableau14[[#This Row],[Qte_commande]]</f>
        <v>388.8</v>
      </c>
      <c r="P463" s="228">
        <f>ROUND(Tableau14[[#This Row],[Prix_Unit_TTC]],2)*Tableau14[[#This Row],[Qte_commande]]</f>
        <v>408</v>
      </c>
      <c r="Q463" s="224">
        <v>137.13999999999999</v>
      </c>
      <c r="R463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137.14285714285714</v>
      </c>
      <c r="U463" s="224"/>
      <c r="V463" s="224"/>
    </row>
    <row r="464" spans="1:22" ht="12.75" x14ac:dyDescent="0.2">
      <c r="A464" s="225">
        <v>42902</v>
      </c>
      <c r="B464" s="224" t="s">
        <v>511</v>
      </c>
      <c r="C464" s="224" t="s">
        <v>211</v>
      </c>
      <c r="D464" s="224" t="s">
        <v>212</v>
      </c>
      <c r="E464" s="226"/>
      <c r="G464" s="224" t="s">
        <v>1</v>
      </c>
      <c r="H464" s="224" t="s">
        <v>196</v>
      </c>
      <c r="I464" s="224" t="s">
        <v>60</v>
      </c>
      <c r="J464" s="224">
        <v>20</v>
      </c>
      <c r="K464" s="227">
        <f t="array" ref="K464">IFERROR(INDEX([1]Grille_Tarifs_Modulable!$B$2:$B$204,MATCH(Tableau14[[#This Row],[Designation]]&amp;Tableau14[[#This Row],[CL]],[1]Grille_Tarifs_Modulable!$C$2:$C$204&amp;[1]Grille_Tarifs_Modulable!$F$2:$F$204,0)),0)</f>
        <v>4260310553832</v>
      </c>
      <c r="L464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0.81</v>
      </c>
      <c r="M464" s="228">
        <f>IF(Tableau14[[#This Row],[Prix_Unit_HT]]=0,0,Tableau14[[#This Row],[Prix_Unit_HT]]+(Tableau14[[#This Row],[Prix_Unit_HT]]*VLOOKUP(Tableau14[[#This Row],[EAN]],[1]Grille_Tarifs_Modulable!$B$10:$Q$204,16,FALSE)))</f>
        <v>0.85455000000000003</v>
      </c>
      <c r="N464" s="224">
        <v>144</v>
      </c>
      <c r="O464" s="228">
        <f>ROUND(Tableau14[[#This Row],[Prix_Unit_HT]],2)*Tableau14[[#This Row],[Qte_commande]]</f>
        <v>116.64000000000001</v>
      </c>
      <c r="P464" s="228">
        <f>ROUND(Tableau14[[#This Row],[Prix_Unit_TTC]],2)*Tableau14[[#This Row],[Qte_commande]]</f>
        <v>122.39999999999999</v>
      </c>
      <c r="Q464" s="224">
        <v>41.14</v>
      </c>
      <c r="R464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41.142857142857146</v>
      </c>
      <c r="U464" s="224"/>
      <c r="V464" s="224"/>
    </row>
    <row r="465" spans="1:22" ht="12.75" x14ac:dyDescent="0.2">
      <c r="A465" s="225">
        <v>42902</v>
      </c>
      <c r="B465" s="224" t="s">
        <v>511</v>
      </c>
      <c r="C465" s="224" t="s">
        <v>211</v>
      </c>
      <c r="D465" s="224" t="s">
        <v>212</v>
      </c>
      <c r="E465" s="226"/>
      <c r="G465" s="224" t="s">
        <v>1</v>
      </c>
      <c r="H465" s="224" t="s">
        <v>289</v>
      </c>
      <c r="I465" s="224" t="s">
        <v>15</v>
      </c>
      <c r="J465" s="224">
        <v>70</v>
      </c>
      <c r="K465" s="227">
        <f t="array" ref="K465">IFERROR(INDEX([1]Grille_Tarifs_Modulable!$B$2:$B$204,MATCH(Tableau14[[#This Row],[Designation]]&amp;Tableau14[[#This Row],[CL]],[1]Grille_Tarifs_Modulable!$C$2:$C$204&amp;[1]Grille_Tarifs_Modulable!$F$2:$F$204,0)),0)</f>
        <v>4067700013859</v>
      </c>
      <c r="L465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12.532563499999998</v>
      </c>
      <c r="M465" s="228">
        <f>IF(Tableau14[[#This Row],[Prix_Unit_HT]]=0,0,Tableau14[[#This Row],[Prix_Unit_HT]]+(Tableau14[[#This Row],[Prix_Unit_HT]]*VLOOKUP(Tableau14[[#This Row],[EAN]],[1]Grille_Tarifs_Modulable!$B$10:$Q$204,16,FALSE)))</f>
        <v>15.039076199999998</v>
      </c>
      <c r="N465" s="224">
        <v>24</v>
      </c>
      <c r="O465" s="228">
        <f>ROUND(Tableau14[[#This Row],[Prix_Unit_HT]],2)*Tableau14[[#This Row],[Qte_commande]]</f>
        <v>300.71999999999997</v>
      </c>
      <c r="P465" s="228">
        <f>ROUND(Tableau14[[#This Row],[Prix_Unit_TTC]],2)*Tableau14[[#This Row],[Qte_commande]]</f>
        <v>360.96</v>
      </c>
      <c r="Q465" s="224">
        <v>24</v>
      </c>
      <c r="R465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24.000000000000004</v>
      </c>
      <c r="U465" s="224"/>
      <c r="V465" s="224"/>
    </row>
    <row r="466" spans="1:22" ht="12.75" x14ac:dyDescent="0.2">
      <c r="A466" s="225">
        <v>42902</v>
      </c>
      <c r="B466" s="224" t="s">
        <v>511</v>
      </c>
      <c r="C466" s="224" t="s">
        <v>211</v>
      </c>
      <c r="D466" s="224" t="s">
        <v>212</v>
      </c>
      <c r="E466" s="226"/>
      <c r="G466" s="224" t="s">
        <v>1</v>
      </c>
      <c r="H466" s="224" t="s">
        <v>196</v>
      </c>
      <c r="I466" s="224" t="s">
        <v>66</v>
      </c>
      <c r="J466" s="224">
        <v>50</v>
      </c>
      <c r="K466" s="227">
        <f t="array" ref="K466">IFERROR(INDEX([1]Grille_Tarifs_Modulable!$B$2:$B$204,MATCH(Tableau14[[#This Row],[Designation]]&amp;Tableau14[[#This Row],[CL]],[1]Grille_Tarifs_Modulable!$C$2:$C$204&amp;[1]Grille_Tarifs_Modulable!$F$2:$F$204,0)),0)</f>
        <v>4260310553382</v>
      </c>
      <c r="L466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</v>
      </c>
      <c r="M466" s="228">
        <f>IF(Tableau14[[#This Row],[Prix_Unit_HT]]=0,0,Tableau14[[#This Row],[Prix_Unit_HT]]+(Tableau14[[#This Row],[Prix_Unit_HT]]*VLOOKUP(Tableau14[[#This Row],[EAN]],[1]Grille_Tarifs_Modulable!$B$10:$Q$204,16,FALSE)))</f>
        <v>1.0549999999999999</v>
      </c>
      <c r="N466" s="224">
        <v>40</v>
      </c>
      <c r="O466" s="228">
        <f>ROUND(Tableau14[[#This Row],[Prix_Unit_HT]],2)*Tableau14[[#This Row],[Qte_commande]]</f>
        <v>40</v>
      </c>
      <c r="P466" s="228">
        <f>ROUND(Tableau14[[#This Row],[Prix_Unit_TTC]],2)*Tableau14[[#This Row],[Qte_commande]]</f>
        <v>42.400000000000006</v>
      </c>
      <c r="Q466" s="224">
        <v>28.57</v>
      </c>
      <c r="R466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28.571428571428573</v>
      </c>
      <c r="U466" s="224"/>
      <c r="V466" s="224"/>
    </row>
    <row r="467" spans="1:22" ht="12.75" x14ac:dyDescent="0.2">
      <c r="A467" s="225">
        <v>42902</v>
      </c>
      <c r="B467" s="224" t="s">
        <v>511</v>
      </c>
      <c r="C467" s="224" t="s">
        <v>211</v>
      </c>
      <c r="D467" s="224" t="s">
        <v>212</v>
      </c>
      <c r="E467" s="226"/>
      <c r="G467" s="224" t="s">
        <v>1</v>
      </c>
      <c r="H467" s="224" t="s">
        <v>289</v>
      </c>
      <c r="I467" s="224" t="s">
        <v>40</v>
      </c>
      <c r="J467" s="224">
        <v>10</v>
      </c>
      <c r="K467" s="227">
        <f t="array" ref="K467">IFERROR(INDEX([1]Grille_Tarifs_Modulable!$B$2:$B$204,MATCH(Tableau14[[#This Row],[Designation]]&amp;Tableau14[[#This Row],[CL]],[1]Grille_Tarifs_Modulable!$C$2:$C$204&amp;[1]Grille_Tarifs_Modulable!$F$2:$F$204,0)),0)</f>
        <v>3257150102314</v>
      </c>
      <c r="L467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15.276138</v>
      </c>
      <c r="M467" s="228">
        <f>IF(Tableau14[[#This Row],[Prix_Unit_HT]]=0,0,Tableau14[[#This Row],[Prix_Unit_HT]]+(Tableau14[[#This Row],[Prix_Unit_HT]]*VLOOKUP(Tableau14[[#This Row],[EAN]],[1]Grille_Tarifs_Modulable!$B$10:$Q$204,16,FALSE)))</f>
        <v>18.331365599999998</v>
      </c>
      <c r="N467" s="224">
        <v>6</v>
      </c>
      <c r="O467" s="228">
        <f>ROUND(Tableau14[[#This Row],[Prix_Unit_HT]],2)*Tableau14[[#This Row],[Qte_commande]]</f>
        <v>91.679999999999993</v>
      </c>
      <c r="P467" s="228">
        <f>ROUND(Tableau14[[#This Row],[Prix_Unit_TTC]],2)*Tableau14[[#This Row],[Qte_commande]]</f>
        <v>109.97999999999999</v>
      </c>
      <c r="Q467" s="224">
        <v>0.86</v>
      </c>
      <c r="R467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0.85714285714285721</v>
      </c>
      <c r="U467" s="224"/>
      <c r="V467" s="224"/>
    </row>
    <row r="468" spans="1:22" ht="12.75" x14ac:dyDescent="0.2">
      <c r="A468" s="225">
        <v>42902</v>
      </c>
      <c r="B468" s="224" t="s">
        <v>511</v>
      </c>
      <c r="C468" s="224" t="s">
        <v>211</v>
      </c>
      <c r="D468" s="224" t="s">
        <v>212</v>
      </c>
      <c r="E468" s="226"/>
      <c r="G468" s="224" t="s">
        <v>1</v>
      </c>
      <c r="H468" s="224" t="s">
        <v>289</v>
      </c>
      <c r="I468" s="224" t="s">
        <v>41</v>
      </c>
      <c r="J468" s="224">
        <v>10</v>
      </c>
      <c r="K468" s="227">
        <f t="array" ref="K468">IFERROR(INDEX([1]Grille_Tarifs_Modulable!$B$2:$B$204,MATCH(Tableau14[[#This Row],[Designation]]&amp;Tableau14[[#This Row],[CL]],[1]Grille_Tarifs_Modulable!$C$2:$C$204&amp;[1]Grille_Tarifs_Modulable!$F$2:$F$204,0)),0)</f>
        <v>3257150102284</v>
      </c>
      <c r="L468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20.666137999999997</v>
      </c>
      <c r="M468" s="228">
        <f>IF(Tableau14[[#This Row],[Prix_Unit_HT]]=0,0,Tableau14[[#This Row],[Prix_Unit_HT]]+(Tableau14[[#This Row],[Prix_Unit_HT]]*VLOOKUP(Tableau14[[#This Row],[EAN]],[1]Grille_Tarifs_Modulable!$B$10:$Q$204,16,FALSE)))</f>
        <v>24.799365599999994</v>
      </c>
      <c r="N468" s="224">
        <v>6</v>
      </c>
      <c r="O468" s="228">
        <f>ROUND(Tableau14[[#This Row],[Prix_Unit_HT]],2)*Tableau14[[#This Row],[Qte_commande]]</f>
        <v>124.02000000000001</v>
      </c>
      <c r="P468" s="228">
        <f>ROUND(Tableau14[[#This Row],[Prix_Unit_TTC]],2)*Tableau14[[#This Row],[Qte_commande]]</f>
        <v>148.80000000000001</v>
      </c>
      <c r="Q468" s="224">
        <v>0.86</v>
      </c>
      <c r="R468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0.85714285714285721</v>
      </c>
      <c r="U468" s="224"/>
      <c r="V468" s="224"/>
    </row>
    <row r="469" spans="1:22" ht="12.75" x14ac:dyDescent="0.2">
      <c r="A469" s="225">
        <v>42902</v>
      </c>
      <c r="B469" s="224" t="s">
        <v>511</v>
      </c>
      <c r="C469" s="224" t="s">
        <v>211</v>
      </c>
      <c r="D469" s="224" t="s">
        <v>212</v>
      </c>
      <c r="E469" s="226"/>
      <c r="G469" s="224" t="s">
        <v>1</v>
      </c>
      <c r="H469" s="224" t="s">
        <v>289</v>
      </c>
      <c r="I469" s="224" t="s">
        <v>36</v>
      </c>
      <c r="J469" s="224">
        <v>70</v>
      </c>
      <c r="K469" s="227">
        <f t="array" ref="K469">IFERROR(INDEX([1]Grille_Tarifs_Modulable!$B$2:$B$204,MATCH(Tableau14[[#This Row],[Designation]]&amp;Tableau14[[#This Row],[CL]],[1]Grille_Tarifs_Modulable!$C$2:$C$204&amp;[1]Grille_Tarifs_Modulable!$F$2:$F$204,0)),0)</f>
        <v>3257150100792</v>
      </c>
      <c r="L469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71.40864400000001</v>
      </c>
      <c r="M469" s="228">
        <f>IF(Tableau14[[#This Row],[Prix_Unit_HT]]=0,0,Tableau14[[#This Row],[Prix_Unit_HT]]+(Tableau14[[#This Row],[Prix_Unit_HT]]*VLOOKUP(Tableau14[[#This Row],[EAN]],[1]Grille_Tarifs_Modulable!$B$10:$Q$204,16,FALSE)))</f>
        <v>85.690372800000006</v>
      </c>
      <c r="N469" s="224">
        <v>3</v>
      </c>
      <c r="O469" s="228">
        <f>ROUND(Tableau14[[#This Row],[Prix_Unit_HT]],2)*Tableau14[[#This Row],[Qte_commande]]</f>
        <v>214.23</v>
      </c>
      <c r="P469" s="228">
        <f>ROUND(Tableau14[[#This Row],[Prix_Unit_TTC]],2)*Tableau14[[#This Row],[Qte_commande]]</f>
        <v>257.07</v>
      </c>
      <c r="Q469" s="224">
        <v>3</v>
      </c>
      <c r="R469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3.0000000000000004</v>
      </c>
      <c r="U469" s="224"/>
      <c r="V469" s="224"/>
    </row>
    <row r="470" spans="1:22" ht="12.75" x14ac:dyDescent="0.2">
      <c r="A470" s="225">
        <v>42908</v>
      </c>
      <c r="B470" s="224" t="s">
        <v>614</v>
      </c>
      <c r="C470" s="224" t="s">
        <v>530</v>
      </c>
      <c r="D470" s="224" t="s">
        <v>531</v>
      </c>
      <c r="E470" s="226"/>
      <c r="G470" s="224" t="s">
        <v>1</v>
      </c>
      <c r="H470" s="224" t="s">
        <v>289</v>
      </c>
      <c r="I470" s="224" t="s">
        <v>15</v>
      </c>
      <c r="J470" s="224">
        <v>70</v>
      </c>
      <c r="K470" s="227">
        <f t="array" ref="K470">IFERROR(INDEX([1]Grille_Tarifs_Modulable!$B$2:$B$204,MATCH(Tableau14[[#This Row],[Designation]]&amp;Tableau14[[#This Row],[CL]],[1]Grille_Tarifs_Modulable!$C$2:$C$204&amp;[1]Grille_Tarifs_Modulable!$F$2:$F$204,0)),0)</f>
        <v>4067700013859</v>
      </c>
      <c r="L470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12.532563499999998</v>
      </c>
      <c r="M470" s="228">
        <f>IF(Tableau14[[#This Row],[Prix_Unit_HT]]=0,0,Tableau14[[#This Row],[Prix_Unit_HT]]+(Tableau14[[#This Row],[Prix_Unit_HT]]*VLOOKUP(Tableau14[[#This Row],[EAN]],[1]Grille_Tarifs_Modulable!$B$10:$Q$204,16,FALSE)))</f>
        <v>15.039076199999998</v>
      </c>
      <c r="N470" s="224">
        <v>150</v>
      </c>
      <c r="O470" s="228">
        <f>ROUND(Tableau14[[#This Row],[Prix_Unit_HT]],2)*Tableau14[[#This Row],[Qte_commande]]</f>
        <v>1879.5</v>
      </c>
      <c r="P470" s="228">
        <f>ROUND(Tableau14[[#This Row],[Prix_Unit_TTC]],2)*Tableau14[[#This Row],[Qte_commande]]</f>
        <v>2256</v>
      </c>
      <c r="Q470" s="224">
        <v>150</v>
      </c>
      <c r="R470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150</v>
      </c>
      <c r="U470" s="224"/>
      <c r="V470" s="224"/>
    </row>
    <row r="471" spans="1:22" ht="12.75" x14ac:dyDescent="0.2">
      <c r="A471" s="225">
        <v>42914</v>
      </c>
      <c r="B471" s="224" t="s">
        <v>615</v>
      </c>
      <c r="C471" s="224" t="s">
        <v>211</v>
      </c>
      <c r="D471" s="224" t="s">
        <v>212</v>
      </c>
      <c r="E471" s="226"/>
      <c r="G471" s="224" t="s">
        <v>1</v>
      </c>
      <c r="H471" s="224" t="s">
        <v>289</v>
      </c>
      <c r="I471" s="224" t="s">
        <v>15</v>
      </c>
      <c r="J471" s="224">
        <v>70</v>
      </c>
      <c r="K471" s="227">
        <f t="array" ref="K471">IFERROR(INDEX([1]Grille_Tarifs_Modulable!$B$2:$B$204,MATCH(Tableau14[[#This Row],[Designation]]&amp;Tableau14[[#This Row],[CL]],[1]Grille_Tarifs_Modulable!$C$2:$C$204&amp;[1]Grille_Tarifs_Modulable!$F$2:$F$204,0)),0)</f>
        <v>4067700013859</v>
      </c>
      <c r="L471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12.532563499999998</v>
      </c>
      <c r="M471" s="228">
        <f>IF(Tableau14[[#This Row],[Prix_Unit_HT]]=0,0,Tableau14[[#This Row],[Prix_Unit_HT]]+(Tableau14[[#This Row],[Prix_Unit_HT]]*VLOOKUP(Tableau14[[#This Row],[EAN]],[1]Grille_Tarifs_Modulable!$B$10:$Q$204,16,FALSE)))</f>
        <v>15.039076199999998</v>
      </c>
      <c r="N471" s="224">
        <v>48</v>
      </c>
      <c r="O471" s="228">
        <f>ROUND(Tableau14[[#This Row],[Prix_Unit_HT]],2)*Tableau14[[#This Row],[Qte_commande]]</f>
        <v>601.43999999999994</v>
      </c>
      <c r="P471" s="228">
        <f>ROUND(Tableau14[[#This Row],[Prix_Unit_TTC]],2)*Tableau14[[#This Row],[Qte_commande]]</f>
        <v>721.92</v>
      </c>
      <c r="Q471" s="224">
        <v>48</v>
      </c>
      <c r="R471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48.000000000000007</v>
      </c>
      <c r="U471" s="224"/>
      <c r="V471" s="224"/>
    </row>
    <row r="472" spans="1:22" ht="12.75" x14ac:dyDescent="0.2">
      <c r="A472" s="225">
        <v>42914</v>
      </c>
      <c r="B472" s="224" t="s">
        <v>945</v>
      </c>
      <c r="C472" s="224" t="s">
        <v>198</v>
      </c>
      <c r="D472" s="224" t="s">
        <v>199</v>
      </c>
      <c r="E472" s="226"/>
      <c r="G472" s="224" t="s">
        <v>1</v>
      </c>
      <c r="H472" s="224" t="s">
        <v>289</v>
      </c>
      <c r="I472" s="224" t="s">
        <v>42</v>
      </c>
      <c r="J472" s="224">
        <v>70</v>
      </c>
      <c r="K472" s="227">
        <f t="array" ref="K472">IFERROR(INDEX([1]Grille_Tarifs_Modulable!$B$2:$B$204,MATCH(Tableau14[[#This Row],[Designation]]&amp;Tableau14[[#This Row],[CL]],[1]Grille_Tarifs_Modulable!$C$2:$C$204&amp;[1]Grille_Tarifs_Modulable!$F$2:$F$204,0)),0)</f>
        <v>3257150688009</v>
      </c>
      <c r="L472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12.556915199999999</v>
      </c>
      <c r="M472" s="228">
        <f>IF(Tableau14[[#This Row],[Prix_Unit_HT]]=0,0,Tableau14[[#This Row],[Prix_Unit_HT]]+(Tableau14[[#This Row],[Prix_Unit_HT]]*VLOOKUP(Tableau14[[#This Row],[EAN]],[1]Grille_Tarifs_Modulable!$B$10:$Q$204,16,FALSE)))</f>
        <v>15.068298239999999</v>
      </c>
      <c r="N472" s="224">
        <v>12</v>
      </c>
      <c r="O472" s="228">
        <f>ROUND(Tableau14[[#This Row],[Prix_Unit_HT]],2)*Tableau14[[#This Row],[Qte_commande]]</f>
        <v>150.72</v>
      </c>
      <c r="P472" s="228">
        <f>ROUND(Tableau14[[#This Row],[Prix_Unit_TTC]],2)*Tableau14[[#This Row],[Qte_commande]]</f>
        <v>180.84</v>
      </c>
      <c r="Q472" s="224">
        <v>12</v>
      </c>
      <c r="R472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12.000000000000002</v>
      </c>
      <c r="U472" s="224"/>
      <c r="V472" s="224"/>
    </row>
    <row r="473" spans="1:22" ht="12.75" x14ac:dyDescent="0.2">
      <c r="A473" s="225">
        <v>42914</v>
      </c>
      <c r="B473" s="224" t="s">
        <v>945</v>
      </c>
      <c r="C473" s="224" t="s">
        <v>198</v>
      </c>
      <c r="D473" s="224" t="s">
        <v>199</v>
      </c>
      <c r="E473" s="226"/>
      <c r="G473" s="224" t="s">
        <v>1</v>
      </c>
      <c r="H473" s="224" t="s">
        <v>196</v>
      </c>
      <c r="I473" s="224" t="s">
        <v>64</v>
      </c>
      <c r="J473" s="224">
        <v>20</v>
      </c>
      <c r="K473" s="227">
        <f t="array" ref="K473">IFERROR(INDEX([1]Grille_Tarifs_Modulable!$B$2:$B$204,MATCH(Tableau14[[#This Row],[Designation]]&amp;Tableau14[[#This Row],[CL]],[1]Grille_Tarifs_Modulable!$C$2:$C$204&amp;[1]Grille_Tarifs_Modulable!$F$2:$F$204,0)),0)</f>
        <v>4260310553849</v>
      </c>
      <c r="L473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0.81</v>
      </c>
      <c r="M473" s="228">
        <f>IF(Tableau14[[#This Row],[Prix_Unit_HT]]=0,0,Tableau14[[#This Row],[Prix_Unit_HT]]+(Tableau14[[#This Row],[Prix_Unit_HT]]*VLOOKUP(Tableau14[[#This Row],[EAN]],[1]Grille_Tarifs_Modulable!$B$10:$Q$204,16,FALSE)))</f>
        <v>0.85455000000000003</v>
      </c>
      <c r="N473" s="224">
        <v>480</v>
      </c>
      <c r="O473" s="228">
        <f>ROUND(Tableau14[[#This Row],[Prix_Unit_HT]],2)*Tableau14[[#This Row],[Qte_commande]]</f>
        <v>388.8</v>
      </c>
      <c r="P473" s="228">
        <f>ROUND(Tableau14[[#This Row],[Prix_Unit_TTC]],2)*Tableau14[[#This Row],[Qte_commande]]</f>
        <v>408</v>
      </c>
      <c r="Q473" s="224">
        <v>137.13999999999999</v>
      </c>
      <c r="R473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137.14285714285714</v>
      </c>
      <c r="U473" s="224"/>
      <c r="V473" s="224"/>
    </row>
    <row r="474" spans="1:22" ht="12.75" x14ac:dyDescent="0.2">
      <c r="A474" s="225">
        <v>42914</v>
      </c>
      <c r="B474" s="224" t="s">
        <v>615</v>
      </c>
      <c r="C474" s="224" t="s">
        <v>211</v>
      </c>
      <c r="D474" s="224" t="s">
        <v>212</v>
      </c>
      <c r="E474" s="226"/>
      <c r="G474" s="224" t="s">
        <v>1</v>
      </c>
      <c r="H474" s="224" t="s">
        <v>196</v>
      </c>
      <c r="I474" s="224" t="s">
        <v>64</v>
      </c>
      <c r="J474" s="224">
        <v>20</v>
      </c>
      <c r="K474" s="227">
        <f t="array" ref="K474">IFERROR(INDEX([1]Grille_Tarifs_Modulable!$B$2:$B$204,MATCH(Tableau14[[#This Row],[Designation]]&amp;Tableau14[[#This Row],[CL]],[1]Grille_Tarifs_Modulable!$C$2:$C$204&amp;[1]Grille_Tarifs_Modulable!$F$2:$F$204,0)),0)</f>
        <v>4260310553849</v>
      </c>
      <c r="L474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0.81</v>
      </c>
      <c r="M474" s="228">
        <f>IF(Tableau14[[#This Row],[Prix_Unit_HT]]=0,0,Tableau14[[#This Row],[Prix_Unit_HT]]+(Tableau14[[#This Row],[Prix_Unit_HT]]*VLOOKUP(Tableau14[[#This Row],[EAN]],[1]Grille_Tarifs_Modulable!$B$10:$Q$204,16,FALSE)))</f>
        <v>0.85455000000000003</v>
      </c>
      <c r="N474" s="224">
        <v>144</v>
      </c>
      <c r="O474" s="228">
        <f>ROUND(Tableau14[[#This Row],[Prix_Unit_HT]],2)*Tableau14[[#This Row],[Qte_commande]]</f>
        <v>116.64000000000001</v>
      </c>
      <c r="P474" s="228">
        <f>ROUND(Tableau14[[#This Row],[Prix_Unit_TTC]],2)*Tableau14[[#This Row],[Qte_commande]]</f>
        <v>122.39999999999999</v>
      </c>
      <c r="Q474" s="224">
        <v>41.14</v>
      </c>
      <c r="R474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41.142857142857146</v>
      </c>
      <c r="U474" s="224"/>
      <c r="V474" s="224"/>
    </row>
    <row r="475" spans="1:22" ht="12.75" x14ac:dyDescent="0.2">
      <c r="A475" s="225">
        <v>42933</v>
      </c>
      <c r="B475" s="224" t="s">
        <v>218</v>
      </c>
      <c r="C475" s="224" t="s">
        <v>219</v>
      </c>
      <c r="D475" s="224" t="s">
        <v>220</v>
      </c>
      <c r="E475" s="226"/>
      <c r="G475" s="224" t="s">
        <v>1</v>
      </c>
      <c r="H475" s="224" t="s">
        <v>196</v>
      </c>
      <c r="I475" s="224" t="s">
        <v>62</v>
      </c>
      <c r="J475" s="224">
        <v>20</v>
      </c>
      <c r="K475" s="227">
        <f t="array" ref="K475">IFERROR(INDEX([1]Grille_Tarifs_Modulable!$B$2:$B$204,MATCH(Tableau14[[#This Row],[Designation]]&amp;Tableau14[[#This Row],[CL]],[1]Grille_Tarifs_Modulable!$C$2:$C$204&amp;[1]Grille_Tarifs_Modulable!$F$2:$F$204,0)),0)</f>
        <v>4260310550305</v>
      </c>
      <c r="L475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0.81</v>
      </c>
      <c r="M475" s="228">
        <f>IF(Tableau14[[#This Row],[Prix_Unit_HT]]=0,0,Tableau14[[#This Row],[Prix_Unit_HT]]+(Tableau14[[#This Row],[Prix_Unit_HT]]*VLOOKUP(Tableau14[[#This Row],[EAN]],[1]Grille_Tarifs_Modulable!$B$10:$Q$204,16,FALSE)))</f>
        <v>0.85455000000000003</v>
      </c>
      <c r="N475" s="224">
        <v>120</v>
      </c>
      <c r="O475" s="228">
        <f>ROUND(Tableau14[[#This Row],[Prix_Unit_HT]],2)*Tableau14[[#This Row],[Qte_commande]]</f>
        <v>97.2</v>
      </c>
      <c r="P475" s="228">
        <f>ROUND(Tableau14[[#This Row],[Prix_Unit_TTC]],2)*Tableau14[[#This Row],[Qte_commande]]</f>
        <v>102</v>
      </c>
      <c r="Q475" s="224">
        <v>34.29</v>
      </c>
      <c r="R475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34.285714285714285</v>
      </c>
      <c r="U475" s="224"/>
      <c r="V475" s="224"/>
    </row>
    <row r="476" spans="1:22" ht="12.75" x14ac:dyDescent="0.2">
      <c r="A476" s="225">
        <v>42933</v>
      </c>
      <c r="B476" s="224" t="s">
        <v>221</v>
      </c>
      <c r="C476" s="224" t="s">
        <v>198</v>
      </c>
      <c r="D476" s="224" t="s">
        <v>199</v>
      </c>
      <c r="E476" s="226"/>
      <c r="G476" s="224" t="s">
        <v>1</v>
      </c>
      <c r="H476" s="224" t="s">
        <v>196</v>
      </c>
      <c r="I476" s="224" t="s">
        <v>62</v>
      </c>
      <c r="J476" s="224">
        <v>20</v>
      </c>
      <c r="K476" s="227">
        <f t="array" ref="K476">IFERROR(INDEX([1]Grille_Tarifs_Modulable!$B$2:$B$204,MATCH(Tableau14[[#This Row],[Designation]]&amp;Tableau14[[#This Row],[CL]],[1]Grille_Tarifs_Modulable!$C$2:$C$204&amp;[1]Grille_Tarifs_Modulable!$F$2:$F$204,0)),0)</f>
        <v>4260310550305</v>
      </c>
      <c r="L476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0.81</v>
      </c>
      <c r="M476" s="228">
        <f>IF(Tableau14[[#This Row],[Prix_Unit_HT]]=0,0,Tableau14[[#This Row],[Prix_Unit_HT]]+(Tableau14[[#This Row],[Prix_Unit_HT]]*VLOOKUP(Tableau14[[#This Row],[EAN]],[1]Grille_Tarifs_Modulable!$B$10:$Q$204,16,FALSE)))</f>
        <v>0.85455000000000003</v>
      </c>
      <c r="N476" s="224">
        <v>48</v>
      </c>
      <c r="O476" s="228">
        <f>ROUND(Tableau14[[#This Row],[Prix_Unit_HT]],2)*Tableau14[[#This Row],[Qte_commande]]</f>
        <v>38.880000000000003</v>
      </c>
      <c r="P476" s="228">
        <f>ROUND(Tableau14[[#This Row],[Prix_Unit_TTC]],2)*Tableau14[[#This Row],[Qte_commande]]</f>
        <v>40.799999999999997</v>
      </c>
      <c r="Q476" s="224">
        <v>13.71</v>
      </c>
      <c r="R476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13.714285714285715</v>
      </c>
      <c r="U476" s="224"/>
      <c r="V476" s="224"/>
    </row>
    <row r="477" spans="1:22" ht="12.75" x14ac:dyDescent="0.2">
      <c r="A477" s="225">
        <v>42933</v>
      </c>
      <c r="B477" s="224" t="s">
        <v>218</v>
      </c>
      <c r="C477" s="224" t="s">
        <v>219</v>
      </c>
      <c r="D477" s="224" t="s">
        <v>220</v>
      </c>
      <c r="E477" s="226"/>
      <c r="G477" s="224" t="s">
        <v>1</v>
      </c>
      <c r="H477" s="224" t="s">
        <v>196</v>
      </c>
      <c r="I477" s="224" t="s">
        <v>63</v>
      </c>
      <c r="J477" s="224">
        <v>20</v>
      </c>
      <c r="K477" s="227">
        <f t="array" ref="K477">IFERROR(INDEX([1]Grille_Tarifs_Modulable!$B$2:$B$204,MATCH(Tableau14[[#This Row],[Designation]]&amp;Tableau14[[#This Row],[CL]],[1]Grille_Tarifs_Modulable!$C$2:$C$204&amp;[1]Grille_Tarifs_Modulable!$F$2:$F$204,0)),0)</f>
        <v>4260310552941</v>
      </c>
      <c r="L477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0.81</v>
      </c>
      <c r="M477" s="228">
        <f>IF(Tableau14[[#This Row],[Prix_Unit_HT]]=0,0,Tableau14[[#This Row],[Prix_Unit_HT]]+(Tableau14[[#This Row],[Prix_Unit_HT]]*VLOOKUP(Tableau14[[#This Row],[EAN]],[1]Grille_Tarifs_Modulable!$B$10:$Q$204,16,FALSE)))</f>
        <v>0.85455000000000003</v>
      </c>
      <c r="N477" s="224">
        <v>120</v>
      </c>
      <c r="O477" s="228">
        <f>ROUND(Tableau14[[#This Row],[Prix_Unit_HT]],2)*Tableau14[[#This Row],[Qte_commande]]</f>
        <v>97.2</v>
      </c>
      <c r="P477" s="228">
        <f>ROUND(Tableau14[[#This Row],[Prix_Unit_TTC]],2)*Tableau14[[#This Row],[Qte_commande]]</f>
        <v>102</v>
      </c>
      <c r="Q477" s="224">
        <v>34.29</v>
      </c>
      <c r="R477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34.285714285714285</v>
      </c>
      <c r="U477" s="224"/>
      <c r="V477" s="224"/>
    </row>
    <row r="478" spans="1:22" ht="12.75" x14ac:dyDescent="0.2">
      <c r="A478" s="225">
        <v>42933</v>
      </c>
      <c r="B478" s="224" t="s">
        <v>221</v>
      </c>
      <c r="C478" s="224" t="s">
        <v>198</v>
      </c>
      <c r="D478" s="224" t="s">
        <v>199</v>
      </c>
      <c r="E478" s="226"/>
      <c r="G478" s="224" t="s">
        <v>1</v>
      </c>
      <c r="H478" s="224" t="s">
        <v>196</v>
      </c>
      <c r="I478" s="224" t="s">
        <v>63</v>
      </c>
      <c r="J478" s="224">
        <v>20</v>
      </c>
      <c r="K478" s="227">
        <f t="array" ref="K478">IFERROR(INDEX([1]Grille_Tarifs_Modulable!$B$2:$B$204,MATCH(Tableau14[[#This Row],[Designation]]&amp;Tableau14[[#This Row],[CL]],[1]Grille_Tarifs_Modulable!$C$2:$C$204&amp;[1]Grille_Tarifs_Modulable!$F$2:$F$204,0)),0)</f>
        <v>4260310552941</v>
      </c>
      <c r="L478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0.81</v>
      </c>
      <c r="M478" s="228">
        <f>IF(Tableau14[[#This Row],[Prix_Unit_HT]]=0,0,Tableau14[[#This Row],[Prix_Unit_HT]]+(Tableau14[[#This Row],[Prix_Unit_HT]]*VLOOKUP(Tableau14[[#This Row],[EAN]],[1]Grille_Tarifs_Modulable!$B$10:$Q$204,16,FALSE)))</f>
        <v>0.85455000000000003</v>
      </c>
      <c r="N478" s="224">
        <v>48</v>
      </c>
      <c r="O478" s="228">
        <f>ROUND(Tableau14[[#This Row],[Prix_Unit_HT]],2)*Tableau14[[#This Row],[Qte_commande]]</f>
        <v>38.880000000000003</v>
      </c>
      <c r="P478" s="228">
        <f>ROUND(Tableau14[[#This Row],[Prix_Unit_TTC]],2)*Tableau14[[#This Row],[Qte_commande]]</f>
        <v>40.799999999999997</v>
      </c>
      <c r="Q478" s="224">
        <v>13.71</v>
      </c>
      <c r="R478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13.714285714285715</v>
      </c>
      <c r="U478" s="224"/>
      <c r="V478" s="224"/>
    </row>
    <row r="479" spans="1:22" ht="12.75" x14ac:dyDescent="0.2">
      <c r="A479" s="225">
        <v>42933</v>
      </c>
      <c r="B479" s="224" t="s">
        <v>218</v>
      </c>
      <c r="C479" s="224" t="s">
        <v>219</v>
      </c>
      <c r="D479" s="224" t="s">
        <v>220</v>
      </c>
      <c r="E479" s="226"/>
      <c r="G479" s="224" t="s">
        <v>1</v>
      </c>
      <c r="H479" s="224" t="s">
        <v>196</v>
      </c>
      <c r="I479" s="224" t="s">
        <v>60</v>
      </c>
      <c r="J479" s="224">
        <v>20</v>
      </c>
      <c r="K479" s="227">
        <f t="array" ref="K479">IFERROR(INDEX([1]Grille_Tarifs_Modulable!$B$2:$B$204,MATCH(Tableau14[[#This Row],[Designation]]&amp;Tableau14[[#This Row],[CL]],[1]Grille_Tarifs_Modulable!$C$2:$C$204&amp;[1]Grille_Tarifs_Modulable!$F$2:$F$204,0)),0)</f>
        <v>4260310553832</v>
      </c>
      <c r="L479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0.81</v>
      </c>
      <c r="M479" s="228">
        <f>IF(Tableau14[[#This Row],[Prix_Unit_HT]]=0,0,Tableau14[[#This Row],[Prix_Unit_HT]]+(Tableau14[[#This Row],[Prix_Unit_HT]]*VLOOKUP(Tableau14[[#This Row],[EAN]],[1]Grille_Tarifs_Modulable!$B$10:$Q$204,16,FALSE)))</f>
        <v>0.85455000000000003</v>
      </c>
      <c r="N479" s="224">
        <v>120</v>
      </c>
      <c r="O479" s="228">
        <f>ROUND(Tableau14[[#This Row],[Prix_Unit_HT]],2)*Tableau14[[#This Row],[Qte_commande]]</f>
        <v>97.2</v>
      </c>
      <c r="P479" s="228">
        <f>ROUND(Tableau14[[#This Row],[Prix_Unit_TTC]],2)*Tableau14[[#This Row],[Qte_commande]]</f>
        <v>102</v>
      </c>
      <c r="Q479" s="224">
        <v>34.29</v>
      </c>
      <c r="R479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34.285714285714285</v>
      </c>
      <c r="U479" s="224"/>
      <c r="V479" s="224"/>
    </row>
    <row r="480" spans="1:22" ht="12.75" x14ac:dyDescent="0.2">
      <c r="A480" s="225">
        <v>42933</v>
      </c>
      <c r="B480" s="224" t="s">
        <v>221</v>
      </c>
      <c r="C480" s="224" t="s">
        <v>198</v>
      </c>
      <c r="D480" s="224" t="s">
        <v>199</v>
      </c>
      <c r="E480" s="226"/>
      <c r="G480" s="224" t="s">
        <v>1</v>
      </c>
      <c r="H480" s="224" t="s">
        <v>289</v>
      </c>
      <c r="I480" s="224" t="s">
        <v>15</v>
      </c>
      <c r="J480" s="224">
        <v>70</v>
      </c>
      <c r="K480" s="227">
        <f t="array" ref="K480">IFERROR(INDEX([1]Grille_Tarifs_Modulable!$B$2:$B$204,MATCH(Tableau14[[#This Row],[Designation]]&amp;Tableau14[[#This Row],[CL]],[1]Grille_Tarifs_Modulable!$C$2:$C$204&amp;[1]Grille_Tarifs_Modulable!$F$2:$F$204,0)),0)</f>
        <v>4067700013859</v>
      </c>
      <c r="L480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12.532563499999998</v>
      </c>
      <c r="M480" s="228">
        <f>IF(Tableau14[[#This Row],[Prix_Unit_HT]]=0,0,Tableau14[[#This Row],[Prix_Unit_HT]]+(Tableau14[[#This Row],[Prix_Unit_HT]]*VLOOKUP(Tableau14[[#This Row],[EAN]],[1]Grille_Tarifs_Modulable!$B$10:$Q$204,16,FALSE)))</f>
        <v>15.039076199999998</v>
      </c>
      <c r="N480" s="224">
        <v>12</v>
      </c>
      <c r="O480" s="228">
        <f>ROUND(Tableau14[[#This Row],[Prix_Unit_HT]],2)*Tableau14[[#This Row],[Qte_commande]]</f>
        <v>150.35999999999999</v>
      </c>
      <c r="P480" s="228">
        <f>ROUND(Tableau14[[#This Row],[Prix_Unit_TTC]],2)*Tableau14[[#This Row],[Qte_commande]]</f>
        <v>180.48</v>
      </c>
      <c r="Q480" s="224">
        <v>12</v>
      </c>
      <c r="R480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12.000000000000002</v>
      </c>
      <c r="U480" s="224"/>
      <c r="V480" s="224"/>
    </row>
    <row r="481" spans="1:22" ht="12.75" x14ac:dyDescent="0.2">
      <c r="A481" s="225">
        <v>42933</v>
      </c>
      <c r="B481" s="224" t="s">
        <v>221</v>
      </c>
      <c r="C481" s="224" t="s">
        <v>198</v>
      </c>
      <c r="D481" s="224" t="s">
        <v>199</v>
      </c>
      <c r="E481" s="226"/>
      <c r="G481" s="224" t="s">
        <v>1</v>
      </c>
      <c r="H481" s="224" t="s">
        <v>289</v>
      </c>
      <c r="I481" s="224" t="s">
        <v>15</v>
      </c>
      <c r="J481" s="224">
        <v>100</v>
      </c>
      <c r="K481" s="227">
        <f t="array" ref="K481">IFERROR(INDEX([1]Grille_Tarifs_Modulable!$B$2:$B$204,MATCH(Tableau14[[#This Row],[Designation]]&amp;Tableau14[[#This Row],[CL]],[1]Grille_Tarifs_Modulable!$C$2:$C$204&amp;[1]Grille_Tarifs_Modulable!$F$2:$F$204,0)),0)</f>
        <v>4067700013842</v>
      </c>
      <c r="L481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17.100804999999998</v>
      </c>
      <c r="M481" s="228">
        <f>IF(Tableau14[[#This Row],[Prix_Unit_HT]]=0,0,Tableau14[[#This Row],[Prix_Unit_HT]]+(Tableau14[[#This Row],[Prix_Unit_HT]]*VLOOKUP(Tableau14[[#This Row],[EAN]],[1]Grille_Tarifs_Modulable!$B$10:$Q$204,16,FALSE)))</f>
        <v>20.520965999999998</v>
      </c>
      <c r="N481" s="224">
        <v>12</v>
      </c>
      <c r="O481" s="228">
        <f>ROUND(Tableau14[[#This Row],[Prix_Unit_HT]],2)*Tableau14[[#This Row],[Qte_commande]]</f>
        <v>205.20000000000002</v>
      </c>
      <c r="P481" s="228">
        <f>ROUND(Tableau14[[#This Row],[Prix_Unit_TTC]],2)*Tableau14[[#This Row],[Qte_commande]]</f>
        <v>246.24</v>
      </c>
      <c r="Q481" s="224">
        <v>17.14</v>
      </c>
      <c r="R481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17.142857142857142</v>
      </c>
      <c r="U481" s="224"/>
      <c r="V481" s="224"/>
    </row>
    <row r="482" spans="1:22" ht="12.75" x14ac:dyDescent="0.2">
      <c r="A482" s="225">
        <v>42933</v>
      </c>
      <c r="B482" s="224" t="s">
        <v>221</v>
      </c>
      <c r="C482" s="224" t="s">
        <v>198</v>
      </c>
      <c r="D482" s="224" t="s">
        <v>199</v>
      </c>
      <c r="E482" s="226"/>
      <c r="G482" s="224" t="s">
        <v>1</v>
      </c>
      <c r="H482" s="224" t="s">
        <v>196</v>
      </c>
      <c r="I482" s="224" t="s">
        <v>66</v>
      </c>
      <c r="J482" s="224">
        <v>50</v>
      </c>
      <c r="K482" s="227">
        <f t="array" ref="K482">IFERROR(INDEX([1]Grille_Tarifs_Modulable!$B$2:$B$204,MATCH(Tableau14[[#This Row],[Designation]]&amp;Tableau14[[#This Row],[CL]],[1]Grille_Tarifs_Modulable!$C$2:$C$204&amp;[1]Grille_Tarifs_Modulable!$F$2:$F$204,0)),0)</f>
        <v>4260310553382</v>
      </c>
      <c r="L482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</v>
      </c>
      <c r="M482" s="228">
        <f>IF(Tableau14[[#This Row],[Prix_Unit_HT]]=0,0,Tableau14[[#This Row],[Prix_Unit_HT]]+(Tableau14[[#This Row],[Prix_Unit_HT]]*VLOOKUP(Tableau14[[#This Row],[EAN]],[1]Grille_Tarifs_Modulable!$B$10:$Q$204,16,FALSE)))</f>
        <v>1.0549999999999999</v>
      </c>
      <c r="N482" s="224">
        <v>800</v>
      </c>
      <c r="O482" s="228">
        <f>ROUND(Tableau14[[#This Row],[Prix_Unit_HT]],2)*Tableau14[[#This Row],[Qte_commande]]</f>
        <v>800</v>
      </c>
      <c r="P482" s="228">
        <f>ROUND(Tableau14[[#This Row],[Prix_Unit_TTC]],2)*Tableau14[[#This Row],[Qte_commande]]</f>
        <v>848</v>
      </c>
      <c r="Q482" s="224">
        <v>571.42999999999995</v>
      </c>
      <c r="R482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571.42857142857144</v>
      </c>
      <c r="U482" s="224"/>
      <c r="V482" s="224"/>
    </row>
    <row r="483" spans="1:22" ht="12.75" x14ac:dyDescent="0.2">
      <c r="A483" s="225">
        <v>42933</v>
      </c>
      <c r="B483" s="224" t="s">
        <v>221</v>
      </c>
      <c r="C483" s="224" t="s">
        <v>198</v>
      </c>
      <c r="D483" s="224" t="s">
        <v>199</v>
      </c>
      <c r="E483" s="226"/>
      <c r="G483" s="224" t="s">
        <v>1</v>
      </c>
      <c r="H483" s="224" t="s">
        <v>196</v>
      </c>
      <c r="I483" s="224" t="s">
        <v>64</v>
      </c>
      <c r="J483" s="224">
        <v>20</v>
      </c>
      <c r="K483" s="227">
        <f t="array" ref="K483">IFERROR(INDEX([1]Grille_Tarifs_Modulable!$B$2:$B$204,MATCH(Tableau14[[#This Row],[Designation]]&amp;Tableau14[[#This Row],[CL]],[1]Grille_Tarifs_Modulable!$C$2:$C$204&amp;[1]Grille_Tarifs_Modulable!$F$2:$F$204,0)),0)</f>
        <v>4260310553849</v>
      </c>
      <c r="L483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0.81</v>
      </c>
      <c r="M483" s="228">
        <f>IF(Tableau14[[#This Row],[Prix_Unit_HT]]=0,0,Tableau14[[#This Row],[Prix_Unit_HT]]+(Tableau14[[#This Row],[Prix_Unit_HT]]*VLOOKUP(Tableau14[[#This Row],[EAN]],[1]Grille_Tarifs_Modulable!$B$10:$Q$204,16,FALSE)))</f>
        <v>0.85455000000000003</v>
      </c>
      <c r="N483" s="224">
        <v>720</v>
      </c>
      <c r="O483" s="228">
        <f>ROUND(Tableau14[[#This Row],[Prix_Unit_HT]],2)*Tableau14[[#This Row],[Qte_commande]]</f>
        <v>583.20000000000005</v>
      </c>
      <c r="P483" s="228">
        <f>ROUND(Tableau14[[#This Row],[Prix_Unit_TTC]],2)*Tableau14[[#This Row],[Qte_commande]]</f>
        <v>612</v>
      </c>
      <c r="Q483" s="224">
        <v>205.71</v>
      </c>
      <c r="R483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205.71428571428572</v>
      </c>
      <c r="U483" s="224"/>
      <c r="V483" s="224"/>
    </row>
    <row r="484" spans="1:22" ht="12.75" x14ac:dyDescent="0.2">
      <c r="A484" s="225">
        <v>42936</v>
      </c>
      <c r="B484" s="224" t="s">
        <v>616</v>
      </c>
      <c r="C484" s="224" t="s">
        <v>194</v>
      </c>
      <c r="D484" s="224" t="s">
        <v>343</v>
      </c>
      <c r="E484" s="226"/>
      <c r="G484" s="224" t="s">
        <v>1</v>
      </c>
      <c r="H484" s="224" t="s">
        <v>289</v>
      </c>
      <c r="I484" s="224" t="s">
        <v>15</v>
      </c>
      <c r="J484" s="224">
        <v>175</v>
      </c>
      <c r="K484" s="227">
        <f t="array" ref="K484">IFERROR(INDEX([1]Grille_Tarifs_Modulable!$B$2:$B$204,MATCH(Tableau14[[#This Row],[Designation]]&amp;Tableau14[[#This Row],[CL]],[1]Grille_Tarifs_Modulable!$C$2:$C$204&amp;[1]Grille_Tarifs_Modulable!$F$2:$F$204,0)),0)</f>
        <v>4067700013835</v>
      </c>
      <c r="L484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28.916408750000002</v>
      </c>
      <c r="M484" s="228">
        <f>IF(Tableau14[[#This Row],[Prix_Unit_HT]]=0,0,Tableau14[[#This Row],[Prix_Unit_HT]]+(Tableau14[[#This Row],[Prix_Unit_HT]]*VLOOKUP(Tableau14[[#This Row],[EAN]],[1]Grille_Tarifs_Modulable!$B$10:$Q$204,16,FALSE)))</f>
        <v>34.699690500000003</v>
      </c>
      <c r="N484" s="224">
        <v>30</v>
      </c>
      <c r="O484" s="228">
        <f>ROUND(Tableau14[[#This Row],[Prix_Unit_HT]],2)*Tableau14[[#This Row],[Qte_commande]]</f>
        <v>867.6</v>
      </c>
      <c r="P484" s="228">
        <f>ROUND(Tableau14[[#This Row],[Prix_Unit_TTC]],2)*Tableau14[[#This Row],[Qte_commande]]</f>
        <v>1041</v>
      </c>
      <c r="Q484" s="224">
        <v>75</v>
      </c>
      <c r="R484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75</v>
      </c>
      <c r="U484" s="224"/>
      <c r="V484" s="224"/>
    </row>
    <row r="485" spans="1:22" ht="12.75" x14ac:dyDescent="0.2">
      <c r="A485" s="225">
        <v>42943</v>
      </c>
      <c r="B485" s="224" t="s">
        <v>222</v>
      </c>
      <c r="C485" s="224" t="s">
        <v>211</v>
      </c>
      <c r="D485" s="224" t="s">
        <v>212</v>
      </c>
      <c r="E485" s="226"/>
      <c r="G485" s="224" t="s">
        <v>1</v>
      </c>
      <c r="H485" s="224" t="s">
        <v>196</v>
      </c>
      <c r="I485" s="224" t="s">
        <v>62</v>
      </c>
      <c r="J485" s="224">
        <v>20</v>
      </c>
      <c r="K485" s="227">
        <f t="array" ref="K485">IFERROR(INDEX([1]Grille_Tarifs_Modulable!$B$2:$B$204,MATCH(Tableau14[[#This Row],[Designation]]&amp;Tableau14[[#This Row],[CL]],[1]Grille_Tarifs_Modulable!$C$2:$C$204&amp;[1]Grille_Tarifs_Modulable!$F$2:$F$204,0)),0)</f>
        <v>4260310550305</v>
      </c>
      <c r="L485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0.81</v>
      </c>
      <c r="M485" s="228">
        <f>IF(Tableau14[[#This Row],[Prix_Unit_HT]]=0,0,Tableau14[[#This Row],[Prix_Unit_HT]]+(Tableau14[[#This Row],[Prix_Unit_HT]]*VLOOKUP(Tableau14[[#This Row],[EAN]],[1]Grille_Tarifs_Modulable!$B$10:$Q$204,16,FALSE)))</f>
        <v>0.85455000000000003</v>
      </c>
      <c r="N485" s="224">
        <v>48</v>
      </c>
      <c r="O485" s="228">
        <f>ROUND(Tableau14[[#This Row],[Prix_Unit_HT]],2)*Tableau14[[#This Row],[Qte_commande]]</f>
        <v>38.880000000000003</v>
      </c>
      <c r="P485" s="228">
        <f>ROUND(Tableau14[[#This Row],[Prix_Unit_TTC]],2)*Tableau14[[#This Row],[Qte_commande]]</f>
        <v>40.799999999999997</v>
      </c>
      <c r="Q485" s="224">
        <v>13.71</v>
      </c>
      <c r="R485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13.714285714285715</v>
      </c>
      <c r="U485" s="224"/>
      <c r="V485" s="224"/>
    </row>
    <row r="486" spans="1:22" ht="12.75" x14ac:dyDescent="0.2">
      <c r="A486" s="225">
        <v>42943</v>
      </c>
      <c r="B486" s="224" t="s">
        <v>222</v>
      </c>
      <c r="C486" s="224" t="s">
        <v>211</v>
      </c>
      <c r="D486" s="224" t="s">
        <v>212</v>
      </c>
      <c r="E486" s="226"/>
      <c r="G486" s="224" t="s">
        <v>1</v>
      </c>
      <c r="H486" s="224" t="s">
        <v>289</v>
      </c>
      <c r="I486" s="224" t="s">
        <v>40</v>
      </c>
      <c r="J486" s="224">
        <v>10</v>
      </c>
      <c r="K486" s="227">
        <f t="array" ref="K486">IFERROR(INDEX([1]Grille_Tarifs_Modulable!$B$2:$B$204,MATCH(Tableau14[[#This Row],[Designation]]&amp;Tableau14[[#This Row],[CL]],[1]Grille_Tarifs_Modulable!$C$2:$C$204&amp;[1]Grille_Tarifs_Modulable!$F$2:$F$204,0)),0)</f>
        <v>3257150102314</v>
      </c>
      <c r="L486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15.276138</v>
      </c>
      <c r="M486" s="228">
        <f>IF(Tableau14[[#This Row],[Prix_Unit_HT]]=0,0,Tableau14[[#This Row],[Prix_Unit_HT]]+(Tableau14[[#This Row],[Prix_Unit_HT]]*VLOOKUP(Tableau14[[#This Row],[EAN]],[1]Grille_Tarifs_Modulable!$B$10:$Q$204,16,FALSE)))</f>
        <v>18.331365599999998</v>
      </c>
      <c r="N486" s="224">
        <v>6</v>
      </c>
      <c r="O486" s="228">
        <f>ROUND(Tableau14[[#This Row],[Prix_Unit_HT]],2)*Tableau14[[#This Row],[Qte_commande]]</f>
        <v>91.679999999999993</v>
      </c>
      <c r="P486" s="228">
        <f>ROUND(Tableau14[[#This Row],[Prix_Unit_TTC]],2)*Tableau14[[#This Row],[Qte_commande]]</f>
        <v>109.97999999999999</v>
      </c>
      <c r="Q486" s="224">
        <v>0.86</v>
      </c>
      <c r="R486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0.85714285714285721</v>
      </c>
      <c r="U486" s="224"/>
      <c r="V486" s="224"/>
    </row>
    <row r="487" spans="1:22" ht="12.75" x14ac:dyDescent="0.2">
      <c r="A487" s="225">
        <v>42943</v>
      </c>
      <c r="B487" s="224" t="s">
        <v>222</v>
      </c>
      <c r="C487" s="224" t="s">
        <v>211</v>
      </c>
      <c r="D487" s="224" t="s">
        <v>212</v>
      </c>
      <c r="E487" s="226"/>
      <c r="G487" s="224" t="s">
        <v>1</v>
      </c>
      <c r="H487" s="224" t="s">
        <v>289</v>
      </c>
      <c r="I487" s="224" t="s">
        <v>41</v>
      </c>
      <c r="J487" s="224">
        <v>10</v>
      </c>
      <c r="K487" s="227">
        <f t="array" ref="K487">IFERROR(INDEX([1]Grille_Tarifs_Modulable!$B$2:$B$204,MATCH(Tableau14[[#This Row],[Designation]]&amp;Tableau14[[#This Row],[CL]],[1]Grille_Tarifs_Modulable!$C$2:$C$204&amp;[1]Grille_Tarifs_Modulable!$F$2:$F$204,0)),0)</f>
        <v>3257150102284</v>
      </c>
      <c r="L487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20.666137999999997</v>
      </c>
      <c r="M487" s="228">
        <f>IF(Tableau14[[#This Row],[Prix_Unit_HT]]=0,0,Tableau14[[#This Row],[Prix_Unit_HT]]+(Tableau14[[#This Row],[Prix_Unit_HT]]*VLOOKUP(Tableau14[[#This Row],[EAN]],[1]Grille_Tarifs_Modulable!$B$10:$Q$204,16,FALSE)))</f>
        <v>24.799365599999994</v>
      </c>
      <c r="N487" s="224">
        <v>6</v>
      </c>
      <c r="O487" s="228">
        <f>ROUND(Tableau14[[#This Row],[Prix_Unit_HT]],2)*Tableau14[[#This Row],[Qte_commande]]</f>
        <v>124.02000000000001</v>
      </c>
      <c r="P487" s="228">
        <f>ROUND(Tableau14[[#This Row],[Prix_Unit_TTC]],2)*Tableau14[[#This Row],[Qte_commande]]</f>
        <v>148.80000000000001</v>
      </c>
      <c r="Q487" s="224">
        <v>0.86</v>
      </c>
      <c r="R487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0.85714285714285721</v>
      </c>
      <c r="U487" s="224"/>
      <c r="V487" s="224"/>
    </row>
    <row r="488" spans="1:22" ht="12.75" x14ac:dyDescent="0.2">
      <c r="A488" s="225">
        <v>42943</v>
      </c>
      <c r="B488" s="224" t="s">
        <v>222</v>
      </c>
      <c r="C488" s="224" t="s">
        <v>211</v>
      </c>
      <c r="D488" s="224" t="s">
        <v>212</v>
      </c>
      <c r="E488" s="226"/>
      <c r="G488" s="224" t="s">
        <v>1</v>
      </c>
      <c r="H488" s="224" t="s">
        <v>289</v>
      </c>
      <c r="I488" s="224" t="s">
        <v>44</v>
      </c>
      <c r="J488" s="224">
        <v>50</v>
      </c>
      <c r="K488" s="227">
        <f t="array" ref="K488">IFERROR(INDEX([1]Grille_Tarifs_Modulable!$B$2:$B$204,MATCH(Tableau14[[#This Row],[Designation]]&amp;Tableau14[[#This Row],[CL]],[1]Grille_Tarifs_Modulable!$C$2:$C$204&amp;[1]Grille_Tarifs_Modulable!$F$2:$F$204,0)),0)</f>
        <v>4260270192645</v>
      </c>
      <c r="L488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25.192506000000002</v>
      </c>
      <c r="M488" s="228">
        <f>IF(Tableau14[[#This Row],[Prix_Unit_HT]]=0,0,Tableau14[[#This Row],[Prix_Unit_HT]]+(Tableau14[[#This Row],[Prix_Unit_HT]]*VLOOKUP(Tableau14[[#This Row],[EAN]],[1]Grille_Tarifs_Modulable!$B$10:$Q$204,16,FALSE)))</f>
        <v>30.231007200000001</v>
      </c>
      <c r="N488" s="224">
        <v>6</v>
      </c>
      <c r="O488" s="228">
        <f>ROUND(Tableau14[[#This Row],[Prix_Unit_HT]],2)*Tableau14[[#This Row],[Qte_commande]]</f>
        <v>151.14000000000001</v>
      </c>
      <c r="P488" s="228">
        <f>ROUND(Tableau14[[#This Row],[Prix_Unit_TTC]],2)*Tableau14[[#This Row],[Qte_commande]]</f>
        <v>181.38</v>
      </c>
      <c r="Q488" s="224">
        <v>4.29</v>
      </c>
      <c r="R488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4.2857142857142856</v>
      </c>
      <c r="U488" s="224"/>
      <c r="V488" s="224"/>
    </row>
    <row r="489" spans="1:22" ht="12.75" x14ac:dyDescent="0.2">
      <c r="A489" s="225">
        <v>42943</v>
      </c>
      <c r="B489" s="224" t="s">
        <v>222</v>
      </c>
      <c r="C489" s="224" t="s">
        <v>211</v>
      </c>
      <c r="D489" s="224" t="s">
        <v>212</v>
      </c>
      <c r="E489" s="226"/>
      <c r="G489" s="224" t="s">
        <v>1</v>
      </c>
      <c r="H489" s="224" t="s">
        <v>196</v>
      </c>
      <c r="I489" s="224" t="s">
        <v>64</v>
      </c>
      <c r="J489" s="224">
        <v>20</v>
      </c>
      <c r="K489" s="227">
        <f t="array" ref="K489">IFERROR(INDEX([1]Grille_Tarifs_Modulable!$B$2:$B$204,MATCH(Tableau14[[#This Row],[Designation]]&amp;Tableau14[[#This Row],[CL]],[1]Grille_Tarifs_Modulable!$C$2:$C$204&amp;[1]Grille_Tarifs_Modulable!$F$2:$F$204,0)),0)</f>
        <v>4260310553849</v>
      </c>
      <c r="L489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0.81</v>
      </c>
      <c r="M489" s="228">
        <f>IF(Tableau14[[#This Row],[Prix_Unit_HT]]=0,0,Tableau14[[#This Row],[Prix_Unit_HT]]+(Tableau14[[#This Row],[Prix_Unit_HT]]*VLOOKUP(Tableau14[[#This Row],[EAN]],[1]Grille_Tarifs_Modulable!$B$10:$Q$204,16,FALSE)))</f>
        <v>0.85455000000000003</v>
      </c>
      <c r="N489" s="224">
        <v>240</v>
      </c>
      <c r="O489" s="228">
        <f>ROUND(Tableau14[[#This Row],[Prix_Unit_HT]],2)*Tableau14[[#This Row],[Qte_commande]]</f>
        <v>194.4</v>
      </c>
      <c r="P489" s="228">
        <f>ROUND(Tableau14[[#This Row],[Prix_Unit_TTC]],2)*Tableau14[[#This Row],[Qte_commande]]</f>
        <v>204</v>
      </c>
      <c r="Q489" s="224">
        <v>68.569999999999993</v>
      </c>
      <c r="R489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68.571428571428569</v>
      </c>
      <c r="U489" s="224"/>
      <c r="V489" s="224"/>
    </row>
    <row r="490" spans="1:22" ht="12.75" x14ac:dyDescent="0.2">
      <c r="A490" s="225">
        <v>42949</v>
      </c>
      <c r="B490" s="224" t="s">
        <v>617</v>
      </c>
      <c r="C490" s="224" t="s">
        <v>557</v>
      </c>
      <c r="D490" s="224" t="s">
        <v>558</v>
      </c>
      <c r="E490" s="226"/>
      <c r="G490" s="224" t="s">
        <v>1</v>
      </c>
      <c r="H490" s="224" t="s">
        <v>289</v>
      </c>
      <c r="I490" s="224" t="s">
        <v>15</v>
      </c>
      <c r="J490" s="224">
        <v>70</v>
      </c>
      <c r="K490" s="227">
        <f t="array" ref="K490">IFERROR(INDEX([1]Grille_Tarifs_Modulable!$B$2:$B$204,MATCH(Tableau14[[#This Row],[Designation]]&amp;Tableau14[[#This Row],[CL]],[1]Grille_Tarifs_Modulable!$C$2:$C$204&amp;[1]Grille_Tarifs_Modulable!$F$2:$F$204,0)),0)</f>
        <v>4067700013859</v>
      </c>
      <c r="L490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12.532563499999998</v>
      </c>
      <c r="M490" s="228">
        <f>IF(Tableau14[[#This Row],[Prix_Unit_HT]]=0,0,Tableau14[[#This Row],[Prix_Unit_HT]]+(Tableau14[[#This Row],[Prix_Unit_HT]]*VLOOKUP(Tableau14[[#This Row],[EAN]],[1]Grille_Tarifs_Modulable!$B$10:$Q$204,16,FALSE)))</f>
        <v>15.039076199999998</v>
      </c>
      <c r="N490" s="224">
        <v>480</v>
      </c>
      <c r="O490" s="228">
        <f>ROUND(Tableau14[[#This Row],[Prix_Unit_HT]],2)*Tableau14[[#This Row],[Qte_commande]]</f>
        <v>6014.4</v>
      </c>
      <c r="P490" s="228">
        <f>ROUND(Tableau14[[#This Row],[Prix_Unit_TTC]],2)*Tableau14[[#This Row],[Qte_commande]]</f>
        <v>7219.2</v>
      </c>
      <c r="Q490" s="224">
        <v>480</v>
      </c>
      <c r="R490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480.00000000000006</v>
      </c>
      <c r="U490" s="224"/>
      <c r="V490" s="224"/>
    </row>
    <row r="491" spans="1:22" ht="12.75" x14ac:dyDescent="0.2">
      <c r="A491" s="225">
        <v>42954</v>
      </c>
      <c r="B491" s="224" t="s">
        <v>353</v>
      </c>
      <c r="C491" s="224" t="s">
        <v>262</v>
      </c>
      <c r="D491" s="224" t="s">
        <v>180</v>
      </c>
      <c r="E491" s="226"/>
      <c r="G491" s="224" t="s">
        <v>13</v>
      </c>
      <c r="H491" s="224" t="s">
        <v>196</v>
      </c>
      <c r="I491" s="224" t="s">
        <v>65</v>
      </c>
      <c r="J491" s="224">
        <v>20</v>
      </c>
      <c r="K491" s="227">
        <f t="array" ref="K491">IFERROR(INDEX([1]Grille_Tarifs_Modulable!$B$2:$B$204,MATCH(Tableau14[[#This Row],[Designation]]&amp;Tableau14[[#This Row],[CL]],[1]Grille_Tarifs_Modulable!$C$2:$C$204&amp;[1]Grille_Tarifs_Modulable!$F$2:$F$204,0)),0)</f>
        <v>4260310553863</v>
      </c>
      <c r="L491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0.89</v>
      </c>
      <c r="M491" s="228">
        <f>IF(Tableau14[[#This Row],[Prix_Unit_HT]]=0,0,Tableau14[[#This Row],[Prix_Unit_HT]]+(Tableau14[[#This Row],[Prix_Unit_HT]]*VLOOKUP(Tableau14[[#This Row],[EAN]],[1]Grille_Tarifs_Modulable!$B$10:$Q$204,16,FALSE)))</f>
        <v>0.93895000000000006</v>
      </c>
      <c r="N491" s="224">
        <v>48</v>
      </c>
      <c r="O491" s="228">
        <f>ROUND(Tableau14[[#This Row],[Prix_Unit_HT]],2)*Tableau14[[#This Row],[Qte_commande]]</f>
        <v>42.72</v>
      </c>
      <c r="P491" s="228">
        <f>ROUND(Tableau14[[#This Row],[Prix_Unit_TTC]],2)*Tableau14[[#This Row],[Qte_commande]]</f>
        <v>45.12</v>
      </c>
      <c r="Q491" s="224">
        <v>13.71</v>
      </c>
      <c r="R491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13.714285714285715</v>
      </c>
      <c r="U491" s="224"/>
      <c r="V491" s="224"/>
    </row>
    <row r="492" spans="1:22" ht="12.75" x14ac:dyDescent="0.2">
      <c r="A492" s="225">
        <v>42954</v>
      </c>
      <c r="B492" s="224" t="s">
        <v>353</v>
      </c>
      <c r="C492" s="224" t="s">
        <v>262</v>
      </c>
      <c r="D492" s="224" t="s">
        <v>180</v>
      </c>
      <c r="E492" s="226"/>
      <c r="G492" s="224" t="s">
        <v>13</v>
      </c>
      <c r="H492" s="224" t="s">
        <v>196</v>
      </c>
      <c r="I492" s="224" t="s">
        <v>64</v>
      </c>
      <c r="J492" s="224">
        <v>20</v>
      </c>
      <c r="K492" s="227">
        <f t="array" ref="K492">IFERROR(INDEX([1]Grille_Tarifs_Modulable!$B$2:$B$204,MATCH(Tableau14[[#This Row],[Designation]]&amp;Tableau14[[#This Row],[CL]],[1]Grille_Tarifs_Modulable!$C$2:$C$204&amp;[1]Grille_Tarifs_Modulable!$F$2:$F$204,0)),0)</f>
        <v>4260310553849</v>
      </c>
      <c r="L492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0.89</v>
      </c>
      <c r="M492" s="228">
        <f>IF(Tableau14[[#This Row],[Prix_Unit_HT]]=0,0,Tableau14[[#This Row],[Prix_Unit_HT]]+(Tableau14[[#This Row],[Prix_Unit_HT]]*VLOOKUP(Tableau14[[#This Row],[EAN]],[1]Grille_Tarifs_Modulable!$B$10:$Q$204,16,FALSE)))</f>
        <v>0.93895000000000006</v>
      </c>
      <c r="N492" s="224">
        <v>72</v>
      </c>
      <c r="O492" s="228">
        <f>ROUND(Tableau14[[#This Row],[Prix_Unit_HT]],2)*Tableau14[[#This Row],[Qte_commande]]</f>
        <v>64.08</v>
      </c>
      <c r="P492" s="228">
        <f>ROUND(Tableau14[[#This Row],[Prix_Unit_TTC]],2)*Tableau14[[#This Row],[Qte_commande]]</f>
        <v>67.679999999999993</v>
      </c>
      <c r="Q492" s="224">
        <v>20.57</v>
      </c>
      <c r="R492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20.571428571428573</v>
      </c>
      <c r="U492" s="224"/>
      <c r="V492" s="224"/>
    </row>
    <row r="493" spans="1:22" ht="12.75" x14ac:dyDescent="0.2">
      <c r="A493" s="225">
        <v>42955</v>
      </c>
      <c r="B493" s="224" t="s">
        <v>223</v>
      </c>
      <c r="C493" s="224" t="s">
        <v>198</v>
      </c>
      <c r="D493" s="224" t="s">
        <v>199</v>
      </c>
      <c r="E493" s="226"/>
      <c r="G493" s="224" t="s">
        <v>1</v>
      </c>
      <c r="H493" s="224" t="s">
        <v>196</v>
      </c>
      <c r="I493" s="224" t="s">
        <v>62</v>
      </c>
      <c r="J493" s="224">
        <v>20</v>
      </c>
      <c r="K493" s="227">
        <f t="array" ref="K493">IFERROR(INDEX([1]Grille_Tarifs_Modulable!$B$2:$B$204,MATCH(Tableau14[[#This Row],[Designation]]&amp;Tableau14[[#This Row],[CL]],[1]Grille_Tarifs_Modulable!$C$2:$C$204&amp;[1]Grille_Tarifs_Modulable!$F$2:$F$204,0)),0)</f>
        <v>4260310550305</v>
      </c>
      <c r="L493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0.81</v>
      </c>
      <c r="M493" s="228">
        <f>IF(Tableau14[[#This Row],[Prix_Unit_HT]]=0,0,Tableau14[[#This Row],[Prix_Unit_HT]]+(Tableau14[[#This Row],[Prix_Unit_HT]]*VLOOKUP(Tableau14[[#This Row],[EAN]],[1]Grille_Tarifs_Modulable!$B$10:$Q$204,16,FALSE)))</f>
        <v>0.85455000000000003</v>
      </c>
      <c r="N493" s="224">
        <v>24</v>
      </c>
      <c r="O493" s="228">
        <f>ROUND(Tableau14[[#This Row],[Prix_Unit_HT]],2)*Tableau14[[#This Row],[Qte_commande]]</f>
        <v>19.440000000000001</v>
      </c>
      <c r="P493" s="228">
        <f>ROUND(Tableau14[[#This Row],[Prix_Unit_TTC]],2)*Tableau14[[#This Row],[Qte_commande]]</f>
        <v>20.399999999999999</v>
      </c>
      <c r="Q493" s="224">
        <v>6.86</v>
      </c>
      <c r="R493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6.8571428571428577</v>
      </c>
      <c r="U493" s="224"/>
      <c r="V493" s="224"/>
    </row>
    <row r="494" spans="1:22" ht="12.75" x14ac:dyDescent="0.2">
      <c r="A494" s="225">
        <v>42955</v>
      </c>
      <c r="B494" s="224" t="s">
        <v>223</v>
      </c>
      <c r="C494" s="224" t="s">
        <v>198</v>
      </c>
      <c r="D494" s="224" t="s">
        <v>199</v>
      </c>
      <c r="E494" s="226"/>
      <c r="G494" s="224" t="s">
        <v>1</v>
      </c>
      <c r="H494" s="224" t="s">
        <v>196</v>
      </c>
      <c r="I494" s="224" t="s">
        <v>63</v>
      </c>
      <c r="J494" s="224">
        <v>20</v>
      </c>
      <c r="K494" s="227">
        <f t="array" ref="K494">IFERROR(INDEX([1]Grille_Tarifs_Modulable!$B$2:$B$204,MATCH(Tableau14[[#This Row],[Designation]]&amp;Tableau14[[#This Row],[CL]],[1]Grille_Tarifs_Modulable!$C$2:$C$204&amp;[1]Grille_Tarifs_Modulable!$F$2:$F$204,0)),0)</f>
        <v>4260310552941</v>
      </c>
      <c r="L494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0.81</v>
      </c>
      <c r="M494" s="228">
        <f>IF(Tableau14[[#This Row],[Prix_Unit_HT]]=0,0,Tableau14[[#This Row],[Prix_Unit_HT]]+(Tableau14[[#This Row],[Prix_Unit_HT]]*VLOOKUP(Tableau14[[#This Row],[EAN]],[1]Grille_Tarifs_Modulable!$B$10:$Q$204,16,FALSE)))</f>
        <v>0.85455000000000003</v>
      </c>
      <c r="N494" s="224">
        <v>24</v>
      </c>
      <c r="O494" s="228">
        <f>ROUND(Tableau14[[#This Row],[Prix_Unit_HT]],2)*Tableau14[[#This Row],[Qte_commande]]</f>
        <v>19.440000000000001</v>
      </c>
      <c r="P494" s="228">
        <f>ROUND(Tableau14[[#This Row],[Prix_Unit_TTC]],2)*Tableau14[[#This Row],[Qte_commande]]</f>
        <v>20.399999999999999</v>
      </c>
      <c r="Q494" s="224">
        <v>6.86</v>
      </c>
      <c r="R494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6.8571428571428577</v>
      </c>
      <c r="U494" s="224"/>
      <c r="V494" s="224"/>
    </row>
    <row r="495" spans="1:22" ht="12.75" x14ac:dyDescent="0.2">
      <c r="A495" s="225">
        <v>42955</v>
      </c>
      <c r="B495" s="224" t="s">
        <v>618</v>
      </c>
      <c r="C495" s="224" t="s">
        <v>530</v>
      </c>
      <c r="D495" s="224" t="s">
        <v>531</v>
      </c>
      <c r="E495" s="226"/>
      <c r="G495" s="224" t="s">
        <v>1</v>
      </c>
      <c r="H495" s="224" t="s">
        <v>289</v>
      </c>
      <c r="I495" s="224" t="s">
        <v>15</v>
      </c>
      <c r="J495" s="224">
        <v>70</v>
      </c>
      <c r="K495" s="227">
        <f t="array" ref="K495">IFERROR(INDEX([1]Grille_Tarifs_Modulable!$B$2:$B$204,MATCH(Tableau14[[#This Row],[Designation]]&amp;Tableau14[[#This Row],[CL]],[1]Grille_Tarifs_Modulable!$C$2:$C$204&amp;[1]Grille_Tarifs_Modulable!$F$2:$F$204,0)),0)</f>
        <v>4067700013859</v>
      </c>
      <c r="L495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12.532563499999998</v>
      </c>
      <c r="M495" s="228">
        <f>IF(Tableau14[[#This Row],[Prix_Unit_HT]]=0,0,Tableau14[[#This Row],[Prix_Unit_HT]]+(Tableau14[[#This Row],[Prix_Unit_HT]]*VLOOKUP(Tableau14[[#This Row],[EAN]],[1]Grille_Tarifs_Modulable!$B$10:$Q$204,16,FALSE)))</f>
        <v>15.039076199999998</v>
      </c>
      <c r="N495" s="224">
        <v>150</v>
      </c>
      <c r="O495" s="228">
        <f>ROUND(Tableau14[[#This Row],[Prix_Unit_HT]],2)*Tableau14[[#This Row],[Qte_commande]]</f>
        <v>1879.5</v>
      </c>
      <c r="P495" s="228">
        <f>ROUND(Tableau14[[#This Row],[Prix_Unit_TTC]],2)*Tableau14[[#This Row],[Qte_commande]]</f>
        <v>2256</v>
      </c>
      <c r="Q495" s="224">
        <v>150</v>
      </c>
      <c r="R495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150</v>
      </c>
      <c r="U495" s="224"/>
      <c r="V495" s="224"/>
    </row>
    <row r="496" spans="1:22" ht="12.75" x14ac:dyDescent="0.2">
      <c r="A496" s="225">
        <v>42955</v>
      </c>
      <c r="B496" s="224" t="s">
        <v>223</v>
      </c>
      <c r="C496" s="224" t="s">
        <v>198</v>
      </c>
      <c r="D496" s="224" t="s">
        <v>199</v>
      </c>
      <c r="E496" s="226"/>
      <c r="G496" s="224" t="s">
        <v>1</v>
      </c>
      <c r="H496" s="224" t="s">
        <v>289</v>
      </c>
      <c r="I496" s="224" t="s">
        <v>15</v>
      </c>
      <c r="J496" s="224">
        <v>70</v>
      </c>
      <c r="K496" s="227">
        <f t="array" ref="K496">IFERROR(INDEX([1]Grille_Tarifs_Modulable!$B$2:$B$204,MATCH(Tableau14[[#This Row],[Designation]]&amp;Tableau14[[#This Row],[CL]],[1]Grille_Tarifs_Modulable!$C$2:$C$204&amp;[1]Grille_Tarifs_Modulable!$F$2:$F$204,0)),0)</f>
        <v>4067700013859</v>
      </c>
      <c r="L496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12.532563499999998</v>
      </c>
      <c r="M496" s="228">
        <f>IF(Tableau14[[#This Row],[Prix_Unit_HT]]=0,0,Tableau14[[#This Row],[Prix_Unit_HT]]+(Tableau14[[#This Row],[Prix_Unit_HT]]*VLOOKUP(Tableau14[[#This Row],[EAN]],[1]Grille_Tarifs_Modulable!$B$10:$Q$204,16,FALSE)))</f>
        <v>15.039076199999998</v>
      </c>
      <c r="N496" s="224">
        <v>24</v>
      </c>
      <c r="O496" s="228">
        <f>ROUND(Tableau14[[#This Row],[Prix_Unit_HT]],2)*Tableau14[[#This Row],[Qte_commande]]</f>
        <v>300.71999999999997</v>
      </c>
      <c r="P496" s="228">
        <f>ROUND(Tableau14[[#This Row],[Prix_Unit_TTC]],2)*Tableau14[[#This Row],[Qte_commande]]</f>
        <v>360.96</v>
      </c>
      <c r="Q496" s="224">
        <v>24</v>
      </c>
      <c r="R496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24.000000000000004</v>
      </c>
      <c r="U496" s="224"/>
      <c r="V496" s="224"/>
    </row>
    <row r="497" spans="1:22" ht="12.75" x14ac:dyDescent="0.2">
      <c r="A497" s="225">
        <v>42955</v>
      </c>
      <c r="B497" s="224" t="s">
        <v>223</v>
      </c>
      <c r="C497" s="224" t="s">
        <v>198</v>
      </c>
      <c r="D497" s="224" t="s">
        <v>199</v>
      </c>
      <c r="E497" s="226"/>
      <c r="G497" s="224" t="s">
        <v>1</v>
      </c>
      <c r="H497" s="224" t="s">
        <v>289</v>
      </c>
      <c r="I497" s="224" t="s">
        <v>15</v>
      </c>
      <c r="J497" s="224">
        <v>100</v>
      </c>
      <c r="K497" s="227">
        <f t="array" ref="K497">IFERROR(INDEX([1]Grille_Tarifs_Modulable!$B$2:$B$204,MATCH(Tableau14[[#This Row],[Designation]]&amp;Tableau14[[#This Row],[CL]],[1]Grille_Tarifs_Modulable!$C$2:$C$204&amp;[1]Grille_Tarifs_Modulable!$F$2:$F$204,0)),0)</f>
        <v>4067700013842</v>
      </c>
      <c r="L497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17.100804999999998</v>
      </c>
      <c r="M497" s="228">
        <f>IF(Tableau14[[#This Row],[Prix_Unit_HT]]=0,0,Tableau14[[#This Row],[Prix_Unit_HT]]+(Tableau14[[#This Row],[Prix_Unit_HT]]*VLOOKUP(Tableau14[[#This Row],[EAN]],[1]Grille_Tarifs_Modulable!$B$10:$Q$204,16,FALSE)))</f>
        <v>20.520965999999998</v>
      </c>
      <c r="N497" s="224">
        <v>12</v>
      </c>
      <c r="O497" s="228">
        <f>ROUND(Tableau14[[#This Row],[Prix_Unit_HT]],2)*Tableau14[[#This Row],[Qte_commande]]</f>
        <v>205.20000000000002</v>
      </c>
      <c r="P497" s="228">
        <f>ROUND(Tableau14[[#This Row],[Prix_Unit_TTC]],2)*Tableau14[[#This Row],[Qte_commande]]</f>
        <v>246.24</v>
      </c>
      <c r="Q497" s="224">
        <v>17.14</v>
      </c>
      <c r="R497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17.142857142857142</v>
      </c>
      <c r="U497" s="224"/>
      <c r="V497" s="224"/>
    </row>
    <row r="498" spans="1:22" ht="12.75" x14ac:dyDescent="0.2">
      <c r="A498" s="225">
        <v>42955</v>
      </c>
      <c r="B498" s="224" t="s">
        <v>619</v>
      </c>
      <c r="C498" s="224" t="s">
        <v>539</v>
      </c>
      <c r="D498" s="224" t="s">
        <v>540</v>
      </c>
      <c r="E498" s="226"/>
      <c r="G498" s="224" t="s">
        <v>1</v>
      </c>
      <c r="H498" s="224" t="s">
        <v>289</v>
      </c>
      <c r="I498" s="224" t="s">
        <v>15</v>
      </c>
      <c r="J498" s="224">
        <v>70</v>
      </c>
      <c r="K498" s="227">
        <f t="array" ref="K498">IFERROR(INDEX([1]Grille_Tarifs_Modulable!$B$2:$B$204,MATCH(Tableau14[[#This Row],[Designation]]&amp;Tableau14[[#This Row],[CL]],[1]Grille_Tarifs_Modulable!$C$2:$C$204&amp;[1]Grille_Tarifs_Modulable!$F$2:$F$204,0)),0)</f>
        <v>4067700013859</v>
      </c>
      <c r="L498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12.532563499999998</v>
      </c>
      <c r="M498" s="228">
        <f>IF(Tableau14[[#This Row],[Prix_Unit_HT]]=0,0,Tableau14[[#This Row],[Prix_Unit_HT]]+(Tableau14[[#This Row],[Prix_Unit_HT]]*VLOOKUP(Tableau14[[#This Row],[EAN]],[1]Grille_Tarifs_Modulable!$B$10:$Q$204,16,FALSE)))</f>
        <v>15.039076199999998</v>
      </c>
      <c r="N498" s="224">
        <v>120</v>
      </c>
      <c r="O498" s="228">
        <f>ROUND(Tableau14[[#This Row],[Prix_Unit_HT]],2)*Tableau14[[#This Row],[Qte_commande]]</f>
        <v>1503.6</v>
      </c>
      <c r="P498" s="228">
        <f>ROUND(Tableau14[[#This Row],[Prix_Unit_TTC]],2)*Tableau14[[#This Row],[Qte_commande]]</f>
        <v>1804.8</v>
      </c>
      <c r="Q498" s="224">
        <v>120</v>
      </c>
      <c r="R498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120.00000000000001</v>
      </c>
      <c r="U498" s="224"/>
      <c r="V498" s="224"/>
    </row>
    <row r="499" spans="1:22" ht="12.75" x14ac:dyDescent="0.2">
      <c r="A499" s="225">
        <v>42955</v>
      </c>
      <c r="B499" s="224" t="s">
        <v>223</v>
      </c>
      <c r="C499" s="224" t="s">
        <v>198</v>
      </c>
      <c r="D499" s="224" t="s">
        <v>199</v>
      </c>
      <c r="E499" s="226"/>
      <c r="G499" s="224" t="s">
        <v>1</v>
      </c>
      <c r="H499" s="224" t="s">
        <v>196</v>
      </c>
      <c r="I499" s="224" t="s">
        <v>66</v>
      </c>
      <c r="J499" s="224">
        <v>50</v>
      </c>
      <c r="K499" s="227">
        <f t="array" ref="K499">IFERROR(INDEX([1]Grille_Tarifs_Modulable!$B$2:$B$204,MATCH(Tableau14[[#This Row],[Designation]]&amp;Tableau14[[#This Row],[CL]],[1]Grille_Tarifs_Modulable!$C$2:$C$204&amp;[1]Grille_Tarifs_Modulable!$F$2:$F$204,0)),0)</f>
        <v>4260310553382</v>
      </c>
      <c r="L499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</v>
      </c>
      <c r="M499" s="228">
        <f>IF(Tableau14[[#This Row],[Prix_Unit_HT]]=0,0,Tableau14[[#This Row],[Prix_Unit_HT]]+(Tableau14[[#This Row],[Prix_Unit_HT]]*VLOOKUP(Tableau14[[#This Row],[EAN]],[1]Grille_Tarifs_Modulable!$B$10:$Q$204,16,FALSE)))</f>
        <v>1.0549999999999999</v>
      </c>
      <c r="N499" s="224">
        <v>200</v>
      </c>
      <c r="O499" s="228">
        <f>ROUND(Tableau14[[#This Row],[Prix_Unit_HT]],2)*Tableau14[[#This Row],[Qte_commande]]</f>
        <v>200</v>
      </c>
      <c r="P499" s="228">
        <f>ROUND(Tableau14[[#This Row],[Prix_Unit_TTC]],2)*Tableau14[[#This Row],[Qte_commande]]</f>
        <v>212</v>
      </c>
      <c r="Q499" s="224">
        <v>142.86000000000001</v>
      </c>
      <c r="R499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142.85714285714286</v>
      </c>
      <c r="U499" s="224"/>
      <c r="V499" s="224"/>
    </row>
    <row r="500" spans="1:22" ht="12.75" x14ac:dyDescent="0.2">
      <c r="A500" s="225">
        <v>42955</v>
      </c>
      <c r="B500" s="224" t="s">
        <v>223</v>
      </c>
      <c r="C500" s="224" t="s">
        <v>198</v>
      </c>
      <c r="D500" s="224" t="s">
        <v>199</v>
      </c>
      <c r="E500" s="226"/>
      <c r="G500" s="224" t="s">
        <v>1</v>
      </c>
      <c r="H500" s="224" t="s">
        <v>289</v>
      </c>
      <c r="I500" s="224" t="s">
        <v>42</v>
      </c>
      <c r="J500" s="224">
        <v>70</v>
      </c>
      <c r="K500" s="227">
        <f t="array" ref="K500">IFERROR(INDEX([1]Grille_Tarifs_Modulable!$B$2:$B$204,MATCH(Tableau14[[#This Row],[Designation]]&amp;Tableau14[[#This Row],[CL]],[1]Grille_Tarifs_Modulable!$C$2:$C$204&amp;[1]Grille_Tarifs_Modulable!$F$2:$F$204,0)),0)</f>
        <v>3257150688009</v>
      </c>
      <c r="L500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12.556915199999999</v>
      </c>
      <c r="M500" s="228">
        <f>IF(Tableau14[[#This Row],[Prix_Unit_HT]]=0,0,Tableau14[[#This Row],[Prix_Unit_HT]]+(Tableau14[[#This Row],[Prix_Unit_HT]]*VLOOKUP(Tableau14[[#This Row],[EAN]],[1]Grille_Tarifs_Modulable!$B$10:$Q$204,16,FALSE)))</f>
        <v>15.068298239999999</v>
      </c>
      <c r="N500" s="224">
        <v>6</v>
      </c>
      <c r="O500" s="228">
        <f>ROUND(Tableau14[[#This Row],[Prix_Unit_HT]],2)*Tableau14[[#This Row],[Qte_commande]]</f>
        <v>75.36</v>
      </c>
      <c r="P500" s="228">
        <f>ROUND(Tableau14[[#This Row],[Prix_Unit_TTC]],2)*Tableau14[[#This Row],[Qte_commande]]</f>
        <v>90.42</v>
      </c>
      <c r="Q500" s="224">
        <v>6</v>
      </c>
      <c r="R500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6.0000000000000009</v>
      </c>
      <c r="U500" s="224"/>
      <c r="V500" s="224"/>
    </row>
    <row r="501" spans="1:22" ht="12.75" x14ac:dyDescent="0.2">
      <c r="A501" s="225">
        <v>42955</v>
      </c>
      <c r="B501" s="224" t="s">
        <v>223</v>
      </c>
      <c r="C501" s="224" t="s">
        <v>198</v>
      </c>
      <c r="D501" s="224" t="s">
        <v>199</v>
      </c>
      <c r="E501" s="226"/>
      <c r="G501" s="224" t="s">
        <v>1</v>
      </c>
      <c r="H501" s="224" t="s">
        <v>196</v>
      </c>
      <c r="I501" s="224" t="s">
        <v>64</v>
      </c>
      <c r="J501" s="224">
        <v>20</v>
      </c>
      <c r="K501" s="227">
        <f t="array" ref="K501">IFERROR(INDEX([1]Grille_Tarifs_Modulable!$B$2:$B$204,MATCH(Tableau14[[#This Row],[Designation]]&amp;Tableau14[[#This Row],[CL]],[1]Grille_Tarifs_Modulable!$C$2:$C$204&amp;[1]Grille_Tarifs_Modulable!$F$2:$F$204,0)),0)</f>
        <v>4260310553849</v>
      </c>
      <c r="L501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0.81</v>
      </c>
      <c r="M501" s="228">
        <f>IF(Tableau14[[#This Row],[Prix_Unit_HT]]=0,0,Tableau14[[#This Row],[Prix_Unit_HT]]+(Tableau14[[#This Row],[Prix_Unit_HT]]*VLOOKUP(Tableau14[[#This Row],[EAN]],[1]Grille_Tarifs_Modulable!$B$10:$Q$204,16,FALSE)))</f>
        <v>0.85455000000000003</v>
      </c>
      <c r="N501" s="224">
        <v>144</v>
      </c>
      <c r="O501" s="228">
        <f>ROUND(Tableau14[[#This Row],[Prix_Unit_HT]],2)*Tableau14[[#This Row],[Qte_commande]]</f>
        <v>116.64000000000001</v>
      </c>
      <c r="P501" s="228">
        <f>ROUND(Tableau14[[#This Row],[Prix_Unit_TTC]],2)*Tableau14[[#This Row],[Qte_commande]]</f>
        <v>122.39999999999999</v>
      </c>
      <c r="Q501" s="224">
        <v>41.14</v>
      </c>
      <c r="R501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41.142857142857146</v>
      </c>
      <c r="U501" s="224"/>
      <c r="V501" s="224"/>
    </row>
    <row r="502" spans="1:22" ht="12.75" x14ac:dyDescent="0.2">
      <c r="A502" s="225">
        <v>42955</v>
      </c>
      <c r="B502" s="224" t="s">
        <v>223</v>
      </c>
      <c r="C502" s="224" t="s">
        <v>198</v>
      </c>
      <c r="D502" s="224" t="s">
        <v>199</v>
      </c>
      <c r="E502" s="226"/>
      <c r="G502" s="224" t="s">
        <v>1</v>
      </c>
      <c r="H502" s="224" t="s">
        <v>196</v>
      </c>
      <c r="I502" s="224" t="s">
        <v>59</v>
      </c>
      <c r="J502" s="224">
        <v>20</v>
      </c>
      <c r="K502" s="227">
        <f t="array" ref="K502">IFERROR(INDEX([1]Grille_Tarifs_Modulable!$B$2:$B$204,MATCH(Tableau14[[#This Row],[Designation]]&amp;Tableau14[[#This Row],[CL]],[1]Grille_Tarifs_Modulable!$C$2:$C$204&amp;[1]Grille_Tarifs_Modulable!$F$2:$F$204,0)),0)</f>
        <v>4260310553818</v>
      </c>
      <c r="L502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0.81</v>
      </c>
      <c r="M502" s="228">
        <f>IF(Tableau14[[#This Row],[Prix_Unit_HT]]=0,0,Tableau14[[#This Row],[Prix_Unit_HT]]+(Tableau14[[#This Row],[Prix_Unit_HT]]*VLOOKUP(Tableau14[[#This Row],[EAN]],[1]Grille_Tarifs_Modulable!$B$10:$Q$204,16,FALSE)))</f>
        <v>0.85455000000000003</v>
      </c>
      <c r="N502" s="224">
        <v>120</v>
      </c>
      <c r="O502" s="228">
        <f>ROUND(Tableau14[[#This Row],[Prix_Unit_HT]],2)*Tableau14[[#This Row],[Qte_commande]]</f>
        <v>97.2</v>
      </c>
      <c r="P502" s="228">
        <f>ROUND(Tableau14[[#This Row],[Prix_Unit_TTC]],2)*Tableau14[[#This Row],[Qte_commande]]</f>
        <v>102</v>
      </c>
      <c r="Q502" s="224">
        <v>34.29</v>
      </c>
      <c r="R502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34.285714285714285</v>
      </c>
      <c r="U502" s="224"/>
      <c r="V502" s="224"/>
    </row>
    <row r="503" spans="1:22" ht="12.75" x14ac:dyDescent="0.2">
      <c r="A503" s="225">
        <v>42965</v>
      </c>
      <c r="B503" s="224" t="s">
        <v>620</v>
      </c>
      <c r="C503" s="224" t="s">
        <v>539</v>
      </c>
      <c r="D503" s="224" t="s">
        <v>540</v>
      </c>
      <c r="E503" s="226"/>
      <c r="G503" s="224" t="s">
        <v>1</v>
      </c>
      <c r="H503" s="224" t="s">
        <v>289</v>
      </c>
      <c r="I503" s="224" t="s">
        <v>15</v>
      </c>
      <c r="J503" s="224">
        <v>100</v>
      </c>
      <c r="K503" s="227">
        <f t="array" ref="K503">IFERROR(INDEX([1]Grille_Tarifs_Modulable!$B$2:$B$204,MATCH(Tableau14[[#This Row],[Designation]]&amp;Tableau14[[#This Row],[CL]],[1]Grille_Tarifs_Modulable!$C$2:$C$204&amp;[1]Grille_Tarifs_Modulable!$F$2:$F$204,0)),0)</f>
        <v>4067700013842</v>
      </c>
      <c r="L503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17.100804999999998</v>
      </c>
      <c r="M503" s="228">
        <f>IF(Tableau14[[#This Row],[Prix_Unit_HT]]=0,0,Tableau14[[#This Row],[Prix_Unit_HT]]+(Tableau14[[#This Row],[Prix_Unit_HT]]*VLOOKUP(Tableau14[[#This Row],[EAN]],[1]Grille_Tarifs_Modulable!$B$10:$Q$204,16,FALSE)))</f>
        <v>20.520965999999998</v>
      </c>
      <c r="N503" s="224">
        <v>120</v>
      </c>
      <c r="O503" s="228">
        <f>ROUND(Tableau14[[#This Row],[Prix_Unit_HT]],2)*Tableau14[[#This Row],[Qte_commande]]</f>
        <v>2052</v>
      </c>
      <c r="P503" s="228">
        <f>ROUND(Tableau14[[#This Row],[Prix_Unit_TTC]],2)*Tableau14[[#This Row],[Qte_commande]]</f>
        <v>2462.4</v>
      </c>
      <c r="Q503" s="224">
        <v>171.43</v>
      </c>
      <c r="R503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171.42857142857144</v>
      </c>
      <c r="U503" s="224"/>
      <c r="V503" s="224"/>
    </row>
    <row r="504" spans="1:22" ht="12.75" x14ac:dyDescent="0.2">
      <c r="A504" s="225">
        <v>42968</v>
      </c>
      <c r="B504" s="224" t="s">
        <v>621</v>
      </c>
      <c r="C504" s="224" t="s">
        <v>539</v>
      </c>
      <c r="D504" s="224" t="s">
        <v>540</v>
      </c>
      <c r="E504" s="226"/>
      <c r="G504" s="224" t="s">
        <v>1</v>
      </c>
      <c r="H504" s="224" t="s">
        <v>289</v>
      </c>
      <c r="I504" s="224" t="s">
        <v>15</v>
      </c>
      <c r="J504" s="224">
        <v>70</v>
      </c>
      <c r="K504" s="227">
        <f t="array" ref="K504">IFERROR(INDEX([1]Grille_Tarifs_Modulable!$B$2:$B$204,MATCH(Tableau14[[#This Row],[Designation]]&amp;Tableau14[[#This Row],[CL]],[1]Grille_Tarifs_Modulable!$C$2:$C$204&amp;[1]Grille_Tarifs_Modulable!$F$2:$F$204,0)),0)</f>
        <v>4067700013859</v>
      </c>
      <c r="L504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12.532563499999998</v>
      </c>
      <c r="M504" s="228">
        <f>IF(Tableau14[[#This Row],[Prix_Unit_HT]]=0,0,Tableau14[[#This Row],[Prix_Unit_HT]]+(Tableau14[[#This Row],[Prix_Unit_HT]]*VLOOKUP(Tableau14[[#This Row],[EAN]],[1]Grille_Tarifs_Modulable!$B$10:$Q$204,16,FALSE)))</f>
        <v>15.039076199999998</v>
      </c>
      <c r="N504" s="224">
        <v>-120</v>
      </c>
      <c r="O504" s="228">
        <f>ROUND(Tableau14[[#This Row],[Prix_Unit_HT]],2)*Tableau14[[#This Row],[Qte_commande]]</f>
        <v>-1503.6</v>
      </c>
      <c r="P504" s="228">
        <f>ROUND(Tableau14[[#This Row],[Prix_Unit_TTC]],2)*Tableau14[[#This Row],[Qte_commande]]</f>
        <v>-1804.8</v>
      </c>
      <c r="Q504" s="224">
        <v>-120</v>
      </c>
      <c r="R504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-120.00000000000001</v>
      </c>
      <c r="U504" s="224"/>
      <c r="V504" s="224"/>
    </row>
    <row r="505" spans="1:22" ht="12.75" x14ac:dyDescent="0.2">
      <c r="A505" s="225">
        <v>42971</v>
      </c>
      <c r="B505" s="224" t="s">
        <v>224</v>
      </c>
      <c r="C505" s="224" t="s">
        <v>205</v>
      </c>
      <c r="D505" s="224" t="s">
        <v>206</v>
      </c>
      <c r="E505" s="226"/>
      <c r="G505" s="224" t="s">
        <v>1</v>
      </c>
      <c r="H505" s="224" t="s">
        <v>196</v>
      </c>
      <c r="I505" s="224" t="s">
        <v>62</v>
      </c>
      <c r="J505" s="224">
        <v>20</v>
      </c>
      <c r="K505" s="227">
        <f t="array" ref="K505">IFERROR(INDEX([1]Grille_Tarifs_Modulable!$B$2:$B$204,MATCH(Tableau14[[#This Row],[Designation]]&amp;Tableau14[[#This Row],[CL]],[1]Grille_Tarifs_Modulable!$C$2:$C$204&amp;[1]Grille_Tarifs_Modulable!$F$2:$F$204,0)),0)</f>
        <v>4260310550305</v>
      </c>
      <c r="L505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0.81</v>
      </c>
      <c r="M505" s="228">
        <f>IF(Tableau14[[#This Row],[Prix_Unit_HT]]=0,0,Tableau14[[#This Row],[Prix_Unit_HT]]+(Tableau14[[#This Row],[Prix_Unit_HT]]*VLOOKUP(Tableau14[[#This Row],[EAN]],[1]Grille_Tarifs_Modulable!$B$10:$Q$204,16,FALSE)))</f>
        <v>0.85455000000000003</v>
      </c>
      <c r="N505" s="224">
        <v>24</v>
      </c>
      <c r="O505" s="228">
        <f>ROUND(Tableau14[[#This Row],[Prix_Unit_HT]],2)*Tableau14[[#This Row],[Qte_commande]]</f>
        <v>19.440000000000001</v>
      </c>
      <c r="P505" s="228">
        <f>ROUND(Tableau14[[#This Row],[Prix_Unit_TTC]],2)*Tableau14[[#This Row],[Qte_commande]]</f>
        <v>20.399999999999999</v>
      </c>
      <c r="Q505" s="224">
        <v>6.86</v>
      </c>
      <c r="R505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6.8571428571428577</v>
      </c>
      <c r="U505" s="224"/>
      <c r="V505" s="224"/>
    </row>
    <row r="506" spans="1:22" ht="12.75" x14ac:dyDescent="0.2">
      <c r="A506" s="225">
        <v>42971</v>
      </c>
      <c r="B506" s="224" t="s">
        <v>225</v>
      </c>
      <c r="C506" s="224" t="s">
        <v>198</v>
      </c>
      <c r="D506" s="224" t="s">
        <v>199</v>
      </c>
      <c r="E506" s="226"/>
      <c r="G506" s="224" t="s">
        <v>1</v>
      </c>
      <c r="H506" s="224" t="s">
        <v>196</v>
      </c>
      <c r="I506" s="224" t="s">
        <v>62</v>
      </c>
      <c r="J506" s="224">
        <v>20</v>
      </c>
      <c r="K506" s="227">
        <f t="array" ref="K506">IFERROR(INDEX([1]Grille_Tarifs_Modulable!$B$2:$B$204,MATCH(Tableau14[[#This Row],[Designation]]&amp;Tableau14[[#This Row],[CL]],[1]Grille_Tarifs_Modulable!$C$2:$C$204&amp;[1]Grille_Tarifs_Modulable!$F$2:$F$204,0)),0)</f>
        <v>4260310550305</v>
      </c>
      <c r="L506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0.81</v>
      </c>
      <c r="M506" s="228">
        <f>IF(Tableau14[[#This Row],[Prix_Unit_HT]]=0,0,Tableau14[[#This Row],[Prix_Unit_HT]]+(Tableau14[[#This Row],[Prix_Unit_HT]]*VLOOKUP(Tableau14[[#This Row],[EAN]],[1]Grille_Tarifs_Modulable!$B$10:$Q$204,16,FALSE)))</f>
        <v>0.85455000000000003</v>
      </c>
      <c r="N506" s="224">
        <v>48</v>
      </c>
      <c r="O506" s="228">
        <f>ROUND(Tableau14[[#This Row],[Prix_Unit_HT]],2)*Tableau14[[#This Row],[Qte_commande]]</f>
        <v>38.880000000000003</v>
      </c>
      <c r="P506" s="228">
        <f>ROUND(Tableau14[[#This Row],[Prix_Unit_TTC]],2)*Tableau14[[#This Row],[Qte_commande]]</f>
        <v>40.799999999999997</v>
      </c>
      <c r="Q506" s="224">
        <v>13.71</v>
      </c>
      <c r="R506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13.714285714285715</v>
      </c>
      <c r="U506" s="224"/>
      <c r="V506" s="224"/>
    </row>
    <row r="507" spans="1:22" ht="12.75" x14ac:dyDescent="0.2">
      <c r="A507" s="225">
        <v>42971</v>
      </c>
      <c r="B507" s="224" t="s">
        <v>225</v>
      </c>
      <c r="C507" s="224" t="s">
        <v>198</v>
      </c>
      <c r="D507" s="224" t="s">
        <v>199</v>
      </c>
      <c r="E507" s="226"/>
      <c r="G507" s="224" t="s">
        <v>1</v>
      </c>
      <c r="H507" s="224" t="s">
        <v>196</v>
      </c>
      <c r="I507" s="224" t="s">
        <v>63</v>
      </c>
      <c r="J507" s="224">
        <v>20</v>
      </c>
      <c r="K507" s="227">
        <f t="array" ref="K507">IFERROR(INDEX([1]Grille_Tarifs_Modulable!$B$2:$B$204,MATCH(Tableau14[[#This Row],[Designation]]&amp;Tableau14[[#This Row],[CL]],[1]Grille_Tarifs_Modulable!$C$2:$C$204&amp;[1]Grille_Tarifs_Modulable!$F$2:$F$204,0)),0)</f>
        <v>4260310552941</v>
      </c>
      <c r="L507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0.81</v>
      </c>
      <c r="M507" s="228">
        <f>IF(Tableau14[[#This Row],[Prix_Unit_HT]]=0,0,Tableau14[[#This Row],[Prix_Unit_HT]]+(Tableau14[[#This Row],[Prix_Unit_HT]]*VLOOKUP(Tableau14[[#This Row],[EAN]],[1]Grille_Tarifs_Modulable!$B$10:$Q$204,16,FALSE)))</f>
        <v>0.85455000000000003</v>
      </c>
      <c r="N507" s="224">
        <v>48</v>
      </c>
      <c r="O507" s="228">
        <f>ROUND(Tableau14[[#This Row],[Prix_Unit_HT]],2)*Tableau14[[#This Row],[Qte_commande]]</f>
        <v>38.880000000000003</v>
      </c>
      <c r="P507" s="228">
        <f>ROUND(Tableau14[[#This Row],[Prix_Unit_TTC]],2)*Tableau14[[#This Row],[Qte_commande]]</f>
        <v>40.799999999999997</v>
      </c>
      <c r="Q507" s="224">
        <v>13.71</v>
      </c>
      <c r="R507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13.714285714285715</v>
      </c>
      <c r="U507" s="224"/>
      <c r="V507" s="224"/>
    </row>
    <row r="508" spans="1:22" ht="12.75" x14ac:dyDescent="0.2">
      <c r="A508" s="225">
        <v>42971</v>
      </c>
      <c r="B508" s="224" t="s">
        <v>224</v>
      </c>
      <c r="C508" s="224" t="s">
        <v>205</v>
      </c>
      <c r="D508" s="224" t="s">
        <v>206</v>
      </c>
      <c r="E508" s="226"/>
      <c r="G508" s="224" t="s">
        <v>1</v>
      </c>
      <c r="H508" s="224" t="s">
        <v>289</v>
      </c>
      <c r="I508" s="224" t="s">
        <v>15</v>
      </c>
      <c r="J508" s="224">
        <v>70</v>
      </c>
      <c r="K508" s="227">
        <f t="array" ref="K508">IFERROR(INDEX([1]Grille_Tarifs_Modulable!$B$2:$B$204,MATCH(Tableau14[[#This Row],[Designation]]&amp;Tableau14[[#This Row],[CL]],[1]Grille_Tarifs_Modulable!$C$2:$C$204&amp;[1]Grille_Tarifs_Modulable!$F$2:$F$204,0)),0)</f>
        <v>4067700013859</v>
      </c>
      <c r="L508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12.532563499999998</v>
      </c>
      <c r="M508" s="228">
        <f>IF(Tableau14[[#This Row],[Prix_Unit_HT]]=0,0,Tableau14[[#This Row],[Prix_Unit_HT]]+(Tableau14[[#This Row],[Prix_Unit_HT]]*VLOOKUP(Tableau14[[#This Row],[EAN]],[1]Grille_Tarifs_Modulable!$B$10:$Q$204,16,FALSE)))</f>
        <v>15.039076199999998</v>
      </c>
      <c r="N508" s="224">
        <v>36</v>
      </c>
      <c r="O508" s="228">
        <f>ROUND(Tableau14[[#This Row],[Prix_Unit_HT]],2)*Tableau14[[#This Row],[Qte_commande]]</f>
        <v>451.08</v>
      </c>
      <c r="P508" s="228">
        <f>ROUND(Tableau14[[#This Row],[Prix_Unit_TTC]],2)*Tableau14[[#This Row],[Qte_commande]]</f>
        <v>541.43999999999994</v>
      </c>
      <c r="Q508" s="224">
        <v>36</v>
      </c>
      <c r="R508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36</v>
      </c>
      <c r="U508" s="224"/>
      <c r="V508" s="224"/>
    </row>
    <row r="509" spans="1:22" ht="12.75" x14ac:dyDescent="0.2">
      <c r="A509" s="225">
        <v>42971</v>
      </c>
      <c r="B509" s="224" t="s">
        <v>225</v>
      </c>
      <c r="C509" s="224" t="s">
        <v>198</v>
      </c>
      <c r="D509" s="224" t="s">
        <v>199</v>
      </c>
      <c r="E509" s="226"/>
      <c r="G509" s="224" t="s">
        <v>1</v>
      </c>
      <c r="H509" s="224" t="s">
        <v>196</v>
      </c>
      <c r="I509" s="224" t="s">
        <v>66</v>
      </c>
      <c r="J509" s="224">
        <v>50</v>
      </c>
      <c r="K509" s="227">
        <f t="array" ref="K509">IFERROR(INDEX([1]Grille_Tarifs_Modulable!$B$2:$B$204,MATCH(Tableau14[[#This Row],[Designation]]&amp;Tableau14[[#This Row],[CL]],[1]Grille_Tarifs_Modulable!$C$2:$C$204&amp;[1]Grille_Tarifs_Modulable!$F$2:$F$204,0)),0)</f>
        <v>4260310553382</v>
      </c>
      <c r="L509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</v>
      </c>
      <c r="M509" s="228">
        <f>IF(Tableau14[[#This Row],[Prix_Unit_HT]]=0,0,Tableau14[[#This Row],[Prix_Unit_HT]]+(Tableau14[[#This Row],[Prix_Unit_HT]]*VLOOKUP(Tableau14[[#This Row],[EAN]],[1]Grille_Tarifs_Modulable!$B$10:$Q$204,16,FALSE)))</f>
        <v>1.0549999999999999</v>
      </c>
      <c r="N509" s="224">
        <v>300</v>
      </c>
      <c r="O509" s="228">
        <f>ROUND(Tableau14[[#This Row],[Prix_Unit_HT]],2)*Tableau14[[#This Row],[Qte_commande]]</f>
        <v>300</v>
      </c>
      <c r="P509" s="228">
        <f>ROUND(Tableau14[[#This Row],[Prix_Unit_TTC]],2)*Tableau14[[#This Row],[Qte_commande]]</f>
        <v>318</v>
      </c>
      <c r="Q509" s="224">
        <v>214.29</v>
      </c>
      <c r="R509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214.28571428571431</v>
      </c>
      <c r="U509" s="224"/>
      <c r="V509" s="224"/>
    </row>
    <row r="510" spans="1:22" ht="12.75" x14ac:dyDescent="0.2">
      <c r="A510" s="225">
        <v>42971</v>
      </c>
      <c r="B510" s="224" t="s">
        <v>225</v>
      </c>
      <c r="C510" s="224" t="s">
        <v>198</v>
      </c>
      <c r="D510" s="224" t="s">
        <v>199</v>
      </c>
      <c r="E510" s="226"/>
      <c r="G510" s="224" t="s">
        <v>1</v>
      </c>
      <c r="H510" s="224" t="s">
        <v>289</v>
      </c>
      <c r="I510" s="224" t="s">
        <v>42</v>
      </c>
      <c r="J510" s="224">
        <v>70</v>
      </c>
      <c r="K510" s="227">
        <f t="array" ref="K510">IFERROR(INDEX([1]Grille_Tarifs_Modulable!$B$2:$B$204,MATCH(Tableau14[[#This Row],[Designation]]&amp;Tableau14[[#This Row],[CL]],[1]Grille_Tarifs_Modulable!$C$2:$C$204&amp;[1]Grille_Tarifs_Modulable!$F$2:$F$204,0)),0)</f>
        <v>3257150688009</v>
      </c>
      <c r="L510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12.556915199999999</v>
      </c>
      <c r="M510" s="228">
        <f>IF(Tableau14[[#This Row],[Prix_Unit_HT]]=0,0,Tableau14[[#This Row],[Prix_Unit_HT]]+(Tableau14[[#This Row],[Prix_Unit_HT]]*VLOOKUP(Tableau14[[#This Row],[EAN]],[1]Grille_Tarifs_Modulable!$B$10:$Q$204,16,FALSE)))</f>
        <v>15.068298239999999</v>
      </c>
      <c r="N510" s="224">
        <v>6</v>
      </c>
      <c r="O510" s="228">
        <f>ROUND(Tableau14[[#This Row],[Prix_Unit_HT]],2)*Tableau14[[#This Row],[Qte_commande]]</f>
        <v>75.36</v>
      </c>
      <c r="P510" s="228">
        <f>ROUND(Tableau14[[#This Row],[Prix_Unit_TTC]],2)*Tableau14[[#This Row],[Qte_commande]]</f>
        <v>90.42</v>
      </c>
      <c r="Q510" s="224">
        <v>6</v>
      </c>
      <c r="R510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6.0000000000000009</v>
      </c>
      <c r="U510" s="224"/>
      <c r="V510" s="224"/>
    </row>
    <row r="511" spans="1:22" ht="12.75" x14ac:dyDescent="0.2">
      <c r="A511" s="225">
        <v>42971</v>
      </c>
      <c r="B511" s="224" t="s">
        <v>225</v>
      </c>
      <c r="C511" s="224" t="s">
        <v>198</v>
      </c>
      <c r="D511" s="224" t="s">
        <v>199</v>
      </c>
      <c r="E511" s="226"/>
      <c r="G511" s="224" t="s">
        <v>1</v>
      </c>
      <c r="H511" s="224" t="s">
        <v>196</v>
      </c>
      <c r="I511" s="224" t="s">
        <v>64</v>
      </c>
      <c r="J511" s="224">
        <v>20</v>
      </c>
      <c r="K511" s="227">
        <f t="array" ref="K511">IFERROR(INDEX([1]Grille_Tarifs_Modulable!$B$2:$B$204,MATCH(Tableau14[[#This Row],[Designation]]&amp;Tableau14[[#This Row],[CL]],[1]Grille_Tarifs_Modulable!$C$2:$C$204&amp;[1]Grille_Tarifs_Modulable!$F$2:$F$204,0)),0)</f>
        <v>4260310553849</v>
      </c>
      <c r="L511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0.81</v>
      </c>
      <c r="M511" s="228">
        <f>IF(Tableau14[[#This Row],[Prix_Unit_HT]]=0,0,Tableau14[[#This Row],[Prix_Unit_HT]]+(Tableau14[[#This Row],[Prix_Unit_HT]]*VLOOKUP(Tableau14[[#This Row],[EAN]],[1]Grille_Tarifs_Modulable!$B$10:$Q$204,16,FALSE)))</f>
        <v>0.85455000000000003</v>
      </c>
      <c r="N511" s="224">
        <v>720</v>
      </c>
      <c r="O511" s="228">
        <f>ROUND(Tableau14[[#This Row],[Prix_Unit_HT]],2)*Tableau14[[#This Row],[Qte_commande]]</f>
        <v>583.20000000000005</v>
      </c>
      <c r="P511" s="228">
        <f>ROUND(Tableau14[[#This Row],[Prix_Unit_TTC]],2)*Tableau14[[#This Row],[Qte_commande]]</f>
        <v>612</v>
      </c>
      <c r="Q511" s="224">
        <v>205.71</v>
      </c>
      <c r="R511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205.71428571428572</v>
      </c>
      <c r="U511" s="224"/>
      <c r="V511" s="224"/>
    </row>
    <row r="512" spans="1:22" ht="12.75" x14ac:dyDescent="0.2">
      <c r="A512" s="225">
        <v>42971</v>
      </c>
      <c r="B512" s="224" t="s">
        <v>225</v>
      </c>
      <c r="C512" s="224" t="s">
        <v>198</v>
      </c>
      <c r="D512" s="224" t="s">
        <v>199</v>
      </c>
      <c r="E512" s="226"/>
      <c r="G512" s="224" t="s">
        <v>1</v>
      </c>
      <c r="H512" s="224" t="s">
        <v>196</v>
      </c>
      <c r="I512" s="224" t="s">
        <v>59</v>
      </c>
      <c r="J512" s="224">
        <v>20</v>
      </c>
      <c r="K512" s="227">
        <f t="array" ref="K512">IFERROR(INDEX([1]Grille_Tarifs_Modulable!$B$2:$B$204,MATCH(Tableau14[[#This Row],[Designation]]&amp;Tableau14[[#This Row],[CL]],[1]Grille_Tarifs_Modulable!$C$2:$C$204&amp;[1]Grille_Tarifs_Modulable!$F$2:$F$204,0)),0)</f>
        <v>4260310553818</v>
      </c>
      <c r="L512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0.81</v>
      </c>
      <c r="M512" s="228">
        <f>IF(Tableau14[[#This Row],[Prix_Unit_HT]]=0,0,Tableau14[[#This Row],[Prix_Unit_HT]]+(Tableau14[[#This Row],[Prix_Unit_HT]]*VLOOKUP(Tableau14[[#This Row],[EAN]],[1]Grille_Tarifs_Modulable!$B$10:$Q$204,16,FALSE)))</f>
        <v>0.85455000000000003</v>
      </c>
      <c r="N512" s="224">
        <v>120</v>
      </c>
      <c r="O512" s="228">
        <f>ROUND(Tableau14[[#This Row],[Prix_Unit_HT]],2)*Tableau14[[#This Row],[Qte_commande]]</f>
        <v>97.2</v>
      </c>
      <c r="P512" s="228">
        <f>ROUND(Tableau14[[#This Row],[Prix_Unit_TTC]],2)*Tableau14[[#This Row],[Qte_commande]]</f>
        <v>102</v>
      </c>
      <c r="Q512" s="224">
        <v>34.29</v>
      </c>
      <c r="R512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34.285714285714285</v>
      </c>
      <c r="U512" s="224"/>
      <c r="V512" s="224"/>
    </row>
    <row r="513" spans="1:22" ht="12.75" x14ac:dyDescent="0.2">
      <c r="A513" s="225">
        <v>42982</v>
      </c>
      <c r="B513" s="224" t="s">
        <v>622</v>
      </c>
      <c r="C513" s="224" t="s">
        <v>530</v>
      </c>
      <c r="D513" s="224" t="s">
        <v>531</v>
      </c>
      <c r="E513" s="226"/>
      <c r="G513" s="224" t="s">
        <v>1</v>
      </c>
      <c r="H513" s="224" t="s">
        <v>289</v>
      </c>
      <c r="I513" s="224" t="s">
        <v>15</v>
      </c>
      <c r="J513" s="224">
        <v>70</v>
      </c>
      <c r="K513" s="227">
        <f t="array" ref="K513">IFERROR(INDEX([1]Grille_Tarifs_Modulable!$B$2:$B$204,MATCH(Tableau14[[#This Row],[Designation]]&amp;Tableau14[[#This Row],[CL]],[1]Grille_Tarifs_Modulable!$C$2:$C$204&amp;[1]Grille_Tarifs_Modulable!$F$2:$F$204,0)),0)</f>
        <v>4067700013859</v>
      </c>
      <c r="L513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12.532563499999998</v>
      </c>
      <c r="M513" s="228">
        <f>IF(Tableau14[[#This Row],[Prix_Unit_HT]]=0,0,Tableau14[[#This Row],[Prix_Unit_HT]]+(Tableau14[[#This Row],[Prix_Unit_HT]]*VLOOKUP(Tableau14[[#This Row],[EAN]],[1]Grille_Tarifs_Modulable!$B$10:$Q$204,16,FALSE)))</f>
        <v>15.039076199999998</v>
      </c>
      <c r="N513" s="224">
        <v>150</v>
      </c>
      <c r="O513" s="228">
        <f>ROUND(Tableau14[[#This Row],[Prix_Unit_HT]],2)*Tableau14[[#This Row],[Qte_commande]]</f>
        <v>1879.5</v>
      </c>
      <c r="P513" s="228">
        <f>ROUND(Tableau14[[#This Row],[Prix_Unit_TTC]],2)*Tableau14[[#This Row],[Qte_commande]]</f>
        <v>2256</v>
      </c>
      <c r="Q513" s="224">
        <v>150</v>
      </c>
      <c r="R513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150</v>
      </c>
      <c r="U513" s="224"/>
      <c r="V513" s="224"/>
    </row>
    <row r="514" spans="1:22" ht="12.75" x14ac:dyDescent="0.2">
      <c r="A514" s="225">
        <v>42986</v>
      </c>
      <c r="B514" s="224" t="s">
        <v>1058</v>
      </c>
      <c r="C514" s="224" t="s">
        <v>1007</v>
      </c>
      <c r="D514" s="224" t="s">
        <v>330</v>
      </c>
      <c r="E514" s="226"/>
      <c r="G514" s="224" t="s">
        <v>13</v>
      </c>
      <c r="H514" s="224" t="s">
        <v>451</v>
      </c>
      <c r="I514" s="224" t="s">
        <v>69</v>
      </c>
      <c r="J514" s="227">
        <v>3</v>
      </c>
      <c r="K514" s="227">
        <f t="array" ref="K514">IFERROR(INDEX([1]Grille_Tarifs_Modulable!$B$2:$B$204,MATCH(Tableau14[[#This Row],[Designation]]&amp;Tableau14[[#This Row],[CL]],[1]Grille_Tarifs_Modulable!$C$2:$C$204&amp;[1]Grille_Tarifs_Modulable!$F$2:$F$204,0)),0)</f>
        <v>121</v>
      </c>
      <c r="L514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299</v>
      </c>
      <c r="M514" s="228">
        <f>IF(Tableau14[[#This Row],[Prix_Unit_HT]]=0,0,Tableau14[[#This Row],[Prix_Unit_HT]]+(Tableau14[[#This Row],[Prix_Unit_HT]]*VLOOKUP(Tableau14[[#This Row],[EAN]],[1]Grille_Tarifs_Modulable!$B$10:$Q$204,16,FALSE)))</f>
        <v>358.8</v>
      </c>
      <c r="N514" s="224">
        <v>1</v>
      </c>
      <c r="O514" s="228">
        <f>ROUND(Tableau14[[#This Row],[Prix_Unit_HT]],2)*Tableau14[[#This Row],[Qte_commande]]</f>
        <v>299</v>
      </c>
      <c r="P514" s="228">
        <f>ROUND(Tableau14[[#This Row],[Prix_Unit_TTC]],2)*Tableau14[[#This Row],[Qte_commande]]</f>
        <v>358.8</v>
      </c>
      <c r="Q514" s="224">
        <v>1</v>
      </c>
      <c r="R514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</v>
      </c>
      <c r="U514" s="224"/>
      <c r="V514" s="224"/>
    </row>
    <row r="515" spans="1:22" ht="12.75" x14ac:dyDescent="0.2">
      <c r="A515" s="225">
        <v>42986</v>
      </c>
      <c r="B515" s="224" t="s">
        <v>1059</v>
      </c>
      <c r="C515" s="224" t="s">
        <v>1060</v>
      </c>
      <c r="D515" s="224" t="s">
        <v>302</v>
      </c>
      <c r="E515" s="226"/>
      <c r="G515" s="224" t="s">
        <v>13</v>
      </c>
      <c r="H515" s="224" t="s">
        <v>451</v>
      </c>
      <c r="I515" s="224" t="s">
        <v>69</v>
      </c>
      <c r="J515" s="227">
        <v>3</v>
      </c>
      <c r="K515" s="227">
        <f t="array" ref="K515">IFERROR(INDEX([1]Grille_Tarifs_Modulable!$B$2:$B$204,MATCH(Tableau14[[#This Row],[Designation]]&amp;Tableau14[[#This Row],[CL]],[1]Grille_Tarifs_Modulable!$C$2:$C$204&amp;[1]Grille_Tarifs_Modulable!$F$2:$F$204,0)),0)</f>
        <v>121</v>
      </c>
      <c r="L515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299</v>
      </c>
      <c r="M515" s="228">
        <f>IF(Tableau14[[#This Row],[Prix_Unit_HT]]=0,0,Tableau14[[#This Row],[Prix_Unit_HT]]+(Tableau14[[#This Row],[Prix_Unit_HT]]*VLOOKUP(Tableau14[[#This Row],[EAN]],[1]Grille_Tarifs_Modulable!$B$10:$Q$204,16,FALSE)))</f>
        <v>358.8</v>
      </c>
      <c r="N515" s="224">
        <v>1</v>
      </c>
      <c r="O515" s="228">
        <f>ROUND(Tableau14[[#This Row],[Prix_Unit_HT]],2)*Tableau14[[#This Row],[Qte_commande]]</f>
        <v>299</v>
      </c>
      <c r="P515" s="228">
        <f>ROUND(Tableau14[[#This Row],[Prix_Unit_TTC]],2)*Tableau14[[#This Row],[Qte_commande]]</f>
        <v>358.8</v>
      </c>
      <c r="Q515" s="224">
        <v>1</v>
      </c>
      <c r="R515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</v>
      </c>
      <c r="U515" s="224"/>
      <c r="V515" s="224"/>
    </row>
    <row r="516" spans="1:22" ht="12.75" x14ac:dyDescent="0.2">
      <c r="A516" s="225">
        <v>42986</v>
      </c>
      <c r="B516" s="224" t="s">
        <v>1061</v>
      </c>
      <c r="C516" s="224" t="s">
        <v>1062</v>
      </c>
      <c r="D516" s="224" t="s">
        <v>1063</v>
      </c>
      <c r="E516" s="226"/>
      <c r="G516" s="224" t="s">
        <v>13</v>
      </c>
      <c r="H516" s="224" t="s">
        <v>451</v>
      </c>
      <c r="I516" s="224" t="s">
        <v>69</v>
      </c>
      <c r="J516" s="227">
        <v>3</v>
      </c>
      <c r="K516" s="227">
        <f t="array" ref="K516">IFERROR(INDEX([1]Grille_Tarifs_Modulable!$B$2:$B$204,MATCH(Tableau14[[#This Row],[Designation]]&amp;Tableau14[[#This Row],[CL]],[1]Grille_Tarifs_Modulable!$C$2:$C$204&amp;[1]Grille_Tarifs_Modulable!$F$2:$F$204,0)),0)</f>
        <v>121</v>
      </c>
      <c r="L516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299</v>
      </c>
      <c r="M516" s="228">
        <f>IF(Tableau14[[#This Row],[Prix_Unit_HT]]=0,0,Tableau14[[#This Row],[Prix_Unit_HT]]+(Tableau14[[#This Row],[Prix_Unit_HT]]*VLOOKUP(Tableau14[[#This Row],[EAN]],[1]Grille_Tarifs_Modulable!$B$10:$Q$204,16,FALSE)))</f>
        <v>358.8</v>
      </c>
      <c r="N516" s="224">
        <v>1</v>
      </c>
      <c r="O516" s="228">
        <f>ROUND(Tableau14[[#This Row],[Prix_Unit_HT]],2)*Tableau14[[#This Row],[Qte_commande]]</f>
        <v>299</v>
      </c>
      <c r="P516" s="228">
        <f>ROUND(Tableau14[[#This Row],[Prix_Unit_TTC]],2)*Tableau14[[#This Row],[Qte_commande]]</f>
        <v>358.8</v>
      </c>
      <c r="Q516" s="224">
        <v>1</v>
      </c>
      <c r="R516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</v>
      </c>
      <c r="U516" s="224"/>
      <c r="V516" s="224"/>
    </row>
    <row r="517" spans="1:22" ht="12.75" x14ac:dyDescent="0.2">
      <c r="A517" s="225">
        <v>42986</v>
      </c>
      <c r="B517" s="224" t="s">
        <v>1064</v>
      </c>
      <c r="C517" s="224" t="s">
        <v>1062</v>
      </c>
      <c r="D517" s="224" t="s">
        <v>1063</v>
      </c>
      <c r="E517" s="226"/>
      <c r="G517" s="224" t="s">
        <v>13</v>
      </c>
      <c r="H517" s="224" t="s">
        <v>451</v>
      </c>
      <c r="I517" s="224" t="s">
        <v>69</v>
      </c>
      <c r="J517" s="227">
        <v>3</v>
      </c>
      <c r="K517" s="227">
        <f t="array" ref="K517">IFERROR(INDEX([1]Grille_Tarifs_Modulable!$B$2:$B$204,MATCH(Tableau14[[#This Row],[Designation]]&amp;Tableau14[[#This Row],[CL]],[1]Grille_Tarifs_Modulable!$C$2:$C$204&amp;[1]Grille_Tarifs_Modulable!$F$2:$F$204,0)),0)</f>
        <v>121</v>
      </c>
      <c r="L517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299</v>
      </c>
      <c r="M517" s="228">
        <f>IF(Tableau14[[#This Row],[Prix_Unit_HT]]=0,0,Tableau14[[#This Row],[Prix_Unit_HT]]+(Tableau14[[#This Row],[Prix_Unit_HT]]*VLOOKUP(Tableau14[[#This Row],[EAN]],[1]Grille_Tarifs_Modulable!$B$10:$Q$204,16,FALSE)))</f>
        <v>358.8</v>
      </c>
      <c r="N517" s="224">
        <v>0</v>
      </c>
      <c r="O517" s="228">
        <f>ROUND(Tableau14[[#This Row],[Prix_Unit_HT]],2)*Tableau14[[#This Row],[Qte_commande]]</f>
        <v>0</v>
      </c>
      <c r="P517" s="228">
        <f>ROUND(Tableau14[[#This Row],[Prix_Unit_TTC]],2)*Tableau14[[#This Row],[Qte_commande]]</f>
        <v>0</v>
      </c>
      <c r="Q517" s="224">
        <v>0</v>
      </c>
      <c r="R517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0</v>
      </c>
      <c r="U517" s="224"/>
      <c r="V517" s="224"/>
    </row>
    <row r="518" spans="1:22" ht="12.75" x14ac:dyDescent="0.2">
      <c r="A518" s="225">
        <v>42986</v>
      </c>
      <c r="B518" s="224" t="s">
        <v>1065</v>
      </c>
      <c r="C518" s="224" t="s">
        <v>1062</v>
      </c>
      <c r="D518" s="224" t="s">
        <v>1063</v>
      </c>
      <c r="E518" s="226"/>
      <c r="G518" s="224" t="s">
        <v>13</v>
      </c>
      <c r="H518" s="224" t="s">
        <v>451</v>
      </c>
      <c r="I518" s="224" t="s">
        <v>69</v>
      </c>
      <c r="J518" s="227">
        <v>3</v>
      </c>
      <c r="K518" s="227">
        <f t="array" ref="K518">IFERROR(INDEX([1]Grille_Tarifs_Modulable!$B$2:$B$204,MATCH(Tableau14[[#This Row],[Designation]]&amp;Tableau14[[#This Row],[CL]],[1]Grille_Tarifs_Modulable!$C$2:$C$204&amp;[1]Grille_Tarifs_Modulable!$F$2:$F$204,0)),0)</f>
        <v>121</v>
      </c>
      <c r="L518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299</v>
      </c>
      <c r="M518" s="228">
        <f>IF(Tableau14[[#This Row],[Prix_Unit_HT]]=0,0,Tableau14[[#This Row],[Prix_Unit_HT]]+(Tableau14[[#This Row],[Prix_Unit_HT]]*VLOOKUP(Tableau14[[#This Row],[EAN]],[1]Grille_Tarifs_Modulable!$B$10:$Q$204,16,FALSE)))</f>
        <v>358.8</v>
      </c>
      <c r="N518" s="224">
        <v>2</v>
      </c>
      <c r="O518" s="228">
        <f>ROUND(Tableau14[[#This Row],[Prix_Unit_HT]],2)*Tableau14[[#This Row],[Qte_commande]]</f>
        <v>598</v>
      </c>
      <c r="P518" s="228">
        <f>ROUND(Tableau14[[#This Row],[Prix_Unit_TTC]],2)*Tableau14[[#This Row],[Qte_commande]]</f>
        <v>717.6</v>
      </c>
      <c r="Q518" s="224">
        <v>2</v>
      </c>
      <c r="R518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2</v>
      </c>
      <c r="U518" s="224"/>
      <c r="V518" s="224"/>
    </row>
    <row r="519" spans="1:22" ht="12.75" x14ac:dyDescent="0.2">
      <c r="A519" s="225">
        <v>42986</v>
      </c>
      <c r="B519" s="224" t="s">
        <v>1066</v>
      </c>
      <c r="C519" s="224" t="s">
        <v>1067</v>
      </c>
      <c r="D519" s="224" t="s">
        <v>1068</v>
      </c>
      <c r="E519" s="226"/>
      <c r="G519" s="224" t="s">
        <v>13</v>
      </c>
      <c r="H519" s="224" t="s">
        <v>451</v>
      </c>
      <c r="I519" s="224" t="s">
        <v>69</v>
      </c>
      <c r="J519" s="227">
        <v>3</v>
      </c>
      <c r="K519" s="227">
        <f t="array" ref="K519">IFERROR(INDEX([1]Grille_Tarifs_Modulable!$B$2:$B$204,MATCH(Tableau14[[#This Row],[Designation]]&amp;Tableau14[[#This Row],[CL]],[1]Grille_Tarifs_Modulable!$C$2:$C$204&amp;[1]Grille_Tarifs_Modulable!$F$2:$F$204,0)),0)</f>
        <v>121</v>
      </c>
      <c r="L519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299</v>
      </c>
      <c r="M519" s="228">
        <f>IF(Tableau14[[#This Row],[Prix_Unit_HT]]=0,0,Tableau14[[#This Row],[Prix_Unit_HT]]+(Tableau14[[#This Row],[Prix_Unit_HT]]*VLOOKUP(Tableau14[[#This Row],[EAN]],[1]Grille_Tarifs_Modulable!$B$10:$Q$204,16,FALSE)))</f>
        <v>358.8</v>
      </c>
      <c r="N519" s="224">
        <v>1</v>
      </c>
      <c r="O519" s="228">
        <f>ROUND(Tableau14[[#This Row],[Prix_Unit_HT]],2)*Tableau14[[#This Row],[Qte_commande]]</f>
        <v>299</v>
      </c>
      <c r="P519" s="228">
        <f>ROUND(Tableau14[[#This Row],[Prix_Unit_TTC]],2)*Tableau14[[#This Row],[Qte_commande]]</f>
        <v>358.8</v>
      </c>
      <c r="Q519" s="224">
        <v>1</v>
      </c>
      <c r="R519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</v>
      </c>
      <c r="U519" s="224"/>
      <c r="V519" s="224"/>
    </row>
    <row r="520" spans="1:22" ht="12.75" x14ac:dyDescent="0.2">
      <c r="A520" s="225">
        <v>42986</v>
      </c>
      <c r="B520" s="224" t="s">
        <v>1069</v>
      </c>
      <c r="C520" s="224" t="s">
        <v>660</v>
      </c>
      <c r="D520" s="224" t="s">
        <v>209</v>
      </c>
      <c r="E520" s="226"/>
      <c r="G520" s="224" t="s">
        <v>13</v>
      </c>
      <c r="H520" s="224" t="s">
        <v>451</v>
      </c>
      <c r="I520" s="224" t="s">
        <v>69</v>
      </c>
      <c r="J520" s="227">
        <v>3</v>
      </c>
      <c r="K520" s="227">
        <f t="array" ref="K520">IFERROR(INDEX([1]Grille_Tarifs_Modulable!$B$2:$B$204,MATCH(Tableau14[[#This Row],[Designation]]&amp;Tableau14[[#This Row],[CL]],[1]Grille_Tarifs_Modulable!$C$2:$C$204&amp;[1]Grille_Tarifs_Modulable!$F$2:$F$204,0)),0)</f>
        <v>121</v>
      </c>
      <c r="L520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299</v>
      </c>
      <c r="M520" s="228">
        <f>IF(Tableau14[[#This Row],[Prix_Unit_HT]]=0,0,Tableau14[[#This Row],[Prix_Unit_HT]]+(Tableau14[[#This Row],[Prix_Unit_HT]]*VLOOKUP(Tableau14[[#This Row],[EAN]],[1]Grille_Tarifs_Modulable!$B$10:$Q$204,16,FALSE)))</f>
        <v>358.8</v>
      </c>
      <c r="N520" s="224">
        <v>1</v>
      </c>
      <c r="O520" s="228">
        <f>ROUND(Tableau14[[#This Row],[Prix_Unit_HT]],2)*Tableau14[[#This Row],[Qte_commande]]</f>
        <v>299</v>
      </c>
      <c r="P520" s="228">
        <f>ROUND(Tableau14[[#This Row],[Prix_Unit_TTC]],2)*Tableau14[[#This Row],[Qte_commande]]</f>
        <v>358.8</v>
      </c>
      <c r="Q520" s="224">
        <v>1</v>
      </c>
      <c r="R520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</v>
      </c>
      <c r="U520" s="224"/>
      <c r="V520" s="224"/>
    </row>
    <row r="521" spans="1:22" ht="12.75" x14ac:dyDescent="0.2">
      <c r="A521" s="225">
        <v>42986</v>
      </c>
      <c r="B521" s="224" t="s">
        <v>1070</v>
      </c>
      <c r="C521" s="224" t="s">
        <v>1071</v>
      </c>
      <c r="D521" s="224" t="s">
        <v>209</v>
      </c>
      <c r="E521" s="226"/>
      <c r="G521" s="224" t="s">
        <v>13</v>
      </c>
      <c r="H521" s="224" t="s">
        <v>451</v>
      </c>
      <c r="I521" s="224" t="s">
        <v>69</v>
      </c>
      <c r="J521" s="227">
        <v>3</v>
      </c>
      <c r="K521" s="227">
        <f t="array" ref="K521">IFERROR(INDEX([1]Grille_Tarifs_Modulable!$B$2:$B$204,MATCH(Tableau14[[#This Row],[Designation]]&amp;Tableau14[[#This Row],[CL]],[1]Grille_Tarifs_Modulable!$C$2:$C$204&amp;[1]Grille_Tarifs_Modulable!$F$2:$F$204,0)),0)</f>
        <v>121</v>
      </c>
      <c r="L521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299</v>
      </c>
      <c r="M521" s="228">
        <f>IF(Tableau14[[#This Row],[Prix_Unit_HT]]=0,0,Tableau14[[#This Row],[Prix_Unit_HT]]+(Tableau14[[#This Row],[Prix_Unit_HT]]*VLOOKUP(Tableau14[[#This Row],[EAN]],[1]Grille_Tarifs_Modulable!$B$10:$Q$204,16,FALSE)))</f>
        <v>358.8</v>
      </c>
      <c r="N521" s="224">
        <v>1</v>
      </c>
      <c r="O521" s="228">
        <f>ROUND(Tableau14[[#This Row],[Prix_Unit_HT]],2)*Tableau14[[#This Row],[Qte_commande]]</f>
        <v>299</v>
      </c>
      <c r="P521" s="228">
        <f>ROUND(Tableau14[[#This Row],[Prix_Unit_TTC]],2)*Tableau14[[#This Row],[Qte_commande]]</f>
        <v>358.8</v>
      </c>
      <c r="Q521" s="224">
        <v>1</v>
      </c>
      <c r="R521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</v>
      </c>
      <c r="U521" s="224"/>
      <c r="V521" s="224"/>
    </row>
    <row r="522" spans="1:22" ht="12.75" x14ac:dyDescent="0.2">
      <c r="A522" s="225">
        <v>42986</v>
      </c>
      <c r="B522" s="224" t="s">
        <v>1072</v>
      </c>
      <c r="C522" s="224" t="s">
        <v>737</v>
      </c>
      <c r="D522" s="224" t="s">
        <v>209</v>
      </c>
      <c r="E522" s="226"/>
      <c r="G522" s="224" t="s">
        <v>1</v>
      </c>
      <c r="H522" s="224" t="s">
        <v>451</v>
      </c>
      <c r="I522" s="224" t="s">
        <v>69</v>
      </c>
      <c r="J522" s="227">
        <v>3</v>
      </c>
      <c r="K522" s="227">
        <f t="array" ref="K522">IFERROR(INDEX([1]Grille_Tarifs_Modulable!$B$2:$B$204,MATCH(Tableau14[[#This Row],[Designation]]&amp;Tableau14[[#This Row],[CL]],[1]Grille_Tarifs_Modulable!$C$2:$C$204&amp;[1]Grille_Tarifs_Modulable!$F$2:$F$204,0)),0)</f>
        <v>121</v>
      </c>
      <c r="L522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299</v>
      </c>
      <c r="M522" s="228">
        <f>IF(Tableau14[[#This Row],[Prix_Unit_HT]]=0,0,Tableau14[[#This Row],[Prix_Unit_HT]]+(Tableau14[[#This Row],[Prix_Unit_HT]]*VLOOKUP(Tableau14[[#This Row],[EAN]],[1]Grille_Tarifs_Modulable!$B$10:$Q$204,16,FALSE)))</f>
        <v>358.8</v>
      </c>
      <c r="N522" s="224">
        <v>1</v>
      </c>
      <c r="O522" s="228">
        <f>ROUND(Tableau14[[#This Row],[Prix_Unit_HT]],2)*Tableau14[[#This Row],[Qte_commande]]</f>
        <v>299</v>
      </c>
      <c r="P522" s="228">
        <f>ROUND(Tableau14[[#This Row],[Prix_Unit_TTC]],2)*Tableau14[[#This Row],[Qte_commande]]</f>
        <v>358.8</v>
      </c>
      <c r="Q522" s="224">
        <v>1</v>
      </c>
      <c r="R522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</v>
      </c>
      <c r="U522" s="224"/>
      <c r="V522" s="224"/>
    </row>
    <row r="523" spans="1:22" ht="12.75" x14ac:dyDescent="0.2">
      <c r="A523" s="225">
        <v>42989</v>
      </c>
      <c r="B523" s="224" t="s">
        <v>623</v>
      </c>
      <c r="C523" s="224" t="s">
        <v>542</v>
      </c>
      <c r="D523" s="224" t="s">
        <v>209</v>
      </c>
      <c r="E523" s="226"/>
      <c r="G523" s="224" t="s">
        <v>13</v>
      </c>
      <c r="H523" s="224" t="s">
        <v>289</v>
      </c>
      <c r="I523" s="224" t="s">
        <v>15</v>
      </c>
      <c r="J523" s="224">
        <v>100</v>
      </c>
      <c r="K523" s="227">
        <f t="array" ref="K523">IFERROR(INDEX([1]Grille_Tarifs_Modulable!$B$2:$B$204,MATCH(Tableau14[[#This Row],[Designation]]&amp;Tableau14[[#This Row],[CL]],[1]Grille_Tarifs_Modulable!$C$2:$C$204&amp;[1]Grille_Tarifs_Modulable!$F$2:$F$204,0)),0)</f>
        <v>4067700013842</v>
      </c>
      <c r="L523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19.150804999999998</v>
      </c>
      <c r="M523" s="228">
        <f>IF(Tableau14[[#This Row],[Prix_Unit_HT]]=0,0,Tableau14[[#This Row],[Prix_Unit_HT]]+(Tableau14[[#This Row],[Prix_Unit_HT]]*VLOOKUP(Tableau14[[#This Row],[EAN]],[1]Grille_Tarifs_Modulable!$B$10:$Q$204,16,FALSE)))</f>
        <v>22.980965999999999</v>
      </c>
      <c r="N523" s="224">
        <v>6</v>
      </c>
      <c r="O523" s="228">
        <f>ROUND(Tableau14[[#This Row],[Prix_Unit_HT]],2)*Tableau14[[#This Row],[Qte_commande]]</f>
        <v>114.89999999999999</v>
      </c>
      <c r="P523" s="228">
        <f>ROUND(Tableau14[[#This Row],[Prix_Unit_TTC]],2)*Tableau14[[#This Row],[Qte_commande]]</f>
        <v>137.88</v>
      </c>
      <c r="Q523" s="224">
        <v>8.57</v>
      </c>
      <c r="R523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8.5714285714285712</v>
      </c>
      <c r="U523" s="224"/>
      <c r="V523" s="224"/>
    </row>
    <row r="524" spans="1:22" ht="12.75" x14ac:dyDescent="0.2">
      <c r="A524" s="225">
        <v>42989</v>
      </c>
      <c r="B524" s="224" t="s">
        <v>623</v>
      </c>
      <c r="C524" s="224" t="s">
        <v>542</v>
      </c>
      <c r="D524" s="224" t="s">
        <v>209</v>
      </c>
      <c r="E524" s="226"/>
      <c r="G524" s="224" t="s">
        <v>13</v>
      </c>
      <c r="H524" s="224" t="s">
        <v>289</v>
      </c>
      <c r="I524" s="224" t="s">
        <v>26</v>
      </c>
      <c r="J524" s="224">
        <v>70</v>
      </c>
      <c r="K524" s="227">
        <f t="array" ref="K524">IFERROR(INDEX([1]Grille_Tarifs_Modulable!$B$2:$B$204,MATCH(Tableau14[[#This Row],[Designation]]&amp;Tableau14[[#This Row],[CL]],[1]Grille_Tarifs_Modulable!$C$2:$C$204&amp;[1]Grille_Tarifs_Modulable!$F$2:$F$204,0)),0)</f>
        <v>8500000916445</v>
      </c>
      <c r="L524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43.608643999999998</v>
      </c>
      <c r="M524" s="228">
        <f>IF(Tableau14[[#This Row],[Prix_Unit_HT]]=0,0,Tableau14[[#This Row],[Prix_Unit_HT]]+(Tableau14[[#This Row],[Prix_Unit_HT]]*VLOOKUP(Tableau14[[#This Row],[EAN]],[1]Grille_Tarifs_Modulable!$B$10:$Q$204,16,FALSE)))</f>
        <v>52.330372799999999</v>
      </c>
      <c r="N524" s="224">
        <v>1</v>
      </c>
      <c r="O524" s="228">
        <f>ROUND(Tableau14[[#This Row],[Prix_Unit_HT]],2)*Tableau14[[#This Row],[Qte_commande]]</f>
        <v>43.61</v>
      </c>
      <c r="P524" s="228">
        <f>ROUND(Tableau14[[#This Row],[Prix_Unit_TTC]],2)*Tableau14[[#This Row],[Qte_commande]]</f>
        <v>52.33</v>
      </c>
      <c r="Q524" s="224">
        <v>1</v>
      </c>
      <c r="R524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</v>
      </c>
      <c r="U524" s="224"/>
      <c r="V524" s="224"/>
    </row>
    <row r="525" spans="1:22" ht="12.75" x14ac:dyDescent="0.2">
      <c r="A525" s="225">
        <v>42989</v>
      </c>
      <c r="B525" s="224" t="s">
        <v>623</v>
      </c>
      <c r="C525" s="224" t="s">
        <v>542</v>
      </c>
      <c r="D525" s="224" t="s">
        <v>209</v>
      </c>
      <c r="E525" s="226"/>
      <c r="G525" s="224" t="s">
        <v>13</v>
      </c>
      <c r="H525" s="224" t="s">
        <v>289</v>
      </c>
      <c r="I525" s="224" t="s">
        <v>931</v>
      </c>
      <c r="J525" s="224">
        <v>100</v>
      </c>
      <c r="K525" s="227">
        <f t="array" ref="K525">IFERROR(INDEX([1]Grille_Tarifs_Modulable!$B$2:$B$204,MATCH(Tableau14[[#This Row],[Designation]]&amp;Tableau14[[#This Row],[CL]],[1]Grille_Tarifs_Modulable!$C$2:$C$204&amp;[1]Grille_Tarifs_Modulable!$F$2:$F$204,0)),0)</f>
        <v>0</v>
      </c>
      <c r="L525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</v>
      </c>
      <c r="M525" s="228">
        <f>IF(Tableau14[[#This Row],[Prix_Unit_HT]]=0,0,Tableau14[[#This Row],[Prix_Unit_HT]]+(Tableau14[[#This Row],[Prix_Unit_HT]]*VLOOKUP(Tableau14[[#This Row],[EAN]],[1]Grille_Tarifs_Modulable!$B$10:$Q$204,16,FALSE)))</f>
        <v>0</v>
      </c>
      <c r="N525" s="224">
        <v>48</v>
      </c>
      <c r="O525" s="228">
        <f>ROUND(Tableau14[[#This Row],[Prix_Unit_HT]],2)*Tableau14[[#This Row],[Qte_commande]]</f>
        <v>0</v>
      </c>
      <c r="P525" s="228">
        <f>ROUND(Tableau14[[#This Row],[Prix_Unit_TTC]],2)*Tableau14[[#This Row],[Qte_commande]]</f>
        <v>0</v>
      </c>
      <c r="Q525" s="224">
        <v>68.569999999999993</v>
      </c>
      <c r="R525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68.571428571428569</v>
      </c>
      <c r="U525" s="224"/>
      <c r="V525" s="224"/>
    </row>
    <row r="526" spans="1:22" ht="12.75" x14ac:dyDescent="0.2">
      <c r="A526" s="225">
        <v>42989</v>
      </c>
      <c r="B526" s="224" t="s">
        <v>623</v>
      </c>
      <c r="C526" s="224" t="s">
        <v>542</v>
      </c>
      <c r="D526" s="224" t="s">
        <v>209</v>
      </c>
      <c r="E526" s="226"/>
      <c r="G526" s="224" t="s">
        <v>13</v>
      </c>
      <c r="H526" s="224" t="s">
        <v>289</v>
      </c>
      <c r="I526" s="224" t="s">
        <v>1352</v>
      </c>
      <c r="J526" s="224">
        <v>100</v>
      </c>
      <c r="K526" s="227">
        <f t="array" ref="K526">IFERROR(INDEX([1]Grille_Tarifs_Modulable!$B$2:$B$204,MATCH(Tableau14[[#This Row],[Designation]]&amp;Tableau14[[#This Row],[CL]],[1]Grille_Tarifs_Modulable!$C$2:$C$204&amp;[1]Grille_Tarifs_Modulable!$F$2:$F$204,0)),0)</f>
        <v>4603514006849</v>
      </c>
      <c r="L526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17.370920000000002</v>
      </c>
      <c r="M526" s="228">
        <f>IF(Tableau14[[#This Row],[Prix_Unit_HT]]=0,0,Tableau14[[#This Row],[Prix_Unit_HT]]+(Tableau14[[#This Row],[Prix_Unit_HT]]*VLOOKUP(Tableau14[[#This Row],[EAN]],[1]Grille_Tarifs_Modulable!$B$10:$Q$204,16,FALSE)))</f>
        <v>20.845104000000003</v>
      </c>
      <c r="N526" s="224">
        <v>12</v>
      </c>
      <c r="O526" s="228">
        <f>ROUND(Tableau14[[#This Row],[Prix_Unit_HT]],2)*Tableau14[[#This Row],[Qte_commande]]</f>
        <v>208.44</v>
      </c>
      <c r="P526" s="228">
        <f>ROUND(Tableau14[[#This Row],[Prix_Unit_TTC]],2)*Tableau14[[#This Row],[Qte_commande]]</f>
        <v>250.20000000000002</v>
      </c>
      <c r="Q526" s="224">
        <v>17.14</v>
      </c>
      <c r="R526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17.142857142857142</v>
      </c>
      <c r="U526" s="224"/>
      <c r="V526" s="224"/>
    </row>
    <row r="527" spans="1:22" ht="12.75" x14ac:dyDescent="0.2">
      <c r="A527" s="225">
        <v>42990</v>
      </c>
      <c r="B527" s="224" t="s">
        <v>369</v>
      </c>
      <c r="C527" s="224" t="s">
        <v>198</v>
      </c>
      <c r="D527" s="224" t="s">
        <v>199</v>
      </c>
      <c r="E527" s="226"/>
      <c r="G527" s="224" t="s">
        <v>1</v>
      </c>
      <c r="H527" s="224" t="s">
        <v>289</v>
      </c>
      <c r="I527" s="224" t="s">
        <v>35</v>
      </c>
      <c r="J527" s="224">
        <v>70</v>
      </c>
      <c r="K527" s="227">
        <f t="array" ref="K527">IFERROR(INDEX([1]Grille_Tarifs_Modulable!$B$2:$B$204,MATCH(Tableau14[[#This Row],[Designation]]&amp;Tableau14[[#This Row],[CL]],[1]Grille_Tarifs_Modulable!$C$2:$C$204&amp;[1]Grille_Tarifs_Modulable!$F$2:$F$204,0)),0)</f>
        <v>3257150107012</v>
      </c>
      <c r="L527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29.828643999999997</v>
      </c>
      <c r="M527" s="228">
        <f>IF(Tableau14[[#This Row],[Prix_Unit_HT]]=0,0,Tableau14[[#This Row],[Prix_Unit_HT]]+(Tableau14[[#This Row],[Prix_Unit_HT]]*VLOOKUP(Tableau14[[#This Row],[EAN]],[1]Grille_Tarifs_Modulable!$B$10:$Q$204,16,FALSE)))</f>
        <v>35.794372799999998</v>
      </c>
      <c r="N527" s="224">
        <v>6</v>
      </c>
      <c r="O527" s="228">
        <f>ROUND(Tableau14[[#This Row],[Prix_Unit_HT]],2)*Tableau14[[#This Row],[Qte_commande]]</f>
        <v>178.98</v>
      </c>
      <c r="P527" s="228">
        <f>ROUND(Tableau14[[#This Row],[Prix_Unit_TTC]],2)*Tableau14[[#This Row],[Qte_commande]]</f>
        <v>214.74</v>
      </c>
      <c r="Q527" s="224">
        <v>6</v>
      </c>
      <c r="R527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6.0000000000000009</v>
      </c>
      <c r="U527" s="224"/>
      <c r="V527" s="224"/>
    </row>
    <row r="528" spans="1:22" ht="12.75" x14ac:dyDescent="0.2">
      <c r="A528" s="225">
        <v>42990</v>
      </c>
      <c r="B528" s="224" t="s">
        <v>369</v>
      </c>
      <c r="C528" s="224" t="s">
        <v>198</v>
      </c>
      <c r="D528" s="224" t="s">
        <v>199</v>
      </c>
      <c r="E528" s="226"/>
      <c r="G528" s="224" t="s">
        <v>1</v>
      </c>
      <c r="H528" s="224" t="s">
        <v>289</v>
      </c>
      <c r="I528" s="224" t="s">
        <v>15</v>
      </c>
      <c r="J528" s="224">
        <v>70</v>
      </c>
      <c r="K528" s="227">
        <f t="array" ref="K528">IFERROR(INDEX([1]Grille_Tarifs_Modulable!$B$2:$B$204,MATCH(Tableau14[[#This Row],[Designation]]&amp;Tableau14[[#This Row],[CL]],[1]Grille_Tarifs_Modulable!$C$2:$C$204&amp;[1]Grille_Tarifs_Modulable!$F$2:$F$204,0)),0)</f>
        <v>4067700013859</v>
      </c>
      <c r="L528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12.532563499999998</v>
      </c>
      <c r="M528" s="228">
        <f>IF(Tableau14[[#This Row],[Prix_Unit_HT]]=0,0,Tableau14[[#This Row],[Prix_Unit_HT]]+(Tableau14[[#This Row],[Prix_Unit_HT]]*VLOOKUP(Tableau14[[#This Row],[EAN]],[1]Grille_Tarifs_Modulable!$B$10:$Q$204,16,FALSE)))</f>
        <v>15.039076199999998</v>
      </c>
      <c r="N528" s="224">
        <v>60</v>
      </c>
      <c r="O528" s="228">
        <f>ROUND(Tableau14[[#This Row],[Prix_Unit_HT]],2)*Tableau14[[#This Row],[Qte_commande]]</f>
        <v>751.8</v>
      </c>
      <c r="P528" s="228">
        <f>ROUND(Tableau14[[#This Row],[Prix_Unit_TTC]],2)*Tableau14[[#This Row],[Qte_commande]]</f>
        <v>902.4</v>
      </c>
      <c r="Q528" s="224">
        <v>60</v>
      </c>
      <c r="R528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60.000000000000007</v>
      </c>
      <c r="U528" s="224"/>
      <c r="V528" s="224"/>
    </row>
    <row r="529" spans="1:22" ht="12.75" x14ac:dyDescent="0.2">
      <c r="A529" s="225">
        <v>42990</v>
      </c>
      <c r="B529" s="224" t="s">
        <v>369</v>
      </c>
      <c r="C529" s="224" t="s">
        <v>198</v>
      </c>
      <c r="D529" s="224" t="s">
        <v>199</v>
      </c>
      <c r="E529" s="226"/>
      <c r="G529" s="224" t="s">
        <v>1</v>
      </c>
      <c r="H529" s="224" t="s">
        <v>289</v>
      </c>
      <c r="I529" s="224" t="s">
        <v>15</v>
      </c>
      <c r="J529" s="224">
        <v>100</v>
      </c>
      <c r="K529" s="227">
        <f t="array" ref="K529">IFERROR(INDEX([1]Grille_Tarifs_Modulable!$B$2:$B$204,MATCH(Tableau14[[#This Row],[Designation]]&amp;Tableau14[[#This Row],[CL]],[1]Grille_Tarifs_Modulable!$C$2:$C$204&amp;[1]Grille_Tarifs_Modulable!$F$2:$F$204,0)),0)</f>
        <v>4067700013842</v>
      </c>
      <c r="L529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17.100804999999998</v>
      </c>
      <c r="M529" s="228">
        <f>IF(Tableau14[[#This Row],[Prix_Unit_HT]]=0,0,Tableau14[[#This Row],[Prix_Unit_HT]]+(Tableau14[[#This Row],[Prix_Unit_HT]]*VLOOKUP(Tableau14[[#This Row],[EAN]],[1]Grille_Tarifs_Modulable!$B$10:$Q$204,16,FALSE)))</f>
        <v>20.520965999999998</v>
      </c>
      <c r="N529" s="224">
        <v>24</v>
      </c>
      <c r="O529" s="228">
        <f>ROUND(Tableau14[[#This Row],[Prix_Unit_HT]],2)*Tableau14[[#This Row],[Qte_commande]]</f>
        <v>410.40000000000003</v>
      </c>
      <c r="P529" s="228">
        <f>ROUND(Tableau14[[#This Row],[Prix_Unit_TTC]],2)*Tableau14[[#This Row],[Qte_commande]]</f>
        <v>492.48</v>
      </c>
      <c r="Q529" s="224">
        <v>34.29</v>
      </c>
      <c r="R529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34.285714285714285</v>
      </c>
      <c r="U529" s="224"/>
      <c r="V529" s="224"/>
    </row>
    <row r="530" spans="1:22" ht="12.75" x14ac:dyDescent="0.2">
      <c r="A530" s="225">
        <v>42990</v>
      </c>
      <c r="B530" s="224" t="s">
        <v>369</v>
      </c>
      <c r="C530" s="224" t="s">
        <v>198</v>
      </c>
      <c r="D530" s="224" t="s">
        <v>199</v>
      </c>
      <c r="E530" s="226"/>
      <c r="G530" s="224" t="s">
        <v>1</v>
      </c>
      <c r="H530" s="224" t="s">
        <v>289</v>
      </c>
      <c r="I530" s="224" t="s">
        <v>40</v>
      </c>
      <c r="J530" s="224">
        <v>10</v>
      </c>
      <c r="K530" s="227">
        <f t="array" ref="K530">IFERROR(INDEX([1]Grille_Tarifs_Modulable!$B$2:$B$204,MATCH(Tableau14[[#This Row],[Designation]]&amp;Tableau14[[#This Row],[CL]],[1]Grille_Tarifs_Modulable!$C$2:$C$204&amp;[1]Grille_Tarifs_Modulable!$F$2:$F$204,0)),0)</f>
        <v>3257150102314</v>
      </c>
      <c r="L530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15.276138</v>
      </c>
      <c r="M530" s="228">
        <f>IF(Tableau14[[#This Row],[Prix_Unit_HT]]=0,0,Tableau14[[#This Row],[Prix_Unit_HT]]+(Tableau14[[#This Row],[Prix_Unit_HT]]*VLOOKUP(Tableau14[[#This Row],[EAN]],[1]Grille_Tarifs_Modulable!$B$10:$Q$204,16,FALSE)))</f>
        <v>18.331365599999998</v>
      </c>
      <c r="N530" s="224">
        <v>6</v>
      </c>
      <c r="O530" s="228">
        <f>ROUND(Tableau14[[#This Row],[Prix_Unit_HT]],2)*Tableau14[[#This Row],[Qte_commande]]</f>
        <v>91.679999999999993</v>
      </c>
      <c r="P530" s="228">
        <f>ROUND(Tableau14[[#This Row],[Prix_Unit_TTC]],2)*Tableau14[[#This Row],[Qte_commande]]</f>
        <v>109.97999999999999</v>
      </c>
      <c r="Q530" s="224">
        <v>0.86</v>
      </c>
      <c r="R530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0.85714285714285721</v>
      </c>
      <c r="U530" s="224"/>
      <c r="V530" s="224"/>
    </row>
    <row r="531" spans="1:22" ht="12.75" x14ac:dyDescent="0.2">
      <c r="A531" s="225">
        <v>42990</v>
      </c>
      <c r="B531" s="224" t="s">
        <v>369</v>
      </c>
      <c r="C531" s="224" t="s">
        <v>198</v>
      </c>
      <c r="D531" s="224" t="s">
        <v>199</v>
      </c>
      <c r="E531" s="226"/>
      <c r="G531" s="224" t="s">
        <v>1</v>
      </c>
      <c r="H531" s="224" t="s">
        <v>289</v>
      </c>
      <c r="I531" s="224" t="s">
        <v>41</v>
      </c>
      <c r="J531" s="224">
        <v>10</v>
      </c>
      <c r="K531" s="227">
        <f t="array" ref="K531">IFERROR(INDEX([1]Grille_Tarifs_Modulable!$B$2:$B$204,MATCH(Tableau14[[#This Row],[Designation]]&amp;Tableau14[[#This Row],[CL]],[1]Grille_Tarifs_Modulable!$C$2:$C$204&amp;[1]Grille_Tarifs_Modulable!$F$2:$F$204,0)),0)</f>
        <v>3257150102284</v>
      </c>
      <c r="L531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20.666137999999997</v>
      </c>
      <c r="M531" s="228">
        <f>IF(Tableau14[[#This Row],[Prix_Unit_HT]]=0,0,Tableau14[[#This Row],[Prix_Unit_HT]]+(Tableau14[[#This Row],[Prix_Unit_HT]]*VLOOKUP(Tableau14[[#This Row],[EAN]],[1]Grille_Tarifs_Modulable!$B$10:$Q$204,16,FALSE)))</f>
        <v>24.799365599999994</v>
      </c>
      <c r="N531" s="224">
        <v>6</v>
      </c>
      <c r="O531" s="228">
        <f>ROUND(Tableau14[[#This Row],[Prix_Unit_HT]],2)*Tableau14[[#This Row],[Qte_commande]]</f>
        <v>124.02000000000001</v>
      </c>
      <c r="P531" s="228">
        <f>ROUND(Tableau14[[#This Row],[Prix_Unit_TTC]],2)*Tableau14[[#This Row],[Qte_commande]]</f>
        <v>148.80000000000001</v>
      </c>
      <c r="Q531" s="224">
        <v>0.86</v>
      </c>
      <c r="R531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0.85714285714285721</v>
      </c>
      <c r="U531" s="224"/>
      <c r="V531" s="224"/>
    </row>
    <row r="532" spans="1:22" ht="12.75" x14ac:dyDescent="0.2">
      <c r="A532" s="225">
        <v>42990</v>
      </c>
      <c r="B532" s="224" t="s">
        <v>369</v>
      </c>
      <c r="C532" s="224" t="s">
        <v>198</v>
      </c>
      <c r="D532" s="224" t="s">
        <v>199</v>
      </c>
      <c r="E532" s="226"/>
      <c r="G532" s="224" t="s">
        <v>1</v>
      </c>
      <c r="H532" s="224" t="s">
        <v>289</v>
      </c>
      <c r="I532" s="224" t="s">
        <v>44</v>
      </c>
      <c r="J532" s="224">
        <v>50</v>
      </c>
      <c r="K532" s="227">
        <f t="array" ref="K532">IFERROR(INDEX([1]Grille_Tarifs_Modulable!$B$2:$B$204,MATCH(Tableau14[[#This Row],[Designation]]&amp;Tableau14[[#This Row],[CL]],[1]Grille_Tarifs_Modulable!$C$2:$C$204&amp;[1]Grille_Tarifs_Modulable!$F$2:$F$204,0)),0)</f>
        <v>4260270192645</v>
      </c>
      <c r="L532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25.192506000000002</v>
      </c>
      <c r="M532" s="228">
        <f>IF(Tableau14[[#This Row],[Prix_Unit_HT]]=0,0,Tableau14[[#This Row],[Prix_Unit_HT]]+(Tableau14[[#This Row],[Prix_Unit_HT]]*VLOOKUP(Tableau14[[#This Row],[EAN]],[1]Grille_Tarifs_Modulable!$B$10:$Q$204,16,FALSE)))</f>
        <v>30.231007200000001</v>
      </c>
      <c r="N532" s="224">
        <v>6</v>
      </c>
      <c r="O532" s="228">
        <f>ROUND(Tableau14[[#This Row],[Prix_Unit_HT]],2)*Tableau14[[#This Row],[Qte_commande]]</f>
        <v>151.14000000000001</v>
      </c>
      <c r="P532" s="228">
        <f>ROUND(Tableau14[[#This Row],[Prix_Unit_TTC]],2)*Tableau14[[#This Row],[Qte_commande]]</f>
        <v>181.38</v>
      </c>
      <c r="Q532" s="224">
        <v>4.29</v>
      </c>
      <c r="R532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4.2857142857142856</v>
      </c>
      <c r="U532" s="224"/>
      <c r="V532" s="224"/>
    </row>
    <row r="533" spans="1:22" ht="12.75" x14ac:dyDescent="0.2">
      <c r="A533" s="225">
        <v>42990</v>
      </c>
      <c r="B533" s="224" t="s">
        <v>369</v>
      </c>
      <c r="C533" s="224" t="s">
        <v>198</v>
      </c>
      <c r="D533" s="224" t="s">
        <v>199</v>
      </c>
      <c r="E533" s="226"/>
      <c r="G533" s="224" t="s">
        <v>1</v>
      </c>
      <c r="H533" s="224" t="s">
        <v>289</v>
      </c>
      <c r="I533" s="224" t="s">
        <v>42</v>
      </c>
      <c r="J533" s="224">
        <v>70</v>
      </c>
      <c r="K533" s="227">
        <f t="array" ref="K533">IFERROR(INDEX([1]Grille_Tarifs_Modulable!$B$2:$B$204,MATCH(Tableau14[[#This Row],[Designation]]&amp;Tableau14[[#This Row],[CL]],[1]Grille_Tarifs_Modulable!$C$2:$C$204&amp;[1]Grille_Tarifs_Modulable!$F$2:$F$204,0)),0)</f>
        <v>3257150688009</v>
      </c>
      <c r="L533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12.556915199999999</v>
      </c>
      <c r="M533" s="228">
        <f>IF(Tableau14[[#This Row],[Prix_Unit_HT]]=0,0,Tableau14[[#This Row],[Prix_Unit_HT]]+(Tableau14[[#This Row],[Prix_Unit_HT]]*VLOOKUP(Tableau14[[#This Row],[EAN]],[1]Grille_Tarifs_Modulable!$B$10:$Q$204,16,FALSE)))</f>
        <v>15.068298239999999</v>
      </c>
      <c r="N533" s="224">
        <v>12</v>
      </c>
      <c r="O533" s="228">
        <f>ROUND(Tableau14[[#This Row],[Prix_Unit_HT]],2)*Tableau14[[#This Row],[Qte_commande]]</f>
        <v>150.72</v>
      </c>
      <c r="P533" s="228">
        <f>ROUND(Tableau14[[#This Row],[Prix_Unit_TTC]],2)*Tableau14[[#This Row],[Qte_commande]]</f>
        <v>180.84</v>
      </c>
      <c r="Q533" s="224">
        <v>12</v>
      </c>
      <c r="R533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12.000000000000002</v>
      </c>
      <c r="U533" s="224"/>
      <c r="V533" s="224"/>
    </row>
    <row r="534" spans="1:22" ht="12.75" x14ac:dyDescent="0.2">
      <c r="A534" s="225">
        <v>42990</v>
      </c>
      <c r="B534" s="224" t="s">
        <v>1073</v>
      </c>
      <c r="C534" s="224" t="s">
        <v>664</v>
      </c>
      <c r="D534" s="224" t="s">
        <v>209</v>
      </c>
      <c r="E534" s="226"/>
      <c r="G534" s="224" t="s">
        <v>13</v>
      </c>
      <c r="H534" s="224" t="s">
        <v>451</v>
      </c>
      <c r="I534" s="224" t="s">
        <v>69</v>
      </c>
      <c r="J534" s="227">
        <v>3</v>
      </c>
      <c r="K534" s="227">
        <f t="array" ref="K534">IFERROR(INDEX([1]Grille_Tarifs_Modulable!$B$2:$B$204,MATCH(Tableau14[[#This Row],[Designation]]&amp;Tableau14[[#This Row],[CL]],[1]Grille_Tarifs_Modulable!$C$2:$C$204&amp;[1]Grille_Tarifs_Modulable!$F$2:$F$204,0)),0)</f>
        <v>121</v>
      </c>
      <c r="L534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299</v>
      </c>
      <c r="M534" s="228">
        <f>IF(Tableau14[[#This Row],[Prix_Unit_HT]]=0,0,Tableau14[[#This Row],[Prix_Unit_HT]]+(Tableau14[[#This Row],[Prix_Unit_HT]]*VLOOKUP(Tableau14[[#This Row],[EAN]],[1]Grille_Tarifs_Modulable!$B$10:$Q$204,16,FALSE)))</f>
        <v>358.8</v>
      </c>
      <c r="N534" s="224">
        <v>1</v>
      </c>
      <c r="O534" s="228">
        <f>ROUND(Tableau14[[#This Row],[Prix_Unit_HT]],2)*Tableau14[[#This Row],[Qte_commande]]</f>
        <v>299</v>
      </c>
      <c r="P534" s="228">
        <f>ROUND(Tableau14[[#This Row],[Prix_Unit_TTC]],2)*Tableau14[[#This Row],[Qte_commande]]</f>
        <v>358.8</v>
      </c>
      <c r="Q534" s="224">
        <v>1</v>
      </c>
      <c r="R534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</v>
      </c>
      <c r="U534" s="224"/>
      <c r="V534" s="224"/>
    </row>
    <row r="535" spans="1:22" ht="12.75" x14ac:dyDescent="0.2">
      <c r="A535" s="225">
        <v>42990</v>
      </c>
      <c r="B535" s="224" t="s">
        <v>1074</v>
      </c>
      <c r="C535" s="224" t="s">
        <v>1075</v>
      </c>
      <c r="D535" s="224" t="s">
        <v>302</v>
      </c>
      <c r="E535" s="226"/>
      <c r="G535" s="224" t="s">
        <v>13</v>
      </c>
      <c r="H535" s="224" t="s">
        <v>451</v>
      </c>
      <c r="I535" s="224" t="s">
        <v>69</v>
      </c>
      <c r="J535" s="227">
        <v>3</v>
      </c>
      <c r="K535" s="227">
        <f t="array" ref="K535">IFERROR(INDEX([1]Grille_Tarifs_Modulable!$B$2:$B$204,MATCH(Tableau14[[#This Row],[Designation]]&amp;Tableau14[[#This Row],[CL]],[1]Grille_Tarifs_Modulable!$C$2:$C$204&amp;[1]Grille_Tarifs_Modulable!$F$2:$F$204,0)),0)</f>
        <v>121</v>
      </c>
      <c r="L535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299</v>
      </c>
      <c r="M535" s="228">
        <f>IF(Tableau14[[#This Row],[Prix_Unit_HT]]=0,0,Tableau14[[#This Row],[Prix_Unit_HT]]+(Tableau14[[#This Row],[Prix_Unit_HT]]*VLOOKUP(Tableau14[[#This Row],[EAN]],[1]Grille_Tarifs_Modulable!$B$10:$Q$204,16,FALSE)))</f>
        <v>358.8</v>
      </c>
      <c r="N535" s="224">
        <v>2</v>
      </c>
      <c r="O535" s="228">
        <f>ROUND(Tableau14[[#This Row],[Prix_Unit_HT]],2)*Tableau14[[#This Row],[Qte_commande]]</f>
        <v>598</v>
      </c>
      <c r="P535" s="228">
        <f>ROUND(Tableau14[[#This Row],[Prix_Unit_TTC]],2)*Tableau14[[#This Row],[Qte_commande]]</f>
        <v>717.6</v>
      </c>
      <c r="Q535" s="224">
        <v>2</v>
      </c>
      <c r="R535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2</v>
      </c>
      <c r="U535" s="224"/>
      <c r="V535" s="224"/>
    </row>
    <row r="536" spans="1:22" ht="12.75" x14ac:dyDescent="0.2">
      <c r="A536" s="225">
        <v>42990</v>
      </c>
      <c r="B536" s="224" t="s">
        <v>1076</v>
      </c>
      <c r="C536" s="224" t="s">
        <v>1077</v>
      </c>
      <c r="D536" s="224" t="s">
        <v>1078</v>
      </c>
      <c r="E536" s="226"/>
      <c r="G536" s="224" t="s">
        <v>13</v>
      </c>
      <c r="H536" s="224" t="s">
        <v>451</v>
      </c>
      <c r="I536" s="224" t="s">
        <v>69</v>
      </c>
      <c r="J536" s="227">
        <v>3</v>
      </c>
      <c r="K536" s="227">
        <f t="array" ref="K536">IFERROR(INDEX([1]Grille_Tarifs_Modulable!$B$2:$B$204,MATCH(Tableau14[[#This Row],[Designation]]&amp;Tableau14[[#This Row],[CL]],[1]Grille_Tarifs_Modulable!$C$2:$C$204&amp;[1]Grille_Tarifs_Modulable!$F$2:$F$204,0)),0)</f>
        <v>121</v>
      </c>
      <c r="L536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299</v>
      </c>
      <c r="M536" s="228">
        <f>IF(Tableau14[[#This Row],[Prix_Unit_HT]]=0,0,Tableau14[[#This Row],[Prix_Unit_HT]]+(Tableau14[[#This Row],[Prix_Unit_HT]]*VLOOKUP(Tableau14[[#This Row],[EAN]],[1]Grille_Tarifs_Modulable!$B$10:$Q$204,16,FALSE)))</f>
        <v>358.8</v>
      </c>
      <c r="N536" s="224">
        <v>1</v>
      </c>
      <c r="O536" s="228">
        <f>ROUND(Tableau14[[#This Row],[Prix_Unit_HT]],2)*Tableau14[[#This Row],[Qte_commande]]</f>
        <v>299</v>
      </c>
      <c r="P536" s="228">
        <f>ROUND(Tableau14[[#This Row],[Prix_Unit_TTC]],2)*Tableau14[[#This Row],[Qte_commande]]</f>
        <v>358.8</v>
      </c>
      <c r="Q536" s="224">
        <v>1</v>
      </c>
      <c r="R536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</v>
      </c>
      <c r="U536" s="224"/>
      <c r="V536" s="224"/>
    </row>
    <row r="537" spans="1:22" ht="12.75" x14ac:dyDescent="0.2">
      <c r="A537" s="225">
        <v>42992</v>
      </c>
      <c r="B537" s="224" t="s">
        <v>624</v>
      </c>
      <c r="C537" s="224" t="s">
        <v>308</v>
      </c>
      <c r="D537" s="224" t="s">
        <v>309</v>
      </c>
      <c r="E537" s="226"/>
      <c r="G537" s="224" t="s">
        <v>1</v>
      </c>
      <c r="H537" s="224" t="s">
        <v>289</v>
      </c>
      <c r="I537" s="224" t="s">
        <v>15</v>
      </c>
      <c r="J537" s="224">
        <v>100</v>
      </c>
      <c r="K537" s="227">
        <f t="array" ref="K537">IFERROR(INDEX([1]Grille_Tarifs_Modulable!$B$2:$B$204,MATCH(Tableau14[[#This Row],[Designation]]&amp;Tableau14[[#This Row],[CL]],[1]Grille_Tarifs_Modulable!$C$2:$C$204&amp;[1]Grille_Tarifs_Modulable!$F$2:$F$204,0)),0)</f>
        <v>4067700013842</v>
      </c>
      <c r="L537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17.100804999999998</v>
      </c>
      <c r="M537" s="228">
        <f>IF(Tableau14[[#This Row],[Prix_Unit_HT]]=0,0,Tableau14[[#This Row],[Prix_Unit_HT]]+(Tableau14[[#This Row],[Prix_Unit_HT]]*VLOOKUP(Tableau14[[#This Row],[EAN]],[1]Grille_Tarifs_Modulable!$B$10:$Q$204,16,FALSE)))</f>
        <v>20.520965999999998</v>
      </c>
      <c r="N537" s="224">
        <v>240</v>
      </c>
      <c r="O537" s="228">
        <f>ROUND(Tableau14[[#This Row],[Prix_Unit_HT]],2)*Tableau14[[#This Row],[Qte_commande]]</f>
        <v>4104</v>
      </c>
      <c r="P537" s="228">
        <f>ROUND(Tableau14[[#This Row],[Prix_Unit_TTC]],2)*Tableau14[[#This Row],[Qte_commande]]</f>
        <v>4924.8</v>
      </c>
      <c r="Q537" s="224">
        <v>342.86</v>
      </c>
      <c r="R537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342.85714285714289</v>
      </c>
      <c r="U537" s="224"/>
      <c r="V537" s="224"/>
    </row>
    <row r="538" spans="1:22" ht="12.75" x14ac:dyDescent="0.2">
      <c r="A538" s="225">
        <v>42992</v>
      </c>
      <c r="B538" s="224" t="s">
        <v>841</v>
      </c>
      <c r="C538" s="224" t="s">
        <v>308</v>
      </c>
      <c r="D538" s="224" t="s">
        <v>309</v>
      </c>
      <c r="E538" s="226"/>
      <c r="G538" s="224" t="s">
        <v>1</v>
      </c>
      <c r="H538" s="224" t="s">
        <v>289</v>
      </c>
      <c r="I538" s="224" t="s">
        <v>30</v>
      </c>
      <c r="J538" s="224">
        <v>70</v>
      </c>
      <c r="K538" s="227">
        <f t="array" ref="K538">IFERROR(INDEX([1]Grille_Tarifs_Modulable!$B$2:$B$204,MATCH(Tableau14[[#This Row],[Designation]]&amp;Tableau14[[#This Row],[CL]],[1]Grille_Tarifs_Modulable!$C$2:$C$204&amp;[1]Grille_Tarifs_Modulable!$F$2:$F$204,0)),0)</f>
        <v>3257150101904</v>
      </c>
      <c r="L538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16.346482999999999</v>
      </c>
      <c r="M538" s="228">
        <f>IF(Tableau14[[#This Row],[Prix_Unit_HT]]=0,0,Tableau14[[#This Row],[Prix_Unit_HT]]+(Tableau14[[#This Row],[Prix_Unit_HT]]*VLOOKUP(Tableau14[[#This Row],[EAN]],[1]Grille_Tarifs_Modulable!$B$10:$Q$204,16,FALSE)))</f>
        <v>19.6157796</v>
      </c>
      <c r="N538" s="224">
        <v>1</v>
      </c>
      <c r="O538" s="228">
        <f>ROUND(Tableau14[[#This Row],[Prix_Unit_HT]],2)*Tableau14[[#This Row],[Qte_commande]]</f>
        <v>16.350000000000001</v>
      </c>
      <c r="P538" s="228">
        <f>ROUND(Tableau14[[#This Row],[Prix_Unit_TTC]],2)*Tableau14[[#This Row],[Qte_commande]]</f>
        <v>19.62</v>
      </c>
      <c r="Q538" s="224">
        <v>1</v>
      </c>
      <c r="R538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</v>
      </c>
      <c r="U538" s="224"/>
      <c r="V538" s="224"/>
    </row>
    <row r="539" spans="1:22" ht="12.75" x14ac:dyDescent="0.2">
      <c r="A539" s="225">
        <v>42992</v>
      </c>
      <c r="B539" s="224" t="s">
        <v>841</v>
      </c>
      <c r="C539" s="224" t="s">
        <v>308</v>
      </c>
      <c r="D539" s="224" t="s">
        <v>309</v>
      </c>
      <c r="E539" s="226"/>
      <c r="G539" s="224" t="s">
        <v>1</v>
      </c>
      <c r="H539" s="224" t="s">
        <v>289</v>
      </c>
      <c r="I539" s="224" t="s">
        <v>32</v>
      </c>
      <c r="J539" s="224">
        <v>70</v>
      </c>
      <c r="K539" s="227">
        <f t="array" ref="K539">IFERROR(INDEX([1]Grille_Tarifs_Modulable!$B$2:$B$204,MATCH(Tableau14[[#This Row],[Designation]]&amp;Tableau14[[#This Row],[CL]],[1]Grille_Tarifs_Modulable!$C$2:$C$204&amp;[1]Grille_Tarifs_Modulable!$F$2:$F$204,0)),0)</f>
        <v>3257150100228</v>
      </c>
      <c r="L539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19.998643999999999</v>
      </c>
      <c r="M539" s="228">
        <f>IF(Tableau14[[#This Row],[Prix_Unit_HT]]=0,0,Tableau14[[#This Row],[Prix_Unit_HT]]+(Tableau14[[#This Row],[Prix_Unit_HT]]*VLOOKUP(Tableau14[[#This Row],[EAN]],[1]Grille_Tarifs_Modulable!$B$10:$Q$204,16,FALSE)))</f>
        <v>23.998372799999999</v>
      </c>
      <c r="N539" s="224">
        <v>1</v>
      </c>
      <c r="O539" s="228">
        <f>ROUND(Tableau14[[#This Row],[Prix_Unit_HT]],2)*Tableau14[[#This Row],[Qte_commande]]</f>
        <v>20</v>
      </c>
      <c r="P539" s="228">
        <f>ROUND(Tableau14[[#This Row],[Prix_Unit_TTC]],2)*Tableau14[[#This Row],[Qte_commande]]</f>
        <v>24</v>
      </c>
      <c r="Q539" s="224">
        <v>1</v>
      </c>
      <c r="R539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</v>
      </c>
      <c r="U539" s="224"/>
      <c r="V539" s="224"/>
    </row>
    <row r="540" spans="1:22" ht="12.75" x14ac:dyDescent="0.2">
      <c r="A540" s="225">
        <v>42992</v>
      </c>
      <c r="B540" s="224" t="s">
        <v>841</v>
      </c>
      <c r="C540" s="224" t="s">
        <v>308</v>
      </c>
      <c r="D540" s="224" t="s">
        <v>309</v>
      </c>
      <c r="E540" s="226"/>
      <c r="G540" s="224" t="s">
        <v>1</v>
      </c>
      <c r="H540" s="224" t="s">
        <v>289</v>
      </c>
      <c r="I540" s="224" t="s">
        <v>31</v>
      </c>
      <c r="J540" s="224">
        <v>70</v>
      </c>
      <c r="K540" s="227">
        <f t="array" ref="K540">IFERROR(INDEX([1]Grille_Tarifs_Modulable!$B$2:$B$204,MATCH(Tableau14[[#This Row],[Designation]]&amp;Tableau14[[#This Row],[CL]],[1]Grille_Tarifs_Modulable!$C$2:$C$204&amp;[1]Grille_Tarifs_Modulable!$F$2:$F$204,0)),0)</f>
        <v>3257150102017</v>
      </c>
      <c r="L540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14.694322</v>
      </c>
      <c r="M540" s="228">
        <f>IF(Tableau14[[#This Row],[Prix_Unit_HT]]=0,0,Tableau14[[#This Row],[Prix_Unit_HT]]+(Tableau14[[#This Row],[Prix_Unit_HT]]*VLOOKUP(Tableau14[[#This Row],[EAN]],[1]Grille_Tarifs_Modulable!$B$10:$Q$204,16,FALSE)))</f>
        <v>17.6331864</v>
      </c>
      <c r="N540" s="224">
        <v>1</v>
      </c>
      <c r="O540" s="228">
        <f>ROUND(Tableau14[[#This Row],[Prix_Unit_HT]],2)*Tableau14[[#This Row],[Qte_commande]]</f>
        <v>14.69</v>
      </c>
      <c r="P540" s="228">
        <f>ROUND(Tableau14[[#This Row],[Prix_Unit_TTC]],2)*Tableau14[[#This Row],[Qte_commande]]</f>
        <v>17.63</v>
      </c>
      <c r="Q540" s="224">
        <v>1</v>
      </c>
      <c r="R540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</v>
      </c>
      <c r="U540" s="224"/>
      <c r="V540" s="224"/>
    </row>
    <row r="541" spans="1:22" ht="12.75" x14ac:dyDescent="0.2">
      <c r="A541" s="225">
        <v>42992</v>
      </c>
      <c r="B541" s="224" t="s">
        <v>624</v>
      </c>
      <c r="C541" s="224" t="s">
        <v>308</v>
      </c>
      <c r="D541" s="224" t="s">
        <v>309</v>
      </c>
      <c r="E541" s="226"/>
      <c r="G541" s="224" t="s">
        <v>1</v>
      </c>
      <c r="H541" s="224" t="s">
        <v>289</v>
      </c>
      <c r="I541" s="224" t="s">
        <v>17</v>
      </c>
      <c r="J541" s="224">
        <v>70</v>
      </c>
      <c r="K541" s="227">
        <f t="array" ref="K541">IFERROR(INDEX([1]Grille_Tarifs_Modulable!$B$2:$B$204,MATCH(Tableau14[[#This Row],[Designation]]&amp;Tableau14[[#This Row],[CL]],[1]Grille_Tarifs_Modulable!$C$2:$C$204&amp;[1]Grille_Tarifs_Modulable!$F$2:$F$204,0)),0)</f>
        <v>8002095100001</v>
      </c>
      <c r="L541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16.028644</v>
      </c>
      <c r="M541" s="228">
        <f>IF(Tableau14[[#This Row],[Prix_Unit_HT]]=0,0,Tableau14[[#This Row],[Prix_Unit_HT]]+(Tableau14[[#This Row],[Prix_Unit_HT]]*VLOOKUP(Tableau14[[#This Row],[EAN]],[1]Grille_Tarifs_Modulable!$B$10:$Q$204,16,FALSE)))</f>
        <v>19.234372799999999</v>
      </c>
      <c r="N541" s="224">
        <v>12</v>
      </c>
      <c r="O541" s="228">
        <f>ROUND(Tableau14[[#This Row],[Prix_Unit_HT]],2)*Tableau14[[#This Row],[Qte_commande]]</f>
        <v>192.36</v>
      </c>
      <c r="P541" s="228">
        <f>ROUND(Tableau14[[#This Row],[Prix_Unit_TTC]],2)*Tableau14[[#This Row],[Qte_commande]]</f>
        <v>230.76</v>
      </c>
      <c r="Q541" s="224">
        <v>12</v>
      </c>
      <c r="R541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12.000000000000002</v>
      </c>
      <c r="U541" s="224"/>
      <c r="V541" s="224"/>
    </row>
    <row r="542" spans="1:22" ht="12.75" x14ac:dyDescent="0.2">
      <c r="A542" s="225">
        <v>42992</v>
      </c>
      <c r="B542" s="224" t="s">
        <v>624</v>
      </c>
      <c r="C542" s="224" t="s">
        <v>308</v>
      </c>
      <c r="D542" s="224" t="s">
        <v>309</v>
      </c>
      <c r="E542" s="226"/>
      <c r="G542" s="224" t="s">
        <v>1</v>
      </c>
      <c r="H542" s="224" t="s">
        <v>289</v>
      </c>
      <c r="I542" s="224" t="s">
        <v>17</v>
      </c>
      <c r="J542" s="224">
        <v>70</v>
      </c>
      <c r="K542" s="227">
        <f t="array" ref="K542">IFERROR(INDEX([1]Grille_Tarifs_Modulable!$B$2:$B$204,MATCH(Tableau14[[#This Row],[Designation]]&amp;Tableau14[[#This Row],[CL]],[1]Grille_Tarifs_Modulable!$C$2:$C$204&amp;[1]Grille_Tarifs_Modulable!$F$2:$F$204,0)),0)</f>
        <v>8002095100001</v>
      </c>
      <c r="L542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16.028644</v>
      </c>
      <c r="M542" s="228">
        <f>IF(Tableau14[[#This Row],[Prix_Unit_HT]]=0,0,Tableau14[[#This Row],[Prix_Unit_HT]]+(Tableau14[[#This Row],[Prix_Unit_HT]]*VLOOKUP(Tableau14[[#This Row],[EAN]],[1]Grille_Tarifs_Modulable!$B$10:$Q$204,16,FALSE)))</f>
        <v>19.234372799999999</v>
      </c>
      <c r="N542" s="224">
        <v>30</v>
      </c>
      <c r="O542" s="228">
        <f>ROUND(Tableau14[[#This Row],[Prix_Unit_HT]],2)*Tableau14[[#This Row],[Qte_commande]]</f>
        <v>480.90000000000003</v>
      </c>
      <c r="P542" s="228">
        <f>ROUND(Tableau14[[#This Row],[Prix_Unit_TTC]],2)*Tableau14[[#This Row],[Qte_commande]]</f>
        <v>576.9</v>
      </c>
      <c r="Q542" s="224">
        <v>30</v>
      </c>
      <c r="R542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30.000000000000004</v>
      </c>
      <c r="U542" s="224"/>
      <c r="V542" s="224"/>
    </row>
    <row r="543" spans="1:22" ht="12.75" x14ac:dyDescent="0.2">
      <c r="A543" s="225">
        <v>43000</v>
      </c>
      <c r="B543" s="224" t="s">
        <v>625</v>
      </c>
      <c r="C543" s="224" t="s">
        <v>530</v>
      </c>
      <c r="D543" s="224" t="s">
        <v>531</v>
      </c>
      <c r="E543" s="226"/>
      <c r="G543" s="224" t="s">
        <v>1</v>
      </c>
      <c r="H543" s="224" t="s">
        <v>289</v>
      </c>
      <c r="I543" s="224" t="s">
        <v>15</v>
      </c>
      <c r="J543" s="224">
        <v>70</v>
      </c>
      <c r="K543" s="227">
        <f t="array" ref="K543">IFERROR(INDEX([1]Grille_Tarifs_Modulable!$B$2:$B$204,MATCH(Tableau14[[#This Row],[Designation]]&amp;Tableau14[[#This Row],[CL]],[1]Grille_Tarifs_Modulable!$C$2:$C$204&amp;[1]Grille_Tarifs_Modulable!$F$2:$F$204,0)),0)</f>
        <v>4067700013859</v>
      </c>
      <c r="L543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12.532563499999998</v>
      </c>
      <c r="M543" s="228">
        <f>IF(Tableau14[[#This Row],[Prix_Unit_HT]]=0,0,Tableau14[[#This Row],[Prix_Unit_HT]]+(Tableau14[[#This Row],[Prix_Unit_HT]]*VLOOKUP(Tableau14[[#This Row],[EAN]],[1]Grille_Tarifs_Modulable!$B$10:$Q$204,16,FALSE)))</f>
        <v>15.039076199999998</v>
      </c>
      <c r="N543" s="224">
        <v>150</v>
      </c>
      <c r="O543" s="228">
        <f>ROUND(Tableau14[[#This Row],[Prix_Unit_HT]],2)*Tableau14[[#This Row],[Qte_commande]]</f>
        <v>1879.5</v>
      </c>
      <c r="P543" s="228">
        <f>ROUND(Tableau14[[#This Row],[Prix_Unit_TTC]],2)*Tableau14[[#This Row],[Qte_commande]]</f>
        <v>2256</v>
      </c>
      <c r="Q543" s="224">
        <v>150</v>
      </c>
      <c r="R543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150</v>
      </c>
      <c r="U543" s="224"/>
      <c r="V543" s="224"/>
    </row>
    <row r="544" spans="1:22" ht="12.75" x14ac:dyDescent="0.2">
      <c r="A544" s="225">
        <v>43006</v>
      </c>
      <c r="B544" s="224" t="s">
        <v>1079</v>
      </c>
      <c r="C544" s="224" t="s">
        <v>1080</v>
      </c>
      <c r="D544" s="224" t="s">
        <v>180</v>
      </c>
      <c r="E544" s="226"/>
      <c r="G544" s="224" t="s">
        <v>13</v>
      </c>
      <c r="H544" s="224" t="s">
        <v>451</v>
      </c>
      <c r="I544" s="224" t="s">
        <v>69</v>
      </c>
      <c r="J544" s="227">
        <v>3</v>
      </c>
      <c r="K544" s="227">
        <f t="array" ref="K544">IFERROR(INDEX([1]Grille_Tarifs_Modulable!$B$2:$B$204,MATCH(Tableau14[[#This Row],[Designation]]&amp;Tableau14[[#This Row],[CL]],[1]Grille_Tarifs_Modulable!$C$2:$C$204&amp;[1]Grille_Tarifs_Modulable!$F$2:$F$204,0)),0)</f>
        <v>121</v>
      </c>
      <c r="L544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299</v>
      </c>
      <c r="M544" s="228">
        <f>IF(Tableau14[[#This Row],[Prix_Unit_HT]]=0,0,Tableau14[[#This Row],[Prix_Unit_HT]]+(Tableau14[[#This Row],[Prix_Unit_HT]]*VLOOKUP(Tableau14[[#This Row],[EAN]],[1]Grille_Tarifs_Modulable!$B$10:$Q$204,16,FALSE)))</f>
        <v>358.8</v>
      </c>
      <c r="N544" s="224">
        <v>1</v>
      </c>
      <c r="O544" s="228">
        <f>ROUND(Tableau14[[#This Row],[Prix_Unit_HT]],2)*Tableau14[[#This Row],[Qte_commande]]</f>
        <v>299</v>
      </c>
      <c r="P544" s="228">
        <f>ROUND(Tableau14[[#This Row],[Prix_Unit_TTC]],2)*Tableau14[[#This Row],[Qte_commande]]</f>
        <v>358.8</v>
      </c>
      <c r="Q544" s="224">
        <v>1</v>
      </c>
      <c r="R544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</v>
      </c>
      <c r="U544" s="224"/>
      <c r="V544" s="224"/>
    </row>
    <row r="545" spans="1:22" ht="12.75" x14ac:dyDescent="0.2">
      <c r="A545" s="225">
        <v>43006</v>
      </c>
      <c r="B545" s="224" t="s">
        <v>1081</v>
      </c>
      <c r="C545" s="224" t="s">
        <v>1082</v>
      </c>
      <c r="D545" s="224" t="s">
        <v>1083</v>
      </c>
      <c r="E545" s="226"/>
      <c r="G545" s="224" t="s">
        <v>13</v>
      </c>
      <c r="H545" s="224" t="s">
        <v>451</v>
      </c>
      <c r="I545" s="224" t="s">
        <v>69</v>
      </c>
      <c r="J545" s="227">
        <v>3</v>
      </c>
      <c r="K545" s="227">
        <f t="array" ref="K545">IFERROR(INDEX([1]Grille_Tarifs_Modulable!$B$2:$B$204,MATCH(Tableau14[[#This Row],[Designation]]&amp;Tableau14[[#This Row],[CL]],[1]Grille_Tarifs_Modulable!$C$2:$C$204&amp;[1]Grille_Tarifs_Modulable!$F$2:$F$204,0)),0)</f>
        <v>121</v>
      </c>
      <c r="L545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299</v>
      </c>
      <c r="M545" s="228">
        <f>IF(Tableau14[[#This Row],[Prix_Unit_HT]]=0,0,Tableau14[[#This Row],[Prix_Unit_HT]]+(Tableau14[[#This Row],[Prix_Unit_HT]]*VLOOKUP(Tableau14[[#This Row],[EAN]],[1]Grille_Tarifs_Modulable!$B$10:$Q$204,16,FALSE)))</f>
        <v>358.8</v>
      </c>
      <c r="N545" s="224">
        <v>1</v>
      </c>
      <c r="O545" s="228">
        <f>ROUND(Tableau14[[#This Row],[Prix_Unit_HT]],2)*Tableau14[[#This Row],[Qte_commande]]</f>
        <v>299</v>
      </c>
      <c r="P545" s="228">
        <f>ROUND(Tableau14[[#This Row],[Prix_Unit_TTC]],2)*Tableau14[[#This Row],[Qte_commande]]</f>
        <v>358.8</v>
      </c>
      <c r="Q545" s="224">
        <v>1</v>
      </c>
      <c r="R545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</v>
      </c>
      <c r="U545" s="224"/>
      <c r="V545" s="224"/>
    </row>
    <row r="546" spans="1:22" ht="12.75" x14ac:dyDescent="0.2">
      <c r="A546" s="225">
        <v>43006</v>
      </c>
      <c r="B546" s="224" t="s">
        <v>1084</v>
      </c>
      <c r="C546" s="224" t="s">
        <v>1085</v>
      </c>
      <c r="D546" s="224" t="s">
        <v>1086</v>
      </c>
      <c r="E546" s="226"/>
      <c r="G546" s="224" t="s">
        <v>13</v>
      </c>
      <c r="H546" s="224" t="s">
        <v>451</v>
      </c>
      <c r="I546" s="224" t="s">
        <v>69</v>
      </c>
      <c r="J546" s="227">
        <v>3</v>
      </c>
      <c r="K546" s="227">
        <f t="array" ref="K546">IFERROR(INDEX([1]Grille_Tarifs_Modulable!$B$2:$B$204,MATCH(Tableau14[[#This Row],[Designation]]&amp;Tableau14[[#This Row],[CL]],[1]Grille_Tarifs_Modulable!$C$2:$C$204&amp;[1]Grille_Tarifs_Modulable!$F$2:$F$204,0)),0)</f>
        <v>121</v>
      </c>
      <c r="L546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299</v>
      </c>
      <c r="M546" s="228">
        <f>IF(Tableau14[[#This Row],[Prix_Unit_HT]]=0,0,Tableau14[[#This Row],[Prix_Unit_HT]]+(Tableau14[[#This Row],[Prix_Unit_HT]]*VLOOKUP(Tableau14[[#This Row],[EAN]],[1]Grille_Tarifs_Modulable!$B$10:$Q$204,16,FALSE)))</f>
        <v>358.8</v>
      </c>
      <c r="N546" s="224">
        <v>1</v>
      </c>
      <c r="O546" s="228">
        <f>ROUND(Tableau14[[#This Row],[Prix_Unit_HT]],2)*Tableau14[[#This Row],[Qte_commande]]</f>
        <v>299</v>
      </c>
      <c r="P546" s="228">
        <f>ROUND(Tableau14[[#This Row],[Prix_Unit_TTC]],2)*Tableau14[[#This Row],[Qte_commande]]</f>
        <v>358.8</v>
      </c>
      <c r="Q546" s="224">
        <v>1</v>
      </c>
      <c r="R546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</v>
      </c>
      <c r="U546" s="224"/>
      <c r="V546" s="224"/>
    </row>
    <row r="547" spans="1:22" ht="12.75" x14ac:dyDescent="0.2">
      <c r="A547" s="225">
        <v>43007</v>
      </c>
      <c r="B547" s="224" t="s">
        <v>1087</v>
      </c>
      <c r="C547" s="224" t="s">
        <v>1088</v>
      </c>
      <c r="D547" s="224" t="s">
        <v>209</v>
      </c>
      <c r="E547" s="226"/>
      <c r="G547" s="224" t="s">
        <v>13</v>
      </c>
      <c r="H547" s="224" t="s">
        <v>451</v>
      </c>
      <c r="I547" s="224" t="s">
        <v>69</v>
      </c>
      <c r="J547" s="227">
        <v>3</v>
      </c>
      <c r="K547" s="227">
        <f t="array" ref="K547">IFERROR(INDEX([1]Grille_Tarifs_Modulable!$B$2:$B$204,MATCH(Tableau14[[#This Row],[Designation]]&amp;Tableau14[[#This Row],[CL]],[1]Grille_Tarifs_Modulable!$C$2:$C$204&amp;[1]Grille_Tarifs_Modulable!$F$2:$F$204,0)),0)</f>
        <v>121</v>
      </c>
      <c r="L547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299</v>
      </c>
      <c r="M547" s="228">
        <f>IF(Tableau14[[#This Row],[Prix_Unit_HT]]=0,0,Tableau14[[#This Row],[Prix_Unit_HT]]+(Tableau14[[#This Row],[Prix_Unit_HT]]*VLOOKUP(Tableau14[[#This Row],[EAN]],[1]Grille_Tarifs_Modulable!$B$10:$Q$204,16,FALSE)))</f>
        <v>358.8</v>
      </c>
      <c r="N547" s="224">
        <v>1</v>
      </c>
      <c r="O547" s="228">
        <f>ROUND(Tableau14[[#This Row],[Prix_Unit_HT]],2)*Tableau14[[#This Row],[Qte_commande]]</f>
        <v>299</v>
      </c>
      <c r="P547" s="228">
        <f>ROUND(Tableau14[[#This Row],[Prix_Unit_TTC]],2)*Tableau14[[#This Row],[Qte_commande]]</f>
        <v>358.8</v>
      </c>
      <c r="Q547" s="224">
        <v>1</v>
      </c>
      <c r="R547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</v>
      </c>
      <c r="U547" s="224"/>
      <c r="V547" s="224"/>
    </row>
    <row r="548" spans="1:22" ht="12.75" x14ac:dyDescent="0.2">
      <c r="A548" s="225">
        <v>43007</v>
      </c>
      <c r="B548" s="224" t="s">
        <v>1089</v>
      </c>
      <c r="C548" s="224" t="s">
        <v>1090</v>
      </c>
      <c r="D548" s="224" t="s">
        <v>1091</v>
      </c>
      <c r="E548" s="226"/>
      <c r="G548" s="224" t="s">
        <v>13</v>
      </c>
      <c r="H548" s="224" t="s">
        <v>451</v>
      </c>
      <c r="I548" s="224" t="s">
        <v>69</v>
      </c>
      <c r="J548" s="227">
        <v>3</v>
      </c>
      <c r="K548" s="227">
        <f t="array" ref="K548">IFERROR(INDEX([1]Grille_Tarifs_Modulable!$B$2:$B$204,MATCH(Tableau14[[#This Row],[Designation]]&amp;Tableau14[[#This Row],[CL]],[1]Grille_Tarifs_Modulable!$C$2:$C$204&amp;[1]Grille_Tarifs_Modulable!$F$2:$F$204,0)),0)</f>
        <v>121</v>
      </c>
      <c r="L548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299</v>
      </c>
      <c r="M548" s="228">
        <f>IF(Tableau14[[#This Row],[Prix_Unit_HT]]=0,0,Tableau14[[#This Row],[Prix_Unit_HT]]+(Tableau14[[#This Row],[Prix_Unit_HT]]*VLOOKUP(Tableau14[[#This Row],[EAN]],[1]Grille_Tarifs_Modulable!$B$10:$Q$204,16,FALSE)))</f>
        <v>358.8</v>
      </c>
      <c r="N548" s="224">
        <v>1</v>
      </c>
      <c r="O548" s="228">
        <f>ROUND(Tableau14[[#This Row],[Prix_Unit_HT]],2)*Tableau14[[#This Row],[Qte_commande]]</f>
        <v>299</v>
      </c>
      <c r="P548" s="228">
        <f>ROUND(Tableau14[[#This Row],[Prix_Unit_TTC]],2)*Tableau14[[#This Row],[Qte_commande]]</f>
        <v>358.8</v>
      </c>
      <c r="Q548" s="224">
        <v>1</v>
      </c>
      <c r="R548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</v>
      </c>
      <c r="U548" s="224"/>
      <c r="V548" s="224"/>
    </row>
    <row r="549" spans="1:22" ht="12.75" x14ac:dyDescent="0.2">
      <c r="A549" s="225">
        <v>43007</v>
      </c>
      <c r="B549" s="224" t="s">
        <v>1092</v>
      </c>
      <c r="C549" s="224" t="s">
        <v>1093</v>
      </c>
      <c r="D549" s="224" t="s">
        <v>1094</v>
      </c>
      <c r="E549" s="226"/>
      <c r="G549" s="224" t="s">
        <v>13</v>
      </c>
      <c r="H549" s="224" t="s">
        <v>451</v>
      </c>
      <c r="I549" s="224" t="s">
        <v>69</v>
      </c>
      <c r="J549" s="227">
        <v>3</v>
      </c>
      <c r="K549" s="227">
        <f t="array" ref="K549">IFERROR(INDEX([1]Grille_Tarifs_Modulable!$B$2:$B$204,MATCH(Tableau14[[#This Row],[Designation]]&amp;Tableau14[[#This Row],[CL]],[1]Grille_Tarifs_Modulable!$C$2:$C$204&amp;[1]Grille_Tarifs_Modulable!$F$2:$F$204,0)),0)</f>
        <v>121</v>
      </c>
      <c r="L549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299</v>
      </c>
      <c r="M549" s="228">
        <f>IF(Tableau14[[#This Row],[Prix_Unit_HT]]=0,0,Tableau14[[#This Row],[Prix_Unit_HT]]+(Tableau14[[#This Row],[Prix_Unit_HT]]*VLOOKUP(Tableau14[[#This Row],[EAN]],[1]Grille_Tarifs_Modulable!$B$10:$Q$204,16,FALSE)))</f>
        <v>358.8</v>
      </c>
      <c r="N549" s="224">
        <v>1</v>
      </c>
      <c r="O549" s="228">
        <f>ROUND(Tableau14[[#This Row],[Prix_Unit_HT]],2)*Tableau14[[#This Row],[Qte_commande]]</f>
        <v>299</v>
      </c>
      <c r="P549" s="228">
        <f>ROUND(Tableau14[[#This Row],[Prix_Unit_TTC]],2)*Tableau14[[#This Row],[Qte_commande]]</f>
        <v>358.8</v>
      </c>
      <c r="Q549" s="224">
        <v>1</v>
      </c>
      <c r="R549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</v>
      </c>
      <c r="U549" s="224"/>
      <c r="V549" s="224"/>
    </row>
    <row r="550" spans="1:22" ht="12.75" x14ac:dyDescent="0.2">
      <c r="A550" s="225">
        <v>43007</v>
      </c>
      <c r="B550" s="224" t="s">
        <v>1095</v>
      </c>
      <c r="C550" s="224" t="s">
        <v>1096</v>
      </c>
      <c r="D550" s="224" t="s">
        <v>203</v>
      </c>
      <c r="E550" s="226"/>
      <c r="G550" s="224" t="s">
        <v>13</v>
      </c>
      <c r="H550" s="224" t="s">
        <v>451</v>
      </c>
      <c r="I550" s="224" t="s">
        <v>69</v>
      </c>
      <c r="J550" s="227">
        <v>3</v>
      </c>
      <c r="K550" s="227">
        <f t="array" ref="K550">IFERROR(INDEX([1]Grille_Tarifs_Modulable!$B$2:$B$204,MATCH(Tableau14[[#This Row],[Designation]]&amp;Tableau14[[#This Row],[CL]],[1]Grille_Tarifs_Modulable!$C$2:$C$204&amp;[1]Grille_Tarifs_Modulable!$F$2:$F$204,0)),0)</f>
        <v>121</v>
      </c>
      <c r="L550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299</v>
      </c>
      <c r="M550" s="228">
        <f>IF(Tableau14[[#This Row],[Prix_Unit_HT]]=0,0,Tableau14[[#This Row],[Prix_Unit_HT]]+(Tableau14[[#This Row],[Prix_Unit_HT]]*VLOOKUP(Tableau14[[#This Row],[EAN]],[1]Grille_Tarifs_Modulable!$B$10:$Q$204,16,FALSE)))</f>
        <v>358.8</v>
      </c>
      <c r="N550" s="224">
        <v>1</v>
      </c>
      <c r="O550" s="228">
        <f>ROUND(Tableau14[[#This Row],[Prix_Unit_HT]],2)*Tableau14[[#This Row],[Qte_commande]]</f>
        <v>299</v>
      </c>
      <c r="P550" s="228">
        <f>ROUND(Tableau14[[#This Row],[Prix_Unit_TTC]],2)*Tableau14[[#This Row],[Qte_commande]]</f>
        <v>358.8</v>
      </c>
      <c r="Q550" s="224">
        <v>1</v>
      </c>
      <c r="R550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</v>
      </c>
      <c r="U550" s="224"/>
      <c r="V550" s="224"/>
    </row>
    <row r="551" spans="1:22" ht="12.75" x14ac:dyDescent="0.2">
      <c r="A551" s="225">
        <v>43007</v>
      </c>
      <c r="B551" s="224" t="s">
        <v>1097</v>
      </c>
      <c r="C551" s="224" t="s">
        <v>1098</v>
      </c>
      <c r="D551" s="224" t="s">
        <v>1099</v>
      </c>
      <c r="E551" s="226"/>
      <c r="G551" s="224" t="s">
        <v>13</v>
      </c>
      <c r="H551" s="224" t="s">
        <v>451</v>
      </c>
      <c r="I551" s="224" t="s">
        <v>69</v>
      </c>
      <c r="J551" s="227">
        <v>3</v>
      </c>
      <c r="K551" s="227">
        <f t="array" ref="K551">IFERROR(INDEX([1]Grille_Tarifs_Modulable!$B$2:$B$204,MATCH(Tableau14[[#This Row],[Designation]]&amp;Tableau14[[#This Row],[CL]],[1]Grille_Tarifs_Modulable!$C$2:$C$204&amp;[1]Grille_Tarifs_Modulable!$F$2:$F$204,0)),0)</f>
        <v>121</v>
      </c>
      <c r="L551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299</v>
      </c>
      <c r="M551" s="228">
        <f>IF(Tableau14[[#This Row],[Prix_Unit_HT]]=0,0,Tableau14[[#This Row],[Prix_Unit_HT]]+(Tableau14[[#This Row],[Prix_Unit_HT]]*VLOOKUP(Tableau14[[#This Row],[EAN]],[1]Grille_Tarifs_Modulable!$B$10:$Q$204,16,FALSE)))</f>
        <v>358.8</v>
      </c>
      <c r="N551" s="224">
        <v>1</v>
      </c>
      <c r="O551" s="228">
        <f>ROUND(Tableau14[[#This Row],[Prix_Unit_HT]],2)*Tableau14[[#This Row],[Qte_commande]]</f>
        <v>299</v>
      </c>
      <c r="P551" s="228">
        <f>ROUND(Tableau14[[#This Row],[Prix_Unit_TTC]],2)*Tableau14[[#This Row],[Qte_commande]]</f>
        <v>358.8</v>
      </c>
      <c r="Q551" s="224">
        <v>1</v>
      </c>
      <c r="R551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</v>
      </c>
      <c r="U551" s="224"/>
      <c r="V551" s="224"/>
    </row>
    <row r="552" spans="1:22" ht="12.75" x14ac:dyDescent="0.2">
      <c r="A552" s="225">
        <v>43007</v>
      </c>
      <c r="B552" s="224" t="s">
        <v>1100</v>
      </c>
      <c r="C552" s="224" t="s">
        <v>1101</v>
      </c>
      <c r="D552" s="224" t="s">
        <v>1091</v>
      </c>
      <c r="E552" s="226"/>
      <c r="G552" s="224" t="s">
        <v>13</v>
      </c>
      <c r="H552" s="224" t="s">
        <v>451</v>
      </c>
      <c r="I552" s="224" t="s">
        <v>69</v>
      </c>
      <c r="J552" s="227">
        <v>3</v>
      </c>
      <c r="K552" s="227">
        <f t="array" ref="K552">IFERROR(INDEX([1]Grille_Tarifs_Modulable!$B$2:$B$204,MATCH(Tableau14[[#This Row],[Designation]]&amp;Tableau14[[#This Row],[CL]],[1]Grille_Tarifs_Modulable!$C$2:$C$204&amp;[1]Grille_Tarifs_Modulable!$F$2:$F$204,0)),0)</f>
        <v>121</v>
      </c>
      <c r="L552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299</v>
      </c>
      <c r="M552" s="228">
        <f>IF(Tableau14[[#This Row],[Prix_Unit_HT]]=0,0,Tableau14[[#This Row],[Prix_Unit_HT]]+(Tableau14[[#This Row],[Prix_Unit_HT]]*VLOOKUP(Tableau14[[#This Row],[EAN]],[1]Grille_Tarifs_Modulable!$B$10:$Q$204,16,FALSE)))</f>
        <v>358.8</v>
      </c>
      <c r="N552" s="224">
        <v>1</v>
      </c>
      <c r="O552" s="228">
        <f>ROUND(Tableau14[[#This Row],[Prix_Unit_HT]],2)*Tableau14[[#This Row],[Qte_commande]]</f>
        <v>299</v>
      </c>
      <c r="P552" s="228">
        <f>ROUND(Tableau14[[#This Row],[Prix_Unit_TTC]],2)*Tableau14[[#This Row],[Qte_commande]]</f>
        <v>358.8</v>
      </c>
      <c r="Q552" s="224">
        <v>1</v>
      </c>
      <c r="R552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</v>
      </c>
      <c r="U552" s="224"/>
      <c r="V552" s="224"/>
    </row>
    <row r="553" spans="1:22" ht="12.75" x14ac:dyDescent="0.2">
      <c r="A553" s="225">
        <v>43011</v>
      </c>
      <c r="B553" s="224" t="s">
        <v>1102</v>
      </c>
      <c r="C553" s="224" t="s">
        <v>1103</v>
      </c>
      <c r="D553" s="224" t="s">
        <v>233</v>
      </c>
      <c r="E553" s="226"/>
      <c r="G553" s="224" t="s">
        <v>13</v>
      </c>
      <c r="H553" s="224" t="s">
        <v>451</v>
      </c>
      <c r="I553" s="224" t="s">
        <v>69</v>
      </c>
      <c r="J553" s="227">
        <v>3</v>
      </c>
      <c r="K553" s="227">
        <f t="array" ref="K553">IFERROR(INDEX([1]Grille_Tarifs_Modulable!$B$2:$B$204,MATCH(Tableau14[[#This Row],[Designation]]&amp;Tableau14[[#This Row],[CL]],[1]Grille_Tarifs_Modulable!$C$2:$C$204&amp;[1]Grille_Tarifs_Modulable!$F$2:$F$204,0)),0)</f>
        <v>121</v>
      </c>
      <c r="L553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299</v>
      </c>
      <c r="M553" s="228">
        <f>IF(Tableau14[[#This Row],[Prix_Unit_HT]]=0,0,Tableau14[[#This Row],[Prix_Unit_HT]]+(Tableau14[[#This Row],[Prix_Unit_HT]]*VLOOKUP(Tableau14[[#This Row],[EAN]],[1]Grille_Tarifs_Modulable!$B$10:$Q$204,16,FALSE)))</f>
        <v>358.8</v>
      </c>
      <c r="N553" s="224">
        <v>2</v>
      </c>
      <c r="O553" s="228">
        <f>ROUND(Tableau14[[#This Row],[Prix_Unit_HT]],2)*Tableau14[[#This Row],[Qte_commande]]</f>
        <v>598</v>
      </c>
      <c r="P553" s="228">
        <f>ROUND(Tableau14[[#This Row],[Prix_Unit_TTC]],2)*Tableau14[[#This Row],[Qte_commande]]</f>
        <v>717.6</v>
      </c>
      <c r="Q553" s="224">
        <v>2</v>
      </c>
      <c r="R553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2</v>
      </c>
      <c r="U553" s="224"/>
      <c r="V553" s="224"/>
    </row>
    <row r="554" spans="1:22" ht="12.75" x14ac:dyDescent="0.2">
      <c r="A554" s="225">
        <v>43014</v>
      </c>
      <c r="B554" s="224" t="s">
        <v>1104</v>
      </c>
      <c r="C554" s="224" t="s">
        <v>1003</v>
      </c>
      <c r="D554" s="224" t="s">
        <v>1105</v>
      </c>
      <c r="E554" s="226"/>
      <c r="G554" s="224" t="s">
        <v>13</v>
      </c>
      <c r="H554" s="224" t="s">
        <v>451</v>
      </c>
      <c r="I554" s="224" t="s">
        <v>69</v>
      </c>
      <c r="J554" s="227">
        <v>3</v>
      </c>
      <c r="K554" s="227">
        <f t="array" ref="K554">IFERROR(INDEX([1]Grille_Tarifs_Modulable!$B$2:$B$204,MATCH(Tableau14[[#This Row],[Designation]]&amp;Tableau14[[#This Row],[CL]],[1]Grille_Tarifs_Modulable!$C$2:$C$204&amp;[1]Grille_Tarifs_Modulable!$F$2:$F$204,0)),0)</f>
        <v>121</v>
      </c>
      <c r="L554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299</v>
      </c>
      <c r="M554" s="228">
        <f>IF(Tableau14[[#This Row],[Prix_Unit_HT]]=0,0,Tableau14[[#This Row],[Prix_Unit_HT]]+(Tableau14[[#This Row],[Prix_Unit_HT]]*VLOOKUP(Tableau14[[#This Row],[EAN]],[1]Grille_Tarifs_Modulable!$B$10:$Q$204,16,FALSE)))</f>
        <v>358.8</v>
      </c>
      <c r="N554" s="224">
        <v>1</v>
      </c>
      <c r="O554" s="228">
        <f>ROUND(Tableau14[[#This Row],[Prix_Unit_HT]],2)*Tableau14[[#This Row],[Qte_commande]]</f>
        <v>299</v>
      </c>
      <c r="P554" s="228">
        <f>ROUND(Tableau14[[#This Row],[Prix_Unit_TTC]],2)*Tableau14[[#This Row],[Qte_commande]]</f>
        <v>358.8</v>
      </c>
      <c r="Q554" s="224">
        <v>1</v>
      </c>
      <c r="R554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</v>
      </c>
      <c r="U554" s="224"/>
      <c r="V554" s="224"/>
    </row>
    <row r="555" spans="1:22" ht="12.75" x14ac:dyDescent="0.2">
      <c r="A555" s="225">
        <v>43017</v>
      </c>
      <c r="B555" s="224" t="s">
        <v>1106</v>
      </c>
      <c r="C555" s="224" t="s">
        <v>1107</v>
      </c>
      <c r="D555" s="224" t="s">
        <v>233</v>
      </c>
      <c r="E555" s="226"/>
      <c r="G555" s="224" t="s">
        <v>13</v>
      </c>
      <c r="H555" s="224" t="s">
        <v>451</v>
      </c>
      <c r="I555" s="224" t="s">
        <v>69</v>
      </c>
      <c r="J555" s="227">
        <v>3</v>
      </c>
      <c r="K555" s="227">
        <f t="array" ref="K555">IFERROR(INDEX([1]Grille_Tarifs_Modulable!$B$2:$B$204,MATCH(Tableau14[[#This Row],[Designation]]&amp;Tableau14[[#This Row],[CL]],[1]Grille_Tarifs_Modulable!$C$2:$C$204&amp;[1]Grille_Tarifs_Modulable!$F$2:$F$204,0)),0)</f>
        <v>121</v>
      </c>
      <c r="L555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299</v>
      </c>
      <c r="M555" s="228">
        <f>IF(Tableau14[[#This Row],[Prix_Unit_HT]]=0,0,Tableau14[[#This Row],[Prix_Unit_HT]]+(Tableau14[[#This Row],[Prix_Unit_HT]]*VLOOKUP(Tableau14[[#This Row],[EAN]],[1]Grille_Tarifs_Modulable!$B$10:$Q$204,16,FALSE)))</f>
        <v>358.8</v>
      </c>
      <c r="N555" s="224">
        <v>1</v>
      </c>
      <c r="O555" s="228">
        <f>ROUND(Tableau14[[#This Row],[Prix_Unit_HT]],2)*Tableau14[[#This Row],[Qte_commande]]</f>
        <v>299</v>
      </c>
      <c r="P555" s="228">
        <f>ROUND(Tableau14[[#This Row],[Prix_Unit_TTC]],2)*Tableau14[[#This Row],[Qte_commande]]</f>
        <v>358.8</v>
      </c>
      <c r="Q555" s="224">
        <v>1</v>
      </c>
      <c r="R555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</v>
      </c>
      <c r="U555" s="224"/>
      <c r="V555" s="224"/>
    </row>
    <row r="556" spans="1:22" ht="12.75" x14ac:dyDescent="0.2">
      <c r="A556" s="225">
        <v>43018</v>
      </c>
      <c r="B556" s="224" t="s">
        <v>626</v>
      </c>
      <c r="C556" s="224" t="s">
        <v>308</v>
      </c>
      <c r="D556" s="224" t="s">
        <v>309</v>
      </c>
      <c r="E556" s="226"/>
      <c r="G556" s="224" t="s">
        <v>1</v>
      </c>
      <c r="H556" s="224" t="s">
        <v>289</v>
      </c>
      <c r="I556" s="224" t="s">
        <v>15</v>
      </c>
      <c r="J556" s="224">
        <v>100</v>
      </c>
      <c r="K556" s="227">
        <f t="array" ref="K556">IFERROR(INDEX([1]Grille_Tarifs_Modulable!$B$2:$B$204,MATCH(Tableau14[[#This Row],[Designation]]&amp;Tableau14[[#This Row],[CL]],[1]Grille_Tarifs_Modulable!$C$2:$C$204&amp;[1]Grille_Tarifs_Modulable!$F$2:$F$204,0)),0)</f>
        <v>4067700013842</v>
      </c>
      <c r="L556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17.100804999999998</v>
      </c>
      <c r="M556" s="228">
        <f>IF(Tableau14[[#This Row],[Prix_Unit_HT]]=0,0,Tableau14[[#This Row],[Prix_Unit_HT]]+(Tableau14[[#This Row],[Prix_Unit_HT]]*VLOOKUP(Tableau14[[#This Row],[EAN]],[1]Grille_Tarifs_Modulable!$B$10:$Q$204,16,FALSE)))</f>
        <v>20.520965999999998</v>
      </c>
      <c r="N556" s="224">
        <v>240</v>
      </c>
      <c r="O556" s="228">
        <f>ROUND(Tableau14[[#This Row],[Prix_Unit_HT]],2)*Tableau14[[#This Row],[Qte_commande]]</f>
        <v>4104</v>
      </c>
      <c r="P556" s="228">
        <f>ROUND(Tableau14[[#This Row],[Prix_Unit_TTC]],2)*Tableau14[[#This Row],[Qte_commande]]</f>
        <v>4924.8</v>
      </c>
      <c r="Q556" s="224">
        <v>342.86</v>
      </c>
      <c r="R556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342.85714285714289</v>
      </c>
      <c r="U556" s="224"/>
      <c r="V556" s="224"/>
    </row>
    <row r="557" spans="1:22" ht="12.75" x14ac:dyDescent="0.2">
      <c r="A557" s="225">
        <v>43018</v>
      </c>
      <c r="B557" s="224" t="s">
        <v>626</v>
      </c>
      <c r="C557" s="224" t="s">
        <v>308</v>
      </c>
      <c r="D557" s="224" t="s">
        <v>309</v>
      </c>
      <c r="E557" s="226"/>
      <c r="G557" s="224" t="s">
        <v>1</v>
      </c>
      <c r="H557" s="224" t="s">
        <v>196</v>
      </c>
      <c r="I557" s="224" t="s">
        <v>66</v>
      </c>
      <c r="J557" s="224">
        <v>50</v>
      </c>
      <c r="K557" s="227">
        <f t="array" ref="K557">IFERROR(INDEX([1]Grille_Tarifs_Modulable!$B$2:$B$204,MATCH(Tableau14[[#This Row],[Designation]]&amp;Tableau14[[#This Row],[CL]],[1]Grille_Tarifs_Modulable!$C$2:$C$204&amp;[1]Grille_Tarifs_Modulable!$F$2:$F$204,0)),0)</f>
        <v>4260310553382</v>
      </c>
      <c r="L557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</v>
      </c>
      <c r="M557" s="228">
        <f>IF(Tableau14[[#This Row],[Prix_Unit_HT]]=0,0,Tableau14[[#This Row],[Prix_Unit_HT]]+(Tableau14[[#This Row],[Prix_Unit_HT]]*VLOOKUP(Tableau14[[#This Row],[EAN]],[1]Grille_Tarifs_Modulable!$B$10:$Q$204,16,FALSE)))</f>
        <v>1.0549999999999999</v>
      </c>
      <c r="N557" s="224">
        <v>40</v>
      </c>
      <c r="O557" s="228">
        <f>ROUND(Tableau14[[#This Row],[Prix_Unit_HT]],2)*Tableau14[[#This Row],[Qte_commande]]</f>
        <v>40</v>
      </c>
      <c r="P557" s="228">
        <f>ROUND(Tableau14[[#This Row],[Prix_Unit_TTC]],2)*Tableau14[[#This Row],[Qte_commande]]</f>
        <v>42.400000000000006</v>
      </c>
      <c r="Q557" s="224">
        <v>28.57</v>
      </c>
      <c r="R557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28.571428571428573</v>
      </c>
      <c r="U557" s="224"/>
      <c r="V557" s="224"/>
    </row>
    <row r="558" spans="1:22" ht="12.75" x14ac:dyDescent="0.2">
      <c r="A558" s="225">
        <v>43018</v>
      </c>
      <c r="B558" s="224" t="s">
        <v>626</v>
      </c>
      <c r="C558" s="224" t="s">
        <v>308</v>
      </c>
      <c r="D558" s="224" t="s">
        <v>309</v>
      </c>
      <c r="E558" s="226"/>
      <c r="G558" s="224" t="s">
        <v>1</v>
      </c>
      <c r="H558" s="224" t="s">
        <v>289</v>
      </c>
      <c r="I558" s="224" t="s">
        <v>32</v>
      </c>
      <c r="J558" s="224">
        <v>70</v>
      </c>
      <c r="K558" s="227">
        <f t="array" ref="K558">IFERROR(INDEX([1]Grille_Tarifs_Modulable!$B$2:$B$204,MATCH(Tableau14[[#This Row],[Designation]]&amp;Tableau14[[#This Row],[CL]],[1]Grille_Tarifs_Modulable!$C$2:$C$204&amp;[1]Grille_Tarifs_Modulable!$F$2:$F$204,0)),0)</f>
        <v>3257150100228</v>
      </c>
      <c r="L558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19.998643999999999</v>
      </c>
      <c r="M558" s="228">
        <f>IF(Tableau14[[#This Row],[Prix_Unit_HT]]=0,0,Tableau14[[#This Row],[Prix_Unit_HT]]+(Tableau14[[#This Row],[Prix_Unit_HT]]*VLOOKUP(Tableau14[[#This Row],[EAN]],[1]Grille_Tarifs_Modulable!$B$10:$Q$204,16,FALSE)))</f>
        <v>23.998372799999999</v>
      </c>
      <c r="N558" s="224">
        <v>6</v>
      </c>
      <c r="O558" s="228">
        <f>ROUND(Tableau14[[#This Row],[Prix_Unit_HT]],2)*Tableau14[[#This Row],[Qte_commande]]</f>
        <v>120</v>
      </c>
      <c r="P558" s="228">
        <f>ROUND(Tableau14[[#This Row],[Prix_Unit_TTC]],2)*Tableau14[[#This Row],[Qte_commande]]</f>
        <v>144</v>
      </c>
      <c r="Q558" s="224">
        <v>6</v>
      </c>
      <c r="R558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6.0000000000000009</v>
      </c>
      <c r="U558" s="224"/>
      <c r="V558" s="224"/>
    </row>
    <row r="559" spans="1:22" ht="12.75" x14ac:dyDescent="0.2">
      <c r="A559" s="225">
        <v>43028</v>
      </c>
      <c r="B559" s="224" t="s">
        <v>627</v>
      </c>
      <c r="C559" s="224" t="s">
        <v>194</v>
      </c>
      <c r="D559" s="224" t="s">
        <v>343</v>
      </c>
      <c r="E559" s="226"/>
      <c r="G559" s="224" t="s">
        <v>1</v>
      </c>
      <c r="H559" s="224" t="s">
        <v>289</v>
      </c>
      <c r="I559" s="224" t="s">
        <v>15</v>
      </c>
      <c r="J559" s="224">
        <v>175</v>
      </c>
      <c r="K559" s="227">
        <f t="array" ref="K559">IFERROR(INDEX([1]Grille_Tarifs_Modulable!$B$2:$B$204,MATCH(Tableau14[[#This Row],[Designation]]&amp;Tableau14[[#This Row],[CL]],[1]Grille_Tarifs_Modulable!$C$2:$C$204&amp;[1]Grille_Tarifs_Modulable!$F$2:$F$204,0)),0)</f>
        <v>4067700013835</v>
      </c>
      <c r="L559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28.916408750000002</v>
      </c>
      <c r="M559" s="228">
        <f>IF(Tableau14[[#This Row],[Prix_Unit_HT]]=0,0,Tableau14[[#This Row],[Prix_Unit_HT]]+(Tableau14[[#This Row],[Prix_Unit_HT]]*VLOOKUP(Tableau14[[#This Row],[EAN]],[1]Grille_Tarifs_Modulable!$B$10:$Q$204,16,FALSE)))</f>
        <v>34.699690500000003</v>
      </c>
      <c r="N559" s="224">
        <v>36</v>
      </c>
      <c r="O559" s="228">
        <f>ROUND(Tableau14[[#This Row],[Prix_Unit_HT]],2)*Tableau14[[#This Row],[Qte_commande]]</f>
        <v>1041.1200000000001</v>
      </c>
      <c r="P559" s="228">
        <f>ROUND(Tableau14[[#This Row],[Prix_Unit_TTC]],2)*Tableau14[[#This Row],[Qte_commande]]</f>
        <v>1249.2</v>
      </c>
      <c r="Q559" s="224">
        <v>90</v>
      </c>
      <c r="R559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90</v>
      </c>
      <c r="U559" s="224"/>
      <c r="V559" s="224"/>
    </row>
    <row r="560" spans="1:22" ht="12.75" x14ac:dyDescent="0.2">
      <c r="A560" s="225">
        <v>43031</v>
      </c>
      <c r="B560" s="224" t="s">
        <v>1108</v>
      </c>
      <c r="C560" s="224" t="s">
        <v>1109</v>
      </c>
      <c r="D560" s="224" t="s">
        <v>1110</v>
      </c>
      <c r="E560" s="226"/>
      <c r="G560" s="224" t="s">
        <v>13</v>
      </c>
      <c r="H560" s="224" t="s">
        <v>451</v>
      </c>
      <c r="I560" s="224" t="s">
        <v>69</v>
      </c>
      <c r="J560" s="227">
        <v>3</v>
      </c>
      <c r="K560" s="227">
        <f t="array" ref="K560">IFERROR(INDEX([1]Grille_Tarifs_Modulable!$B$2:$B$204,MATCH(Tableau14[[#This Row],[Designation]]&amp;Tableau14[[#This Row],[CL]],[1]Grille_Tarifs_Modulable!$C$2:$C$204&amp;[1]Grille_Tarifs_Modulable!$F$2:$F$204,0)),0)</f>
        <v>121</v>
      </c>
      <c r="L560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299</v>
      </c>
      <c r="M560" s="228">
        <f>IF(Tableau14[[#This Row],[Prix_Unit_HT]]=0,0,Tableau14[[#This Row],[Prix_Unit_HT]]+(Tableau14[[#This Row],[Prix_Unit_HT]]*VLOOKUP(Tableau14[[#This Row],[EAN]],[1]Grille_Tarifs_Modulable!$B$10:$Q$204,16,FALSE)))</f>
        <v>358.8</v>
      </c>
      <c r="N560" s="224">
        <v>1</v>
      </c>
      <c r="O560" s="228">
        <f>ROUND(Tableau14[[#This Row],[Prix_Unit_HT]],2)*Tableau14[[#This Row],[Qte_commande]]</f>
        <v>299</v>
      </c>
      <c r="P560" s="228">
        <f>ROUND(Tableau14[[#This Row],[Prix_Unit_TTC]],2)*Tableau14[[#This Row],[Qte_commande]]</f>
        <v>358.8</v>
      </c>
      <c r="Q560" s="224">
        <v>1</v>
      </c>
      <c r="R560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</v>
      </c>
      <c r="U560" s="224"/>
      <c r="V560" s="224"/>
    </row>
    <row r="561" spans="1:22" ht="12.75" x14ac:dyDescent="0.2">
      <c r="A561" s="225">
        <v>43031</v>
      </c>
      <c r="B561" s="224" t="s">
        <v>1111</v>
      </c>
      <c r="C561" s="224" t="s">
        <v>1112</v>
      </c>
      <c r="D561" s="224" t="s">
        <v>180</v>
      </c>
      <c r="E561" s="226"/>
      <c r="G561" s="224" t="s">
        <v>13</v>
      </c>
      <c r="H561" s="224" t="s">
        <v>451</v>
      </c>
      <c r="I561" s="224" t="s">
        <v>69</v>
      </c>
      <c r="J561" s="227">
        <v>3</v>
      </c>
      <c r="K561" s="227">
        <f t="array" ref="K561">IFERROR(INDEX([1]Grille_Tarifs_Modulable!$B$2:$B$204,MATCH(Tableau14[[#This Row],[Designation]]&amp;Tableau14[[#This Row],[CL]],[1]Grille_Tarifs_Modulable!$C$2:$C$204&amp;[1]Grille_Tarifs_Modulable!$F$2:$F$204,0)),0)</f>
        <v>121</v>
      </c>
      <c r="L561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299</v>
      </c>
      <c r="M561" s="228">
        <f>IF(Tableau14[[#This Row],[Prix_Unit_HT]]=0,0,Tableau14[[#This Row],[Prix_Unit_HT]]+(Tableau14[[#This Row],[Prix_Unit_HT]]*VLOOKUP(Tableau14[[#This Row],[EAN]],[1]Grille_Tarifs_Modulable!$B$10:$Q$204,16,FALSE)))</f>
        <v>358.8</v>
      </c>
      <c r="N561" s="224">
        <v>1</v>
      </c>
      <c r="O561" s="228">
        <f>ROUND(Tableau14[[#This Row],[Prix_Unit_HT]],2)*Tableau14[[#This Row],[Qte_commande]]</f>
        <v>299</v>
      </c>
      <c r="P561" s="228">
        <f>ROUND(Tableau14[[#This Row],[Prix_Unit_TTC]],2)*Tableau14[[#This Row],[Qte_commande]]</f>
        <v>358.8</v>
      </c>
      <c r="Q561" s="224">
        <v>1</v>
      </c>
      <c r="R561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</v>
      </c>
      <c r="U561" s="224"/>
      <c r="V561" s="224"/>
    </row>
    <row r="562" spans="1:22" ht="12.75" x14ac:dyDescent="0.2">
      <c r="A562" s="225">
        <v>43033</v>
      </c>
      <c r="B562" s="224" t="s">
        <v>628</v>
      </c>
      <c r="C562" s="224" t="s">
        <v>530</v>
      </c>
      <c r="D562" s="224" t="s">
        <v>531</v>
      </c>
      <c r="E562" s="226"/>
      <c r="G562" s="224" t="s">
        <v>1</v>
      </c>
      <c r="H562" s="224" t="s">
        <v>289</v>
      </c>
      <c r="I562" s="224" t="s">
        <v>15</v>
      </c>
      <c r="J562" s="224">
        <v>70</v>
      </c>
      <c r="K562" s="227">
        <f t="array" ref="K562">IFERROR(INDEX([1]Grille_Tarifs_Modulable!$B$2:$B$204,MATCH(Tableau14[[#This Row],[Designation]]&amp;Tableau14[[#This Row],[CL]],[1]Grille_Tarifs_Modulable!$C$2:$C$204&amp;[1]Grille_Tarifs_Modulable!$F$2:$F$204,0)),0)</f>
        <v>4067700013859</v>
      </c>
      <c r="L562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12.532563499999998</v>
      </c>
      <c r="M562" s="228">
        <f>IF(Tableau14[[#This Row],[Prix_Unit_HT]]=0,0,Tableau14[[#This Row],[Prix_Unit_HT]]+(Tableau14[[#This Row],[Prix_Unit_HT]]*VLOOKUP(Tableau14[[#This Row],[EAN]],[1]Grille_Tarifs_Modulable!$B$10:$Q$204,16,FALSE)))</f>
        <v>15.039076199999998</v>
      </c>
      <c r="N562" s="224">
        <v>30</v>
      </c>
      <c r="O562" s="228">
        <f>ROUND(Tableau14[[#This Row],[Prix_Unit_HT]],2)*Tableau14[[#This Row],[Qte_commande]]</f>
        <v>375.9</v>
      </c>
      <c r="P562" s="228">
        <f>ROUND(Tableau14[[#This Row],[Prix_Unit_TTC]],2)*Tableau14[[#This Row],[Qte_commande]]</f>
        <v>451.2</v>
      </c>
      <c r="Q562" s="224">
        <v>30</v>
      </c>
      <c r="R562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30.000000000000004</v>
      </c>
      <c r="U562" s="224"/>
      <c r="V562" s="224"/>
    </row>
    <row r="563" spans="1:22" ht="12.75" x14ac:dyDescent="0.2">
      <c r="A563" s="225">
        <v>43033</v>
      </c>
      <c r="B563" s="224" t="s">
        <v>628</v>
      </c>
      <c r="C563" s="224" t="s">
        <v>530</v>
      </c>
      <c r="D563" s="224" t="s">
        <v>531</v>
      </c>
      <c r="E563" s="226"/>
      <c r="G563" s="224" t="s">
        <v>1</v>
      </c>
      <c r="H563" s="224" t="s">
        <v>289</v>
      </c>
      <c r="I563" s="224" t="s">
        <v>15</v>
      </c>
      <c r="J563" s="224">
        <v>70</v>
      </c>
      <c r="K563" s="227">
        <f t="array" ref="K563">IFERROR(INDEX([1]Grille_Tarifs_Modulable!$B$2:$B$204,MATCH(Tableau14[[#This Row],[Designation]]&amp;Tableau14[[#This Row],[CL]],[1]Grille_Tarifs_Modulable!$C$2:$C$204&amp;[1]Grille_Tarifs_Modulable!$F$2:$F$204,0)),0)</f>
        <v>4067700013859</v>
      </c>
      <c r="L563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12.532563499999998</v>
      </c>
      <c r="M563" s="228">
        <f>IF(Tableau14[[#This Row],[Prix_Unit_HT]]=0,0,Tableau14[[#This Row],[Prix_Unit_HT]]+(Tableau14[[#This Row],[Prix_Unit_HT]]*VLOOKUP(Tableau14[[#This Row],[EAN]],[1]Grille_Tarifs_Modulable!$B$10:$Q$204,16,FALSE)))</f>
        <v>15.039076199999998</v>
      </c>
      <c r="N563" s="224">
        <v>120</v>
      </c>
      <c r="O563" s="228">
        <f>ROUND(Tableau14[[#This Row],[Prix_Unit_HT]],2)*Tableau14[[#This Row],[Qte_commande]]</f>
        <v>1503.6</v>
      </c>
      <c r="P563" s="228">
        <f>ROUND(Tableau14[[#This Row],[Prix_Unit_TTC]],2)*Tableau14[[#This Row],[Qte_commande]]</f>
        <v>1804.8</v>
      </c>
      <c r="Q563" s="224">
        <v>120</v>
      </c>
      <c r="R563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120.00000000000001</v>
      </c>
      <c r="U563" s="224"/>
      <c r="V563" s="224"/>
    </row>
    <row r="564" spans="1:22" ht="12.75" x14ac:dyDescent="0.2">
      <c r="A564" s="225">
        <v>43038</v>
      </c>
      <c r="B564" s="224" t="s">
        <v>629</v>
      </c>
      <c r="C564" s="224" t="s">
        <v>557</v>
      </c>
      <c r="D564" s="224" t="s">
        <v>558</v>
      </c>
      <c r="E564" s="226"/>
      <c r="G564" s="224" t="s">
        <v>1</v>
      </c>
      <c r="H564" s="224" t="s">
        <v>289</v>
      </c>
      <c r="I564" s="224" t="s">
        <v>15</v>
      </c>
      <c r="J564" s="224">
        <v>70</v>
      </c>
      <c r="K564" s="227">
        <f t="array" ref="K564">IFERROR(INDEX([1]Grille_Tarifs_Modulable!$B$2:$B$204,MATCH(Tableau14[[#This Row],[Designation]]&amp;Tableau14[[#This Row],[CL]],[1]Grille_Tarifs_Modulable!$C$2:$C$204&amp;[1]Grille_Tarifs_Modulable!$F$2:$F$204,0)),0)</f>
        <v>4067700013859</v>
      </c>
      <c r="L564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12.532563499999998</v>
      </c>
      <c r="M564" s="228">
        <f>IF(Tableau14[[#This Row],[Prix_Unit_HT]]=0,0,Tableau14[[#This Row],[Prix_Unit_HT]]+(Tableau14[[#This Row],[Prix_Unit_HT]]*VLOOKUP(Tableau14[[#This Row],[EAN]],[1]Grille_Tarifs_Modulable!$B$10:$Q$204,16,FALSE)))</f>
        <v>15.039076199999998</v>
      </c>
      <c r="N564" s="224">
        <v>300</v>
      </c>
      <c r="O564" s="228">
        <f>ROUND(Tableau14[[#This Row],[Prix_Unit_HT]],2)*Tableau14[[#This Row],[Qte_commande]]</f>
        <v>3759</v>
      </c>
      <c r="P564" s="228">
        <f>ROUND(Tableau14[[#This Row],[Prix_Unit_TTC]],2)*Tableau14[[#This Row],[Qte_commande]]</f>
        <v>4512</v>
      </c>
      <c r="Q564" s="224">
        <v>300</v>
      </c>
      <c r="R564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300</v>
      </c>
      <c r="U564" s="224"/>
      <c r="V564" s="224"/>
    </row>
    <row r="565" spans="1:22" ht="12.75" x14ac:dyDescent="0.2">
      <c r="A565" s="225">
        <v>43042</v>
      </c>
      <c r="B565" s="224" t="s">
        <v>264</v>
      </c>
      <c r="C565" s="224" t="s">
        <v>265</v>
      </c>
      <c r="D565" s="224" t="s">
        <v>266</v>
      </c>
      <c r="E565" s="226"/>
      <c r="G565" s="224" t="s">
        <v>1</v>
      </c>
      <c r="H565" s="224" t="s">
        <v>196</v>
      </c>
      <c r="I565" s="224" t="s">
        <v>63</v>
      </c>
      <c r="J565" s="224">
        <v>20</v>
      </c>
      <c r="K565" s="227">
        <f t="array" ref="K565">IFERROR(INDEX([1]Grille_Tarifs_Modulable!$B$2:$B$204,MATCH(Tableau14[[#This Row],[Designation]]&amp;Tableau14[[#This Row],[CL]],[1]Grille_Tarifs_Modulable!$C$2:$C$204&amp;[1]Grille_Tarifs_Modulable!$F$2:$F$204,0)),0)</f>
        <v>4260310552941</v>
      </c>
      <c r="L565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0.81</v>
      </c>
      <c r="M565" s="228">
        <f>IF(Tableau14[[#This Row],[Prix_Unit_HT]]=0,0,Tableau14[[#This Row],[Prix_Unit_HT]]+(Tableau14[[#This Row],[Prix_Unit_HT]]*VLOOKUP(Tableau14[[#This Row],[EAN]],[1]Grille_Tarifs_Modulable!$B$10:$Q$204,16,FALSE)))</f>
        <v>0.85455000000000003</v>
      </c>
      <c r="N565" s="224">
        <v>72</v>
      </c>
      <c r="O565" s="228">
        <f>ROUND(Tableau14[[#This Row],[Prix_Unit_HT]],2)*Tableau14[[#This Row],[Qte_commande]]</f>
        <v>58.320000000000007</v>
      </c>
      <c r="P565" s="228">
        <f>ROUND(Tableau14[[#This Row],[Prix_Unit_TTC]],2)*Tableau14[[#This Row],[Qte_commande]]</f>
        <v>61.199999999999996</v>
      </c>
      <c r="Q565" s="224">
        <v>20.57</v>
      </c>
      <c r="R565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20.571428571428573</v>
      </c>
      <c r="U565" s="224"/>
      <c r="V565" s="224"/>
    </row>
    <row r="566" spans="1:22" ht="12.75" x14ac:dyDescent="0.2">
      <c r="A566" s="225">
        <v>43042</v>
      </c>
      <c r="B566" s="224" t="s">
        <v>264</v>
      </c>
      <c r="C566" s="224" t="s">
        <v>265</v>
      </c>
      <c r="D566" s="224" t="s">
        <v>266</v>
      </c>
      <c r="E566" s="226"/>
      <c r="G566" s="224" t="s">
        <v>1</v>
      </c>
      <c r="H566" s="224" t="s">
        <v>196</v>
      </c>
      <c r="I566" s="224" t="s">
        <v>65</v>
      </c>
      <c r="J566" s="224">
        <v>20</v>
      </c>
      <c r="K566" s="227">
        <f t="array" ref="K566">IFERROR(INDEX([1]Grille_Tarifs_Modulable!$B$2:$B$204,MATCH(Tableau14[[#This Row],[Designation]]&amp;Tableau14[[#This Row],[CL]],[1]Grille_Tarifs_Modulable!$C$2:$C$204&amp;[1]Grille_Tarifs_Modulable!$F$2:$F$204,0)),0)</f>
        <v>4260310553863</v>
      </c>
      <c r="L566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0.81</v>
      </c>
      <c r="M566" s="228">
        <f>IF(Tableau14[[#This Row],[Prix_Unit_HT]]=0,0,Tableau14[[#This Row],[Prix_Unit_HT]]+(Tableau14[[#This Row],[Prix_Unit_HT]]*VLOOKUP(Tableau14[[#This Row],[EAN]],[1]Grille_Tarifs_Modulable!$B$10:$Q$204,16,FALSE)))</f>
        <v>0.85455000000000003</v>
      </c>
      <c r="N566" s="224">
        <v>120</v>
      </c>
      <c r="O566" s="228">
        <f>ROUND(Tableau14[[#This Row],[Prix_Unit_HT]],2)*Tableau14[[#This Row],[Qte_commande]]</f>
        <v>97.2</v>
      </c>
      <c r="P566" s="228">
        <f>ROUND(Tableau14[[#This Row],[Prix_Unit_TTC]],2)*Tableau14[[#This Row],[Qte_commande]]</f>
        <v>102</v>
      </c>
      <c r="Q566" s="224">
        <v>34.29</v>
      </c>
      <c r="R566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34.285714285714285</v>
      </c>
      <c r="U566" s="224"/>
      <c r="V566" s="224"/>
    </row>
    <row r="567" spans="1:22" ht="12.75" x14ac:dyDescent="0.2">
      <c r="A567" s="225">
        <v>43042</v>
      </c>
      <c r="B567" s="224" t="s">
        <v>264</v>
      </c>
      <c r="C567" s="224" t="s">
        <v>265</v>
      </c>
      <c r="D567" s="224" t="s">
        <v>266</v>
      </c>
      <c r="E567" s="226"/>
      <c r="G567" s="224" t="s">
        <v>1</v>
      </c>
      <c r="H567" s="224" t="s">
        <v>289</v>
      </c>
      <c r="I567" s="224" t="s">
        <v>35</v>
      </c>
      <c r="J567" s="224">
        <v>70</v>
      </c>
      <c r="K567" s="227">
        <f t="array" ref="K567">IFERROR(INDEX([1]Grille_Tarifs_Modulable!$B$2:$B$204,MATCH(Tableau14[[#This Row],[Designation]]&amp;Tableau14[[#This Row],[CL]],[1]Grille_Tarifs_Modulable!$C$2:$C$204&amp;[1]Grille_Tarifs_Modulable!$F$2:$F$204,0)),0)</f>
        <v>3257150107012</v>
      </c>
      <c r="L567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29.828643999999997</v>
      </c>
      <c r="M567" s="228">
        <f>IF(Tableau14[[#This Row],[Prix_Unit_HT]]=0,0,Tableau14[[#This Row],[Prix_Unit_HT]]+(Tableau14[[#This Row],[Prix_Unit_HT]]*VLOOKUP(Tableau14[[#This Row],[EAN]],[1]Grille_Tarifs_Modulable!$B$10:$Q$204,16,FALSE)))</f>
        <v>35.794372799999998</v>
      </c>
      <c r="N567" s="224">
        <v>6</v>
      </c>
      <c r="O567" s="228">
        <f>ROUND(Tableau14[[#This Row],[Prix_Unit_HT]],2)*Tableau14[[#This Row],[Qte_commande]]</f>
        <v>178.98</v>
      </c>
      <c r="P567" s="228">
        <f>ROUND(Tableau14[[#This Row],[Prix_Unit_TTC]],2)*Tableau14[[#This Row],[Qte_commande]]</f>
        <v>214.74</v>
      </c>
      <c r="Q567" s="224">
        <v>6</v>
      </c>
      <c r="R567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6.0000000000000009</v>
      </c>
      <c r="U567" s="224"/>
      <c r="V567" s="224"/>
    </row>
    <row r="568" spans="1:22" ht="12.75" x14ac:dyDescent="0.2">
      <c r="A568" s="225">
        <v>43042</v>
      </c>
      <c r="B568" s="224" t="s">
        <v>264</v>
      </c>
      <c r="C568" s="224" t="s">
        <v>265</v>
      </c>
      <c r="D568" s="224" t="s">
        <v>266</v>
      </c>
      <c r="E568" s="226"/>
      <c r="G568" s="224" t="s">
        <v>1</v>
      </c>
      <c r="H568" s="224" t="s">
        <v>196</v>
      </c>
      <c r="I568" s="224" t="s">
        <v>60</v>
      </c>
      <c r="J568" s="224">
        <v>20</v>
      </c>
      <c r="K568" s="227">
        <f t="array" ref="K568">IFERROR(INDEX([1]Grille_Tarifs_Modulable!$B$2:$B$204,MATCH(Tableau14[[#This Row],[Designation]]&amp;Tableau14[[#This Row],[CL]],[1]Grille_Tarifs_Modulable!$C$2:$C$204&amp;[1]Grille_Tarifs_Modulable!$F$2:$F$204,0)),0)</f>
        <v>4260310553832</v>
      </c>
      <c r="L568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0.81</v>
      </c>
      <c r="M568" s="228">
        <f>IF(Tableau14[[#This Row],[Prix_Unit_HT]]=0,0,Tableau14[[#This Row],[Prix_Unit_HT]]+(Tableau14[[#This Row],[Prix_Unit_HT]]*VLOOKUP(Tableau14[[#This Row],[EAN]],[1]Grille_Tarifs_Modulable!$B$10:$Q$204,16,FALSE)))</f>
        <v>0.85455000000000003</v>
      </c>
      <c r="N568" s="224">
        <v>120</v>
      </c>
      <c r="O568" s="228">
        <f>ROUND(Tableau14[[#This Row],[Prix_Unit_HT]],2)*Tableau14[[#This Row],[Qte_commande]]</f>
        <v>97.2</v>
      </c>
      <c r="P568" s="228">
        <f>ROUND(Tableau14[[#This Row],[Prix_Unit_TTC]],2)*Tableau14[[#This Row],[Qte_commande]]</f>
        <v>102</v>
      </c>
      <c r="Q568" s="224">
        <v>34.29</v>
      </c>
      <c r="R568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34.285714285714285</v>
      </c>
      <c r="U568" s="224"/>
      <c r="V568" s="224"/>
    </row>
    <row r="569" spans="1:22" ht="12.75" x14ac:dyDescent="0.2">
      <c r="A569" s="225">
        <v>43042</v>
      </c>
      <c r="B569" s="224" t="s">
        <v>264</v>
      </c>
      <c r="C569" s="224" t="s">
        <v>265</v>
      </c>
      <c r="D569" s="224" t="s">
        <v>266</v>
      </c>
      <c r="E569" s="226"/>
      <c r="G569" s="224" t="s">
        <v>1</v>
      </c>
      <c r="H569" s="224" t="s">
        <v>289</v>
      </c>
      <c r="I569" s="224" t="s">
        <v>15</v>
      </c>
      <c r="J569" s="224">
        <v>70</v>
      </c>
      <c r="K569" s="227">
        <f t="array" ref="K569">IFERROR(INDEX([1]Grille_Tarifs_Modulable!$B$2:$B$204,MATCH(Tableau14[[#This Row],[Designation]]&amp;Tableau14[[#This Row],[CL]],[1]Grille_Tarifs_Modulable!$C$2:$C$204&amp;[1]Grille_Tarifs_Modulable!$F$2:$F$204,0)),0)</f>
        <v>4067700013859</v>
      </c>
      <c r="L569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12.532563499999998</v>
      </c>
      <c r="M569" s="228">
        <f>IF(Tableau14[[#This Row],[Prix_Unit_HT]]=0,0,Tableau14[[#This Row],[Prix_Unit_HT]]+(Tableau14[[#This Row],[Prix_Unit_HT]]*VLOOKUP(Tableau14[[#This Row],[EAN]],[1]Grille_Tarifs_Modulable!$B$10:$Q$204,16,FALSE)))</f>
        <v>15.039076199999998</v>
      </c>
      <c r="N569" s="224">
        <v>240</v>
      </c>
      <c r="O569" s="228">
        <f>ROUND(Tableau14[[#This Row],[Prix_Unit_HT]],2)*Tableau14[[#This Row],[Qte_commande]]</f>
        <v>3007.2</v>
      </c>
      <c r="P569" s="228">
        <f>ROUND(Tableau14[[#This Row],[Prix_Unit_TTC]],2)*Tableau14[[#This Row],[Qte_commande]]</f>
        <v>3609.6</v>
      </c>
      <c r="Q569" s="224">
        <v>240</v>
      </c>
      <c r="R569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240.00000000000003</v>
      </c>
      <c r="U569" s="224"/>
      <c r="V569" s="224"/>
    </row>
    <row r="570" spans="1:22" ht="12.75" x14ac:dyDescent="0.2">
      <c r="A570" s="225">
        <v>43042</v>
      </c>
      <c r="B570" s="224" t="s">
        <v>264</v>
      </c>
      <c r="C570" s="224" t="s">
        <v>265</v>
      </c>
      <c r="D570" s="224" t="s">
        <v>266</v>
      </c>
      <c r="E570" s="226"/>
      <c r="G570" s="224" t="s">
        <v>1</v>
      </c>
      <c r="H570" s="224" t="s">
        <v>289</v>
      </c>
      <c r="I570" s="224" t="s">
        <v>44</v>
      </c>
      <c r="J570" s="224">
        <v>50</v>
      </c>
      <c r="K570" s="227">
        <f t="array" ref="K570">IFERROR(INDEX([1]Grille_Tarifs_Modulable!$B$2:$B$204,MATCH(Tableau14[[#This Row],[Designation]]&amp;Tableau14[[#This Row],[CL]],[1]Grille_Tarifs_Modulable!$C$2:$C$204&amp;[1]Grille_Tarifs_Modulable!$F$2:$F$204,0)),0)</f>
        <v>4260270192645</v>
      </c>
      <c r="L570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25.192506000000002</v>
      </c>
      <c r="M570" s="228">
        <f>IF(Tableau14[[#This Row],[Prix_Unit_HT]]=0,0,Tableau14[[#This Row],[Prix_Unit_HT]]+(Tableau14[[#This Row],[Prix_Unit_HT]]*VLOOKUP(Tableau14[[#This Row],[EAN]],[1]Grille_Tarifs_Modulable!$B$10:$Q$204,16,FALSE)))</f>
        <v>30.231007200000001</v>
      </c>
      <c r="N570" s="224">
        <v>12</v>
      </c>
      <c r="O570" s="228">
        <f>ROUND(Tableau14[[#This Row],[Prix_Unit_HT]],2)*Tableau14[[#This Row],[Qte_commande]]</f>
        <v>302.28000000000003</v>
      </c>
      <c r="P570" s="228">
        <f>ROUND(Tableau14[[#This Row],[Prix_Unit_TTC]],2)*Tableau14[[#This Row],[Qte_commande]]</f>
        <v>362.76</v>
      </c>
      <c r="Q570" s="224">
        <v>8.57</v>
      </c>
      <c r="R570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8.5714285714285712</v>
      </c>
      <c r="U570" s="224"/>
      <c r="V570" s="224"/>
    </row>
    <row r="571" spans="1:22" ht="12.75" x14ac:dyDescent="0.2">
      <c r="A571" s="225">
        <v>43042</v>
      </c>
      <c r="B571" s="224" t="s">
        <v>264</v>
      </c>
      <c r="C571" s="224" t="s">
        <v>265</v>
      </c>
      <c r="D571" s="224" t="s">
        <v>266</v>
      </c>
      <c r="E571" s="226"/>
      <c r="G571" s="224" t="s">
        <v>1</v>
      </c>
      <c r="H571" s="224" t="s">
        <v>289</v>
      </c>
      <c r="I571" s="224" t="s">
        <v>24</v>
      </c>
      <c r="J571" s="224">
        <v>70</v>
      </c>
      <c r="K571" s="227">
        <f t="array" ref="K571">IFERROR(INDEX([1]Grille_Tarifs_Modulable!$B$2:$B$204,MATCH(Tableau14[[#This Row],[Designation]]&amp;Tableau14[[#This Row],[CL]],[1]Grille_Tarifs_Modulable!$C$2:$C$204&amp;[1]Grille_Tarifs_Modulable!$F$2:$F$204,0)),0)</f>
        <v>8500000917008</v>
      </c>
      <c r="L571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11.028211800000001</v>
      </c>
      <c r="M571" s="228">
        <f>IF(Tableau14[[#This Row],[Prix_Unit_HT]]=0,0,Tableau14[[#This Row],[Prix_Unit_HT]]+(Tableau14[[#This Row],[Prix_Unit_HT]]*VLOOKUP(Tableau14[[#This Row],[EAN]],[1]Grille_Tarifs_Modulable!$B$10:$Q$204,16,FALSE)))</f>
        <v>13.233854160000002</v>
      </c>
      <c r="N571" s="224">
        <v>6</v>
      </c>
      <c r="O571" s="228">
        <f>ROUND(Tableau14[[#This Row],[Prix_Unit_HT]],2)*Tableau14[[#This Row],[Qte_commande]]</f>
        <v>66.179999999999993</v>
      </c>
      <c r="P571" s="228">
        <f>ROUND(Tableau14[[#This Row],[Prix_Unit_TTC]],2)*Tableau14[[#This Row],[Qte_commande]]</f>
        <v>79.38</v>
      </c>
      <c r="Q571" s="224">
        <v>6</v>
      </c>
      <c r="R571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6.0000000000000009</v>
      </c>
      <c r="U571" s="224"/>
      <c r="V571" s="224"/>
    </row>
    <row r="572" spans="1:22" ht="12.75" x14ac:dyDescent="0.2">
      <c r="A572" s="225">
        <v>43042</v>
      </c>
      <c r="B572" s="224" t="s">
        <v>264</v>
      </c>
      <c r="C572" s="224" t="s">
        <v>265</v>
      </c>
      <c r="D572" s="224" t="s">
        <v>266</v>
      </c>
      <c r="E572" s="226"/>
      <c r="G572" s="224" t="s">
        <v>1</v>
      </c>
      <c r="H572" s="224" t="s">
        <v>196</v>
      </c>
      <c r="I572" s="224" t="s">
        <v>64</v>
      </c>
      <c r="J572" s="224">
        <v>20</v>
      </c>
      <c r="K572" s="227">
        <f t="array" ref="K572">IFERROR(INDEX([1]Grille_Tarifs_Modulable!$B$2:$B$204,MATCH(Tableau14[[#This Row],[Designation]]&amp;Tableau14[[#This Row],[CL]],[1]Grille_Tarifs_Modulable!$C$2:$C$204&amp;[1]Grille_Tarifs_Modulable!$F$2:$F$204,0)),0)</f>
        <v>4260310553849</v>
      </c>
      <c r="L572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0.81</v>
      </c>
      <c r="M572" s="228">
        <f>IF(Tableau14[[#This Row],[Prix_Unit_HT]]=0,0,Tableau14[[#This Row],[Prix_Unit_HT]]+(Tableau14[[#This Row],[Prix_Unit_HT]]*VLOOKUP(Tableau14[[#This Row],[EAN]],[1]Grille_Tarifs_Modulable!$B$10:$Q$204,16,FALSE)))</f>
        <v>0.85455000000000003</v>
      </c>
      <c r="N572" s="224">
        <v>120</v>
      </c>
      <c r="O572" s="228">
        <f>ROUND(Tableau14[[#This Row],[Prix_Unit_HT]],2)*Tableau14[[#This Row],[Qte_commande]]</f>
        <v>97.2</v>
      </c>
      <c r="P572" s="228">
        <f>ROUND(Tableau14[[#This Row],[Prix_Unit_TTC]],2)*Tableau14[[#This Row],[Qte_commande]]</f>
        <v>102</v>
      </c>
      <c r="Q572" s="224">
        <v>34.29</v>
      </c>
      <c r="R572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34.285714285714285</v>
      </c>
      <c r="U572" s="224"/>
      <c r="V572" s="224"/>
    </row>
    <row r="573" spans="1:22" ht="12.75" x14ac:dyDescent="0.2">
      <c r="A573" s="225">
        <v>43042</v>
      </c>
      <c r="B573" s="224" t="s">
        <v>264</v>
      </c>
      <c r="C573" s="224" t="s">
        <v>265</v>
      </c>
      <c r="D573" s="224" t="s">
        <v>266</v>
      </c>
      <c r="E573" s="226"/>
      <c r="G573" s="224" t="s">
        <v>1</v>
      </c>
      <c r="H573" s="224" t="s">
        <v>196</v>
      </c>
      <c r="I573" s="224" t="s">
        <v>59</v>
      </c>
      <c r="J573" s="224">
        <v>20</v>
      </c>
      <c r="K573" s="227">
        <f t="array" ref="K573">IFERROR(INDEX([1]Grille_Tarifs_Modulable!$B$2:$B$204,MATCH(Tableau14[[#This Row],[Designation]]&amp;Tableau14[[#This Row],[CL]],[1]Grille_Tarifs_Modulable!$C$2:$C$204&amp;[1]Grille_Tarifs_Modulable!$F$2:$F$204,0)),0)</f>
        <v>4260310553818</v>
      </c>
      <c r="L573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0.81</v>
      </c>
      <c r="M573" s="228">
        <f>IF(Tableau14[[#This Row],[Prix_Unit_HT]]=0,0,Tableau14[[#This Row],[Prix_Unit_HT]]+(Tableau14[[#This Row],[Prix_Unit_HT]]*VLOOKUP(Tableau14[[#This Row],[EAN]],[1]Grille_Tarifs_Modulable!$B$10:$Q$204,16,FALSE)))</f>
        <v>0.85455000000000003</v>
      </c>
      <c r="N573" s="224">
        <v>144</v>
      </c>
      <c r="O573" s="228">
        <f>ROUND(Tableau14[[#This Row],[Prix_Unit_HT]],2)*Tableau14[[#This Row],[Qte_commande]]</f>
        <v>116.64000000000001</v>
      </c>
      <c r="P573" s="228">
        <f>ROUND(Tableau14[[#This Row],[Prix_Unit_TTC]],2)*Tableau14[[#This Row],[Qte_commande]]</f>
        <v>122.39999999999999</v>
      </c>
      <c r="Q573" s="224">
        <v>41.14</v>
      </c>
      <c r="R573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41.142857142857146</v>
      </c>
      <c r="U573" s="224"/>
      <c r="V573" s="224"/>
    </row>
    <row r="574" spans="1:22" ht="12.75" x14ac:dyDescent="0.2">
      <c r="A574" s="225">
        <v>43042</v>
      </c>
      <c r="B574" s="224" t="s">
        <v>264</v>
      </c>
      <c r="C574" s="224" t="s">
        <v>265</v>
      </c>
      <c r="D574" s="224" t="s">
        <v>266</v>
      </c>
      <c r="E574" s="226"/>
      <c r="G574" s="224" t="s">
        <v>1</v>
      </c>
      <c r="H574" s="224" t="s">
        <v>289</v>
      </c>
      <c r="I574" s="224" t="s">
        <v>1357</v>
      </c>
      <c r="J574" s="224">
        <v>70</v>
      </c>
      <c r="K574" s="227">
        <f t="array" ref="K574">IFERROR(INDEX([1]Grille_Tarifs_Modulable!$B$2:$B$204,MATCH(Tableau14[[#This Row],[Designation]]&amp;Tableau14[[#This Row],[CL]],[1]Grille_Tarifs_Modulable!$C$2:$C$204&amp;[1]Grille_Tarifs_Modulable!$F$2:$F$204,0)),0)</f>
        <v>0</v>
      </c>
      <c r="L574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</v>
      </c>
      <c r="M574" s="228">
        <f>IF(Tableau14[[#This Row],[Prix_Unit_HT]]=0,0,Tableau14[[#This Row],[Prix_Unit_HT]]+(Tableau14[[#This Row],[Prix_Unit_HT]]*VLOOKUP(Tableau14[[#This Row],[EAN]],[1]Grille_Tarifs_Modulable!$B$10:$Q$204,16,FALSE)))</f>
        <v>0</v>
      </c>
      <c r="N574" s="224">
        <v>6</v>
      </c>
      <c r="O574" s="228">
        <f>ROUND(Tableau14[[#This Row],[Prix_Unit_HT]],2)*Tableau14[[#This Row],[Qte_commande]]</f>
        <v>0</v>
      </c>
      <c r="P574" s="228">
        <f>ROUND(Tableau14[[#This Row],[Prix_Unit_TTC]],2)*Tableau14[[#This Row],[Qte_commande]]</f>
        <v>0</v>
      </c>
      <c r="Q574" s="224">
        <v>6</v>
      </c>
      <c r="R574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6.0000000000000009</v>
      </c>
      <c r="U574" s="224"/>
      <c r="V574" s="224"/>
    </row>
    <row r="575" spans="1:22" ht="12.75" x14ac:dyDescent="0.2">
      <c r="A575" s="225">
        <v>43046</v>
      </c>
      <c r="B575" s="224" t="s">
        <v>1113</v>
      </c>
      <c r="C575" s="224" t="s">
        <v>269</v>
      </c>
      <c r="D575" s="224" t="s">
        <v>270</v>
      </c>
      <c r="E575" s="226"/>
      <c r="G575" s="224" t="s">
        <v>13</v>
      </c>
      <c r="H575" s="224" t="s">
        <v>451</v>
      </c>
      <c r="I575" s="224" t="s">
        <v>69</v>
      </c>
      <c r="J575" s="227">
        <v>3</v>
      </c>
      <c r="K575" s="227">
        <f t="array" ref="K575">IFERROR(INDEX([1]Grille_Tarifs_Modulable!$B$2:$B$204,MATCH(Tableau14[[#This Row],[Designation]]&amp;Tableau14[[#This Row],[CL]],[1]Grille_Tarifs_Modulable!$C$2:$C$204&amp;[1]Grille_Tarifs_Modulable!$F$2:$F$204,0)),0)</f>
        <v>121</v>
      </c>
      <c r="L575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299</v>
      </c>
      <c r="M575" s="228">
        <f>IF(Tableau14[[#This Row],[Prix_Unit_HT]]=0,0,Tableau14[[#This Row],[Prix_Unit_HT]]+(Tableau14[[#This Row],[Prix_Unit_HT]]*VLOOKUP(Tableau14[[#This Row],[EAN]],[1]Grille_Tarifs_Modulable!$B$10:$Q$204,16,FALSE)))</f>
        <v>358.8</v>
      </c>
      <c r="N575" s="224">
        <v>1</v>
      </c>
      <c r="O575" s="228">
        <f>ROUND(Tableau14[[#This Row],[Prix_Unit_HT]],2)*Tableau14[[#This Row],[Qte_commande]]</f>
        <v>299</v>
      </c>
      <c r="P575" s="228">
        <f>ROUND(Tableau14[[#This Row],[Prix_Unit_TTC]],2)*Tableau14[[#This Row],[Qte_commande]]</f>
        <v>358.8</v>
      </c>
      <c r="Q575" s="224">
        <v>1</v>
      </c>
      <c r="R575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</v>
      </c>
      <c r="U575" s="224"/>
      <c r="V575" s="224"/>
    </row>
    <row r="576" spans="1:22" ht="12.75" x14ac:dyDescent="0.2">
      <c r="A576" s="225">
        <v>43046</v>
      </c>
      <c r="B576" s="224" t="s">
        <v>1114</v>
      </c>
      <c r="C576" s="224" t="s">
        <v>1115</v>
      </c>
      <c r="D576" s="224" t="s">
        <v>1116</v>
      </c>
      <c r="E576" s="226"/>
      <c r="G576" s="224" t="s">
        <v>13</v>
      </c>
      <c r="H576" s="224" t="s">
        <v>451</v>
      </c>
      <c r="I576" s="224" t="s">
        <v>69</v>
      </c>
      <c r="J576" s="227">
        <v>3</v>
      </c>
      <c r="K576" s="227">
        <f t="array" ref="K576">IFERROR(INDEX([1]Grille_Tarifs_Modulable!$B$2:$B$204,MATCH(Tableau14[[#This Row],[Designation]]&amp;Tableau14[[#This Row],[CL]],[1]Grille_Tarifs_Modulable!$C$2:$C$204&amp;[1]Grille_Tarifs_Modulable!$F$2:$F$204,0)),0)</f>
        <v>121</v>
      </c>
      <c r="L576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299</v>
      </c>
      <c r="M576" s="228">
        <f>IF(Tableau14[[#This Row],[Prix_Unit_HT]]=0,0,Tableau14[[#This Row],[Prix_Unit_HT]]+(Tableau14[[#This Row],[Prix_Unit_HT]]*VLOOKUP(Tableau14[[#This Row],[EAN]],[1]Grille_Tarifs_Modulable!$B$10:$Q$204,16,FALSE)))</f>
        <v>358.8</v>
      </c>
      <c r="N576" s="224">
        <v>1</v>
      </c>
      <c r="O576" s="228">
        <f>ROUND(Tableau14[[#This Row],[Prix_Unit_HT]],2)*Tableau14[[#This Row],[Qte_commande]]</f>
        <v>299</v>
      </c>
      <c r="P576" s="228">
        <f>ROUND(Tableau14[[#This Row],[Prix_Unit_TTC]],2)*Tableau14[[#This Row],[Qte_commande]]</f>
        <v>358.8</v>
      </c>
      <c r="Q576" s="224">
        <v>1</v>
      </c>
      <c r="R576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</v>
      </c>
      <c r="U576" s="224"/>
      <c r="V576" s="224"/>
    </row>
    <row r="577" spans="1:22" ht="14.65" customHeight="1" x14ac:dyDescent="0.2">
      <c r="A577" s="225">
        <v>43047</v>
      </c>
      <c r="B577" s="224" t="s">
        <v>630</v>
      </c>
      <c r="C577" s="224" t="s">
        <v>205</v>
      </c>
      <c r="D577" s="224" t="s">
        <v>206</v>
      </c>
      <c r="E577" s="226"/>
      <c r="G577" s="224" t="s">
        <v>1</v>
      </c>
      <c r="H577" s="224" t="s">
        <v>289</v>
      </c>
      <c r="I577" s="224" t="s">
        <v>15</v>
      </c>
      <c r="J577" s="224">
        <v>70</v>
      </c>
      <c r="K577" s="227">
        <f t="array" ref="K577">IFERROR(INDEX([1]Grille_Tarifs_Modulable!$B$2:$B$204,MATCH(Tableau14[[#This Row],[Designation]]&amp;Tableau14[[#This Row],[CL]],[1]Grille_Tarifs_Modulable!$C$2:$C$204&amp;[1]Grille_Tarifs_Modulable!$F$2:$F$204,0)),0)</f>
        <v>4067700013859</v>
      </c>
      <c r="L577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12.532563499999998</v>
      </c>
      <c r="M577" s="228">
        <f>IF(Tableau14[[#This Row],[Prix_Unit_HT]]=0,0,Tableau14[[#This Row],[Prix_Unit_HT]]+(Tableau14[[#This Row],[Prix_Unit_HT]]*VLOOKUP(Tableau14[[#This Row],[EAN]],[1]Grille_Tarifs_Modulable!$B$10:$Q$204,16,FALSE)))</f>
        <v>15.039076199999998</v>
      </c>
      <c r="N577" s="224">
        <v>600</v>
      </c>
      <c r="O577" s="228">
        <f>ROUND(Tableau14[[#This Row],[Prix_Unit_HT]],2)*Tableau14[[#This Row],[Qte_commande]]</f>
        <v>7518</v>
      </c>
      <c r="P577" s="228">
        <f>ROUND(Tableau14[[#This Row],[Prix_Unit_TTC]],2)*Tableau14[[#This Row],[Qte_commande]]</f>
        <v>9024</v>
      </c>
      <c r="Q577" s="224">
        <v>600</v>
      </c>
      <c r="R577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600</v>
      </c>
      <c r="U577" s="224"/>
      <c r="V577" s="224"/>
    </row>
    <row r="578" spans="1:22" ht="14.65" customHeight="1" x14ac:dyDescent="0.2">
      <c r="A578" s="225">
        <v>43047</v>
      </c>
      <c r="B578" s="224" t="s">
        <v>630</v>
      </c>
      <c r="C578" s="224" t="s">
        <v>205</v>
      </c>
      <c r="D578" s="224" t="s">
        <v>206</v>
      </c>
      <c r="E578" s="226"/>
      <c r="G578" s="224" t="s">
        <v>1</v>
      </c>
      <c r="H578" s="224"/>
      <c r="I578" s="224" t="s">
        <v>1350</v>
      </c>
      <c r="J578" s="228" t="s">
        <v>448</v>
      </c>
      <c r="K578" s="227">
        <f t="array" ref="K578">IFERROR(INDEX([1]Grille_Tarifs_Modulable!$B$2:$B$204,MATCH(Tableau14[[#This Row],[Designation]]&amp;Tableau14[[#This Row],[CL]],[1]Grille_Tarifs_Modulable!$C$2:$C$204&amp;[1]Grille_Tarifs_Modulable!$F$2:$F$204,0)),0)</f>
        <v>0</v>
      </c>
      <c r="L578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</v>
      </c>
      <c r="M578" s="228">
        <f>IF(Tableau14[[#This Row],[Prix_Unit_HT]]=0,0,Tableau14[[#This Row],[Prix_Unit_HT]]+(Tableau14[[#This Row],[Prix_Unit_HT]]*VLOOKUP(Tableau14[[#This Row],[EAN]],[1]Grille_Tarifs_Modulable!$B$10:$Q$204,16,FALSE)))</f>
        <v>0</v>
      </c>
      <c r="N578" s="224">
        <v>1200</v>
      </c>
      <c r="O578" s="228">
        <f>ROUND(Tableau14[[#This Row],[Prix_Unit_HT]],2)*Tableau14[[#This Row],[Qte_commande]]</f>
        <v>0</v>
      </c>
      <c r="P578" s="228">
        <f>ROUND(Tableau14[[#This Row],[Prix_Unit_TTC]],2)*Tableau14[[#This Row],[Qte_commande]]</f>
        <v>0</v>
      </c>
      <c r="Q578" s="224">
        <v>1200</v>
      </c>
      <c r="R578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0</v>
      </c>
      <c r="U578" s="224"/>
      <c r="V578" s="224"/>
    </row>
    <row r="579" spans="1:22" ht="14.65" customHeight="1" x14ac:dyDescent="0.2">
      <c r="A579" s="225">
        <v>43049</v>
      </c>
      <c r="B579" s="224" t="s">
        <v>226</v>
      </c>
      <c r="C579" s="224" t="s">
        <v>227</v>
      </c>
      <c r="D579" s="224" t="s">
        <v>228</v>
      </c>
      <c r="E579" s="226"/>
      <c r="G579" s="224" t="s">
        <v>13</v>
      </c>
      <c r="H579" s="224" t="s">
        <v>196</v>
      </c>
      <c r="I579" s="224" t="s">
        <v>62</v>
      </c>
      <c r="J579" s="224">
        <v>20</v>
      </c>
      <c r="K579" s="227">
        <f t="array" ref="K579">IFERROR(INDEX([1]Grille_Tarifs_Modulable!$B$2:$B$204,MATCH(Tableau14[[#This Row],[Designation]]&amp;Tableau14[[#This Row],[CL]],[1]Grille_Tarifs_Modulable!$C$2:$C$204&amp;[1]Grille_Tarifs_Modulable!$F$2:$F$204,0)),0)</f>
        <v>4260310550305</v>
      </c>
      <c r="L579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0.89</v>
      </c>
      <c r="M579" s="228">
        <f>IF(Tableau14[[#This Row],[Prix_Unit_HT]]=0,0,Tableau14[[#This Row],[Prix_Unit_HT]]+(Tableau14[[#This Row],[Prix_Unit_HT]]*VLOOKUP(Tableau14[[#This Row],[EAN]],[1]Grille_Tarifs_Modulable!$B$10:$Q$204,16,FALSE)))</f>
        <v>0.93895000000000006</v>
      </c>
      <c r="N579" s="224">
        <v>24</v>
      </c>
      <c r="O579" s="228">
        <f>ROUND(Tableau14[[#This Row],[Prix_Unit_HT]],2)*Tableau14[[#This Row],[Qte_commande]]</f>
        <v>21.36</v>
      </c>
      <c r="P579" s="228">
        <f>ROUND(Tableau14[[#This Row],[Prix_Unit_TTC]],2)*Tableau14[[#This Row],[Qte_commande]]</f>
        <v>22.56</v>
      </c>
      <c r="Q579" s="224">
        <v>6.86</v>
      </c>
      <c r="R579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6.8571428571428577</v>
      </c>
      <c r="U579" s="224"/>
      <c r="V579" s="224"/>
    </row>
    <row r="580" spans="1:22" ht="14.65" customHeight="1" x14ac:dyDescent="0.2">
      <c r="A580" s="225">
        <v>43049</v>
      </c>
      <c r="B580" s="224" t="s">
        <v>226</v>
      </c>
      <c r="C580" s="224" t="s">
        <v>227</v>
      </c>
      <c r="D580" s="224" t="s">
        <v>228</v>
      </c>
      <c r="E580" s="226"/>
      <c r="G580" s="224" t="s">
        <v>13</v>
      </c>
      <c r="H580" s="224" t="s">
        <v>196</v>
      </c>
      <c r="I580" s="224" t="s">
        <v>63</v>
      </c>
      <c r="J580" s="224">
        <v>20</v>
      </c>
      <c r="K580" s="227">
        <f t="array" ref="K580">IFERROR(INDEX([1]Grille_Tarifs_Modulable!$B$2:$B$204,MATCH(Tableau14[[#This Row],[Designation]]&amp;Tableau14[[#This Row],[CL]],[1]Grille_Tarifs_Modulable!$C$2:$C$204&amp;[1]Grille_Tarifs_Modulable!$F$2:$F$204,0)),0)</f>
        <v>4260310552941</v>
      </c>
      <c r="L580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0.89</v>
      </c>
      <c r="M580" s="228">
        <f>IF(Tableau14[[#This Row],[Prix_Unit_HT]]=0,0,Tableau14[[#This Row],[Prix_Unit_HT]]+(Tableau14[[#This Row],[Prix_Unit_HT]]*VLOOKUP(Tableau14[[#This Row],[EAN]],[1]Grille_Tarifs_Modulable!$B$10:$Q$204,16,FALSE)))</f>
        <v>0.93895000000000006</v>
      </c>
      <c r="N580" s="224">
        <v>24</v>
      </c>
      <c r="O580" s="228">
        <f>ROUND(Tableau14[[#This Row],[Prix_Unit_HT]],2)*Tableau14[[#This Row],[Qte_commande]]</f>
        <v>21.36</v>
      </c>
      <c r="P580" s="228">
        <f>ROUND(Tableau14[[#This Row],[Prix_Unit_TTC]],2)*Tableau14[[#This Row],[Qte_commande]]</f>
        <v>22.56</v>
      </c>
      <c r="Q580" s="224">
        <v>6.86</v>
      </c>
      <c r="R580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6.8571428571428577</v>
      </c>
      <c r="U580" s="224"/>
      <c r="V580" s="224"/>
    </row>
    <row r="581" spans="1:22" ht="14.65" customHeight="1" x14ac:dyDescent="0.2">
      <c r="A581" s="225">
        <v>43049</v>
      </c>
      <c r="B581" s="224" t="s">
        <v>226</v>
      </c>
      <c r="C581" s="224" t="s">
        <v>227</v>
      </c>
      <c r="D581" s="224" t="s">
        <v>228</v>
      </c>
      <c r="E581" s="226"/>
      <c r="G581" s="224" t="s">
        <v>13</v>
      </c>
      <c r="H581" s="224" t="s">
        <v>196</v>
      </c>
      <c r="I581" s="224" t="s">
        <v>65</v>
      </c>
      <c r="J581" s="224">
        <v>20</v>
      </c>
      <c r="K581" s="227">
        <f t="array" ref="K581">IFERROR(INDEX([1]Grille_Tarifs_Modulable!$B$2:$B$204,MATCH(Tableau14[[#This Row],[Designation]]&amp;Tableau14[[#This Row],[CL]],[1]Grille_Tarifs_Modulable!$C$2:$C$204&amp;[1]Grille_Tarifs_Modulable!$F$2:$F$204,0)),0)</f>
        <v>4260310553863</v>
      </c>
      <c r="L581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0.89</v>
      </c>
      <c r="M581" s="228">
        <f>IF(Tableau14[[#This Row],[Prix_Unit_HT]]=0,0,Tableau14[[#This Row],[Prix_Unit_HT]]+(Tableau14[[#This Row],[Prix_Unit_HT]]*VLOOKUP(Tableau14[[#This Row],[EAN]],[1]Grille_Tarifs_Modulable!$B$10:$Q$204,16,FALSE)))</f>
        <v>0.93895000000000006</v>
      </c>
      <c r="N581" s="224">
        <v>24</v>
      </c>
      <c r="O581" s="228">
        <f>ROUND(Tableau14[[#This Row],[Prix_Unit_HT]],2)*Tableau14[[#This Row],[Qte_commande]]</f>
        <v>21.36</v>
      </c>
      <c r="P581" s="228">
        <f>ROUND(Tableau14[[#This Row],[Prix_Unit_TTC]],2)*Tableau14[[#This Row],[Qte_commande]]</f>
        <v>22.56</v>
      </c>
      <c r="Q581" s="224">
        <v>6.86</v>
      </c>
      <c r="R581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6.8571428571428577</v>
      </c>
      <c r="U581" s="224"/>
      <c r="V581" s="224"/>
    </row>
    <row r="582" spans="1:22" ht="14.65" customHeight="1" x14ac:dyDescent="0.2">
      <c r="A582" s="225">
        <v>43049</v>
      </c>
      <c r="B582" s="224" t="s">
        <v>226</v>
      </c>
      <c r="C582" s="224" t="s">
        <v>227</v>
      </c>
      <c r="D582" s="224" t="s">
        <v>228</v>
      </c>
      <c r="E582" s="226"/>
      <c r="G582" s="224" t="s">
        <v>13</v>
      </c>
      <c r="H582" s="224" t="s">
        <v>289</v>
      </c>
      <c r="I582" s="224" t="s">
        <v>44</v>
      </c>
      <c r="J582" s="224">
        <v>50</v>
      </c>
      <c r="K582" s="227">
        <f t="array" ref="K582">IFERROR(INDEX([1]Grille_Tarifs_Modulable!$B$2:$B$204,MATCH(Tableau14[[#This Row],[Designation]]&amp;Tableau14[[#This Row],[CL]],[1]Grille_Tarifs_Modulable!$C$2:$C$204&amp;[1]Grille_Tarifs_Modulable!$F$2:$F$204,0)),0)</f>
        <v>4260270192645</v>
      </c>
      <c r="L582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28.052506000000001</v>
      </c>
      <c r="M582" s="228">
        <f>IF(Tableau14[[#This Row],[Prix_Unit_HT]]=0,0,Tableau14[[#This Row],[Prix_Unit_HT]]+(Tableau14[[#This Row],[Prix_Unit_HT]]*VLOOKUP(Tableau14[[#This Row],[EAN]],[1]Grille_Tarifs_Modulable!$B$10:$Q$204,16,FALSE)))</f>
        <v>33.663007200000003</v>
      </c>
      <c r="N582" s="224">
        <v>6</v>
      </c>
      <c r="O582" s="228">
        <f>ROUND(Tableau14[[#This Row],[Prix_Unit_HT]],2)*Tableau14[[#This Row],[Qte_commande]]</f>
        <v>168.3</v>
      </c>
      <c r="P582" s="228">
        <f>ROUND(Tableau14[[#This Row],[Prix_Unit_TTC]],2)*Tableau14[[#This Row],[Qte_commande]]</f>
        <v>201.95999999999998</v>
      </c>
      <c r="Q582" s="224">
        <v>4.29</v>
      </c>
      <c r="R582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4.2857142857142856</v>
      </c>
      <c r="U582" s="224"/>
      <c r="V582" s="224"/>
    </row>
    <row r="583" spans="1:22" ht="14.65" customHeight="1" x14ac:dyDescent="0.2">
      <c r="A583" s="225">
        <v>43049</v>
      </c>
      <c r="B583" s="224" t="s">
        <v>226</v>
      </c>
      <c r="C583" s="224" t="s">
        <v>227</v>
      </c>
      <c r="D583" s="224" t="s">
        <v>228</v>
      </c>
      <c r="E583" s="226"/>
      <c r="G583" s="224" t="s">
        <v>13</v>
      </c>
      <c r="H583" s="224" t="s">
        <v>196</v>
      </c>
      <c r="I583" s="224" t="s">
        <v>64</v>
      </c>
      <c r="J583" s="224">
        <v>20</v>
      </c>
      <c r="K583" s="227">
        <f t="array" ref="K583">IFERROR(INDEX([1]Grille_Tarifs_Modulable!$B$2:$B$204,MATCH(Tableau14[[#This Row],[Designation]]&amp;Tableau14[[#This Row],[CL]],[1]Grille_Tarifs_Modulable!$C$2:$C$204&amp;[1]Grille_Tarifs_Modulable!$F$2:$F$204,0)),0)</f>
        <v>4260310553849</v>
      </c>
      <c r="L583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0.89</v>
      </c>
      <c r="M583" s="228">
        <f>IF(Tableau14[[#This Row],[Prix_Unit_HT]]=0,0,Tableau14[[#This Row],[Prix_Unit_HT]]+(Tableau14[[#This Row],[Prix_Unit_HT]]*VLOOKUP(Tableau14[[#This Row],[EAN]],[1]Grille_Tarifs_Modulable!$B$10:$Q$204,16,FALSE)))</f>
        <v>0.93895000000000006</v>
      </c>
      <c r="N583" s="224">
        <v>48</v>
      </c>
      <c r="O583" s="228">
        <f>ROUND(Tableau14[[#This Row],[Prix_Unit_HT]],2)*Tableau14[[#This Row],[Qte_commande]]</f>
        <v>42.72</v>
      </c>
      <c r="P583" s="228">
        <f>ROUND(Tableau14[[#This Row],[Prix_Unit_TTC]],2)*Tableau14[[#This Row],[Qte_commande]]</f>
        <v>45.12</v>
      </c>
      <c r="Q583" s="224">
        <v>13.71</v>
      </c>
      <c r="R583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13.714285714285715</v>
      </c>
      <c r="U583" s="224"/>
      <c r="V583" s="224"/>
    </row>
    <row r="584" spans="1:22" ht="14.65" customHeight="1" x14ac:dyDescent="0.2">
      <c r="A584" s="225">
        <v>43049</v>
      </c>
      <c r="B584" s="224" t="s">
        <v>226</v>
      </c>
      <c r="C584" s="224" t="s">
        <v>227</v>
      </c>
      <c r="D584" s="224" t="s">
        <v>228</v>
      </c>
      <c r="E584" s="226"/>
      <c r="G584" s="224" t="s">
        <v>13</v>
      </c>
      <c r="H584" s="224" t="s">
        <v>196</v>
      </c>
      <c r="I584" s="224" t="s">
        <v>59</v>
      </c>
      <c r="J584" s="224">
        <v>20</v>
      </c>
      <c r="K584" s="227">
        <f t="array" ref="K584">IFERROR(INDEX([1]Grille_Tarifs_Modulable!$B$2:$B$204,MATCH(Tableau14[[#This Row],[Designation]]&amp;Tableau14[[#This Row],[CL]],[1]Grille_Tarifs_Modulable!$C$2:$C$204&amp;[1]Grille_Tarifs_Modulable!$F$2:$F$204,0)),0)</f>
        <v>4260310553818</v>
      </c>
      <c r="L584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0.89</v>
      </c>
      <c r="M584" s="228">
        <f>IF(Tableau14[[#This Row],[Prix_Unit_HT]]=0,0,Tableau14[[#This Row],[Prix_Unit_HT]]+(Tableau14[[#This Row],[Prix_Unit_HT]]*VLOOKUP(Tableau14[[#This Row],[EAN]],[1]Grille_Tarifs_Modulable!$B$10:$Q$204,16,FALSE)))</f>
        <v>0.93895000000000006</v>
      </c>
      <c r="N584" s="224">
        <v>48</v>
      </c>
      <c r="O584" s="228">
        <f>ROUND(Tableau14[[#This Row],[Prix_Unit_HT]],2)*Tableau14[[#This Row],[Qte_commande]]</f>
        <v>42.72</v>
      </c>
      <c r="P584" s="228">
        <f>ROUND(Tableau14[[#This Row],[Prix_Unit_TTC]],2)*Tableau14[[#This Row],[Qte_commande]]</f>
        <v>45.12</v>
      </c>
      <c r="Q584" s="224">
        <v>13.71</v>
      </c>
      <c r="R584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13.714285714285715</v>
      </c>
      <c r="U584" s="224"/>
      <c r="V584" s="224"/>
    </row>
    <row r="585" spans="1:22" ht="14.65" customHeight="1" x14ac:dyDescent="0.2">
      <c r="A585" s="225">
        <v>43055</v>
      </c>
      <c r="B585" s="224" t="s">
        <v>354</v>
      </c>
      <c r="C585" s="224" t="s">
        <v>198</v>
      </c>
      <c r="D585" s="224" t="s">
        <v>199</v>
      </c>
      <c r="E585" s="226"/>
      <c r="G585" s="224" t="s">
        <v>1</v>
      </c>
      <c r="H585" s="224" t="s">
        <v>196</v>
      </c>
      <c r="I585" s="224" t="s">
        <v>65</v>
      </c>
      <c r="J585" s="224">
        <v>20</v>
      </c>
      <c r="K585" s="227">
        <f t="array" ref="K585">IFERROR(INDEX([1]Grille_Tarifs_Modulable!$B$2:$B$204,MATCH(Tableau14[[#This Row],[Designation]]&amp;Tableau14[[#This Row],[CL]],[1]Grille_Tarifs_Modulable!$C$2:$C$204&amp;[1]Grille_Tarifs_Modulable!$F$2:$F$204,0)),0)</f>
        <v>4260310553863</v>
      </c>
      <c r="L585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0.81</v>
      </c>
      <c r="M585" s="228">
        <f>IF(Tableau14[[#This Row],[Prix_Unit_HT]]=0,0,Tableau14[[#This Row],[Prix_Unit_HT]]+(Tableau14[[#This Row],[Prix_Unit_HT]]*VLOOKUP(Tableau14[[#This Row],[EAN]],[1]Grille_Tarifs_Modulable!$B$10:$Q$204,16,FALSE)))</f>
        <v>0.85455000000000003</v>
      </c>
      <c r="N585" s="224">
        <v>48</v>
      </c>
      <c r="O585" s="228">
        <f>ROUND(Tableau14[[#This Row],[Prix_Unit_HT]],2)*Tableau14[[#This Row],[Qte_commande]]</f>
        <v>38.880000000000003</v>
      </c>
      <c r="P585" s="228">
        <f>ROUND(Tableau14[[#This Row],[Prix_Unit_TTC]],2)*Tableau14[[#This Row],[Qte_commande]]</f>
        <v>40.799999999999997</v>
      </c>
      <c r="Q585" s="224">
        <v>13.71</v>
      </c>
      <c r="R585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13.714285714285715</v>
      </c>
      <c r="U585" s="224"/>
      <c r="V585" s="224"/>
    </row>
    <row r="586" spans="1:22" ht="14.65" customHeight="1" x14ac:dyDescent="0.2">
      <c r="A586" s="225">
        <v>43055</v>
      </c>
      <c r="B586" s="224" t="s">
        <v>354</v>
      </c>
      <c r="C586" s="224" t="s">
        <v>198</v>
      </c>
      <c r="D586" s="224" t="s">
        <v>199</v>
      </c>
      <c r="E586" s="226"/>
      <c r="G586" s="224" t="s">
        <v>1</v>
      </c>
      <c r="H586" s="224" t="s">
        <v>289</v>
      </c>
      <c r="I586" s="224" t="s">
        <v>15</v>
      </c>
      <c r="J586" s="224">
        <v>70</v>
      </c>
      <c r="K586" s="227">
        <f t="array" ref="K586">IFERROR(INDEX([1]Grille_Tarifs_Modulable!$B$2:$B$204,MATCH(Tableau14[[#This Row],[Designation]]&amp;Tableau14[[#This Row],[CL]],[1]Grille_Tarifs_Modulable!$C$2:$C$204&amp;[1]Grille_Tarifs_Modulable!$F$2:$F$204,0)),0)</f>
        <v>4067700013859</v>
      </c>
      <c r="L586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12.532563499999998</v>
      </c>
      <c r="M586" s="228">
        <f>IF(Tableau14[[#This Row],[Prix_Unit_HT]]=0,0,Tableau14[[#This Row],[Prix_Unit_HT]]+(Tableau14[[#This Row],[Prix_Unit_HT]]*VLOOKUP(Tableau14[[#This Row],[EAN]],[1]Grille_Tarifs_Modulable!$B$10:$Q$204,16,FALSE)))</f>
        <v>15.039076199999998</v>
      </c>
      <c r="N586" s="224">
        <v>12</v>
      </c>
      <c r="O586" s="228">
        <f>ROUND(Tableau14[[#This Row],[Prix_Unit_HT]],2)*Tableau14[[#This Row],[Qte_commande]]</f>
        <v>150.35999999999999</v>
      </c>
      <c r="P586" s="228">
        <f>ROUND(Tableau14[[#This Row],[Prix_Unit_TTC]],2)*Tableau14[[#This Row],[Qte_commande]]</f>
        <v>180.48</v>
      </c>
      <c r="Q586" s="224">
        <v>12</v>
      </c>
      <c r="R586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12.000000000000002</v>
      </c>
      <c r="U586" s="224"/>
      <c r="V586" s="224"/>
    </row>
    <row r="587" spans="1:22" ht="14.65" customHeight="1" x14ac:dyDescent="0.2">
      <c r="A587" s="225">
        <v>43055</v>
      </c>
      <c r="B587" s="224" t="s">
        <v>354</v>
      </c>
      <c r="C587" s="224" t="s">
        <v>198</v>
      </c>
      <c r="D587" s="224" t="s">
        <v>199</v>
      </c>
      <c r="E587" s="226"/>
      <c r="G587" s="224" t="s">
        <v>1</v>
      </c>
      <c r="H587" s="224" t="s">
        <v>289</v>
      </c>
      <c r="I587" s="224" t="s">
        <v>15</v>
      </c>
      <c r="J587" s="224">
        <v>100</v>
      </c>
      <c r="K587" s="227">
        <f t="array" ref="K587">IFERROR(INDEX([1]Grille_Tarifs_Modulable!$B$2:$B$204,MATCH(Tableau14[[#This Row],[Designation]]&amp;Tableau14[[#This Row],[CL]],[1]Grille_Tarifs_Modulable!$C$2:$C$204&amp;[1]Grille_Tarifs_Modulable!$F$2:$F$204,0)),0)</f>
        <v>4067700013842</v>
      </c>
      <c r="L587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17.100804999999998</v>
      </c>
      <c r="M587" s="228">
        <f>IF(Tableau14[[#This Row],[Prix_Unit_HT]]=0,0,Tableau14[[#This Row],[Prix_Unit_HT]]+(Tableau14[[#This Row],[Prix_Unit_HT]]*VLOOKUP(Tableau14[[#This Row],[EAN]],[1]Grille_Tarifs_Modulable!$B$10:$Q$204,16,FALSE)))</f>
        <v>20.520965999999998</v>
      </c>
      <c r="N587" s="224">
        <v>12</v>
      </c>
      <c r="O587" s="228">
        <f>ROUND(Tableau14[[#This Row],[Prix_Unit_HT]],2)*Tableau14[[#This Row],[Qte_commande]]</f>
        <v>205.20000000000002</v>
      </c>
      <c r="P587" s="228">
        <f>ROUND(Tableau14[[#This Row],[Prix_Unit_TTC]],2)*Tableau14[[#This Row],[Qte_commande]]</f>
        <v>246.24</v>
      </c>
      <c r="Q587" s="224">
        <v>17.14</v>
      </c>
      <c r="R587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17.142857142857142</v>
      </c>
      <c r="U587" s="224"/>
      <c r="V587" s="224"/>
    </row>
    <row r="588" spans="1:22" ht="14.65" customHeight="1" x14ac:dyDescent="0.2">
      <c r="A588" s="225">
        <v>43055</v>
      </c>
      <c r="B588" s="224" t="s">
        <v>354</v>
      </c>
      <c r="C588" s="224" t="s">
        <v>198</v>
      </c>
      <c r="D588" s="224" t="s">
        <v>199</v>
      </c>
      <c r="E588" s="226"/>
      <c r="G588" s="224" t="s">
        <v>1</v>
      </c>
      <c r="H588" s="224" t="s">
        <v>196</v>
      </c>
      <c r="I588" s="224" t="s">
        <v>66</v>
      </c>
      <c r="J588" s="224">
        <v>50</v>
      </c>
      <c r="K588" s="227">
        <f t="array" ref="K588">IFERROR(INDEX([1]Grille_Tarifs_Modulable!$B$2:$B$204,MATCH(Tableau14[[#This Row],[Designation]]&amp;Tableau14[[#This Row],[CL]],[1]Grille_Tarifs_Modulable!$C$2:$C$204&amp;[1]Grille_Tarifs_Modulable!$F$2:$F$204,0)),0)</f>
        <v>4260310553382</v>
      </c>
      <c r="L588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</v>
      </c>
      <c r="M588" s="228">
        <f>IF(Tableau14[[#This Row],[Prix_Unit_HT]]=0,0,Tableau14[[#This Row],[Prix_Unit_HT]]+(Tableau14[[#This Row],[Prix_Unit_HT]]*VLOOKUP(Tableau14[[#This Row],[EAN]],[1]Grille_Tarifs_Modulable!$B$10:$Q$204,16,FALSE)))</f>
        <v>1.0549999999999999</v>
      </c>
      <c r="N588" s="224">
        <v>200</v>
      </c>
      <c r="O588" s="228">
        <f>ROUND(Tableau14[[#This Row],[Prix_Unit_HT]],2)*Tableau14[[#This Row],[Qte_commande]]</f>
        <v>200</v>
      </c>
      <c r="P588" s="228">
        <f>ROUND(Tableau14[[#This Row],[Prix_Unit_TTC]],2)*Tableau14[[#This Row],[Qte_commande]]</f>
        <v>212</v>
      </c>
      <c r="Q588" s="224">
        <v>142.86000000000001</v>
      </c>
      <c r="R588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142.85714285714286</v>
      </c>
      <c r="U588" s="224"/>
      <c r="V588" s="224"/>
    </row>
    <row r="589" spans="1:22" ht="14.65" customHeight="1" x14ac:dyDescent="0.2">
      <c r="A589" s="225">
        <v>43055</v>
      </c>
      <c r="B589" s="224" t="s">
        <v>354</v>
      </c>
      <c r="C589" s="224" t="s">
        <v>198</v>
      </c>
      <c r="D589" s="224" t="s">
        <v>199</v>
      </c>
      <c r="E589" s="226"/>
      <c r="G589" s="224" t="s">
        <v>1</v>
      </c>
      <c r="H589" s="224" t="s">
        <v>289</v>
      </c>
      <c r="I589" s="224" t="s">
        <v>42</v>
      </c>
      <c r="J589" s="224">
        <v>70</v>
      </c>
      <c r="K589" s="227">
        <f t="array" ref="K589">IFERROR(INDEX([1]Grille_Tarifs_Modulable!$B$2:$B$204,MATCH(Tableau14[[#This Row],[Designation]]&amp;Tableau14[[#This Row],[CL]],[1]Grille_Tarifs_Modulable!$C$2:$C$204&amp;[1]Grille_Tarifs_Modulable!$F$2:$F$204,0)),0)</f>
        <v>3257150688009</v>
      </c>
      <c r="L589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12.556915199999999</v>
      </c>
      <c r="M589" s="228">
        <f>IF(Tableau14[[#This Row],[Prix_Unit_HT]]=0,0,Tableau14[[#This Row],[Prix_Unit_HT]]+(Tableau14[[#This Row],[Prix_Unit_HT]]*VLOOKUP(Tableau14[[#This Row],[EAN]],[1]Grille_Tarifs_Modulable!$B$10:$Q$204,16,FALSE)))</f>
        <v>15.068298239999999</v>
      </c>
      <c r="N589" s="224">
        <v>12</v>
      </c>
      <c r="O589" s="228">
        <f>ROUND(Tableau14[[#This Row],[Prix_Unit_HT]],2)*Tableau14[[#This Row],[Qte_commande]]</f>
        <v>150.72</v>
      </c>
      <c r="P589" s="228">
        <f>ROUND(Tableau14[[#This Row],[Prix_Unit_TTC]],2)*Tableau14[[#This Row],[Qte_commande]]</f>
        <v>180.84</v>
      </c>
      <c r="Q589" s="224">
        <v>12</v>
      </c>
      <c r="R589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12.000000000000002</v>
      </c>
      <c r="U589" s="224"/>
      <c r="V589" s="224"/>
    </row>
    <row r="590" spans="1:22" ht="14.65" customHeight="1" x14ac:dyDescent="0.2">
      <c r="A590" s="225">
        <v>43055</v>
      </c>
      <c r="B590" s="224" t="s">
        <v>354</v>
      </c>
      <c r="C590" s="224" t="s">
        <v>198</v>
      </c>
      <c r="D590" s="224" t="s">
        <v>199</v>
      </c>
      <c r="E590" s="226"/>
      <c r="G590" s="224" t="s">
        <v>1</v>
      </c>
      <c r="H590" s="224" t="s">
        <v>196</v>
      </c>
      <c r="I590" s="224" t="s">
        <v>59</v>
      </c>
      <c r="J590" s="224">
        <v>20</v>
      </c>
      <c r="K590" s="227">
        <f t="array" ref="K590">IFERROR(INDEX([1]Grille_Tarifs_Modulable!$B$2:$B$204,MATCH(Tableau14[[#This Row],[Designation]]&amp;Tableau14[[#This Row],[CL]],[1]Grille_Tarifs_Modulable!$C$2:$C$204&amp;[1]Grille_Tarifs_Modulable!$F$2:$F$204,0)),0)</f>
        <v>4260310553818</v>
      </c>
      <c r="L590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0.81</v>
      </c>
      <c r="M590" s="228">
        <f>IF(Tableau14[[#This Row],[Prix_Unit_HT]]=0,0,Tableau14[[#This Row],[Prix_Unit_HT]]+(Tableau14[[#This Row],[Prix_Unit_HT]]*VLOOKUP(Tableau14[[#This Row],[EAN]],[1]Grille_Tarifs_Modulable!$B$10:$Q$204,16,FALSE)))</f>
        <v>0.85455000000000003</v>
      </c>
      <c r="N590" s="224">
        <v>96</v>
      </c>
      <c r="O590" s="228">
        <f>ROUND(Tableau14[[#This Row],[Prix_Unit_HT]],2)*Tableau14[[#This Row],[Qte_commande]]</f>
        <v>77.760000000000005</v>
      </c>
      <c r="P590" s="228">
        <f>ROUND(Tableau14[[#This Row],[Prix_Unit_TTC]],2)*Tableau14[[#This Row],[Qte_commande]]</f>
        <v>81.599999999999994</v>
      </c>
      <c r="Q590" s="224">
        <v>27.43</v>
      </c>
      <c r="R590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27.428571428571431</v>
      </c>
      <c r="U590" s="224"/>
      <c r="V590" s="224"/>
    </row>
    <row r="591" spans="1:22" ht="14.65" customHeight="1" x14ac:dyDescent="0.2">
      <c r="A591" s="225">
        <v>43056</v>
      </c>
      <c r="B591" s="224" t="s">
        <v>631</v>
      </c>
      <c r="C591" s="224" t="s">
        <v>530</v>
      </c>
      <c r="D591" s="224" t="s">
        <v>531</v>
      </c>
      <c r="E591" s="226"/>
      <c r="G591" s="224" t="s">
        <v>1</v>
      </c>
      <c r="H591" s="224" t="s">
        <v>289</v>
      </c>
      <c r="I591" s="224" t="s">
        <v>15</v>
      </c>
      <c r="J591" s="224">
        <v>70</v>
      </c>
      <c r="K591" s="227">
        <f t="array" ref="K591">IFERROR(INDEX([1]Grille_Tarifs_Modulable!$B$2:$B$204,MATCH(Tableau14[[#This Row],[Designation]]&amp;Tableau14[[#This Row],[CL]],[1]Grille_Tarifs_Modulable!$C$2:$C$204&amp;[1]Grille_Tarifs_Modulable!$F$2:$F$204,0)),0)</f>
        <v>4067700013859</v>
      </c>
      <c r="L591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12.532563499999998</v>
      </c>
      <c r="M591" s="228">
        <f>IF(Tableau14[[#This Row],[Prix_Unit_HT]]=0,0,Tableau14[[#This Row],[Prix_Unit_HT]]+(Tableau14[[#This Row],[Prix_Unit_HT]]*VLOOKUP(Tableau14[[#This Row],[EAN]],[1]Grille_Tarifs_Modulable!$B$10:$Q$204,16,FALSE)))</f>
        <v>15.039076199999998</v>
      </c>
      <c r="N591" s="224">
        <v>18</v>
      </c>
      <c r="O591" s="228">
        <f>ROUND(Tableau14[[#This Row],[Prix_Unit_HT]],2)*Tableau14[[#This Row],[Qte_commande]]</f>
        <v>225.54</v>
      </c>
      <c r="P591" s="228">
        <f>ROUND(Tableau14[[#This Row],[Prix_Unit_TTC]],2)*Tableau14[[#This Row],[Qte_commande]]</f>
        <v>270.71999999999997</v>
      </c>
      <c r="Q591" s="224">
        <v>18</v>
      </c>
      <c r="R591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18</v>
      </c>
      <c r="U591" s="224"/>
      <c r="V591" s="224"/>
    </row>
    <row r="592" spans="1:22" ht="14.65" customHeight="1" x14ac:dyDescent="0.2">
      <c r="A592" s="225">
        <v>43056</v>
      </c>
      <c r="B592" s="224" t="s">
        <v>631</v>
      </c>
      <c r="C592" s="224" t="s">
        <v>530</v>
      </c>
      <c r="D592" s="224" t="s">
        <v>531</v>
      </c>
      <c r="E592" s="226"/>
      <c r="G592" s="224" t="s">
        <v>1</v>
      </c>
      <c r="H592" s="224" t="s">
        <v>289</v>
      </c>
      <c r="I592" s="224" t="s">
        <v>15</v>
      </c>
      <c r="J592" s="224">
        <v>70</v>
      </c>
      <c r="K592" s="227">
        <f t="array" ref="K592">IFERROR(INDEX([1]Grille_Tarifs_Modulable!$B$2:$B$204,MATCH(Tableau14[[#This Row],[Designation]]&amp;Tableau14[[#This Row],[CL]],[1]Grille_Tarifs_Modulable!$C$2:$C$204&amp;[1]Grille_Tarifs_Modulable!$F$2:$F$204,0)),0)</f>
        <v>4067700013859</v>
      </c>
      <c r="L592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12.532563499999998</v>
      </c>
      <c r="M592" s="228">
        <f>IF(Tableau14[[#This Row],[Prix_Unit_HT]]=0,0,Tableau14[[#This Row],[Prix_Unit_HT]]+(Tableau14[[#This Row],[Prix_Unit_HT]]*VLOOKUP(Tableau14[[#This Row],[EAN]],[1]Grille_Tarifs_Modulable!$B$10:$Q$204,16,FALSE)))</f>
        <v>15.039076199999998</v>
      </c>
      <c r="N592" s="224">
        <v>132</v>
      </c>
      <c r="O592" s="228">
        <f>ROUND(Tableau14[[#This Row],[Prix_Unit_HT]],2)*Tableau14[[#This Row],[Qte_commande]]</f>
        <v>1653.9599999999998</v>
      </c>
      <c r="P592" s="228">
        <f>ROUND(Tableau14[[#This Row],[Prix_Unit_TTC]],2)*Tableau14[[#This Row],[Qte_commande]]</f>
        <v>1985.28</v>
      </c>
      <c r="Q592" s="224">
        <v>132</v>
      </c>
      <c r="R592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132.00000000000003</v>
      </c>
      <c r="U592" s="224"/>
      <c r="V592" s="224"/>
    </row>
    <row r="593" spans="1:22" ht="14.65" customHeight="1" x14ac:dyDescent="0.2">
      <c r="A593" s="225">
        <v>43059</v>
      </c>
      <c r="B593" s="224" t="s">
        <v>312</v>
      </c>
      <c r="C593" s="224" t="s">
        <v>308</v>
      </c>
      <c r="D593" s="224" t="s">
        <v>309</v>
      </c>
      <c r="E593" s="226"/>
      <c r="G593" s="224" t="s">
        <v>1</v>
      </c>
      <c r="H593" s="224" t="s">
        <v>289</v>
      </c>
      <c r="I593" s="224" t="s">
        <v>22</v>
      </c>
      <c r="J593" s="224">
        <v>70</v>
      </c>
      <c r="K593" s="227">
        <f t="array" ref="K593">IFERROR(INDEX([1]Grille_Tarifs_Modulable!$B$2:$B$204,MATCH(Tableau14[[#This Row],[Designation]]&amp;Tableau14[[#This Row],[CL]],[1]Grille_Tarifs_Modulable!$C$2:$C$204&amp;[1]Grille_Tarifs_Modulable!$F$2:$F$204,0)),0)</f>
        <v>4055800060200</v>
      </c>
      <c r="L593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17.408644000000002</v>
      </c>
      <c r="M593" s="228">
        <f>IF(Tableau14[[#This Row],[Prix_Unit_HT]]=0,0,Tableau14[[#This Row],[Prix_Unit_HT]]+(Tableau14[[#This Row],[Prix_Unit_HT]]*VLOOKUP(Tableau14[[#This Row],[EAN]],[1]Grille_Tarifs_Modulable!$B$10:$Q$204,16,FALSE)))</f>
        <v>20.890372800000002</v>
      </c>
      <c r="N593" s="224">
        <v>6</v>
      </c>
      <c r="O593" s="228">
        <f>ROUND(Tableau14[[#This Row],[Prix_Unit_HT]],2)*Tableau14[[#This Row],[Qte_commande]]</f>
        <v>104.46000000000001</v>
      </c>
      <c r="P593" s="228">
        <f>ROUND(Tableau14[[#This Row],[Prix_Unit_TTC]],2)*Tableau14[[#This Row],[Qte_commande]]</f>
        <v>125.34</v>
      </c>
      <c r="Q593" s="224">
        <v>6</v>
      </c>
      <c r="R593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6.0000000000000009</v>
      </c>
      <c r="U593" s="224"/>
      <c r="V593" s="224"/>
    </row>
    <row r="594" spans="1:22" ht="14.65" customHeight="1" x14ac:dyDescent="0.2">
      <c r="A594" s="225">
        <v>43059</v>
      </c>
      <c r="B594" s="224" t="s">
        <v>312</v>
      </c>
      <c r="C594" s="224" t="s">
        <v>308</v>
      </c>
      <c r="D594" s="224" t="s">
        <v>309</v>
      </c>
      <c r="E594" s="226"/>
      <c r="G594" s="224" t="s">
        <v>1</v>
      </c>
      <c r="H594" s="224" t="s">
        <v>289</v>
      </c>
      <c r="I594" s="224" t="s">
        <v>15</v>
      </c>
      <c r="J594" s="224">
        <v>100</v>
      </c>
      <c r="K594" s="227">
        <f t="array" ref="K594">IFERROR(INDEX([1]Grille_Tarifs_Modulable!$B$2:$B$204,MATCH(Tableau14[[#This Row],[Designation]]&amp;Tableau14[[#This Row],[CL]],[1]Grille_Tarifs_Modulable!$C$2:$C$204&amp;[1]Grille_Tarifs_Modulable!$F$2:$F$204,0)),0)</f>
        <v>4067700013842</v>
      </c>
      <c r="L594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17.100804999999998</v>
      </c>
      <c r="M594" s="228">
        <f>IF(Tableau14[[#This Row],[Prix_Unit_HT]]=0,0,Tableau14[[#This Row],[Prix_Unit_HT]]+(Tableau14[[#This Row],[Prix_Unit_HT]]*VLOOKUP(Tableau14[[#This Row],[EAN]],[1]Grille_Tarifs_Modulable!$B$10:$Q$204,16,FALSE)))</f>
        <v>20.520965999999998</v>
      </c>
      <c r="N594" s="224">
        <v>150</v>
      </c>
      <c r="O594" s="228">
        <f>ROUND(Tableau14[[#This Row],[Prix_Unit_HT]],2)*Tableau14[[#This Row],[Qte_commande]]</f>
        <v>2565</v>
      </c>
      <c r="P594" s="228">
        <f>ROUND(Tableau14[[#This Row],[Prix_Unit_TTC]],2)*Tableau14[[#This Row],[Qte_commande]]</f>
        <v>3078</v>
      </c>
      <c r="Q594" s="224">
        <v>214.29</v>
      </c>
      <c r="R594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214.28571428571431</v>
      </c>
      <c r="U594" s="224"/>
      <c r="V594" s="224"/>
    </row>
    <row r="595" spans="1:22" ht="14.65" customHeight="1" x14ac:dyDescent="0.2">
      <c r="A595" s="225">
        <v>43059</v>
      </c>
      <c r="B595" s="224" t="s">
        <v>312</v>
      </c>
      <c r="C595" s="224" t="s">
        <v>308</v>
      </c>
      <c r="D595" s="224" t="s">
        <v>309</v>
      </c>
      <c r="E595" s="226"/>
      <c r="G595" s="224" t="s">
        <v>1</v>
      </c>
      <c r="H595" s="224" t="s">
        <v>196</v>
      </c>
      <c r="I595" s="224" t="s">
        <v>66</v>
      </c>
      <c r="J595" s="224">
        <v>50</v>
      </c>
      <c r="K595" s="227">
        <f t="array" ref="K595">IFERROR(INDEX([1]Grille_Tarifs_Modulable!$B$2:$B$204,MATCH(Tableau14[[#This Row],[Designation]]&amp;Tableau14[[#This Row],[CL]],[1]Grille_Tarifs_Modulable!$C$2:$C$204&amp;[1]Grille_Tarifs_Modulable!$F$2:$F$204,0)),0)</f>
        <v>4260310553382</v>
      </c>
      <c r="L595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</v>
      </c>
      <c r="M595" s="228">
        <f>IF(Tableau14[[#This Row],[Prix_Unit_HT]]=0,0,Tableau14[[#This Row],[Prix_Unit_HT]]+(Tableau14[[#This Row],[Prix_Unit_HT]]*VLOOKUP(Tableau14[[#This Row],[EAN]],[1]Grille_Tarifs_Modulable!$B$10:$Q$204,16,FALSE)))</f>
        <v>1.0549999999999999</v>
      </c>
      <c r="N595" s="224">
        <v>80</v>
      </c>
      <c r="O595" s="228">
        <f>ROUND(Tableau14[[#This Row],[Prix_Unit_HT]],2)*Tableau14[[#This Row],[Qte_commande]]</f>
        <v>80</v>
      </c>
      <c r="P595" s="228">
        <f>ROUND(Tableau14[[#This Row],[Prix_Unit_TTC]],2)*Tableau14[[#This Row],[Qte_commande]]</f>
        <v>84.800000000000011</v>
      </c>
      <c r="Q595" s="224">
        <v>57.14</v>
      </c>
      <c r="R595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57.142857142857146</v>
      </c>
      <c r="U595" s="224"/>
      <c r="V595" s="224"/>
    </row>
    <row r="596" spans="1:22" ht="14.65" customHeight="1" x14ac:dyDescent="0.2">
      <c r="A596" s="225">
        <v>43059</v>
      </c>
      <c r="B596" s="224" t="s">
        <v>312</v>
      </c>
      <c r="C596" s="224" t="s">
        <v>308</v>
      </c>
      <c r="D596" s="224" t="s">
        <v>309</v>
      </c>
      <c r="E596" s="226"/>
      <c r="G596" s="224" t="s">
        <v>1</v>
      </c>
      <c r="H596" s="224" t="s">
        <v>289</v>
      </c>
      <c r="I596" s="224" t="s">
        <v>30</v>
      </c>
      <c r="J596" s="224">
        <v>70</v>
      </c>
      <c r="K596" s="227">
        <f t="array" ref="K596">IFERROR(INDEX([1]Grille_Tarifs_Modulable!$B$2:$B$204,MATCH(Tableau14[[#This Row],[Designation]]&amp;Tableau14[[#This Row],[CL]],[1]Grille_Tarifs_Modulable!$C$2:$C$204&amp;[1]Grille_Tarifs_Modulable!$F$2:$F$204,0)),0)</f>
        <v>3257150101904</v>
      </c>
      <c r="L596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16.346482999999999</v>
      </c>
      <c r="M596" s="228">
        <f>IF(Tableau14[[#This Row],[Prix_Unit_HT]]=0,0,Tableau14[[#This Row],[Prix_Unit_HT]]+(Tableau14[[#This Row],[Prix_Unit_HT]]*VLOOKUP(Tableau14[[#This Row],[EAN]],[1]Grille_Tarifs_Modulable!$B$10:$Q$204,16,FALSE)))</f>
        <v>19.6157796</v>
      </c>
      <c r="N596" s="224">
        <v>1</v>
      </c>
      <c r="O596" s="228">
        <f>ROUND(Tableau14[[#This Row],[Prix_Unit_HT]],2)*Tableau14[[#This Row],[Qte_commande]]</f>
        <v>16.350000000000001</v>
      </c>
      <c r="P596" s="228">
        <f>ROUND(Tableau14[[#This Row],[Prix_Unit_TTC]],2)*Tableau14[[#This Row],[Qte_commande]]</f>
        <v>19.62</v>
      </c>
      <c r="Q596" s="224">
        <v>1</v>
      </c>
      <c r="R596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</v>
      </c>
      <c r="U596" s="224"/>
      <c r="V596" s="224"/>
    </row>
    <row r="597" spans="1:22" ht="14.65" customHeight="1" x14ac:dyDescent="0.2">
      <c r="A597" s="225">
        <v>43059</v>
      </c>
      <c r="B597" s="224" t="s">
        <v>312</v>
      </c>
      <c r="C597" s="224" t="s">
        <v>308</v>
      </c>
      <c r="D597" s="224" t="s">
        <v>309</v>
      </c>
      <c r="E597" s="226"/>
      <c r="G597" s="224" t="s">
        <v>1</v>
      </c>
      <c r="H597" s="224" t="s">
        <v>289</v>
      </c>
      <c r="I597" s="224" t="s">
        <v>32</v>
      </c>
      <c r="J597" s="224">
        <v>70</v>
      </c>
      <c r="K597" s="227">
        <f t="array" ref="K597">IFERROR(INDEX([1]Grille_Tarifs_Modulable!$B$2:$B$204,MATCH(Tableau14[[#This Row],[Designation]]&amp;Tableau14[[#This Row],[CL]],[1]Grille_Tarifs_Modulable!$C$2:$C$204&amp;[1]Grille_Tarifs_Modulable!$F$2:$F$204,0)),0)</f>
        <v>3257150100228</v>
      </c>
      <c r="L597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19.998643999999999</v>
      </c>
      <c r="M597" s="228">
        <f>IF(Tableau14[[#This Row],[Prix_Unit_HT]]=0,0,Tableau14[[#This Row],[Prix_Unit_HT]]+(Tableau14[[#This Row],[Prix_Unit_HT]]*VLOOKUP(Tableau14[[#This Row],[EAN]],[1]Grille_Tarifs_Modulable!$B$10:$Q$204,16,FALSE)))</f>
        <v>23.998372799999999</v>
      </c>
      <c r="N597" s="224">
        <v>1</v>
      </c>
      <c r="O597" s="228">
        <f>ROUND(Tableau14[[#This Row],[Prix_Unit_HT]],2)*Tableau14[[#This Row],[Qte_commande]]</f>
        <v>20</v>
      </c>
      <c r="P597" s="228">
        <f>ROUND(Tableau14[[#This Row],[Prix_Unit_TTC]],2)*Tableau14[[#This Row],[Qte_commande]]</f>
        <v>24</v>
      </c>
      <c r="Q597" s="224">
        <v>1</v>
      </c>
      <c r="R597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</v>
      </c>
      <c r="U597" s="224"/>
      <c r="V597" s="224"/>
    </row>
    <row r="598" spans="1:22" ht="14.65" customHeight="1" x14ac:dyDescent="0.2">
      <c r="A598" s="225">
        <v>43059</v>
      </c>
      <c r="B598" s="224" t="s">
        <v>312</v>
      </c>
      <c r="C598" s="224" t="s">
        <v>308</v>
      </c>
      <c r="D598" s="224" t="s">
        <v>309</v>
      </c>
      <c r="E598" s="226"/>
      <c r="G598" s="224" t="s">
        <v>1</v>
      </c>
      <c r="H598" s="224" t="s">
        <v>289</v>
      </c>
      <c r="I598" s="224" t="s">
        <v>31</v>
      </c>
      <c r="J598" s="224">
        <v>70</v>
      </c>
      <c r="K598" s="227">
        <f t="array" ref="K598">IFERROR(INDEX([1]Grille_Tarifs_Modulable!$B$2:$B$204,MATCH(Tableau14[[#This Row],[Designation]]&amp;Tableau14[[#This Row],[CL]],[1]Grille_Tarifs_Modulable!$C$2:$C$204&amp;[1]Grille_Tarifs_Modulable!$F$2:$F$204,0)),0)</f>
        <v>3257150102017</v>
      </c>
      <c r="L598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14.694322</v>
      </c>
      <c r="M598" s="228">
        <f>IF(Tableau14[[#This Row],[Prix_Unit_HT]]=0,0,Tableau14[[#This Row],[Prix_Unit_HT]]+(Tableau14[[#This Row],[Prix_Unit_HT]]*VLOOKUP(Tableau14[[#This Row],[EAN]],[1]Grille_Tarifs_Modulable!$B$10:$Q$204,16,FALSE)))</f>
        <v>17.6331864</v>
      </c>
      <c r="N598" s="224">
        <v>1</v>
      </c>
      <c r="O598" s="228">
        <f>ROUND(Tableau14[[#This Row],[Prix_Unit_HT]],2)*Tableau14[[#This Row],[Qte_commande]]</f>
        <v>14.69</v>
      </c>
      <c r="P598" s="228">
        <f>ROUND(Tableau14[[#This Row],[Prix_Unit_TTC]],2)*Tableau14[[#This Row],[Qte_commande]]</f>
        <v>17.63</v>
      </c>
      <c r="Q598" s="224">
        <v>1</v>
      </c>
      <c r="R598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</v>
      </c>
      <c r="U598" s="224"/>
      <c r="V598" s="224"/>
    </row>
    <row r="599" spans="1:22" ht="14.65" customHeight="1" x14ac:dyDescent="0.2">
      <c r="A599" s="225">
        <v>43060</v>
      </c>
      <c r="B599" s="224" t="s">
        <v>925</v>
      </c>
      <c r="C599" s="224" t="s">
        <v>159</v>
      </c>
      <c r="D599" s="224" t="s">
        <v>209</v>
      </c>
      <c r="E599" s="226"/>
      <c r="G599" s="224" t="s">
        <v>1</v>
      </c>
      <c r="H599" s="224" t="s">
        <v>289</v>
      </c>
      <c r="I599" s="224" t="s">
        <v>25</v>
      </c>
      <c r="J599" s="224">
        <v>100</v>
      </c>
      <c r="K599" s="227">
        <f t="array" ref="K599">IFERROR(INDEX([1]Grille_Tarifs_Modulable!$B$2:$B$204,MATCH(Tableau14[[#This Row],[Designation]]&amp;Tableau14[[#This Row],[CL]],[1]Grille_Tarifs_Modulable!$C$2:$C$204&amp;[1]Grille_Tarifs_Modulable!$F$2:$F$204,0)),0)</f>
        <v>3257150410167</v>
      </c>
      <c r="L599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15.778874</v>
      </c>
      <c r="M599" s="228">
        <f>IF(Tableau14[[#This Row],[Prix_Unit_HT]]=0,0,Tableau14[[#This Row],[Prix_Unit_HT]]+(Tableau14[[#This Row],[Prix_Unit_HT]]*VLOOKUP(Tableau14[[#This Row],[EAN]],[1]Grille_Tarifs_Modulable!$B$10:$Q$204,16,FALSE)))</f>
        <v>18.934648800000002</v>
      </c>
      <c r="N599" s="224">
        <v>60</v>
      </c>
      <c r="O599" s="228">
        <f>ROUND(Tableau14[[#This Row],[Prix_Unit_HT]],2)*Tableau14[[#This Row],[Qte_commande]]</f>
        <v>946.8</v>
      </c>
      <c r="P599" s="228">
        <f>ROUND(Tableau14[[#This Row],[Prix_Unit_TTC]],2)*Tableau14[[#This Row],[Qte_commande]]</f>
        <v>1135.8</v>
      </c>
      <c r="Q599" s="224">
        <v>85.71</v>
      </c>
      <c r="R599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85.714285714285722</v>
      </c>
      <c r="U599" s="224"/>
      <c r="V599" s="224"/>
    </row>
    <row r="600" spans="1:22" ht="14.65" customHeight="1" x14ac:dyDescent="0.2">
      <c r="A600" s="225">
        <v>43062</v>
      </c>
      <c r="B600" s="224" t="s">
        <v>632</v>
      </c>
      <c r="C600" s="224" t="s">
        <v>194</v>
      </c>
      <c r="D600" s="224" t="s">
        <v>343</v>
      </c>
      <c r="E600" s="226"/>
      <c r="G600" s="224" t="s">
        <v>1</v>
      </c>
      <c r="H600" s="224" t="s">
        <v>289</v>
      </c>
      <c r="I600" s="224" t="s">
        <v>15</v>
      </c>
      <c r="J600" s="224">
        <v>175</v>
      </c>
      <c r="K600" s="227">
        <f t="array" ref="K600">IFERROR(INDEX([1]Grille_Tarifs_Modulable!$B$2:$B$204,MATCH(Tableau14[[#This Row],[Designation]]&amp;Tableau14[[#This Row],[CL]],[1]Grille_Tarifs_Modulable!$C$2:$C$204&amp;[1]Grille_Tarifs_Modulable!$F$2:$F$204,0)),0)</f>
        <v>4067700013835</v>
      </c>
      <c r="L600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28.916408750000002</v>
      </c>
      <c r="M600" s="228">
        <f>IF(Tableau14[[#This Row],[Prix_Unit_HT]]=0,0,Tableau14[[#This Row],[Prix_Unit_HT]]+(Tableau14[[#This Row],[Prix_Unit_HT]]*VLOOKUP(Tableau14[[#This Row],[EAN]],[1]Grille_Tarifs_Modulable!$B$10:$Q$204,16,FALSE)))</f>
        <v>34.699690500000003</v>
      </c>
      <c r="N600" s="224">
        <v>72</v>
      </c>
      <c r="O600" s="228">
        <f>ROUND(Tableau14[[#This Row],[Prix_Unit_HT]],2)*Tableau14[[#This Row],[Qte_commande]]</f>
        <v>2082.2400000000002</v>
      </c>
      <c r="P600" s="228">
        <f>ROUND(Tableau14[[#This Row],[Prix_Unit_TTC]],2)*Tableau14[[#This Row],[Qte_commande]]</f>
        <v>2498.4</v>
      </c>
      <c r="Q600" s="224">
        <v>180</v>
      </c>
      <c r="R600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180</v>
      </c>
      <c r="U600" s="224"/>
      <c r="V600" s="224"/>
    </row>
    <row r="601" spans="1:22" ht="14.65" customHeight="1" x14ac:dyDescent="0.2">
      <c r="A601" s="225">
        <v>43067</v>
      </c>
      <c r="B601" s="224" t="s">
        <v>355</v>
      </c>
      <c r="C601" s="224" t="s">
        <v>211</v>
      </c>
      <c r="D601" s="224" t="s">
        <v>212</v>
      </c>
      <c r="E601" s="226"/>
      <c r="G601" s="224" t="s">
        <v>1</v>
      </c>
      <c r="H601" s="224" t="s">
        <v>196</v>
      </c>
      <c r="I601" s="224" t="s">
        <v>65</v>
      </c>
      <c r="J601" s="224">
        <v>20</v>
      </c>
      <c r="K601" s="227">
        <f t="array" ref="K601">IFERROR(INDEX([1]Grille_Tarifs_Modulable!$B$2:$B$204,MATCH(Tableau14[[#This Row],[Designation]]&amp;Tableau14[[#This Row],[CL]],[1]Grille_Tarifs_Modulable!$C$2:$C$204&amp;[1]Grille_Tarifs_Modulable!$F$2:$F$204,0)),0)</f>
        <v>4260310553863</v>
      </c>
      <c r="L601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0.81</v>
      </c>
      <c r="M601" s="228">
        <f>IF(Tableau14[[#This Row],[Prix_Unit_HT]]=0,0,Tableau14[[#This Row],[Prix_Unit_HT]]+(Tableau14[[#This Row],[Prix_Unit_HT]]*VLOOKUP(Tableau14[[#This Row],[EAN]],[1]Grille_Tarifs_Modulable!$B$10:$Q$204,16,FALSE)))</f>
        <v>0.85455000000000003</v>
      </c>
      <c r="N601" s="224">
        <v>72</v>
      </c>
      <c r="O601" s="228">
        <f>ROUND(Tableau14[[#This Row],[Prix_Unit_HT]],2)*Tableau14[[#This Row],[Qte_commande]]</f>
        <v>58.320000000000007</v>
      </c>
      <c r="P601" s="228">
        <f>ROUND(Tableau14[[#This Row],[Prix_Unit_TTC]],2)*Tableau14[[#This Row],[Qte_commande]]</f>
        <v>61.199999999999996</v>
      </c>
      <c r="Q601" s="224">
        <v>20.57</v>
      </c>
      <c r="R601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20.571428571428573</v>
      </c>
      <c r="U601" s="224"/>
      <c r="V601" s="224"/>
    </row>
    <row r="602" spans="1:22" ht="14.65" customHeight="1" x14ac:dyDescent="0.2">
      <c r="A602" s="225">
        <v>43067</v>
      </c>
      <c r="B602" s="224" t="s">
        <v>355</v>
      </c>
      <c r="C602" s="224" t="s">
        <v>211</v>
      </c>
      <c r="D602" s="224" t="s">
        <v>212</v>
      </c>
      <c r="E602" s="226"/>
      <c r="G602" s="224" t="s">
        <v>1</v>
      </c>
      <c r="H602" s="224" t="s">
        <v>196</v>
      </c>
      <c r="I602" s="224" t="s">
        <v>60</v>
      </c>
      <c r="J602" s="224">
        <v>20</v>
      </c>
      <c r="K602" s="227">
        <f t="array" ref="K602">IFERROR(INDEX([1]Grille_Tarifs_Modulable!$B$2:$B$204,MATCH(Tableau14[[#This Row],[Designation]]&amp;Tableau14[[#This Row],[CL]],[1]Grille_Tarifs_Modulable!$C$2:$C$204&amp;[1]Grille_Tarifs_Modulable!$F$2:$F$204,0)),0)</f>
        <v>4260310553832</v>
      </c>
      <c r="L602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0.81</v>
      </c>
      <c r="M602" s="228">
        <f>IF(Tableau14[[#This Row],[Prix_Unit_HT]]=0,0,Tableau14[[#This Row],[Prix_Unit_HT]]+(Tableau14[[#This Row],[Prix_Unit_HT]]*VLOOKUP(Tableau14[[#This Row],[EAN]],[1]Grille_Tarifs_Modulable!$B$10:$Q$204,16,FALSE)))</f>
        <v>0.85455000000000003</v>
      </c>
      <c r="N602" s="224">
        <v>240</v>
      </c>
      <c r="O602" s="228">
        <f>ROUND(Tableau14[[#This Row],[Prix_Unit_HT]],2)*Tableau14[[#This Row],[Qte_commande]]</f>
        <v>194.4</v>
      </c>
      <c r="P602" s="228">
        <f>ROUND(Tableau14[[#This Row],[Prix_Unit_TTC]],2)*Tableau14[[#This Row],[Qte_commande]]</f>
        <v>204</v>
      </c>
      <c r="Q602" s="224">
        <v>68.569999999999993</v>
      </c>
      <c r="R602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68.571428571428569</v>
      </c>
      <c r="U602" s="224"/>
      <c r="V602" s="224"/>
    </row>
    <row r="603" spans="1:22" ht="14.65" customHeight="1" x14ac:dyDescent="0.2">
      <c r="A603" s="225">
        <v>43067</v>
      </c>
      <c r="B603" s="224" t="s">
        <v>633</v>
      </c>
      <c r="C603" s="224" t="s">
        <v>530</v>
      </c>
      <c r="D603" s="224" t="s">
        <v>531</v>
      </c>
      <c r="E603" s="226"/>
      <c r="G603" s="224" t="s">
        <v>1</v>
      </c>
      <c r="H603" s="224" t="s">
        <v>289</v>
      </c>
      <c r="I603" s="224" t="s">
        <v>15</v>
      </c>
      <c r="J603" s="224">
        <v>70</v>
      </c>
      <c r="K603" s="227">
        <f t="array" ref="K603">IFERROR(INDEX([1]Grille_Tarifs_Modulable!$B$2:$B$204,MATCH(Tableau14[[#This Row],[Designation]]&amp;Tableau14[[#This Row],[CL]],[1]Grille_Tarifs_Modulable!$C$2:$C$204&amp;[1]Grille_Tarifs_Modulable!$F$2:$F$204,0)),0)</f>
        <v>4067700013859</v>
      </c>
      <c r="L603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12.532563499999998</v>
      </c>
      <c r="M603" s="228">
        <f>IF(Tableau14[[#This Row],[Prix_Unit_HT]]=0,0,Tableau14[[#This Row],[Prix_Unit_HT]]+(Tableau14[[#This Row],[Prix_Unit_HT]]*VLOOKUP(Tableau14[[#This Row],[EAN]],[1]Grille_Tarifs_Modulable!$B$10:$Q$204,16,FALSE)))</f>
        <v>15.039076199999998</v>
      </c>
      <c r="N603" s="224">
        <v>150</v>
      </c>
      <c r="O603" s="228">
        <f>ROUND(Tableau14[[#This Row],[Prix_Unit_HT]],2)*Tableau14[[#This Row],[Qte_commande]]</f>
        <v>1879.5</v>
      </c>
      <c r="P603" s="228">
        <f>ROUND(Tableau14[[#This Row],[Prix_Unit_TTC]],2)*Tableau14[[#This Row],[Qte_commande]]</f>
        <v>2256</v>
      </c>
      <c r="Q603" s="224">
        <v>150</v>
      </c>
      <c r="R603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150</v>
      </c>
      <c r="U603" s="224"/>
      <c r="V603" s="224"/>
    </row>
    <row r="604" spans="1:22" ht="14.65" customHeight="1" x14ac:dyDescent="0.2">
      <c r="A604" s="225">
        <v>43067</v>
      </c>
      <c r="B604" s="224" t="s">
        <v>355</v>
      </c>
      <c r="C604" s="224" t="s">
        <v>211</v>
      </c>
      <c r="D604" s="224" t="s">
        <v>212</v>
      </c>
      <c r="E604" s="226"/>
      <c r="G604" s="224" t="s">
        <v>1</v>
      </c>
      <c r="H604" s="224" t="s">
        <v>289</v>
      </c>
      <c r="I604" s="224" t="s">
        <v>20</v>
      </c>
      <c r="J604" s="224">
        <v>70</v>
      </c>
      <c r="K604" s="227">
        <f t="array" ref="K604">IFERROR(INDEX([1]Grille_Tarifs_Modulable!$B$2:$B$204,MATCH(Tableau14[[#This Row],[Designation]]&amp;Tableau14[[#This Row],[CL]],[1]Grille_Tarifs_Modulable!$C$2:$C$204&amp;[1]Grille_Tarifs_Modulable!$F$2:$F$204,0)),0)</f>
        <v>8017450002104</v>
      </c>
      <c r="L604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14.266482999999999</v>
      </c>
      <c r="M604" s="228">
        <f>IF(Tableau14[[#This Row],[Prix_Unit_HT]]=0,0,Tableau14[[#This Row],[Prix_Unit_HT]]+(Tableau14[[#This Row],[Prix_Unit_HT]]*VLOOKUP(Tableau14[[#This Row],[EAN]],[1]Grille_Tarifs_Modulable!$B$10:$Q$204,16,FALSE)))</f>
        <v>17.119779600000001</v>
      </c>
      <c r="N604" s="224">
        <v>12</v>
      </c>
      <c r="O604" s="228">
        <f>ROUND(Tableau14[[#This Row],[Prix_Unit_HT]],2)*Tableau14[[#This Row],[Qte_commande]]</f>
        <v>171.24</v>
      </c>
      <c r="P604" s="228">
        <f>ROUND(Tableau14[[#This Row],[Prix_Unit_TTC]],2)*Tableau14[[#This Row],[Qte_commande]]</f>
        <v>205.44</v>
      </c>
      <c r="Q604" s="224">
        <v>12</v>
      </c>
      <c r="R604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12.000000000000002</v>
      </c>
      <c r="U604" s="224"/>
      <c r="V604" s="224"/>
    </row>
    <row r="605" spans="1:22" ht="14.65" customHeight="1" x14ac:dyDescent="0.2">
      <c r="A605" s="225">
        <v>43067</v>
      </c>
      <c r="B605" s="224" t="s">
        <v>355</v>
      </c>
      <c r="C605" s="224" t="s">
        <v>211</v>
      </c>
      <c r="D605" s="224" t="s">
        <v>212</v>
      </c>
      <c r="E605" s="226"/>
      <c r="G605" s="224" t="s">
        <v>1</v>
      </c>
      <c r="H605" s="224" t="s">
        <v>289</v>
      </c>
      <c r="I605" s="224" t="s">
        <v>44</v>
      </c>
      <c r="J605" s="224">
        <v>50</v>
      </c>
      <c r="K605" s="227">
        <f t="array" ref="K605">IFERROR(INDEX([1]Grille_Tarifs_Modulable!$B$2:$B$204,MATCH(Tableau14[[#This Row],[Designation]]&amp;Tableau14[[#This Row],[CL]],[1]Grille_Tarifs_Modulable!$C$2:$C$204&amp;[1]Grille_Tarifs_Modulable!$F$2:$F$204,0)),0)</f>
        <v>4260270192645</v>
      </c>
      <c r="L605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25.192506000000002</v>
      </c>
      <c r="M605" s="228">
        <f>IF(Tableau14[[#This Row],[Prix_Unit_HT]]=0,0,Tableau14[[#This Row],[Prix_Unit_HT]]+(Tableau14[[#This Row],[Prix_Unit_HT]]*VLOOKUP(Tableau14[[#This Row],[EAN]],[1]Grille_Tarifs_Modulable!$B$10:$Q$204,16,FALSE)))</f>
        <v>30.231007200000001</v>
      </c>
      <c r="N605" s="224">
        <v>6</v>
      </c>
      <c r="O605" s="228">
        <f>ROUND(Tableau14[[#This Row],[Prix_Unit_HT]],2)*Tableau14[[#This Row],[Qte_commande]]</f>
        <v>151.14000000000001</v>
      </c>
      <c r="P605" s="228">
        <f>ROUND(Tableau14[[#This Row],[Prix_Unit_TTC]],2)*Tableau14[[#This Row],[Qte_commande]]</f>
        <v>181.38</v>
      </c>
      <c r="Q605" s="224">
        <v>4.29</v>
      </c>
      <c r="R605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4.2857142857142856</v>
      </c>
      <c r="U605" s="224"/>
      <c r="V605" s="224"/>
    </row>
    <row r="606" spans="1:22" ht="14.65" customHeight="1" x14ac:dyDescent="0.2">
      <c r="A606" s="225">
        <v>43067</v>
      </c>
      <c r="B606" s="224" t="s">
        <v>355</v>
      </c>
      <c r="C606" s="224" t="s">
        <v>211</v>
      </c>
      <c r="D606" s="224" t="s">
        <v>212</v>
      </c>
      <c r="E606" s="226"/>
      <c r="G606" s="224" t="s">
        <v>1</v>
      </c>
      <c r="H606" s="224" t="s">
        <v>289</v>
      </c>
      <c r="I606" s="224" t="s">
        <v>26</v>
      </c>
      <c r="J606" s="224">
        <v>70</v>
      </c>
      <c r="K606" s="227">
        <f t="array" ref="K606">IFERROR(INDEX([1]Grille_Tarifs_Modulable!$B$2:$B$204,MATCH(Tableau14[[#This Row],[Designation]]&amp;Tableau14[[#This Row],[CL]],[1]Grille_Tarifs_Modulable!$C$2:$C$204&amp;[1]Grille_Tarifs_Modulable!$F$2:$F$204,0)),0)</f>
        <v>8500000916445</v>
      </c>
      <c r="L606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37.408644000000002</v>
      </c>
      <c r="M606" s="228">
        <f>IF(Tableau14[[#This Row],[Prix_Unit_HT]]=0,0,Tableau14[[#This Row],[Prix_Unit_HT]]+(Tableau14[[#This Row],[Prix_Unit_HT]]*VLOOKUP(Tableau14[[#This Row],[EAN]],[1]Grille_Tarifs_Modulable!$B$10:$Q$204,16,FALSE)))</f>
        <v>44.890372800000002</v>
      </c>
      <c r="N606" s="224">
        <v>6</v>
      </c>
      <c r="O606" s="228">
        <f>ROUND(Tableau14[[#This Row],[Prix_Unit_HT]],2)*Tableau14[[#This Row],[Qte_commande]]</f>
        <v>224.45999999999998</v>
      </c>
      <c r="P606" s="228">
        <f>ROUND(Tableau14[[#This Row],[Prix_Unit_TTC]],2)*Tableau14[[#This Row],[Qte_commande]]</f>
        <v>269.34000000000003</v>
      </c>
      <c r="Q606" s="224">
        <v>6</v>
      </c>
      <c r="R606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6.0000000000000009</v>
      </c>
      <c r="U606" s="224"/>
      <c r="V606" s="224"/>
    </row>
    <row r="607" spans="1:22" ht="14.65" customHeight="1" x14ac:dyDescent="0.2">
      <c r="A607" s="225">
        <v>43067</v>
      </c>
      <c r="B607" s="224" t="s">
        <v>355</v>
      </c>
      <c r="C607" s="224" t="s">
        <v>211</v>
      </c>
      <c r="D607" s="224" t="s">
        <v>212</v>
      </c>
      <c r="E607" s="226"/>
      <c r="G607" s="224" t="s">
        <v>1</v>
      </c>
      <c r="H607" s="224" t="s">
        <v>196</v>
      </c>
      <c r="I607" s="224" t="s">
        <v>59</v>
      </c>
      <c r="J607" s="224">
        <v>20</v>
      </c>
      <c r="K607" s="227">
        <f t="array" ref="K607">IFERROR(INDEX([1]Grille_Tarifs_Modulable!$B$2:$B$204,MATCH(Tableau14[[#This Row],[Designation]]&amp;Tableau14[[#This Row],[CL]],[1]Grille_Tarifs_Modulable!$C$2:$C$204&amp;[1]Grille_Tarifs_Modulable!$F$2:$F$204,0)),0)</f>
        <v>4260310553818</v>
      </c>
      <c r="L607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0.81</v>
      </c>
      <c r="M607" s="228">
        <f>IF(Tableau14[[#This Row],[Prix_Unit_HT]]=0,0,Tableau14[[#This Row],[Prix_Unit_HT]]+(Tableau14[[#This Row],[Prix_Unit_HT]]*VLOOKUP(Tableau14[[#This Row],[EAN]],[1]Grille_Tarifs_Modulable!$B$10:$Q$204,16,FALSE)))</f>
        <v>0.85455000000000003</v>
      </c>
      <c r="N607" s="224">
        <v>72</v>
      </c>
      <c r="O607" s="228">
        <f>ROUND(Tableau14[[#This Row],[Prix_Unit_HT]],2)*Tableau14[[#This Row],[Qte_commande]]</f>
        <v>58.320000000000007</v>
      </c>
      <c r="P607" s="228">
        <f>ROUND(Tableau14[[#This Row],[Prix_Unit_TTC]],2)*Tableau14[[#This Row],[Qte_commande]]</f>
        <v>61.199999999999996</v>
      </c>
      <c r="Q607" s="224">
        <v>20.57</v>
      </c>
      <c r="R607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20.571428571428573</v>
      </c>
      <c r="U607" s="224"/>
      <c r="V607" s="224"/>
    </row>
    <row r="608" spans="1:22" ht="14.65" customHeight="1" x14ac:dyDescent="0.2">
      <c r="A608" s="225">
        <v>43067</v>
      </c>
      <c r="B608" s="224" t="s">
        <v>355</v>
      </c>
      <c r="C608" s="224" t="s">
        <v>211</v>
      </c>
      <c r="D608" s="224" t="s">
        <v>212</v>
      </c>
      <c r="E608" s="226"/>
      <c r="G608" s="224" t="s">
        <v>1</v>
      </c>
      <c r="H608" s="224" t="s">
        <v>289</v>
      </c>
      <c r="I608" s="224" t="s">
        <v>1355</v>
      </c>
      <c r="J608" s="224">
        <v>70</v>
      </c>
      <c r="K608" s="227">
        <f t="array" ref="K608">IFERROR(INDEX([1]Grille_Tarifs_Modulable!$B$2:$B$204,MATCH(Tableau14[[#This Row],[Designation]]&amp;Tableau14[[#This Row],[CL]],[1]Grille_Tarifs_Modulable!$C$2:$C$204&amp;[1]Grille_Tarifs_Modulable!$F$2:$F$204,0)),0)</f>
        <v>0</v>
      </c>
      <c r="L608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</v>
      </c>
      <c r="M608" s="228">
        <f>IF(Tableau14[[#This Row],[Prix_Unit_HT]]=0,0,Tableau14[[#This Row],[Prix_Unit_HT]]+(Tableau14[[#This Row],[Prix_Unit_HT]]*VLOOKUP(Tableau14[[#This Row],[EAN]],[1]Grille_Tarifs_Modulable!$B$10:$Q$204,16,FALSE)))</f>
        <v>0</v>
      </c>
      <c r="N608" s="224">
        <v>18</v>
      </c>
      <c r="O608" s="228">
        <f>ROUND(Tableau14[[#This Row],[Prix_Unit_HT]],2)*Tableau14[[#This Row],[Qte_commande]]</f>
        <v>0</v>
      </c>
      <c r="P608" s="228">
        <f>ROUND(Tableau14[[#This Row],[Prix_Unit_TTC]],2)*Tableau14[[#This Row],[Qte_commande]]</f>
        <v>0</v>
      </c>
      <c r="Q608" s="224">
        <v>18</v>
      </c>
      <c r="R608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18</v>
      </c>
      <c r="U608" s="224"/>
      <c r="V608" s="224"/>
    </row>
    <row r="609" spans="1:22" ht="14.65" customHeight="1" x14ac:dyDescent="0.2">
      <c r="A609" s="225">
        <v>43067</v>
      </c>
      <c r="B609" s="224" t="s">
        <v>355</v>
      </c>
      <c r="C609" s="224" t="s">
        <v>211</v>
      </c>
      <c r="D609" s="224" t="s">
        <v>212</v>
      </c>
      <c r="E609" s="226"/>
      <c r="G609" s="224" t="s">
        <v>1</v>
      </c>
      <c r="H609" s="224" t="s">
        <v>289</v>
      </c>
      <c r="I609" s="224" t="s">
        <v>1357</v>
      </c>
      <c r="J609" s="224">
        <v>70</v>
      </c>
      <c r="K609" s="227">
        <f t="array" ref="K609">IFERROR(INDEX([1]Grille_Tarifs_Modulable!$B$2:$B$204,MATCH(Tableau14[[#This Row],[Designation]]&amp;Tableau14[[#This Row],[CL]],[1]Grille_Tarifs_Modulable!$C$2:$C$204&amp;[1]Grille_Tarifs_Modulable!$F$2:$F$204,0)),0)</f>
        <v>0</v>
      </c>
      <c r="L609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</v>
      </c>
      <c r="M609" s="228">
        <f>IF(Tableau14[[#This Row],[Prix_Unit_HT]]=0,0,Tableau14[[#This Row],[Prix_Unit_HT]]+(Tableau14[[#This Row],[Prix_Unit_HT]]*VLOOKUP(Tableau14[[#This Row],[EAN]],[1]Grille_Tarifs_Modulable!$B$10:$Q$204,16,FALSE)))</f>
        <v>0</v>
      </c>
      <c r="N609" s="224">
        <v>18</v>
      </c>
      <c r="O609" s="228">
        <f>ROUND(Tableau14[[#This Row],[Prix_Unit_HT]],2)*Tableau14[[#This Row],[Qte_commande]]</f>
        <v>0</v>
      </c>
      <c r="P609" s="228">
        <f>ROUND(Tableau14[[#This Row],[Prix_Unit_TTC]],2)*Tableau14[[#This Row],[Qte_commande]]</f>
        <v>0</v>
      </c>
      <c r="Q609" s="224">
        <v>18</v>
      </c>
      <c r="R609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18</v>
      </c>
      <c r="U609" s="224"/>
      <c r="V609" s="224"/>
    </row>
    <row r="610" spans="1:22" ht="14.65" customHeight="1" x14ac:dyDescent="0.2">
      <c r="A610" s="225">
        <v>43069</v>
      </c>
      <c r="B610" s="224" t="s">
        <v>229</v>
      </c>
      <c r="C610" s="224" t="s">
        <v>214</v>
      </c>
      <c r="D610" s="224" t="s">
        <v>215</v>
      </c>
      <c r="E610" s="226"/>
      <c r="G610" s="224" t="s">
        <v>1</v>
      </c>
      <c r="H610" s="224" t="s">
        <v>196</v>
      </c>
      <c r="I610" s="224" t="s">
        <v>62</v>
      </c>
      <c r="J610" s="224">
        <v>20</v>
      </c>
      <c r="K610" s="227">
        <f t="array" ref="K610">IFERROR(INDEX([1]Grille_Tarifs_Modulable!$B$2:$B$204,MATCH(Tableau14[[#This Row],[Designation]]&amp;Tableau14[[#This Row],[CL]],[1]Grille_Tarifs_Modulable!$C$2:$C$204&amp;[1]Grille_Tarifs_Modulable!$F$2:$F$204,0)),0)</f>
        <v>4260310550305</v>
      </c>
      <c r="L610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0.81</v>
      </c>
      <c r="M610" s="228">
        <f>IF(Tableau14[[#This Row],[Prix_Unit_HT]]=0,0,Tableau14[[#This Row],[Prix_Unit_HT]]+(Tableau14[[#This Row],[Prix_Unit_HT]]*VLOOKUP(Tableau14[[#This Row],[EAN]],[1]Grille_Tarifs_Modulable!$B$10:$Q$204,16,FALSE)))</f>
        <v>0.85455000000000003</v>
      </c>
      <c r="N610" s="224">
        <v>72</v>
      </c>
      <c r="O610" s="228">
        <f>ROUND(Tableau14[[#This Row],[Prix_Unit_HT]],2)*Tableau14[[#This Row],[Qte_commande]]</f>
        <v>58.320000000000007</v>
      </c>
      <c r="P610" s="228">
        <f>ROUND(Tableau14[[#This Row],[Prix_Unit_TTC]],2)*Tableau14[[#This Row],[Qte_commande]]</f>
        <v>61.199999999999996</v>
      </c>
      <c r="Q610" s="224">
        <v>20.57</v>
      </c>
      <c r="R610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20.571428571428573</v>
      </c>
      <c r="U610" s="224"/>
      <c r="V610" s="224"/>
    </row>
    <row r="611" spans="1:22" ht="14.65" customHeight="1" x14ac:dyDescent="0.2">
      <c r="A611" s="225">
        <v>43069</v>
      </c>
      <c r="B611" s="224" t="s">
        <v>229</v>
      </c>
      <c r="C611" s="224" t="s">
        <v>214</v>
      </c>
      <c r="D611" s="224" t="s">
        <v>215</v>
      </c>
      <c r="E611" s="226"/>
      <c r="G611" s="224" t="s">
        <v>1</v>
      </c>
      <c r="H611" s="224" t="s">
        <v>196</v>
      </c>
      <c r="I611" s="224" t="s">
        <v>63</v>
      </c>
      <c r="J611" s="224">
        <v>20</v>
      </c>
      <c r="K611" s="227">
        <f t="array" ref="K611">IFERROR(INDEX([1]Grille_Tarifs_Modulable!$B$2:$B$204,MATCH(Tableau14[[#This Row],[Designation]]&amp;Tableau14[[#This Row],[CL]],[1]Grille_Tarifs_Modulable!$C$2:$C$204&amp;[1]Grille_Tarifs_Modulable!$F$2:$F$204,0)),0)</f>
        <v>4260310552941</v>
      </c>
      <c r="L611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0.81</v>
      </c>
      <c r="M611" s="228">
        <f>IF(Tableau14[[#This Row],[Prix_Unit_HT]]=0,0,Tableau14[[#This Row],[Prix_Unit_HT]]+(Tableau14[[#This Row],[Prix_Unit_HT]]*VLOOKUP(Tableau14[[#This Row],[EAN]],[1]Grille_Tarifs_Modulable!$B$10:$Q$204,16,FALSE)))</f>
        <v>0.85455000000000003</v>
      </c>
      <c r="N611" s="224">
        <v>72</v>
      </c>
      <c r="O611" s="228">
        <f>ROUND(Tableau14[[#This Row],[Prix_Unit_HT]],2)*Tableau14[[#This Row],[Qte_commande]]</f>
        <v>58.320000000000007</v>
      </c>
      <c r="P611" s="228">
        <f>ROUND(Tableau14[[#This Row],[Prix_Unit_TTC]],2)*Tableau14[[#This Row],[Qte_commande]]</f>
        <v>61.199999999999996</v>
      </c>
      <c r="Q611" s="224">
        <v>20.57</v>
      </c>
      <c r="R611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20.571428571428573</v>
      </c>
      <c r="U611" s="224"/>
      <c r="V611" s="224"/>
    </row>
    <row r="612" spans="1:22" ht="14.65" customHeight="1" x14ac:dyDescent="0.2">
      <c r="A612" s="225">
        <v>43069</v>
      </c>
      <c r="B612" s="224" t="s">
        <v>229</v>
      </c>
      <c r="C612" s="224" t="s">
        <v>214</v>
      </c>
      <c r="D612" s="224" t="s">
        <v>215</v>
      </c>
      <c r="E612" s="226"/>
      <c r="G612" s="224" t="s">
        <v>1</v>
      </c>
      <c r="H612" s="224" t="s">
        <v>196</v>
      </c>
      <c r="I612" s="224" t="s">
        <v>65</v>
      </c>
      <c r="J612" s="224">
        <v>20</v>
      </c>
      <c r="K612" s="227">
        <f t="array" ref="K612">IFERROR(INDEX([1]Grille_Tarifs_Modulable!$B$2:$B$204,MATCH(Tableau14[[#This Row],[Designation]]&amp;Tableau14[[#This Row],[CL]],[1]Grille_Tarifs_Modulable!$C$2:$C$204&amp;[1]Grille_Tarifs_Modulable!$F$2:$F$204,0)),0)</f>
        <v>4260310553863</v>
      </c>
      <c r="L612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0.81</v>
      </c>
      <c r="M612" s="228">
        <f>IF(Tableau14[[#This Row],[Prix_Unit_HT]]=0,0,Tableau14[[#This Row],[Prix_Unit_HT]]+(Tableau14[[#This Row],[Prix_Unit_HT]]*VLOOKUP(Tableau14[[#This Row],[EAN]],[1]Grille_Tarifs_Modulable!$B$10:$Q$204,16,FALSE)))</f>
        <v>0.85455000000000003</v>
      </c>
      <c r="N612" s="224">
        <v>24</v>
      </c>
      <c r="O612" s="228">
        <f>ROUND(Tableau14[[#This Row],[Prix_Unit_HT]],2)*Tableau14[[#This Row],[Qte_commande]]</f>
        <v>19.440000000000001</v>
      </c>
      <c r="P612" s="228">
        <f>ROUND(Tableau14[[#This Row],[Prix_Unit_TTC]],2)*Tableau14[[#This Row],[Qte_commande]]</f>
        <v>20.399999999999999</v>
      </c>
      <c r="Q612" s="224">
        <v>6.86</v>
      </c>
      <c r="R612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6.8571428571428577</v>
      </c>
      <c r="U612" s="224"/>
      <c r="V612" s="224"/>
    </row>
    <row r="613" spans="1:22" ht="14.65" customHeight="1" x14ac:dyDescent="0.2">
      <c r="A613" s="225">
        <v>43069</v>
      </c>
      <c r="B613" s="224" t="s">
        <v>229</v>
      </c>
      <c r="C613" s="224" t="s">
        <v>214</v>
      </c>
      <c r="D613" s="224" t="s">
        <v>215</v>
      </c>
      <c r="E613" s="226"/>
      <c r="G613" s="224" t="s">
        <v>1</v>
      </c>
      <c r="H613" s="224" t="s">
        <v>196</v>
      </c>
      <c r="I613" s="224" t="s">
        <v>65</v>
      </c>
      <c r="J613" s="224">
        <v>20</v>
      </c>
      <c r="K613" s="227">
        <f t="array" ref="K613">IFERROR(INDEX([1]Grille_Tarifs_Modulable!$B$2:$B$204,MATCH(Tableau14[[#This Row],[Designation]]&amp;Tableau14[[#This Row],[CL]],[1]Grille_Tarifs_Modulable!$C$2:$C$204&amp;[1]Grille_Tarifs_Modulable!$F$2:$F$204,0)),0)</f>
        <v>4260310553863</v>
      </c>
      <c r="L613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0.81</v>
      </c>
      <c r="M613" s="228">
        <f>IF(Tableau14[[#This Row],[Prix_Unit_HT]]=0,0,Tableau14[[#This Row],[Prix_Unit_HT]]+(Tableau14[[#This Row],[Prix_Unit_HT]]*VLOOKUP(Tableau14[[#This Row],[EAN]],[1]Grille_Tarifs_Modulable!$B$10:$Q$204,16,FALSE)))</f>
        <v>0.85455000000000003</v>
      </c>
      <c r="N613" s="224">
        <v>216</v>
      </c>
      <c r="O613" s="228">
        <f>ROUND(Tableau14[[#This Row],[Prix_Unit_HT]],2)*Tableau14[[#This Row],[Qte_commande]]</f>
        <v>174.96</v>
      </c>
      <c r="P613" s="228">
        <f>ROUND(Tableau14[[#This Row],[Prix_Unit_TTC]],2)*Tableau14[[#This Row],[Qte_commande]]</f>
        <v>183.6</v>
      </c>
      <c r="Q613" s="224">
        <v>61.71</v>
      </c>
      <c r="R613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61.714285714285722</v>
      </c>
      <c r="U613" s="224"/>
      <c r="V613" s="224"/>
    </row>
    <row r="614" spans="1:22" ht="14.65" customHeight="1" x14ac:dyDescent="0.2">
      <c r="A614" s="225">
        <v>43069</v>
      </c>
      <c r="B614" s="224" t="s">
        <v>229</v>
      </c>
      <c r="C614" s="224" t="s">
        <v>214</v>
      </c>
      <c r="D614" s="224" t="s">
        <v>215</v>
      </c>
      <c r="E614" s="226"/>
      <c r="G614" s="224" t="s">
        <v>1</v>
      </c>
      <c r="H614" s="224" t="s">
        <v>196</v>
      </c>
      <c r="I614" s="224" t="s">
        <v>60</v>
      </c>
      <c r="J614" s="224">
        <v>20</v>
      </c>
      <c r="K614" s="227">
        <f t="array" ref="K614">IFERROR(INDEX([1]Grille_Tarifs_Modulable!$B$2:$B$204,MATCH(Tableau14[[#This Row],[Designation]]&amp;Tableau14[[#This Row],[CL]],[1]Grille_Tarifs_Modulable!$C$2:$C$204&amp;[1]Grille_Tarifs_Modulable!$F$2:$F$204,0)),0)</f>
        <v>4260310553832</v>
      </c>
      <c r="L614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0.81</v>
      </c>
      <c r="M614" s="228">
        <f>IF(Tableau14[[#This Row],[Prix_Unit_HT]]=0,0,Tableau14[[#This Row],[Prix_Unit_HT]]+(Tableau14[[#This Row],[Prix_Unit_HT]]*VLOOKUP(Tableau14[[#This Row],[EAN]],[1]Grille_Tarifs_Modulable!$B$10:$Q$204,16,FALSE)))</f>
        <v>0.85455000000000003</v>
      </c>
      <c r="N614" s="224">
        <v>72</v>
      </c>
      <c r="O614" s="228">
        <f>ROUND(Tableau14[[#This Row],[Prix_Unit_HT]],2)*Tableau14[[#This Row],[Qte_commande]]</f>
        <v>58.320000000000007</v>
      </c>
      <c r="P614" s="228">
        <f>ROUND(Tableau14[[#This Row],[Prix_Unit_TTC]],2)*Tableau14[[#This Row],[Qte_commande]]</f>
        <v>61.199999999999996</v>
      </c>
      <c r="Q614" s="224">
        <v>20.57</v>
      </c>
      <c r="R614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20.571428571428573</v>
      </c>
      <c r="U614" s="224"/>
      <c r="V614" s="224"/>
    </row>
    <row r="615" spans="1:22" ht="14.65" customHeight="1" x14ac:dyDescent="0.2">
      <c r="A615" s="225">
        <v>43069</v>
      </c>
      <c r="B615" s="224" t="s">
        <v>229</v>
      </c>
      <c r="C615" s="224" t="s">
        <v>214</v>
      </c>
      <c r="D615" s="224" t="s">
        <v>215</v>
      </c>
      <c r="E615" s="226"/>
      <c r="G615" s="224" t="s">
        <v>1</v>
      </c>
      <c r="H615" s="224" t="s">
        <v>196</v>
      </c>
      <c r="I615" s="224" t="s">
        <v>66</v>
      </c>
      <c r="J615" s="224">
        <v>50</v>
      </c>
      <c r="K615" s="227">
        <f t="array" ref="K615">IFERROR(INDEX([1]Grille_Tarifs_Modulable!$B$2:$B$204,MATCH(Tableau14[[#This Row],[Designation]]&amp;Tableau14[[#This Row],[CL]],[1]Grille_Tarifs_Modulable!$C$2:$C$204&amp;[1]Grille_Tarifs_Modulable!$F$2:$F$204,0)),0)</f>
        <v>4260310553382</v>
      </c>
      <c r="L615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</v>
      </c>
      <c r="M615" s="228">
        <f>IF(Tableau14[[#This Row],[Prix_Unit_HT]]=0,0,Tableau14[[#This Row],[Prix_Unit_HT]]+(Tableau14[[#This Row],[Prix_Unit_HT]]*VLOOKUP(Tableau14[[#This Row],[EAN]],[1]Grille_Tarifs_Modulable!$B$10:$Q$204,16,FALSE)))</f>
        <v>1.0549999999999999</v>
      </c>
      <c r="N615" s="224">
        <v>20</v>
      </c>
      <c r="O615" s="228">
        <f>ROUND(Tableau14[[#This Row],[Prix_Unit_HT]],2)*Tableau14[[#This Row],[Qte_commande]]</f>
        <v>20</v>
      </c>
      <c r="P615" s="228">
        <f>ROUND(Tableau14[[#This Row],[Prix_Unit_TTC]],2)*Tableau14[[#This Row],[Qte_commande]]</f>
        <v>21.200000000000003</v>
      </c>
      <c r="Q615" s="224">
        <v>14.29</v>
      </c>
      <c r="R615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14.285714285714286</v>
      </c>
      <c r="U615" s="224"/>
      <c r="V615" s="224"/>
    </row>
    <row r="616" spans="1:22" ht="14.65" customHeight="1" x14ac:dyDescent="0.2">
      <c r="A616" s="225">
        <v>43069</v>
      </c>
      <c r="B616" s="224" t="s">
        <v>229</v>
      </c>
      <c r="C616" s="224" t="s">
        <v>214</v>
      </c>
      <c r="D616" s="224" t="s">
        <v>215</v>
      </c>
      <c r="E616" s="226"/>
      <c r="G616" s="224" t="s">
        <v>1</v>
      </c>
      <c r="H616" s="224" t="s">
        <v>289</v>
      </c>
      <c r="I616" s="224" t="s">
        <v>44</v>
      </c>
      <c r="J616" s="224">
        <v>50</v>
      </c>
      <c r="K616" s="227">
        <f t="array" ref="K616">IFERROR(INDEX([1]Grille_Tarifs_Modulable!$B$2:$B$204,MATCH(Tableau14[[#This Row],[Designation]]&amp;Tableau14[[#This Row],[CL]],[1]Grille_Tarifs_Modulable!$C$2:$C$204&amp;[1]Grille_Tarifs_Modulable!$F$2:$F$204,0)),0)</f>
        <v>4260270192645</v>
      </c>
      <c r="L616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25.192506000000002</v>
      </c>
      <c r="M616" s="228">
        <f>IF(Tableau14[[#This Row],[Prix_Unit_HT]]=0,0,Tableau14[[#This Row],[Prix_Unit_HT]]+(Tableau14[[#This Row],[Prix_Unit_HT]]*VLOOKUP(Tableau14[[#This Row],[EAN]],[1]Grille_Tarifs_Modulable!$B$10:$Q$204,16,FALSE)))</f>
        <v>30.231007200000001</v>
      </c>
      <c r="N616" s="224">
        <v>6</v>
      </c>
      <c r="O616" s="228">
        <f>ROUND(Tableau14[[#This Row],[Prix_Unit_HT]],2)*Tableau14[[#This Row],[Qte_commande]]</f>
        <v>151.14000000000001</v>
      </c>
      <c r="P616" s="228">
        <f>ROUND(Tableau14[[#This Row],[Prix_Unit_TTC]],2)*Tableau14[[#This Row],[Qte_commande]]</f>
        <v>181.38</v>
      </c>
      <c r="Q616" s="224">
        <v>4.29</v>
      </c>
      <c r="R616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4.2857142857142856</v>
      </c>
      <c r="U616" s="224"/>
      <c r="V616" s="224"/>
    </row>
    <row r="617" spans="1:22" ht="14.65" customHeight="1" x14ac:dyDescent="0.2">
      <c r="A617" s="225">
        <v>43069</v>
      </c>
      <c r="B617" s="224" t="s">
        <v>906</v>
      </c>
      <c r="C617" s="224" t="s">
        <v>211</v>
      </c>
      <c r="D617" s="224" t="s">
        <v>212</v>
      </c>
      <c r="E617" s="226"/>
      <c r="G617" s="224" t="s">
        <v>1</v>
      </c>
      <c r="H617" s="224" t="s">
        <v>289</v>
      </c>
      <c r="I617" s="224" t="s">
        <v>44</v>
      </c>
      <c r="J617" s="224">
        <v>50</v>
      </c>
      <c r="K617" s="227">
        <f t="array" ref="K617">IFERROR(INDEX([1]Grille_Tarifs_Modulable!$B$2:$B$204,MATCH(Tableau14[[#This Row],[Designation]]&amp;Tableau14[[#This Row],[CL]],[1]Grille_Tarifs_Modulable!$C$2:$C$204&amp;[1]Grille_Tarifs_Modulable!$F$2:$F$204,0)),0)</f>
        <v>4260270192645</v>
      </c>
      <c r="L617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25.192506000000002</v>
      </c>
      <c r="M617" s="228">
        <f>IF(Tableau14[[#This Row],[Prix_Unit_HT]]=0,0,Tableau14[[#This Row],[Prix_Unit_HT]]+(Tableau14[[#This Row],[Prix_Unit_HT]]*VLOOKUP(Tableau14[[#This Row],[EAN]],[1]Grille_Tarifs_Modulable!$B$10:$Q$204,16,FALSE)))</f>
        <v>30.231007200000001</v>
      </c>
      <c r="N617" s="224">
        <v>24</v>
      </c>
      <c r="O617" s="228">
        <f>ROUND(Tableau14[[#This Row],[Prix_Unit_HT]],2)*Tableau14[[#This Row],[Qte_commande]]</f>
        <v>604.56000000000006</v>
      </c>
      <c r="P617" s="228">
        <f>ROUND(Tableau14[[#This Row],[Prix_Unit_TTC]],2)*Tableau14[[#This Row],[Qte_commande]]</f>
        <v>725.52</v>
      </c>
      <c r="Q617" s="224">
        <v>17.14</v>
      </c>
      <c r="R617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17.142857142857142</v>
      </c>
      <c r="U617" s="224"/>
      <c r="V617" s="224"/>
    </row>
    <row r="618" spans="1:22" ht="14.65" customHeight="1" x14ac:dyDescent="0.2">
      <c r="A618" s="225">
        <v>43069</v>
      </c>
      <c r="B618" s="224" t="s">
        <v>229</v>
      </c>
      <c r="C618" s="224" t="s">
        <v>214</v>
      </c>
      <c r="D618" s="224" t="s">
        <v>215</v>
      </c>
      <c r="E618" s="226"/>
      <c r="G618" s="224" t="s">
        <v>1</v>
      </c>
      <c r="H618" s="224" t="s">
        <v>289</v>
      </c>
      <c r="I618" s="224" t="s">
        <v>17</v>
      </c>
      <c r="J618" s="224">
        <v>70</v>
      </c>
      <c r="K618" s="227">
        <f t="array" ref="K618">IFERROR(INDEX([1]Grille_Tarifs_Modulable!$B$2:$B$204,MATCH(Tableau14[[#This Row],[Designation]]&amp;Tableau14[[#This Row],[CL]],[1]Grille_Tarifs_Modulable!$C$2:$C$204&amp;[1]Grille_Tarifs_Modulable!$F$2:$F$204,0)),0)</f>
        <v>8002095100001</v>
      </c>
      <c r="L618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16.028644</v>
      </c>
      <c r="M618" s="228">
        <f>IF(Tableau14[[#This Row],[Prix_Unit_HT]]=0,0,Tableau14[[#This Row],[Prix_Unit_HT]]+(Tableau14[[#This Row],[Prix_Unit_HT]]*VLOOKUP(Tableau14[[#This Row],[EAN]],[1]Grille_Tarifs_Modulable!$B$10:$Q$204,16,FALSE)))</f>
        <v>19.234372799999999</v>
      </c>
      <c r="N618" s="224">
        <v>6</v>
      </c>
      <c r="O618" s="228">
        <f>ROUND(Tableau14[[#This Row],[Prix_Unit_HT]],2)*Tableau14[[#This Row],[Qte_commande]]</f>
        <v>96.18</v>
      </c>
      <c r="P618" s="228">
        <f>ROUND(Tableau14[[#This Row],[Prix_Unit_TTC]],2)*Tableau14[[#This Row],[Qte_commande]]</f>
        <v>115.38</v>
      </c>
      <c r="Q618" s="224">
        <v>6</v>
      </c>
      <c r="R618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6.0000000000000009</v>
      </c>
      <c r="U618" s="224"/>
      <c r="V618" s="224"/>
    </row>
    <row r="619" spans="1:22" ht="14.65" customHeight="1" x14ac:dyDescent="0.2">
      <c r="A619" s="225">
        <v>43069</v>
      </c>
      <c r="B619" s="224" t="s">
        <v>229</v>
      </c>
      <c r="C619" s="224" t="s">
        <v>214</v>
      </c>
      <c r="D619" s="224" t="s">
        <v>215</v>
      </c>
      <c r="E619" s="226"/>
      <c r="G619" s="224" t="s">
        <v>1</v>
      </c>
      <c r="H619" s="224" t="s">
        <v>196</v>
      </c>
      <c r="I619" s="224" t="s">
        <v>64</v>
      </c>
      <c r="J619" s="224">
        <v>20</v>
      </c>
      <c r="K619" s="227">
        <f t="array" ref="K619">IFERROR(INDEX([1]Grille_Tarifs_Modulable!$B$2:$B$204,MATCH(Tableau14[[#This Row],[Designation]]&amp;Tableau14[[#This Row],[CL]],[1]Grille_Tarifs_Modulable!$C$2:$C$204&amp;[1]Grille_Tarifs_Modulable!$F$2:$F$204,0)),0)</f>
        <v>4260310553849</v>
      </c>
      <c r="L619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0.81</v>
      </c>
      <c r="M619" s="228">
        <f>IF(Tableau14[[#This Row],[Prix_Unit_HT]]=0,0,Tableau14[[#This Row],[Prix_Unit_HT]]+(Tableau14[[#This Row],[Prix_Unit_HT]]*VLOOKUP(Tableau14[[#This Row],[EAN]],[1]Grille_Tarifs_Modulable!$B$10:$Q$204,16,FALSE)))</f>
        <v>0.85455000000000003</v>
      </c>
      <c r="N619" s="224">
        <v>72</v>
      </c>
      <c r="O619" s="228">
        <f>ROUND(Tableau14[[#This Row],[Prix_Unit_HT]],2)*Tableau14[[#This Row],[Qte_commande]]</f>
        <v>58.320000000000007</v>
      </c>
      <c r="P619" s="228">
        <f>ROUND(Tableau14[[#This Row],[Prix_Unit_TTC]],2)*Tableau14[[#This Row],[Qte_commande]]</f>
        <v>61.199999999999996</v>
      </c>
      <c r="Q619" s="224">
        <v>20.57</v>
      </c>
      <c r="R619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20.571428571428573</v>
      </c>
      <c r="U619" s="224"/>
      <c r="V619" s="224"/>
    </row>
    <row r="620" spans="1:22" ht="14.65" customHeight="1" x14ac:dyDescent="0.2">
      <c r="A620" s="225">
        <v>43069</v>
      </c>
      <c r="B620" s="224" t="s">
        <v>229</v>
      </c>
      <c r="C620" s="224" t="s">
        <v>214</v>
      </c>
      <c r="D620" s="224" t="s">
        <v>215</v>
      </c>
      <c r="E620" s="226"/>
      <c r="G620" s="224" t="s">
        <v>1</v>
      </c>
      <c r="H620" s="224" t="s">
        <v>196</v>
      </c>
      <c r="I620" s="224" t="s">
        <v>59</v>
      </c>
      <c r="J620" s="224">
        <v>20</v>
      </c>
      <c r="K620" s="227">
        <f t="array" ref="K620">IFERROR(INDEX([1]Grille_Tarifs_Modulable!$B$2:$B$204,MATCH(Tableau14[[#This Row],[Designation]]&amp;Tableau14[[#This Row],[CL]],[1]Grille_Tarifs_Modulable!$C$2:$C$204&amp;[1]Grille_Tarifs_Modulable!$F$2:$F$204,0)),0)</f>
        <v>4260310553818</v>
      </c>
      <c r="L620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0.81</v>
      </c>
      <c r="M620" s="228">
        <f>IF(Tableau14[[#This Row],[Prix_Unit_HT]]=0,0,Tableau14[[#This Row],[Prix_Unit_HT]]+(Tableau14[[#This Row],[Prix_Unit_HT]]*VLOOKUP(Tableau14[[#This Row],[EAN]],[1]Grille_Tarifs_Modulable!$B$10:$Q$204,16,FALSE)))</f>
        <v>0.85455000000000003</v>
      </c>
      <c r="N620" s="224">
        <v>480</v>
      </c>
      <c r="O620" s="228">
        <f>ROUND(Tableau14[[#This Row],[Prix_Unit_HT]],2)*Tableau14[[#This Row],[Qte_commande]]</f>
        <v>388.8</v>
      </c>
      <c r="P620" s="228">
        <f>ROUND(Tableau14[[#This Row],[Prix_Unit_TTC]],2)*Tableau14[[#This Row],[Qte_commande]]</f>
        <v>408</v>
      </c>
      <c r="Q620" s="224">
        <v>137.13999999999999</v>
      </c>
      <c r="R620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137.14285714285714</v>
      </c>
      <c r="U620" s="224"/>
      <c r="V620" s="224"/>
    </row>
    <row r="621" spans="1:22" ht="14.65" customHeight="1" x14ac:dyDescent="0.2">
      <c r="A621" s="225">
        <v>43077</v>
      </c>
      <c r="B621" s="224" t="s">
        <v>634</v>
      </c>
      <c r="C621" s="224" t="s">
        <v>542</v>
      </c>
      <c r="D621" s="224" t="s">
        <v>209</v>
      </c>
      <c r="E621" s="226"/>
      <c r="G621" s="224" t="s">
        <v>13</v>
      </c>
      <c r="H621" s="224" t="s">
        <v>289</v>
      </c>
      <c r="I621" s="224" t="s">
        <v>15</v>
      </c>
      <c r="J621" s="224">
        <v>100</v>
      </c>
      <c r="K621" s="227">
        <f t="array" ref="K621">IFERROR(INDEX([1]Grille_Tarifs_Modulable!$B$2:$B$204,MATCH(Tableau14[[#This Row],[Designation]]&amp;Tableau14[[#This Row],[CL]],[1]Grille_Tarifs_Modulable!$C$2:$C$204&amp;[1]Grille_Tarifs_Modulable!$F$2:$F$204,0)),0)</f>
        <v>4067700013842</v>
      </c>
      <c r="L621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19.150804999999998</v>
      </c>
      <c r="M621" s="228">
        <f>IF(Tableau14[[#This Row],[Prix_Unit_HT]]=0,0,Tableau14[[#This Row],[Prix_Unit_HT]]+(Tableau14[[#This Row],[Prix_Unit_HT]]*VLOOKUP(Tableau14[[#This Row],[EAN]],[1]Grille_Tarifs_Modulable!$B$10:$Q$204,16,FALSE)))</f>
        <v>22.980965999999999</v>
      </c>
      <c r="N621" s="224">
        <v>12</v>
      </c>
      <c r="O621" s="228">
        <f>ROUND(Tableau14[[#This Row],[Prix_Unit_HT]],2)*Tableau14[[#This Row],[Qte_commande]]</f>
        <v>229.79999999999998</v>
      </c>
      <c r="P621" s="228">
        <f>ROUND(Tableau14[[#This Row],[Prix_Unit_TTC]],2)*Tableau14[[#This Row],[Qte_commande]]</f>
        <v>275.76</v>
      </c>
      <c r="Q621" s="224">
        <v>17.14</v>
      </c>
      <c r="R621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17.142857142857142</v>
      </c>
      <c r="U621" s="224"/>
      <c r="V621" s="224"/>
    </row>
    <row r="622" spans="1:22" ht="14.65" customHeight="1" x14ac:dyDescent="0.2">
      <c r="A622" s="225">
        <v>43077</v>
      </c>
      <c r="B622" s="224" t="s">
        <v>634</v>
      </c>
      <c r="C622" s="224" t="s">
        <v>542</v>
      </c>
      <c r="D622" s="224" t="s">
        <v>209</v>
      </c>
      <c r="E622" s="226"/>
      <c r="G622" s="224" t="s">
        <v>13</v>
      </c>
      <c r="H622" s="224" t="s">
        <v>289</v>
      </c>
      <c r="I622" s="224" t="s">
        <v>27</v>
      </c>
      <c r="J622" s="224">
        <v>70</v>
      </c>
      <c r="K622" s="227">
        <f t="array" ref="K622">IFERROR(INDEX([1]Grille_Tarifs_Modulable!$B$2:$B$204,MATCH(Tableau14[[#This Row],[Designation]]&amp;Tableau14[[#This Row],[CL]],[1]Grille_Tarifs_Modulable!$C$2:$C$204&amp;[1]Grille_Tarifs_Modulable!$F$2:$F$204,0)),0)</f>
        <v>8500000917022</v>
      </c>
      <c r="L622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80.608643999999998</v>
      </c>
      <c r="M622" s="228">
        <f>IF(Tableau14[[#This Row],[Prix_Unit_HT]]=0,0,Tableau14[[#This Row],[Prix_Unit_HT]]+(Tableau14[[#This Row],[Prix_Unit_HT]]*VLOOKUP(Tableau14[[#This Row],[EAN]],[1]Grille_Tarifs_Modulable!$B$10:$Q$204,16,FALSE)))</f>
        <v>96.730372799999998</v>
      </c>
      <c r="N622" s="224">
        <v>1</v>
      </c>
      <c r="O622" s="228">
        <f>ROUND(Tableau14[[#This Row],[Prix_Unit_HT]],2)*Tableau14[[#This Row],[Qte_commande]]</f>
        <v>80.61</v>
      </c>
      <c r="P622" s="228">
        <f>ROUND(Tableau14[[#This Row],[Prix_Unit_TTC]],2)*Tableau14[[#This Row],[Qte_commande]]</f>
        <v>96.73</v>
      </c>
      <c r="Q622" s="224">
        <v>1</v>
      </c>
      <c r="R622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</v>
      </c>
      <c r="U622" s="224"/>
      <c r="V622" s="224"/>
    </row>
    <row r="623" spans="1:22" ht="14.65" customHeight="1" x14ac:dyDescent="0.2">
      <c r="A623" s="225">
        <v>43077</v>
      </c>
      <c r="B623" s="224" t="s">
        <v>634</v>
      </c>
      <c r="C623" s="224" t="s">
        <v>542</v>
      </c>
      <c r="D623" s="224" t="s">
        <v>209</v>
      </c>
      <c r="E623" s="226"/>
      <c r="G623" s="224" t="s">
        <v>13</v>
      </c>
      <c r="H623" s="224" t="s">
        <v>289</v>
      </c>
      <c r="I623" s="224" t="s">
        <v>931</v>
      </c>
      <c r="J623" s="224">
        <v>100</v>
      </c>
      <c r="K623" s="227">
        <f t="array" ref="K623">IFERROR(INDEX([1]Grille_Tarifs_Modulable!$B$2:$B$204,MATCH(Tableau14[[#This Row],[Designation]]&amp;Tableau14[[#This Row],[CL]],[1]Grille_Tarifs_Modulable!$C$2:$C$204&amp;[1]Grille_Tarifs_Modulable!$F$2:$F$204,0)),0)</f>
        <v>0</v>
      </c>
      <c r="L623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</v>
      </c>
      <c r="M623" s="228">
        <f>IF(Tableau14[[#This Row],[Prix_Unit_HT]]=0,0,Tableau14[[#This Row],[Prix_Unit_HT]]+(Tableau14[[#This Row],[Prix_Unit_HT]]*VLOOKUP(Tableau14[[#This Row],[EAN]],[1]Grille_Tarifs_Modulable!$B$10:$Q$204,16,FALSE)))</f>
        <v>0</v>
      </c>
      <c r="N623" s="224">
        <v>48</v>
      </c>
      <c r="O623" s="228">
        <f>ROUND(Tableau14[[#This Row],[Prix_Unit_HT]],2)*Tableau14[[#This Row],[Qte_commande]]</f>
        <v>0</v>
      </c>
      <c r="P623" s="228">
        <f>ROUND(Tableau14[[#This Row],[Prix_Unit_TTC]],2)*Tableau14[[#This Row],[Qte_commande]]</f>
        <v>0</v>
      </c>
      <c r="Q623" s="224">
        <v>68.569999999999993</v>
      </c>
      <c r="R623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68.571428571428569</v>
      </c>
      <c r="U623" s="224"/>
      <c r="V623" s="224"/>
    </row>
    <row r="624" spans="1:22" ht="14.65" customHeight="1" x14ac:dyDescent="0.2">
      <c r="A624" s="225">
        <v>43077</v>
      </c>
      <c r="B624" s="224" t="s">
        <v>1117</v>
      </c>
      <c r="C624" s="224" t="s">
        <v>1118</v>
      </c>
      <c r="D624" s="224" t="s">
        <v>233</v>
      </c>
      <c r="E624" s="226"/>
      <c r="G624" s="224" t="s">
        <v>13</v>
      </c>
      <c r="H624" s="224" t="s">
        <v>451</v>
      </c>
      <c r="I624" s="224" t="s">
        <v>69</v>
      </c>
      <c r="J624" s="227">
        <v>3</v>
      </c>
      <c r="K624" s="227">
        <f t="array" ref="K624">IFERROR(INDEX([1]Grille_Tarifs_Modulable!$B$2:$B$204,MATCH(Tableau14[[#This Row],[Designation]]&amp;Tableau14[[#This Row],[CL]],[1]Grille_Tarifs_Modulable!$C$2:$C$204&amp;[1]Grille_Tarifs_Modulable!$F$2:$F$204,0)),0)</f>
        <v>121</v>
      </c>
      <c r="L624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299</v>
      </c>
      <c r="M624" s="228">
        <f>IF(Tableau14[[#This Row],[Prix_Unit_HT]]=0,0,Tableau14[[#This Row],[Prix_Unit_HT]]+(Tableau14[[#This Row],[Prix_Unit_HT]]*VLOOKUP(Tableau14[[#This Row],[EAN]],[1]Grille_Tarifs_Modulable!$B$10:$Q$204,16,FALSE)))</f>
        <v>358.8</v>
      </c>
      <c r="N624" s="224">
        <v>1</v>
      </c>
      <c r="O624" s="228">
        <f>ROUND(Tableau14[[#This Row],[Prix_Unit_HT]],2)*Tableau14[[#This Row],[Qte_commande]]</f>
        <v>299</v>
      </c>
      <c r="P624" s="228">
        <f>ROUND(Tableau14[[#This Row],[Prix_Unit_TTC]],2)*Tableau14[[#This Row],[Qte_commande]]</f>
        <v>358.8</v>
      </c>
      <c r="Q624" s="224">
        <v>1</v>
      </c>
      <c r="R624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</v>
      </c>
      <c r="U624" s="224"/>
      <c r="V624" s="224"/>
    </row>
    <row r="625" spans="1:22" ht="14.65" customHeight="1" x14ac:dyDescent="0.2">
      <c r="A625" s="225">
        <v>43077</v>
      </c>
      <c r="B625" s="224" t="s">
        <v>1119</v>
      </c>
      <c r="C625" s="224" t="s">
        <v>161</v>
      </c>
      <c r="D625" s="224" t="s">
        <v>666</v>
      </c>
      <c r="E625" s="226"/>
      <c r="G625" s="224" t="s">
        <v>1</v>
      </c>
      <c r="H625" s="224" t="s">
        <v>451</v>
      </c>
      <c r="I625" s="224" t="s">
        <v>69</v>
      </c>
      <c r="J625" s="227">
        <v>3</v>
      </c>
      <c r="K625" s="227">
        <f t="array" ref="K625">IFERROR(INDEX([1]Grille_Tarifs_Modulable!$B$2:$B$204,MATCH(Tableau14[[#This Row],[Designation]]&amp;Tableau14[[#This Row],[CL]],[1]Grille_Tarifs_Modulable!$C$2:$C$204&amp;[1]Grille_Tarifs_Modulable!$F$2:$F$204,0)),0)</f>
        <v>121</v>
      </c>
      <c r="L625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299</v>
      </c>
      <c r="M625" s="228">
        <f>IF(Tableau14[[#This Row],[Prix_Unit_HT]]=0,0,Tableau14[[#This Row],[Prix_Unit_HT]]+(Tableau14[[#This Row],[Prix_Unit_HT]]*VLOOKUP(Tableau14[[#This Row],[EAN]],[1]Grille_Tarifs_Modulable!$B$10:$Q$204,16,FALSE)))</f>
        <v>358.8</v>
      </c>
      <c r="N625" s="224">
        <v>1</v>
      </c>
      <c r="O625" s="228">
        <f>ROUND(Tableau14[[#This Row],[Prix_Unit_HT]],2)*Tableau14[[#This Row],[Qte_commande]]</f>
        <v>299</v>
      </c>
      <c r="P625" s="228">
        <f>ROUND(Tableau14[[#This Row],[Prix_Unit_TTC]],2)*Tableau14[[#This Row],[Qte_commande]]</f>
        <v>358.8</v>
      </c>
      <c r="Q625" s="224">
        <v>1</v>
      </c>
      <c r="R625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</v>
      </c>
      <c r="U625" s="224"/>
      <c r="V625" s="224"/>
    </row>
    <row r="626" spans="1:22" ht="14.65" customHeight="1" x14ac:dyDescent="0.2">
      <c r="A626" s="225">
        <v>43077</v>
      </c>
      <c r="B626" s="224" t="s">
        <v>1120</v>
      </c>
      <c r="C626" s="224" t="s">
        <v>1121</v>
      </c>
      <c r="D626" s="224" t="s">
        <v>1122</v>
      </c>
      <c r="E626" s="226"/>
      <c r="G626" s="224" t="s">
        <v>13</v>
      </c>
      <c r="H626" s="224" t="s">
        <v>451</v>
      </c>
      <c r="I626" s="224" t="s">
        <v>69</v>
      </c>
      <c r="J626" s="227">
        <v>3</v>
      </c>
      <c r="K626" s="227">
        <f t="array" ref="K626">IFERROR(INDEX([1]Grille_Tarifs_Modulable!$B$2:$B$204,MATCH(Tableau14[[#This Row],[Designation]]&amp;Tableau14[[#This Row],[CL]],[1]Grille_Tarifs_Modulable!$C$2:$C$204&amp;[1]Grille_Tarifs_Modulable!$F$2:$F$204,0)),0)</f>
        <v>121</v>
      </c>
      <c r="L626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299</v>
      </c>
      <c r="M626" s="228">
        <f>IF(Tableau14[[#This Row],[Prix_Unit_HT]]=0,0,Tableau14[[#This Row],[Prix_Unit_HT]]+(Tableau14[[#This Row],[Prix_Unit_HT]]*VLOOKUP(Tableau14[[#This Row],[EAN]],[1]Grille_Tarifs_Modulable!$B$10:$Q$204,16,FALSE)))</f>
        <v>358.8</v>
      </c>
      <c r="N626" s="224">
        <v>1</v>
      </c>
      <c r="O626" s="228">
        <f>ROUND(Tableau14[[#This Row],[Prix_Unit_HT]],2)*Tableau14[[#This Row],[Qte_commande]]</f>
        <v>299</v>
      </c>
      <c r="P626" s="228">
        <f>ROUND(Tableau14[[#This Row],[Prix_Unit_TTC]],2)*Tableau14[[#This Row],[Qte_commande]]</f>
        <v>358.8</v>
      </c>
      <c r="Q626" s="224">
        <v>1</v>
      </c>
      <c r="R626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</v>
      </c>
      <c r="U626" s="224"/>
      <c r="V626" s="224"/>
    </row>
    <row r="627" spans="1:22" ht="14.65" customHeight="1" x14ac:dyDescent="0.2">
      <c r="A627" s="225">
        <v>43080</v>
      </c>
      <c r="B627" s="224" t="s">
        <v>635</v>
      </c>
      <c r="C627" s="224" t="s">
        <v>530</v>
      </c>
      <c r="D627" s="224" t="s">
        <v>531</v>
      </c>
      <c r="E627" s="226"/>
      <c r="G627" s="224" t="s">
        <v>1</v>
      </c>
      <c r="H627" s="224" t="s">
        <v>289</v>
      </c>
      <c r="I627" s="224" t="s">
        <v>15</v>
      </c>
      <c r="J627" s="224">
        <v>70</v>
      </c>
      <c r="K627" s="227">
        <f t="array" ref="K627">IFERROR(INDEX([1]Grille_Tarifs_Modulable!$B$2:$B$204,MATCH(Tableau14[[#This Row],[Designation]]&amp;Tableau14[[#This Row],[CL]],[1]Grille_Tarifs_Modulable!$C$2:$C$204&amp;[1]Grille_Tarifs_Modulable!$F$2:$F$204,0)),0)</f>
        <v>4067700013859</v>
      </c>
      <c r="L627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12.532563499999998</v>
      </c>
      <c r="M627" s="228">
        <f>IF(Tableau14[[#This Row],[Prix_Unit_HT]]=0,0,Tableau14[[#This Row],[Prix_Unit_HT]]+(Tableau14[[#This Row],[Prix_Unit_HT]]*VLOOKUP(Tableau14[[#This Row],[EAN]],[1]Grille_Tarifs_Modulable!$B$10:$Q$204,16,FALSE)))</f>
        <v>15.039076199999998</v>
      </c>
      <c r="N627" s="224">
        <v>150</v>
      </c>
      <c r="O627" s="228">
        <f>ROUND(Tableau14[[#This Row],[Prix_Unit_HT]],2)*Tableau14[[#This Row],[Qte_commande]]</f>
        <v>1879.5</v>
      </c>
      <c r="P627" s="228">
        <f>ROUND(Tableau14[[#This Row],[Prix_Unit_TTC]],2)*Tableau14[[#This Row],[Qte_commande]]</f>
        <v>2256</v>
      </c>
      <c r="Q627" s="224">
        <v>150</v>
      </c>
      <c r="R627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150</v>
      </c>
      <c r="U627" s="224"/>
      <c r="V627" s="224"/>
    </row>
    <row r="628" spans="1:22" ht="14.65" customHeight="1" x14ac:dyDescent="0.2">
      <c r="A628" s="225">
        <v>43080</v>
      </c>
      <c r="B628" s="224" t="s">
        <v>928</v>
      </c>
      <c r="C628" s="224" t="s">
        <v>211</v>
      </c>
      <c r="D628" s="224" t="s">
        <v>212</v>
      </c>
      <c r="E628" s="226"/>
      <c r="G628" s="224" t="s">
        <v>1</v>
      </c>
      <c r="H628" s="224" t="s">
        <v>289</v>
      </c>
      <c r="I628" s="224" t="s">
        <v>27</v>
      </c>
      <c r="J628" s="224">
        <v>70</v>
      </c>
      <c r="K628" s="227">
        <f t="array" ref="K628">IFERROR(INDEX([1]Grille_Tarifs_Modulable!$B$2:$B$204,MATCH(Tableau14[[#This Row],[Designation]]&amp;Tableau14[[#This Row],[CL]],[1]Grille_Tarifs_Modulable!$C$2:$C$204&amp;[1]Grille_Tarifs_Modulable!$F$2:$F$204,0)),0)</f>
        <v>8500000917022</v>
      </c>
      <c r="L628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68.208643999999993</v>
      </c>
      <c r="M628" s="228">
        <f>IF(Tableau14[[#This Row],[Prix_Unit_HT]]=0,0,Tableau14[[#This Row],[Prix_Unit_HT]]+(Tableau14[[#This Row],[Prix_Unit_HT]]*VLOOKUP(Tableau14[[#This Row],[EAN]],[1]Grille_Tarifs_Modulable!$B$10:$Q$204,16,FALSE)))</f>
        <v>81.850372799999988</v>
      </c>
      <c r="N628" s="224">
        <v>6</v>
      </c>
      <c r="O628" s="228">
        <f>ROUND(Tableau14[[#This Row],[Prix_Unit_HT]],2)*Tableau14[[#This Row],[Qte_commande]]</f>
        <v>409.26</v>
      </c>
      <c r="P628" s="228">
        <f>ROUND(Tableau14[[#This Row],[Prix_Unit_TTC]],2)*Tableau14[[#This Row],[Qte_commande]]</f>
        <v>491.09999999999997</v>
      </c>
      <c r="Q628" s="224">
        <v>6</v>
      </c>
      <c r="R628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6.0000000000000009</v>
      </c>
      <c r="U628" s="224"/>
      <c r="V628" s="224"/>
    </row>
    <row r="629" spans="1:22" ht="14.65" customHeight="1" x14ac:dyDescent="0.2">
      <c r="A629" s="225">
        <v>43081</v>
      </c>
      <c r="B629" s="224" t="s">
        <v>927</v>
      </c>
      <c r="C629" s="224" t="s">
        <v>211</v>
      </c>
      <c r="D629" s="224" t="s">
        <v>212</v>
      </c>
      <c r="E629" s="226"/>
      <c r="G629" s="224" t="s">
        <v>1</v>
      </c>
      <c r="H629" s="224" t="s">
        <v>289</v>
      </c>
      <c r="I629" s="224" t="s">
        <v>26</v>
      </c>
      <c r="J629" s="224">
        <v>70</v>
      </c>
      <c r="K629" s="227">
        <f t="array" ref="K629">IFERROR(INDEX([1]Grille_Tarifs_Modulable!$B$2:$B$204,MATCH(Tableau14[[#This Row],[Designation]]&amp;Tableau14[[#This Row],[CL]],[1]Grille_Tarifs_Modulable!$C$2:$C$204&amp;[1]Grille_Tarifs_Modulable!$F$2:$F$204,0)),0)</f>
        <v>8500000916445</v>
      </c>
      <c r="L629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37.408644000000002</v>
      </c>
      <c r="M629" s="228">
        <f>IF(Tableau14[[#This Row],[Prix_Unit_HT]]=0,0,Tableau14[[#This Row],[Prix_Unit_HT]]+(Tableau14[[#This Row],[Prix_Unit_HT]]*VLOOKUP(Tableau14[[#This Row],[EAN]],[1]Grille_Tarifs_Modulable!$B$10:$Q$204,16,FALSE)))</f>
        <v>44.890372800000002</v>
      </c>
      <c r="N629" s="224">
        <v>-6</v>
      </c>
      <c r="O629" s="228">
        <f>ROUND(Tableau14[[#This Row],[Prix_Unit_HT]],2)*Tableau14[[#This Row],[Qte_commande]]</f>
        <v>-224.45999999999998</v>
      </c>
      <c r="P629" s="228">
        <f>ROUND(Tableau14[[#This Row],[Prix_Unit_TTC]],2)*Tableau14[[#This Row],[Qte_commande]]</f>
        <v>-269.34000000000003</v>
      </c>
      <c r="Q629" s="224">
        <v>-6</v>
      </c>
      <c r="R629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-6.0000000000000009</v>
      </c>
      <c r="U629" s="224"/>
      <c r="V629" s="224"/>
    </row>
    <row r="630" spans="1:22" ht="14.65" customHeight="1" x14ac:dyDescent="0.2">
      <c r="A630" s="225">
        <v>43083</v>
      </c>
      <c r="B630" s="224" t="s">
        <v>313</v>
      </c>
      <c r="C630" s="224" t="s">
        <v>308</v>
      </c>
      <c r="D630" s="224" t="s">
        <v>309</v>
      </c>
      <c r="E630" s="226"/>
      <c r="G630" s="224" t="s">
        <v>1</v>
      </c>
      <c r="H630" s="224" t="s">
        <v>289</v>
      </c>
      <c r="I630" s="224" t="s">
        <v>22</v>
      </c>
      <c r="J630" s="224">
        <v>70</v>
      </c>
      <c r="K630" s="227">
        <f t="array" ref="K630">IFERROR(INDEX([1]Grille_Tarifs_Modulable!$B$2:$B$204,MATCH(Tableau14[[#This Row],[Designation]]&amp;Tableau14[[#This Row],[CL]],[1]Grille_Tarifs_Modulable!$C$2:$C$204&amp;[1]Grille_Tarifs_Modulable!$F$2:$F$204,0)),0)</f>
        <v>4055800060200</v>
      </c>
      <c r="L630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17.408644000000002</v>
      </c>
      <c r="M630" s="228">
        <f>IF(Tableau14[[#This Row],[Prix_Unit_HT]]=0,0,Tableau14[[#This Row],[Prix_Unit_HT]]+(Tableau14[[#This Row],[Prix_Unit_HT]]*VLOOKUP(Tableau14[[#This Row],[EAN]],[1]Grille_Tarifs_Modulable!$B$10:$Q$204,16,FALSE)))</f>
        <v>20.890372800000002</v>
      </c>
      <c r="N630" s="224">
        <v>6</v>
      </c>
      <c r="O630" s="228">
        <f>ROUND(Tableau14[[#This Row],[Prix_Unit_HT]],2)*Tableau14[[#This Row],[Qte_commande]]</f>
        <v>104.46000000000001</v>
      </c>
      <c r="P630" s="228">
        <f>ROUND(Tableau14[[#This Row],[Prix_Unit_TTC]],2)*Tableau14[[#This Row],[Qte_commande]]</f>
        <v>125.34</v>
      </c>
      <c r="Q630" s="224">
        <v>6</v>
      </c>
      <c r="R630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6.0000000000000009</v>
      </c>
      <c r="U630" s="224"/>
      <c r="V630" s="224"/>
    </row>
    <row r="631" spans="1:22" ht="14.65" customHeight="1" x14ac:dyDescent="0.2">
      <c r="A631" s="225">
        <v>43083</v>
      </c>
      <c r="B631" s="224" t="s">
        <v>313</v>
      </c>
      <c r="C631" s="224" t="s">
        <v>308</v>
      </c>
      <c r="D631" s="224" t="s">
        <v>309</v>
      </c>
      <c r="E631" s="226"/>
      <c r="G631" s="224" t="s">
        <v>1</v>
      </c>
      <c r="H631" s="224" t="s">
        <v>289</v>
      </c>
      <c r="I631" s="224" t="s">
        <v>15</v>
      </c>
      <c r="J631" s="224">
        <v>100</v>
      </c>
      <c r="K631" s="227">
        <f t="array" ref="K631">IFERROR(INDEX([1]Grille_Tarifs_Modulable!$B$2:$B$204,MATCH(Tableau14[[#This Row],[Designation]]&amp;Tableau14[[#This Row],[CL]],[1]Grille_Tarifs_Modulable!$C$2:$C$204&amp;[1]Grille_Tarifs_Modulable!$F$2:$F$204,0)),0)</f>
        <v>4067700013842</v>
      </c>
      <c r="L631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17.100804999999998</v>
      </c>
      <c r="M631" s="228">
        <f>IF(Tableau14[[#This Row],[Prix_Unit_HT]]=0,0,Tableau14[[#This Row],[Prix_Unit_HT]]+(Tableau14[[#This Row],[Prix_Unit_HT]]*VLOOKUP(Tableau14[[#This Row],[EAN]],[1]Grille_Tarifs_Modulable!$B$10:$Q$204,16,FALSE)))</f>
        <v>20.520965999999998</v>
      </c>
      <c r="N631" s="224">
        <v>306</v>
      </c>
      <c r="O631" s="228">
        <f>ROUND(Tableau14[[#This Row],[Prix_Unit_HT]],2)*Tableau14[[#This Row],[Qte_commande]]</f>
        <v>5232.6000000000004</v>
      </c>
      <c r="P631" s="228">
        <f>ROUND(Tableau14[[#This Row],[Prix_Unit_TTC]],2)*Tableau14[[#This Row],[Qte_commande]]</f>
        <v>6279.12</v>
      </c>
      <c r="Q631" s="224">
        <v>437.14</v>
      </c>
      <c r="R631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437.14285714285717</v>
      </c>
      <c r="U631" s="224"/>
      <c r="V631" s="224"/>
    </row>
    <row r="632" spans="1:22" ht="14.65" customHeight="1" x14ac:dyDescent="0.2">
      <c r="A632" s="225">
        <v>43083</v>
      </c>
      <c r="B632" s="224" t="s">
        <v>313</v>
      </c>
      <c r="C632" s="224" t="s">
        <v>308</v>
      </c>
      <c r="D632" s="224" t="s">
        <v>309</v>
      </c>
      <c r="E632" s="226"/>
      <c r="G632" s="224" t="s">
        <v>1</v>
      </c>
      <c r="H632" s="224" t="s">
        <v>196</v>
      </c>
      <c r="I632" s="224" t="s">
        <v>66</v>
      </c>
      <c r="J632" s="224">
        <v>50</v>
      </c>
      <c r="K632" s="227">
        <f t="array" ref="K632">IFERROR(INDEX([1]Grille_Tarifs_Modulable!$B$2:$B$204,MATCH(Tableau14[[#This Row],[Designation]]&amp;Tableau14[[#This Row],[CL]],[1]Grille_Tarifs_Modulable!$C$2:$C$204&amp;[1]Grille_Tarifs_Modulable!$F$2:$F$204,0)),0)</f>
        <v>4260310553382</v>
      </c>
      <c r="L632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</v>
      </c>
      <c r="M632" s="228">
        <f>IF(Tableau14[[#This Row],[Prix_Unit_HT]]=0,0,Tableau14[[#This Row],[Prix_Unit_HT]]+(Tableau14[[#This Row],[Prix_Unit_HT]]*VLOOKUP(Tableau14[[#This Row],[EAN]],[1]Grille_Tarifs_Modulable!$B$10:$Q$204,16,FALSE)))</f>
        <v>1.0549999999999999</v>
      </c>
      <c r="N632" s="224">
        <v>40</v>
      </c>
      <c r="O632" s="228">
        <f>ROUND(Tableau14[[#This Row],[Prix_Unit_HT]],2)*Tableau14[[#This Row],[Qte_commande]]</f>
        <v>40</v>
      </c>
      <c r="P632" s="228">
        <f>ROUND(Tableau14[[#This Row],[Prix_Unit_TTC]],2)*Tableau14[[#This Row],[Qte_commande]]</f>
        <v>42.400000000000006</v>
      </c>
      <c r="Q632" s="224">
        <v>28.57</v>
      </c>
      <c r="R632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28.571428571428573</v>
      </c>
      <c r="U632" s="224"/>
      <c r="V632" s="224"/>
    </row>
    <row r="633" spans="1:22" ht="14.65" customHeight="1" x14ac:dyDescent="0.2">
      <c r="A633" s="225">
        <v>43083</v>
      </c>
      <c r="B633" s="224" t="s">
        <v>1123</v>
      </c>
      <c r="C633" s="224" t="s">
        <v>1124</v>
      </c>
      <c r="D633" s="224" t="s">
        <v>209</v>
      </c>
      <c r="E633" s="226"/>
      <c r="G633" s="224" t="s">
        <v>13</v>
      </c>
      <c r="H633" s="224" t="s">
        <v>451</v>
      </c>
      <c r="I633" s="224" t="s">
        <v>69</v>
      </c>
      <c r="J633" s="227">
        <v>3</v>
      </c>
      <c r="K633" s="227">
        <f t="array" ref="K633">IFERROR(INDEX([1]Grille_Tarifs_Modulable!$B$2:$B$204,MATCH(Tableau14[[#This Row],[Designation]]&amp;Tableau14[[#This Row],[CL]],[1]Grille_Tarifs_Modulable!$C$2:$C$204&amp;[1]Grille_Tarifs_Modulable!$F$2:$F$204,0)),0)</f>
        <v>121</v>
      </c>
      <c r="L633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299</v>
      </c>
      <c r="M633" s="228">
        <f>IF(Tableau14[[#This Row],[Prix_Unit_HT]]=0,0,Tableau14[[#This Row],[Prix_Unit_HT]]+(Tableau14[[#This Row],[Prix_Unit_HT]]*VLOOKUP(Tableau14[[#This Row],[EAN]],[1]Grille_Tarifs_Modulable!$B$10:$Q$204,16,FALSE)))</f>
        <v>358.8</v>
      </c>
      <c r="N633" s="224">
        <v>1</v>
      </c>
      <c r="O633" s="228">
        <f>ROUND(Tableau14[[#This Row],[Prix_Unit_HT]],2)*Tableau14[[#This Row],[Qte_commande]]</f>
        <v>299</v>
      </c>
      <c r="P633" s="228">
        <f>ROUND(Tableau14[[#This Row],[Prix_Unit_TTC]],2)*Tableau14[[#This Row],[Qte_commande]]</f>
        <v>358.8</v>
      </c>
      <c r="Q633" s="224">
        <v>1</v>
      </c>
      <c r="R633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</v>
      </c>
      <c r="U633" s="224"/>
      <c r="V633" s="224"/>
    </row>
    <row r="634" spans="1:22" ht="14.65" customHeight="1" x14ac:dyDescent="0.2">
      <c r="A634" s="225">
        <v>43084</v>
      </c>
      <c r="B634" s="224" t="s">
        <v>636</v>
      </c>
      <c r="C634" s="224" t="s">
        <v>557</v>
      </c>
      <c r="D634" s="224" t="s">
        <v>558</v>
      </c>
      <c r="E634" s="226"/>
      <c r="G634" s="224" t="s">
        <v>1</v>
      </c>
      <c r="H634" s="224" t="s">
        <v>289</v>
      </c>
      <c r="I634" s="224" t="s">
        <v>15</v>
      </c>
      <c r="J634" s="224">
        <v>70</v>
      </c>
      <c r="K634" s="227">
        <f t="array" ref="K634">IFERROR(INDEX([1]Grille_Tarifs_Modulable!$B$2:$B$204,MATCH(Tableau14[[#This Row],[Designation]]&amp;Tableau14[[#This Row],[CL]],[1]Grille_Tarifs_Modulable!$C$2:$C$204&amp;[1]Grille_Tarifs_Modulable!$F$2:$F$204,0)),0)</f>
        <v>4067700013859</v>
      </c>
      <c r="L634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12.532563499999998</v>
      </c>
      <c r="M634" s="228">
        <f>IF(Tableau14[[#This Row],[Prix_Unit_HT]]=0,0,Tableau14[[#This Row],[Prix_Unit_HT]]+(Tableau14[[#This Row],[Prix_Unit_HT]]*VLOOKUP(Tableau14[[#This Row],[EAN]],[1]Grille_Tarifs_Modulable!$B$10:$Q$204,16,FALSE)))</f>
        <v>15.039076199999998</v>
      </c>
      <c r="N634" s="224">
        <v>480</v>
      </c>
      <c r="O634" s="228">
        <f>ROUND(Tableau14[[#This Row],[Prix_Unit_HT]],2)*Tableau14[[#This Row],[Qte_commande]]</f>
        <v>6014.4</v>
      </c>
      <c r="P634" s="228">
        <f>ROUND(Tableau14[[#This Row],[Prix_Unit_TTC]],2)*Tableau14[[#This Row],[Qte_commande]]</f>
        <v>7219.2</v>
      </c>
      <c r="Q634" s="224">
        <v>480</v>
      </c>
      <c r="R634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480.00000000000006</v>
      </c>
      <c r="U634" s="224"/>
      <c r="V634" s="224"/>
    </row>
    <row r="635" spans="1:22" ht="14.65" customHeight="1" x14ac:dyDescent="0.2">
      <c r="A635" s="225">
        <v>43091</v>
      </c>
      <c r="B635" s="224" t="s">
        <v>637</v>
      </c>
      <c r="C635" s="224" t="s">
        <v>530</v>
      </c>
      <c r="D635" s="224" t="s">
        <v>531</v>
      </c>
      <c r="E635" s="226"/>
      <c r="G635" s="224" t="s">
        <v>1</v>
      </c>
      <c r="H635" s="224" t="s">
        <v>289</v>
      </c>
      <c r="I635" s="224" t="s">
        <v>15</v>
      </c>
      <c r="J635" s="224">
        <v>70</v>
      </c>
      <c r="K635" s="227">
        <f t="array" ref="K635">IFERROR(INDEX([1]Grille_Tarifs_Modulable!$B$2:$B$204,MATCH(Tableau14[[#This Row],[Designation]]&amp;Tableau14[[#This Row],[CL]],[1]Grille_Tarifs_Modulable!$C$2:$C$204&amp;[1]Grille_Tarifs_Modulable!$F$2:$F$204,0)),0)</f>
        <v>4067700013859</v>
      </c>
      <c r="L635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12.532563499999998</v>
      </c>
      <c r="M635" s="228">
        <f>IF(Tableau14[[#This Row],[Prix_Unit_HT]]=0,0,Tableau14[[#This Row],[Prix_Unit_HT]]+(Tableau14[[#This Row],[Prix_Unit_HT]]*VLOOKUP(Tableau14[[#This Row],[EAN]],[1]Grille_Tarifs_Modulable!$B$10:$Q$204,16,FALSE)))</f>
        <v>15.039076199999998</v>
      </c>
      <c r="N635" s="224">
        <v>150</v>
      </c>
      <c r="O635" s="228">
        <f>ROUND(Tableau14[[#This Row],[Prix_Unit_HT]],2)*Tableau14[[#This Row],[Qte_commande]]</f>
        <v>1879.5</v>
      </c>
      <c r="P635" s="228">
        <f>ROUND(Tableau14[[#This Row],[Prix_Unit_TTC]],2)*Tableau14[[#This Row],[Qte_commande]]</f>
        <v>2256</v>
      </c>
      <c r="Q635" s="224">
        <v>150</v>
      </c>
      <c r="R635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150</v>
      </c>
      <c r="U635" s="224"/>
      <c r="V635" s="224"/>
    </row>
    <row r="636" spans="1:22" ht="14.65" customHeight="1" x14ac:dyDescent="0.2">
      <c r="A636" s="225">
        <v>43091</v>
      </c>
      <c r="B636" s="224" t="s">
        <v>1125</v>
      </c>
      <c r="C636" s="224" t="s">
        <v>170</v>
      </c>
      <c r="D636" s="224" t="s">
        <v>180</v>
      </c>
      <c r="E636" s="226"/>
      <c r="G636" s="224" t="s">
        <v>13</v>
      </c>
      <c r="H636" s="224" t="s">
        <v>451</v>
      </c>
      <c r="I636" s="224" t="s">
        <v>69</v>
      </c>
      <c r="J636" s="227">
        <v>3</v>
      </c>
      <c r="K636" s="227">
        <f t="array" ref="K636">IFERROR(INDEX([1]Grille_Tarifs_Modulable!$B$2:$B$204,MATCH(Tableau14[[#This Row],[Designation]]&amp;Tableau14[[#This Row],[CL]],[1]Grille_Tarifs_Modulable!$C$2:$C$204&amp;[1]Grille_Tarifs_Modulable!$F$2:$F$204,0)),0)</f>
        <v>121</v>
      </c>
      <c r="L636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299</v>
      </c>
      <c r="M636" s="228">
        <f>IF(Tableau14[[#This Row],[Prix_Unit_HT]]=0,0,Tableau14[[#This Row],[Prix_Unit_HT]]+(Tableau14[[#This Row],[Prix_Unit_HT]]*VLOOKUP(Tableau14[[#This Row],[EAN]],[1]Grille_Tarifs_Modulable!$B$10:$Q$204,16,FALSE)))</f>
        <v>358.8</v>
      </c>
      <c r="N636" s="224">
        <v>2</v>
      </c>
      <c r="O636" s="228">
        <f>ROUND(Tableau14[[#This Row],[Prix_Unit_HT]],2)*Tableau14[[#This Row],[Qte_commande]]</f>
        <v>598</v>
      </c>
      <c r="P636" s="228">
        <f>ROUND(Tableau14[[#This Row],[Prix_Unit_TTC]],2)*Tableau14[[#This Row],[Qte_commande]]</f>
        <v>717.6</v>
      </c>
      <c r="Q636" s="224">
        <v>2</v>
      </c>
      <c r="R636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2</v>
      </c>
      <c r="U636" s="224"/>
      <c r="V636" s="224"/>
    </row>
    <row r="637" spans="1:22" ht="14.65" customHeight="1" x14ac:dyDescent="0.2">
      <c r="A637" s="225">
        <v>43091</v>
      </c>
      <c r="B637" s="224" t="s">
        <v>1126</v>
      </c>
      <c r="C637" s="224" t="s">
        <v>1023</v>
      </c>
      <c r="D637" s="224" t="s">
        <v>443</v>
      </c>
      <c r="E637" s="226"/>
      <c r="G637" s="224" t="s">
        <v>13</v>
      </c>
      <c r="H637" s="224" t="s">
        <v>451</v>
      </c>
      <c r="I637" s="224" t="s">
        <v>69</v>
      </c>
      <c r="J637" s="227">
        <v>3</v>
      </c>
      <c r="K637" s="227">
        <f t="array" ref="K637">IFERROR(INDEX([1]Grille_Tarifs_Modulable!$B$2:$B$204,MATCH(Tableau14[[#This Row],[Designation]]&amp;Tableau14[[#This Row],[CL]],[1]Grille_Tarifs_Modulable!$C$2:$C$204&amp;[1]Grille_Tarifs_Modulable!$F$2:$F$204,0)),0)</f>
        <v>121</v>
      </c>
      <c r="L637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299</v>
      </c>
      <c r="M637" s="228">
        <f>IF(Tableau14[[#This Row],[Prix_Unit_HT]]=0,0,Tableau14[[#This Row],[Prix_Unit_HT]]+(Tableau14[[#This Row],[Prix_Unit_HT]]*VLOOKUP(Tableau14[[#This Row],[EAN]],[1]Grille_Tarifs_Modulable!$B$10:$Q$204,16,FALSE)))</f>
        <v>358.8</v>
      </c>
      <c r="N637" s="224">
        <v>1</v>
      </c>
      <c r="O637" s="228">
        <f>ROUND(Tableau14[[#This Row],[Prix_Unit_HT]],2)*Tableau14[[#This Row],[Qte_commande]]</f>
        <v>299</v>
      </c>
      <c r="P637" s="228">
        <f>ROUND(Tableau14[[#This Row],[Prix_Unit_TTC]],2)*Tableau14[[#This Row],[Qte_commande]]</f>
        <v>358.8</v>
      </c>
      <c r="Q637" s="224">
        <v>1</v>
      </c>
      <c r="R637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</v>
      </c>
      <c r="U637" s="224"/>
      <c r="V637" s="224"/>
    </row>
    <row r="638" spans="1:22" ht="14.65" customHeight="1" x14ac:dyDescent="0.2">
      <c r="A638" s="225">
        <v>43091</v>
      </c>
      <c r="B638" s="224" t="s">
        <v>1127</v>
      </c>
      <c r="C638" s="224" t="s">
        <v>1093</v>
      </c>
      <c r="D638" s="224" t="s">
        <v>1094</v>
      </c>
      <c r="E638" s="226"/>
      <c r="G638" s="224" t="s">
        <v>13</v>
      </c>
      <c r="H638" s="224" t="s">
        <v>451</v>
      </c>
      <c r="I638" s="224" t="s">
        <v>69</v>
      </c>
      <c r="J638" s="227">
        <v>3</v>
      </c>
      <c r="K638" s="227">
        <f t="array" ref="K638">IFERROR(INDEX([1]Grille_Tarifs_Modulable!$B$2:$B$204,MATCH(Tableau14[[#This Row],[Designation]]&amp;Tableau14[[#This Row],[CL]],[1]Grille_Tarifs_Modulable!$C$2:$C$204&amp;[1]Grille_Tarifs_Modulable!$F$2:$F$204,0)),0)</f>
        <v>121</v>
      </c>
      <c r="L638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299</v>
      </c>
      <c r="M638" s="228">
        <f>IF(Tableau14[[#This Row],[Prix_Unit_HT]]=0,0,Tableau14[[#This Row],[Prix_Unit_HT]]+(Tableau14[[#This Row],[Prix_Unit_HT]]*VLOOKUP(Tableau14[[#This Row],[EAN]],[1]Grille_Tarifs_Modulable!$B$10:$Q$204,16,FALSE)))</f>
        <v>358.8</v>
      </c>
      <c r="N638" s="224">
        <v>1</v>
      </c>
      <c r="O638" s="228">
        <f>ROUND(Tableau14[[#This Row],[Prix_Unit_HT]],2)*Tableau14[[#This Row],[Qte_commande]]</f>
        <v>299</v>
      </c>
      <c r="P638" s="228">
        <f>ROUND(Tableau14[[#This Row],[Prix_Unit_TTC]],2)*Tableau14[[#This Row],[Qte_commande]]</f>
        <v>358.8</v>
      </c>
      <c r="Q638" s="224">
        <v>1</v>
      </c>
      <c r="R638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</v>
      </c>
      <c r="U638" s="224"/>
      <c r="V638" s="224"/>
    </row>
    <row r="639" spans="1:22" ht="14.65" customHeight="1" x14ac:dyDescent="0.2">
      <c r="A639" s="225">
        <v>43091</v>
      </c>
      <c r="B639" s="224" t="s">
        <v>1128</v>
      </c>
      <c r="C639" s="224" t="s">
        <v>1129</v>
      </c>
      <c r="D639" s="224" t="s">
        <v>233</v>
      </c>
      <c r="E639" s="226"/>
      <c r="G639" s="224" t="s">
        <v>13</v>
      </c>
      <c r="H639" s="224" t="s">
        <v>451</v>
      </c>
      <c r="I639" s="224" t="s">
        <v>69</v>
      </c>
      <c r="J639" s="227">
        <v>3</v>
      </c>
      <c r="K639" s="227">
        <f t="array" ref="K639">IFERROR(INDEX([1]Grille_Tarifs_Modulable!$B$2:$B$204,MATCH(Tableau14[[#This Row],[Designation]]&amp;Tableau14[[#This Row],[CL]],[1]Grille_Tarifs_Modulable!$C$2:$C$204&amp;[1]Grille_Tarifs_Modulable!$F$2:$F$204,0)),0)</f>
        <v>121</v>
      </c>
      <c r="L639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299</v>
      </c>
      <c r="M639" s="228">
        <f>IF(Tableau14[[#This Row],[Prix_Unit_HT]]=0,0,Tableau14[[#This Row],[Prix_Unit_HT]]+(Tableau14[[#This Row],[Prix_Unit_HT]]*VLOOKUP(Tableau14[[#This Row],[EAN]],[1]Grille_Tarifs_Modulable!$B$10:$Q$204,16,FALSE)))</f>
        <v>358.8</v>
      </c>
      <c r="N639" s="224">
        <v>1</v>
      </c>
      <c r="O639" s="228">
        <f>ROUND(Tableau14[[#This Row],[Prix_Unit_HT]],2)*Tableau14[[#This Row],[Qte_commande]]</f>
        <v>299</v>
      </c>
      <c r="P639" s="228">
        <f>ROUND(Tableau14[[#This Row],[Prix_Unit_TTC]],2)*Tableau14[[#This Row],[Qte_commande]]</f>
        <v>358.8</v>
      </c>
      <c r="Q639" s="224">
        <v>1</v>
      </c>
      <c r="R639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</v>
      </c>
      <c r="U639" s="224"/>
      <c r="V639" s="224"/>
    </row>
    <row r="640" spans="1:22" ht="14.65" customHeight="1" x14ac:dyDescent="0.2">
      <c r="A640" s="225">
        <v>43091</v>
      </c>
      <c r="B640" s="224" t="s">
        <v>1130</v>
      </c>
      <c r="C640" s="224" t="s">
        <v>1131</v>
      </c>
      <c r="D640" s="224" t="s">
        <v>233</v>
      </c>
      <c r="E640" s="226"/>
      <c r="G640" s="224" t="s">
        <v>13</v>
      </c>
      <c r="H640" s="224" t="s">
        <v>451</v>
      </c>
      <c r="I640" s="224" t="s">
        <v>69</v>
      </c>
      <c r="J640" s="227">
        <v>3</v>
      </c>
      <c r="K640" s="227">
        <f t="array" ref="K640">IFERROR(INDEX([1]Grille_Tarifs_Modulable!$B$2:$B$204,MATCH(Tableau14[[#This Row],[Designation]]&amp;Tableau14[[#This Row],[CL]],[1]Grille_Tarifs_Modulable!$C$2:$C$204&amp;[1]Grille_Tarifs_Modulable!$F$2:$F$204,0)),0)</f>
        <v>121</v>
      </c>
      <c r="L640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299</v>
      </c>
      <c r="M640" s="228">
        <f>IF(Tableau14[[#This Row],[Prix_Unit_HT]]=0,0,Tableau14[[#This Row],[Prix_Unit_HT]]+(Tableau14[[#This Row],[Prix_Unit_HT]]*VLOOKUP(Tableau14[[#This Row],[EAN]],[1]Grille_Tarifs_Modulable!$B$10:$Q$204,16,FALSE)))</f>
        <v>358.8</v>
      </c>
      <c r="N640" s="224">
        <v>1</v>
      </c>
      <c r="O640" s="228">
        <f>ROUND(Tableau14[[#This Row],[Prix_Unit_HT]],2)*Tableau14[[#This Row],[Qte_commande]]</f>
        <v>299</v>
      </c>
      <c r="P640" s="228">
        <f>ROUND(Tableau14[[#This Row],[Prix_Unit_TTC]],2)*Tableau14[[#This Row],[Qte_commande]]</f>
        <v>358.8</v>
      </c>
      <c r="Q640" s="224">
        <v>1</v>
      </c>
      <c r="R640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</v>
      </c>
      <c r="U640" s="224"/>
      <c r="V640" s="224"/>
    </row>
    <row r="641" spans="1:22" ht="14.65" customHeight="1" x14ac:dyDescent="0.2">
      <c r="A641" s="225">
        <v>43091</v>
      </c>
      <c r="B641" s="224" t="s">
        <v>1132</v>
      </c>
      <c r="C641" s="224" t="s">
        <v>214</v>
      </c>
      <c r="D641" s="224" t="s">
        <v>215</v>
      </c>
      <c r="E641" s="226"/>
      <c r="G641" s="224" t="s">
        <v>13</v>
      </c>
      <c r="H641" s="224" t="s">
        <v>451</v>
      </c>
      <c r="I641" s="224" t="s">
        <v>69</v>
      </c>
      <c r="J641" s="227">
        <v>3</v>
      </c>
      <c r="K641" s="227">
        <f t="array" ref="K641">IFERROR(INDEX([1]Grille_Tarifs_Modulable!$B$2:$B$204,MATCH(Tableau14[[#This Row],[Designation]]&amp;Tableau14[[#This Row],[CL]],[1]Grille_Tarifs_Modulable!$C$2:$C$204&amp;[1]Grille_Tarifs_Modulable!$F$2:$F$204,0)),0)</f>
        <v>121</v>
      </c>
      <c r="L641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299</v>
      </c>
      <c r="M641" s="228">
        <f>IF(Tableau14[[#This Row],[Prix_Unit_HT]]=0,0,Tableau14[[#This Row],[Prix_Unit_HT]]+(Tableau14[[#This Row],[Prix_Unit_HT]]*VLOOKUP(Tableau14[[#This Row],[EAN]],[1]Grille_Tarifs_Modulable!$B$10:$Q$204,16,FALSE)))</f>
        <v>358.8</v>
      </c>
      <c r="N641" s="224">
        <v>3</v>
      </c>
      <c r="O641" s="228">
        <f>ROUND(Tableau14[[#This Row],[Prix_Unit_HT]],2)*Tableau14[[#This Row],[Qte_commande]]</f>
        <v>897</v>
      </c>
      <c r="P641" s="228">
        <f>ROUND(Tableau14[[#This Row],[Prix_Unit_TTC]],2)*Tableau14[[#This Row],[Qte_commande]]</f>
        <v>1076.4000000000001</v>
      </c>
      <c r="Q641" s="224">
        <v>3</v>
      </c>
      <c r="R641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3</v>
      </c>
      <c r="U641" s="224"/>
      <c r="V641" s="224"/>
    </row>
    <row r="642" spans="1:22" ht="14.65" customHeight="1" x14ac:dyDescent="0.2">
      <c r="A642" s="225">
        <v>43091</v>
      </c>
      <c r="B642" s="224" t="s">
        <v>1133</v>
      </c>
      <c r="C642" s="224" t="s">
        <v>293</v>
      </c>
      <c r="D642" s="224" t="s">
        <v>233</v>
      </c>
      <c r="E642" s="226"/>
      <c r="G642" s="224" t="s">
        <v>13</v>
      </c>
      <c r="H642" s="224" t="s">
        <v>451</v>
      </c>
      <c r="I642" s="224" t="s">
        <v>69</v>
      </c>
      <c r="J642" s="227">
        <v>3</v>
      </c>
      <c r="K642" s="227">
        <f t="array" ref="K642">IFERROR(INDEX([1]Grille_Tarifs_Modulable!$B$2:$B$204,MATCH(Tableau14[[#This Row],[Designation]]&amp;Tableau14[[#This Row],[CL]],[1]Grille_Tarifs_Modulable!$C$2:$C$204&amp;[1]Grille_Tarifs_Modulable!$F$2:$F$204,0)),0)</f>
        <v>121</v>
      </c>
      <c r="L642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299</v>
      </c>
      <c r="M642" s="228">
        <f>IF(Tableau14[[#This Row],[Prix_Unit_HT]]=0,0,Tableau14[[#This Row],[Prix_Unit_HT]]+(Tableau14[[#This Row],[Prix_Unit_HT]]*VLOOKUP(Tableau14[[#This Row],[EAN]],[1]Grille_Tarifs_Modulable!$B$10:$Q$204,16,FALSE)))</f>
        <v>358.8</v>
      </c>
      <c r="N642" s="224">
        <v>3</v>
      </c>
      <c r="O642" s="228">
        <f>ROUND(Tableau14[[#This Row],[Prix_Unit_HT]],2)*Tableau14[[#This Row],[Qte_commande]]</f>
        <v>897</v>
      </c>
      <c r="P642" s="228">
        <f>ROUND(Tableau14[[#This Row],[Prix_Unit_TTC]],2)*Tableau14[[#This Row],[Qte_commande]]</f>
        <v>1076.4000000000001</v>
      </c>
      <c r="Q642" s="224">
        <v>3</v>
      </c>
      <c r="R642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3</v>
      </c>
      <c r="U642" s="224"/>
      <c r="V642" s="224"/>
    </row>
    <row r="643" spans="1:22" ht="14.65" customHeight="1" x14ac:dyDescent="0.2">
      <c r="A643" s="225">
        <v>43091</v>
      </c>
      <c r="B643" s="224" t="s">
        <v>1134</v>
      </c>
      <c r="C643" s="224" t="s">
        <v>887</v>
      </c>
      <c r="D643" s="224" t="s">
        <v>887</v>
      </c>
      <c r="E643" s="226"/>
      <c r="G643" s="224" t="s">
        <v>13</v>
      </c>
      <c r="H643" s="224" t="s">
        <v>451</v>
      </c>
      <c r="I643" s="224" t="s">
        <v>69</v>
      </c>
      <c r="J643" s="227">
        <v>3</v>
      </c>
      <c r="K643" s="227">
        <f t="array" ref="K643">IFERROR(INDEX([1]Grille_Tarifs_Modulable!$B$2:$B$204,MATCH(Tableau14[[#This Row],[Designation]]&amp;Tableau14[[#This Row],[CL]],[1]Grille_Tarifs_Modulable!$C$2:$C$204&amp;[1]Grille_Tarifs_Modulable!$F$2:$F$204,0)),0)</f>
        <v>121</v>
      </c>
      <c r="L643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299</v>
      </c>
      <c r="M643" s="228">
        <f>IF(Tableau14[[#This Row],[Prix_Unit_HT]]=0,0,Tableau14[[#This Row],[Prix_Unit_HT]]+(Tableau14[[#This Row],[Prix_Unit_HT]]*VLOOKUP(Tableau14[[#This Row],[EAN]],[1]Grille_Tarifs_Modulable!$B$10:$Q$204,16,FALSE)))</f>
        <v>358.8</v>
      </c>
      <c r="N643" s="224">
        <v>1</v>
      </c>
      <c r="O643" s="228">
        <f>ROUND(Tableau14[[#This Row],[Prix_Unit_HT]],2)*Tableau14[[#This Row],[Qte_commande]]</f>
        <v>299</v>
      </c>
      <c r="P643" s="228">
        <f>ROUND(Tableau14[[#This Row],[Prix_Unit_TTC]],2)*Tableau14[[#This Row],[Qte_commande]]</f>
        <v>358.8</v>
      </c>
      <c r="Q643" s="224">
        <v>1</v>
      </c>
      <c r="R643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</v>
      </c>
      <c r="U643" s="224"/>
      <c r="V643" s="224"/>
    </row>
    <row r="644" spans="1:22" ht="14.65" customHeight="1" x14ac:dyDescent="0.2">
      <c r="A644" s="225">
        <v>43091</v>
      </c>
      <c r="B644" s="224" t="s">
        <v>1135</v>
      </c>
      <c r="C644" s="224" t="s">
        <v>158</v>
      </c>
      <c r="D644" s="224" t="s">
        <v>443</v>
      </c>
      <c r="E644" s="226"/>
      <c r="G644" s="224" t="s">
        <v>13</v>
      </c>
      <c r="H644" s="224" t="s">
        <v>451</v>
      </c>
      <c r="I644" s="224" t="s">
        <v>69</v>
      </c>
      <c r="J644" s="227">
        <v>3</v>
      </c>
      <c r="K644" s="227">
        <f t="array" ref="K644">IFERROR(INDEX([1]Grille_Tarifs_Modulable!$B$2:$B$204,MATCH(Tableau14[[#This Row],[Designation]]&amp;Tableau14[[#This Row],[CL]],[1]Grille_Tarifs_Modulable!$C$2:$C$204&amp;[1]Grille_Tarifs_Modulable!$F$2:$F$204,0)),0)</f>
        <v>121</v>
      </c>
      <c r="L644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299</v>
      </c>
      <c r="M644" s="228">
        <f>IF(Tableau14[[#This Row],[Prix_Unit_HT]]=0,0,Tableau14[[#This Row],[Prix_Unit_HT]]+(Tableau14[[#This Row],[Prix_Unit_HT]]*VLOOKUP(Tableau14[[#This Row],[EAN]],[1]Grille_Tarifs_Modulable!$B$10:$Q$204,16,FALSE)))</f>
        <v>358.8</v>
      </c>
      <c r="N644" s="224">
        <v>6</v>
      </c>
      <c r="O644" s="228">
        <f>ROUND(Tableau14[[#This Row],[Prix_Unit_HT]],2)*Tableau14[[#This Row],[Qte_commande]]</f>
        <v>1794</v>
      </c>
      <c r="P644" s="228">
        <f>ROUND(Tableau14[[#This Row],[Prix_Unit_TTC]],2)*Tableau14[[#This Row],[Qte_commande]]</f>
        <v>2152.8000000000002</v>
      </c>
      <c r="Q644" s="224">
        <v>6</v>
      </c>
      <c r="R644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</v>
      </c>
      <c r="U644" s="224"/>
      <c r="V644" s="224"/>
    </row>
    <row r="645" spans="1:22" ht="14.65" customHeight="1" x14ac:dyDescent="0.2">
      <c r="A645" s="225">
        <v>43091</v>
      </c>
      <c r="B645" s="224" t="s">
        <v>1136</v>
      </c>
      <c r="C645" s="224" t="s">
        <v>1137</v>
      </c>
      <c r="D645" s="224" t="s">
        <v>1138</v>
      </c>
      <c r="E645" s="226"/>
      <c r="G645" s="224" t="s">
        <v>13</v>
      </c>
      <c r="H645" s="224" t="s">
        <v>451</v>
      </c>
      <c r="I645" s="224" t="s">
        <v>69</v>
      </c>
      <c r="J645" s="227">
        <v>3</v>
      </c>
      <c r="K645" s="227">
        <f t="array" ref="K645">IFERROR(INDEX([1]Grille_Tarifs_Modulable!$B$2:$B$204,MATCH(Tableau14[[#This Row],[Designation]]&amp;Tableau14[[#This Row],[CL]],[1]Grille_Tarifs_Modulable!$C$2:$C$204&amp;[1]Grille_Tarifs_Modulable!$F$2:$F$204,0)),0)</f>
        <v>121</v>
      </c>
      <c r="L645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299</v>
      </c>
      <c r="M645" s="228">
        <f>IF(Tableau14[[#This Row],[Prix_Unit_HT]]=0,0,Tableau14[[#This Row],[Prix_Unit_HT]]+(Tableau14[[#This Row],[Prix_Unit_HT]]*VLOOKUP(Tableau14[[#This Row],[EAN]],[1]Grille_Tarifs_Modulable!$B$10:$Q$204,16,FALSE)))</f>
        <v>358.8</v>
      </c>
      <c r="N645" s="224">
        <v>1</v>
      </c>
      <c r="O645" s="228">
        <f>ROUND(Tableau14[[#This Row],[Prix_Unit_HT]],2)*Tableau14[[#This Row],[Qte_commande]]</f>
        <v>299</v>
      </c>
      <c r="P645" s="228">
        <f>ROUND(Tableau14[[#This Row],[Prix_Unit_TTC]],2)*Tableau14[[#This Row],[Qte_commande]]</f>
        <v>358.8</v>
      </c>
      <c r="Q645" s="224">
        <v>1</v>
      </c>
      <c r="R645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</v>
      </c>
      <c r="U645" s="224"/>
      <c r="V645" s="224"/>
    </row>
    <row r="646" spans="1:22" ht="14.65" customHeight="1" x14ac:dyDescent="0.2">
      <c r="A646" s="225">
        <v>43091</v>
      </c>
      <c r="B646" s="224" t="s">
        <v>1139</v>
      </c>
      <c r="C646" s="224" t="s">
        <v>1140</v>
      </c>
      <c r="D646" s="224" t="s">
        <v>1138</v>
      </c>
      <c r="E646" s="226"/>
      <c r="G646" s="224" t="s">
        <v>13</v>
      </c>
      <c r="H646" s="224" t="s">
        <v>451</v>
      </c>
      <c r="I646" s="224" t="s">
        <v>69</v>
      </c>
      <c r="J646" s="227">
        <v>3</v>
      </c>
      <c r="K646" s="227">
        <f t="array" ref="K646">IFERROR(INDEX([1]Grille_Tarifs_Modulable!$B$2:$B$204,MATCH(Tableau14[[#This Row],[Designation]]&amp;Tableau14[[#This Row],[CL]],[1]Grille_Tarifs_Modulable!$C$2:$C$204&amp;[1]Grille_Tarifs_Modulable!$F$2:$F$204,0)),0)</f>
        <v>121</v>
      </c>
      <c r="L646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299</v>
      </c>
      <c r="M646" s="228">
        <f>IF(Tableau14[[#This Row],[Prix_Unit_HT]]=0,0,Tableau14[[#This Row],[Prix_Unit_HT]]+(Tableau14[[#This Row],[Prix_Unit_HT]]*VLOOKUP(Tableau14[[#This Row],[EAN]],[1]Grille_Tarifs_Modulable!$B$10:$Q$204,16,FALSE)))</f>
        <v>358.8</v>
      </c>
      <c r="N646" s="224">
        <v>1</v>
      </c>
      <c r="O646" s="228">
        <f>ROUND(Tableau14[[#This Row],[Prix_Unit_HT]],2)*Tableau14[[#This Row],[Qte_commande]]</f>
        <v>299</v>
      </c>
      <c r="P646" s="228">
        <f>ROUND(Tableau14[[#This Row],[Prix_Unit_TTC]],2)*Tableau14[[#This Row],[Qte_commande]]</f>
        <v>358.8</v>
      </c>
      <c r="Q646" s="224">
        <v>1</v>
      </c>
      <c r="R646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</v>
      </c>
      <c r="U646" s="224"/>
      <c r="V646" s="224"/>
    </row>
    <row r="647" spans="1:22" ht="14.65" customHeight="1" x14ac:dyDescent="0.2">
      <c r="A647" s="225">
        <v>43091</v>
      </c>
      <c r="B647" s="224" t="s">
        <v>1141</v>
      </c>
      <c r="C647" s="224" t="s">
        <v>1142</v>
      </c>
      <c r="D647" s="224" t="s">
        <v>1143</v>
      </c>
      <c r="E647" s="226"/>
      <c r="G647" s="224" t="s">
        <v>13</v>
      </c>
      <c r="H647" s="224" t="s">
        <v>451</v>
      </c>
      <c r="I647" s="224" t="s">
        <v>69</v>
      </c>
      <c r="J647" s="227">
        <v>3</v>
      </c>
      <c r="K647" s="227">
        <f t="array" ref="K647">IFERROR(INDEX([1]Grille_Tarifs_Modulable!$B$2:$B$204,MATCH(Tableau14[[#This Row],[Designation]]&amp;Tableau14[[#This Row],[CL]],[1]Grille_Tarifs_Modulable!$C$2:$C$204&amp;[1]Grille_Tarifs_Modulable!$F$2:$F$204,0)),0)</f>
        <v>121</v>
      </c>
      <c r="L647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299</v>
      </c>
      <c r="M647" s="228">
        <f>IF(Tableau14[[#This Row],[Prix_Unit_HT]]=0,0,Tableau14[[#This Row],[Prix_Unit_HT]]+(Tableau14[[#This Row],[Prix_Unit_HT]]*VLOOKUP(Tableau14[[#This Row],[EAN]],[1]Grille_Tarifs_Modulable!$B$10:$Q$204,16,FALSE)))</f>
        <v>358.8</v>
      </c>
      <c r="N647" s="224">
        <v>1</v>
      </c>
      <c r="O647" s="228">
        <f>ROUND(Tableau14[[#This Row],[Prix_Unit_HT]],2)*Tableau14[[#This Row],[Qte_commande]]</f>
        <v>299</v>
      </c>
      <c r="P647" s="228">
        <f>ROUND(Tableau14[[#This Row],[Prix_Unit_TTC]],2)*Tableau14[[#This Row],[Qte_commande]]</f>
        <v>358.8</v>
      </c>
      <c r="Q647" s="224">
        <v>1</v>
      </c>
      <c r="R647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</v>
      </c>
      <c r="U647" s="224"/>
      <c r="V647" s="224"/>
    </row>
    <row r="648" spans="1:22" ht="14.65" customHeight="1" x14ac:dyDescent="0.2">
      <c r="A648" s="225">
        <v>43103</v>
      </c>
      <c r="B648" s="224" t="s">
        <v>638</v>
      </c>
      <c r="C648" s="224" t="s">
        <v>639</v>
      </c>
      <c r="D648" s="224" t="s">
        <v>373</v>
      </c>
      <c r="E648" s="226"/>
      <c r="G648" s="224" t="s">
        <v>1</v>
      </c>
      <c r="H648" s="224" t="s">
        <v>289</v>
      </c>
      <c r="I648" s="224" t="s">
        <v>15</v>
      </c>
      <c r="J648" s="224">
        <v>70</v>
      </c>
      <c r="K648" s="227">
        <f t="array" ref="K648">IFERROR(INDEX([1]Grille_Tarifs_Modulable!$B$2:$B$204,MATCH(Tableau14[[#This Row],[Designation]]&amp;Tableau14[[#This Row],[CL]],[1]Grille_Tarifs_Modulable!$C$2:$C$204&amp;[1]Grille_Tarifs_Modulable!$F$2:$F$204,0)),0)</f>
        <v>4067700013859</v>
      </c>
      <c r="L648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12.532563499999998</v>
      </c>
      <c r="M648" s="228">
        <f>IF(Tableau14[[#This Row],[Prix_Unit_HT]]=0,0,Tableau14[[#This Row],[Prix_Unit_HT]]+(Tableau14[[#This Row],[Prix_Unit_HT]]*VLOOKUP(Tableau14[[#This Row],[EAN]],[1]Grille_Tarifs_Modulable!$B$10:$Q$204,16,FALSE)))</f>
        <v>15.039076199999998</v>
      </c>
      <c r="N648" s="224">
        <v>150</v>
      </c>
      <c r="O648" s="228">
        <f>ROUND(Tableau14[[#This Row],[Prix_Unit_HT]],2)*Tableau14[[#This Row],[Qte_commande]]</f>
        <v>1879.5</v>
      </c>
      <c r="P648" s="228">
        <f>ROUND(Tableau14[[#This Row],[Prix_Unit_TTC]],2)*Tableau14[[#This Row],[Qte_commande]]</f>
        <v>2256</v>
      </c>
      <c r="Q648" s="224">
        <v>150</v>
      </c>
      <c r="R648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150</v>
      </c>
      <c r="U648" s="224"/>
      <c r="V648" s="224"/>
    </row>
    <row r="649" spans="1:22" ht="14.65" customHeight="1" x14ac:dyDescent="0.2">
      <c r="A649" s="225">
        <v>43103</v>
      </c>
      <c r="B649" s="224" t="s">
        <v>640</v>
      </c>
      <c r="C649" s="224" t="s">
        <v>194</v>
      </c>
      <c r="D649" s="224" t="s">
        <v>641</v>
      </c>
      <c r="E649" s="226"/>
      <c r="G649" s="224" t="s">
        <v>1</v>
      </c>
      <c r="H649" s="224" t="s">
        <v>289</v>
      </c>
      <c r="I649" s="224" t="s">
        <v>15</v>
      </c>
      <c r="J649" s="224">
        <v>175</v>
      </c>
      <c r="K649" s="227">
        <f t="array" ref="K649">IFERROR(INDEX([1]Grille_Tarifs_Modulable!$B$2:$B$204,MATCH(Tableau14[[#This Row],[Designation]]&amp;Tableau14[[#This Row],[CL]],[1]Grille_Tarifs_Modulable!$C$2:$C$204&amp;[1]Grille_Tarifs_Modulable!$F$2:$F$204,0)),0)</f>
        <v>4067700013835</v>
      </c>
      <c r="L649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28.916408750000002</v>
      </c>
      <c r="M649" s="228">
        <f>IF(Tableau14[[#This Row],[Prix_Unit_HT]]=0,0,Tableau14[[#This Row],[Prix_Unit_HT]]+(Tableau14[[#This Row],[Prix_Unit_HT]]*VLOOKUP(Tableau14[[#This Row],[EAN]],[1]Grille_Tarifs_Modulable!$B$10:$Q$204,16,FALSE)))</f>
        <v>34.699690500000003</v>
      </c>
      <c r="N649" s="224">
        <v>36</v>
      </c>
      <c r="O649" s="228">
        <f>ROUND(Tableau14[[#This Row],[Prix_Unit_HT]],2)*Tableau14[[#This Row],[Qte_commande]]</f>
        <v>1041.1200000000001</v>
      </c>
      <c r="P649" s="228">
        <f>ROUND(Tableau14[[#This Row],[Prix_Unit_TTC]],2)*Tableau14[[#This Row],[Qte_commande]]</f>
        <v>1249.2</v>
      </c>
      <c r="Q649" s="224">
        <v>90</v>
      </c>
      <c r="R649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90</v>
      </c>
      <c r="U649" s="224"/>
      <c r="V649" s="224"/>
    </row>
    <row r="650" spans="1:22" ht="14.65" customHeight="1" x14ac:dyDescent="0.2">
      <c r="A650" s="225">
        <v>43103</v>
      </c>
      <c r="B650" s="224" t="s">
        <v>638</v>
      </c>
      <c r="C650" s="224" t="s">
        <v>639</v>
      </c>
      <c r="D650" s="224" t="s">
        <v>373</v>
      </c>
      <c r="E650" s="226"/>
      <c r="G650" s="224" t="s">
        <v>1</v>
      </c>
      <c r="H650" s="224" t="s">
        <v>289</v>
      </c>
      <c r="I650" s="224" t="s">
        <v>42</v>
      </c>
      <c r="J650" s="224">
        <v>70</v>
      </c>
      <c r="K650" s="227">
        <f t="array" ref="K650">IFERROR(INDEX([1]Grille_Tarifs_Modulable!$B$2:$B$204,MATCH(Tableau14[[#This Row],[Designation]]&amp;Tableau14[[#This Row],[CL]],[1]Grille_Tarifs_Modulable!$C$2:$C$204&amp;[1]Grille_Tarifs_Modulable!$F$2:$F$204,0)),0)</f>
        <v>3257150688009</v>
      </c>
      <c r="L650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12.556915199999999</v>
      </c>
      <c r="M650" s="228">
        <f>IF(Tableau14[[#This Row],[Prix_Unit_HT]]=0,0,Tableau14[[#This Row],[Prix_Unit_HT]]+(Tableau14[[#This Row],[Prix_Unit_HT]]*VLOOKUP(Tableau14[[#This Row],[EAN]],[1]Grille_Tarifs_Modulable!$B$10:$Q$204,16,FALSE)))</f>
        <v>15.068298239999999</v>
      </c>
      <c r="N650" s="224">
        <v>72</v>
      </c>
      <c r="O650" s="228">
        <f>ROUND(Tableau14[[#This Row],[Prix_Unit_HT]],2)*Tableau14[[#This Row],[Qte_commande]]</f>
        <v>904.32</v>
      </c>
      <c r="P650" s="228">
        <f>ROUND(Tableau14[[#This Row],[Prix_Unit_TTC]],2)*Tableau14[[#This Row],[Qte_commande]]</f>
        <v>1085.04</v>
      </c>
      <c r="Q650" s="224">
        <v>72</v>
      </c>
      <c r="R650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72</v>
      </c>
      <c r="U650" s="224"/>
      <c r="V650" s="224"/>
    </row>
    <row r="651" spans="1:22" ht="14.65" customHeight="1" x14ac:dyDescent="0.2">
      <c r="A651" s="225">
        <v>43104</v>
      </c>
      <c r="B651" s="224" t="s">
        <v>1144</v>
      </c>
      <c r="C651" s="224" t="s">
        <v>175</v>
      </c>
      <c r="D651" s="224" t="s">
        <v>469</v>
      </c>
      <c r="E651" s="226"/>
      <c r="G651" s="224" t="s">
        <v>13</v>
      </c>
      <c r="H651" s="224" t="s">
        <v>451</v>
      </c>
      <c r="I651" s="224" t="s">
        <v>69</v>
      </c>
      <c r="J651" s="227">
        <v>3</v>
      </c>
      <c r="K651" s="227">
        <f t="array" ref="K651">IFERROR(INDEX([1]Grille_Tarifs_Modulable!$B$2:$B$204,MATCH(Tableau14[[#This Row],[Designation]]&amp;Tableau14[[#This Row],[CL]],[1]Grille_Tarifs_Modulable!$C$2:$C$204&amp;[1]Grille_Tarifs_Modulable!$F$2:$F$204,0)),0)</f>
        <v>121</v>
      </c>
      <c r="L651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299</v>
      </c>
      <c r="M651" s="228">
        <f>IF(Tableau14[[#This Row],[Prix_Unit_HT]]=0,0,Tableau14[[#This Row],[Prix_Unit_HT]]+(Tableau14[[#This Row],[Prix_Unit_HT]]*VLOOKUP(Tableau14[[#This Row],[EAN]],[1]Grille_Tarifs_Modulable!$B$10:$Q$204,16,FALSE)))</f>
        <v>358.8</v>
      </c>
      <c r="N651" s="224">
        <v>1</v>
      </c>
      <c r="O651" s="228">
        <f>ROUND(Tableau14[[#This Row],[Prix_Unit_HT]],2)*Tableau14[[#This Row],[Qte_commande]]</f>
        <v>299</v>
      </c>
      <c r="P651" s="228">
        <f>ROUND(Tableau14[[#This Row],[Prix_Unit_TTC]],2)*Tableau14[[#This Row],[Qte_commande]]</f>
        <v>358.8</v>
      </c>
      <c r="Q651" s="224">
        <v>1</v>
      </c>
      <c r="R651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</v>
      </c>
      <c r="U651" s="224"/>
      <c r="V651" s="224"/>
    </row>
    <row r="652" spans="1:22" ht="14.65" customHeight="1" x14ac:dyDescent="0.2">
      <c r="A652" s="225">
        <v>43105</v>
      </c>
      <c r="B652" s="224" t="s">
        <v>314</v>
      </c>
      <c r="C652" s="224" t="s">
        <v>198</v>
      </c>
      <c r="D652" s="224" t="s">
        <v>199</v>
      </c>
      <c r="E652" s="226"/>
      <c r="G652" s="224" t="s">
        <v>1</v>
      </c>
      <c r="H652" s="224" t="s">
        <v>289</v>
      </c>
      <c r="I652" s="224" t="s">
        <v>22</v>
      </c>
      <c r="J652" s="224">
        <v>70</v>
      </c>
      <c r="K652" s="227">
        <f t="array" ref="K652">IFERROR(INDEX([1]Grille_Tarifs_Modulable!$B$2:$B$204,MATCH(Tableau14[[#This Row],[Designation]]&amp;Tableau14[[#This Row],[CL]],[1]Grille_Tarifs_Modulable!$C$2:$C$204&amp;[1]Grille_Tarifs_Modulable!$F$2:$F$204,0)),0)</f>
        <v>4055800060200</v>
      </c>
      <c r="L652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17.408644000000002</v>
      </c>
      <c r="M652" s="228">
        <f>IF(Tableau14[[#This Row],[Prix_Unit_HT]]=0,0,Tableau14[[#This Row],[Prix_Unit_HT]]+(Tableau14[[#This Row],[Prix_Unit_HT]]*VLOOKUP(Tableau14[[#This Row],[EAN]],[1]Grille_Tarifs_Modulable!$B$10:$Q$204,16,FALSE)))</f>
        <v>20.890372800000002</v>
      </c>
      <c r="N652" s="224">
        <v>12</v>
      </c>
      <c r="O652" s="228">
        <f>ROUND(Tableau14[[#This Row],[Prix_Unit_HT]],2)*Tableau14[[#This Row],[Qte_commande]]</f>
        <v>208.92000000000002</v>
      </c>
      <c r="P652" s="228">
        <f>ROUND(Tableau14[[#This Row],[Prix_Unit_TTC]],2)*Tableau14[[#This Row],[Qte_commande]]</f>
        <v>250.68</v>
      </c>
      <c r="Q652" s="224">
        <v>12</v>
      </c>
      <c r="R652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12.000000000000002</v>
      </c>
      <c r="U652" s="224"/>
      <c r="V652" s="224"/>
    </row>
    <row r="653" spans="1:22" ht="14.65" customHeight="1" x14ac:dyDescent="0.2">
      <c r="A653" s="225">
        <v>43105</v>
      </c>
      <c r="B653" s="224" t="s">
        <v>314</v>
      </c>
      <c r="C653" s="224" t="s">
        <v>198</v>
      </c>
      <c r="D653" s="224" t="s">
        <v>199</v>
      </c>
      <c r="E653" s="226"/>
      <c r="G653" s="224" t="s">
        <v>1</v>
      </c>
      <c r="H653" s="224" t="s">
        <v>289</v>
      </c>
      <c r="I653" s="224" t="s">
        <v>15</v>
      </c>
      <c r="J653" s="224">
        <v>70</v>
      </c>
      <c r="K653" s="227">
        <f t="array" ref="K653">IFERROR(INDEX([1]Grille_Tarifs_Modulable!$B$2:$B$204,MATCH(Tableau14[[#This Row],[Designation]]&amp;Tableau14[[#This Row],[CL]],[1]Grille_Tarifs_Modulable!$C$2:$C$204&amp;[1]Grille_Tarifs_Modulable!$F$2:$F$204,0)),0)</f>
        <v>4067700013859</v>
      </c>
      <c r="L653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12.532563499999998</v>
      </c>
      <c r="M653" s="228">
        <f>IF(Tableau14[[#This Row],[Prix_Unit_HT]]=0,0,Tableau14[[#This Row],[Prix_Unit_HT]]+(Tableau14[[#This Row],[Prix_Unit_HT]]*VLOOKUP(Tableau14[[#This Row],[EAN]],[1]Grille_Tarifs_Modulable!$B$10:$Q$204,16,FALSE)))</f>
        <v>15.039076199999998</v>
      </c>
      <c r="N653" s="224">
        <v>72</v>
      </c>
      <c r="O653" s="228">
        <f>ROUND(Tableau14[[#This Row],[Prix_Unit_HT]],2)*Tableau14[[#This Row],[Qte_commande]]</f>
        <v>902.16</v>
      </c>
      <c r="P653" s="228">
        <f>ROUND(Tableau14[[#This Row],[Prix_Unit_TTC]],2)*Tableau14[[#This Row],[Qte_commande]]</f>
        <v>1082.8799999999999</v>
      </c>
      <c r="Q653" s="224">
        <v>72</v>
      </c>
      <c r="R653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72</v>
      </c>
      <c r="U653" s="224"/>
      <c r="V653" s="224"/>
    </row>
    <row r="654" spans="1:22" ht="14.65" customHeight="1" x14ac:dyDescent="0.2">
      <c r="A654" s="225">
        <v>43105</v>
      </c>
      <c r="B654" s="224" t="s">
        <v>314</v>
      </c>
      <c r="C654" s="224" t="s">
        <v>198</v>
      </c>
      <c r="D654" s="224" t="s">
        <v>199</v>
      </c>
      <c r="E654" s="226"/>
      <c r="G654" s="224" t="s">
        <v>1</v>
      </c>
      <c r="H654" s="224" t="s">
        <v>289</v>
      </c>
      <c r="I654" s="224" t="s">
        <v>15</v>
      </c>
      <c r="J654" s="224">
        <v>100</v>
      </c>
      <c r="K654" s="227">
        <f t="array" ref="K654">IFERROR(INDEX([1]Grille_Tarifs_Modulable!$B$2:$B$204,MATCH(Tableau14[[#This Row],[Designation]]&amp;Tableau14[[#This Row],[CL]],[1]Grille_Tarifs_Modulable!$C$2:$C$204&amp;[1]Grille_Tarifs_Modulable!$F$2:$F$204,0)),0)</f>
        <v>4067700013842</v>
      </c>
      <c r="L654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17.100804999999998</v>
      </c>
      <c r="M654" s="228">
        <f>IF(Tableau14[[#This Row],[Prix_Unit_HT]]=0,0,Tableau14[[#This Row],[Prix_Unit_HT]]+(Tableau14[[#This Row],[Prix_Unit_HT]]*VLOOKUP(Tableau14[[#This Row],[EAN]],[1]Grille_Tarifs_Modulable!$B$10:$Q$204,16,FALSE)))</f>
        <v>20.520965999999998</v>
      </c>
      <c r="N654" s="224">
        <v>18</v>
      </c>
      <c r="O654" s="228">
        <f>ROUND(Tableau14[[#This Row],[Prix_Unit_HT]],2)*Tableau14[[#This Row],[Qte_commande]]</f>
        <v>307.8</v>
      </c>
      <c r="P654" s="228">
        <f>ROUND(Tableau14[[#This Row],[Prix_Unit_TTC]],2)*Tableau14[[#This Row],[Qte_commande]]</f>
        <v>369.36</v>
      </c>
      <c r="Q654" s="224">
        <v>25.71</v>
      </c>
      <c r="R654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25.714285714285715</v>
      </c>
      <c r="U654" s="224"/>
      <c r="V654" s="224"/>
    </row>
    <row r="655" spans="1:22" ht="14.65" customHeight="1" x14ac:dyDescent="0.2">
      <c r="A655" s="225">
        <v>43105</v>
      </c>
      <c r="B655" s="224" t="s">
        <v>314</v>
      </c>
      <c r="C655" s="224" t="s">
        <v>198</v>
      </c>
      <c r="D655" s="224" t="s">
        <v>199</v>
      </c>
      <c r="E655" s="226"/>
      <c r="G655" s="224" t="s">
        <v>1</v>
      </c>
      <c r="H655" s="224" t="s">
        <v>196</v>
      </c>
      <c r="I655" s="224" t="s">
        <v>66</v>
      </c>
      <c r="J655" s="224">
        <v>50</v>
      </c>
      <c r="K655" s="227">
        <f t="array" ref="K655">IFERROR(INDEX([1]Grille_Tarifs_Modulable!$B$2:$B$204,MATCH(Tableau14[[#This Row],[Designation]]&amp;Tableau14[[#This Row],[CL]],[1]Grille_Tarifs_Modulable!$C$2:$C$204&amp;[1]Grille_Tarifs_Modulable!$F$2:$F$204,0)),0)</f>
        <v>4260310553382</v>
      </c>
      <c r="L655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</v>
      </c>
      <c r="M655" s="228">
        <f>IF(Tableau14[[#This Row],[Prix_Unit_HT]]=0,0,Tableau14[[#This Row],[Prix_Unit_HT]]+(Tableau14[[#This Row],[Prix_Unit_HT]]*VLOOKUP(Tableau14[[#This Row],[EAN]],[1]Grille_Tarifs_Modulable!$B$10:$Q$204,16,FALSE)))</f>
        <v>1.0549999999999999</v>
      </c>
      <c r="N655" s="224">
        <v>120</v>
      </c>
      <c r="O655" s="228">
        <f>ROUND(Tableau14[[#This Row],[Prix_Unit_HT]],2)*Tableau14[[#This Row],[Qte_commande]]</f>
        <v>120</v>
      </c>
      <c r="P655" s="228">
        <f>ROUND(Tableau14[[#This Row],[Prix_Unit_TTC]],2)*Tableau14[[#This Row],[Qte_commande]]</f>
        <v>127.2</v>
      </c>
      <c r="Q655" s="224">
        <v>85.71</v>
      </c>
      <c r="R655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85.714285714285722</v>
      </c>
      <c r="U655" s="224"/>
      <c r="V655" s="224"/>
    </row>
    <row r="656" spans="1:22" ht="14.65" customHeight="1" x14ac:dyDescent="0.2">
      <c r="A656" s="225">
        <v>43105</v>
      </c>
      <c r="B656" s="224" t="s">
        <v>314</v>
      </c>
      <c r="C656" s="224" t="s">
        <v>198</v>
      </c>
      <c r="D656" s="224" t="s">
        <v>199</v>
      </c>
      <c r="E656" s="226"/>
      <c r="G656" s="224" t="s">
        <v>1</v>
      </c>
      <c r="H656" s="224" t="s">
        <v>289</v>
      </c>
      <c r="I656" s="224" t="s">
        <v>44</v>
      </c>
      <c r="J656" s="224">
        <v>50</v>
      </c>
      <c r="K656" s="227">
        <f t="array" ref="K656">IFERROR(INDEX([1]Grille_Tarifs_Modulable!$B$2:$B$204,MATCH(Tableau14[[#This Row],[Designation]]&amp;Tableau14[[#This Row],[CL]],[1]Grille_Tarifs_Modulable!$C$2:$C$204&amp;[1]Grille_Tarifs_Modulable!$F$2:$F$204,0)),0)</f>
        <v>4260270192645</v>
      </c>
      <c r="L656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25.192506000000002</v>
      </c>
      <c r="M656" s="228">
        <f>IF(Tableau14[[#This Row],[Prix_Unit_HT]]=0,0,Tableau14[[#This Row],[Prix_Unit_HT]]+(Tableau14[[#This Row],[Prix_Unit_HT]]*VLOOKUP(Tableau14[[#This Row],[EAN]],[1]Grille_Tarifs_Modulable!$B$10:$Q$204,16,FALSE)))</f>
        <v>30.231007200000001</v>
      </c>
      <c r="N656" s="224">
        <v>12</v>
      </c>
      <c r="O656" s="228">
        <f>ROUND(Tableau14[[#This Row],[Prix_Unit_HT]],2)*Tableau14[[#This Row],[Qte_commande]]</f>
        <v>302.28000000000003</v>
      </c>
      <c r="P656" s="228">
        <f>ROUND(Tableau14[[#This Row],[Prix_Unit_TTC]],2)*Tableau14[[#This Row],[Qte_commande]]</f>
        <v>362.76</v>
      </c>
      <c r="Q656" s="224">
        <v>8.57</v>
      </c>
      <c r="R656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8.5714285714285712</v>
      </c>
      <c r="U656" s="224"/>
      <c r="V656" s="224"/>
    </row>
    <row r="657" spans="1:22" ht="14.65" customHeight="1" x14ac:dyDescent="0.2">
      <c r="A657" s="225">
        <v>43105</v>
      </c>
      <c r="B657" s="224" t="s">
        <v>314</v>
      </c>
      <c r="C657" s="224" t="s">
        <v>198</v>
      </c>
      <c r="D657" s="224" t="s">
        <v>199</v>
      </c>
      <c r="E657" s="226"/>
      <c r="G657" s="224" t="s">
        <v>1</v>
      </c>
      <c r="H657" s="224" t="s">
        <v>289</v>
      </c>
      <c r="I657" s="224" t="s">
        <v>42</v>
      </c>
      <c r="J657" s="224">
        <v>70</v>
      </c>
      <c r="K657" s="227">
        <f t="array" ref="K657">IFERROR(INDEX([1]Grille_Tarifs_Modulable!$B$2:$B$204,MATCH(Tableau14[[#This Row],[Designation]]&amp;Tableau14[[#This Row],[CL]],[1]Grille_Tarifs_Modulable!$C$2:$C$204&amp;[1]Grille_Tarifs_Modulable!$F$2:$F$204,0)),0)</f>
        <v>3257150688009</v>
      </c>
      <c r="L657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12.556915199999999</v>
      </c>
      <c r="M657" s="228">
        <f>IF(Tableau14[[#This Row],[Prix_Unit_HT]]=0,0,Tableau14[[#This Row],[Prix_Unit_HT]]+(Tableau14[[#This Row],[Prix_Unit_HT]]*VLOOKUP(Tableau14[[#This Row],[EAN]],[1]Grille_Tarifs_Modulable!$B$10:$Q$204,16,FALSE)))</f>
        <v>15.068298239999999</v>
      </c>
      <c r="N657" s="224">
        <v>24</v>
      </c>
      <c r="O657" s="228">
        <f>ROUND(Tableau14[[#This Row],[Prix_Unit_HT]],2)*Tableau14[[#This Row],[Qte_commande]]</f>
        <v>301.44</v>
      </c>
      <c r="P657" s="228">
        <f>ROUND(Tableau14[[#This Row],[Prix_Unit_TTC]],2)*Tableau14[[#This Row],[Qte_commande]]</f>
        <v>361.68</v>
      </c>
      <c r="Q657" s="224">
        <v>24</v>
      </c>
      <c r="R657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24.000000000000004</v>
      </c>
      <c r="U657" s="224"/>
      <c r="V657" s="224"/>
    </row>
    <row r="658" spans="1:22" ht="14.65" customHeight="1" x14ac:dyDescent="0.2">
      <c r="A658" s="225">
        <v>43117</v>
      </c>
      <c r="B658" s="224" t="s">
        <v>642</v>
      </c>
      <c r="C658" s="224" t="s">
        <v>301</v>
      </c>
      <c r="D658" s="224" t="s">
        <v>302</v>
      </c>
      <c r="E658" s="226"/>
      <c r="G658" s="224" t="s">
        <v>1</v>
      </c>
      <c r="H658" s="224" t="s">
        <v>289</v>
      </c>
      <c r="I658" s="224" t="s">
        <v>15</v>
      </c>
      <c r="J658" s="224">
        <v>100</v>
      </c>
      <c r="K658" s="227">
        <f t="array" ref="K658">IFERROR(INDEX([1]Grille_Tarifs_Modulable!$B$2:$B$204,MATCH(Tableau14[[#This Row],[Designation]]&amp;Tableau14[[#This Row],[CL]],[1]Grille_Tarifs_Modulable!$C$2:$C$204&amp;[1]Grille_Tarifs_Modulable!$F$2:$F$204,0)),0)</f>
        <v>4067700013842</v>
      </c>
      <c r="L658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17.100804999999998</v>
      </c>
      <c r="M658" s="228">
        <f>IF(Tableau14[[#This Row],[Prix_Unit_HT]]=0,0,Tableau14[[#This Row],[Prix_Unit_HT]]+(Tableau14[[#This Row],[Prix_Unit_HT]]*VLOOKUP(Tableau14[[#This Row],[EAN]],[1]Grille_Tarifs_Modulable!$B$10:$Q$204,16,FALSE)))</f>
        <v>20.520965999999998</v>
      </c>
      <c r="N658" s="224">
        <v>12</v>
      </c>
      <c r="O658" s="228">
        <f>ROUND(Tableau14[[#This Row],[Prix_Unit_HT]],2)*Tableau14[[#This Row],[Qte_commande]]</f>
        <v>205.20000000000002</v>
      </c>
      <c r="P658" s="228">
        <f>ROUND(Tableau14[[#This Row],[Prix_Unit_TTC]],2)*Tableau14[[#This Row],[Qte_commande]]</f>
        <v>246.24</v>
      </c>
      <c r="Q658" s="224">
        <v>17.14</v>
      </c>
      <c r="R658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17.142857142857142</v>
      </c>
      <c r="U658" s="224"/>
      <c r="V658" s="224"/>
    </row>
    <row r="659" spans="1:22" ht="14.65" customHeight="1" x14ac:dyDescent="0.2">
      <c r="A659" s="225">
        <v>43117</v>
      </c>
      <c r="B659" s="224" t="s">
        <v>642</v>
      </c>
      <c r="C659" s="224" t="s">
        <v>301</v>
      </c>
      <c r="D659" s="224" t="s">
        <v>302</v>
      </c>
      <c r="E659" s="226"/>
      <c r="G659" s="224" t="s">
        <v>1</v>
      </c>
      <c r="H659" s="224" t="s">
        <v>289</v>
      </c>
      <c r="I659" s="224" t="s">
        <v>25</v>
      </c>
      <c r="J659" s="224">
        <v>100</v>
      </c>
      <c r="K659" s="227">
        <f t="array" ref="K659">IFERROR(INDEX([1]Grille_Tarifs_Modulable!$B$2:$B$204,MATCH(Tableau14[[#This Row],[Designation]]&amp;Tableau14[[#This Row],[CL]],[1]Grille_Tarifs_Modulable!$C$2:$C$204&amp;[1]Grille_Tarifs_Modulable!$F$2:$F$204,0)),0)</f>
        <v>3257150410167</v>
      </c>
      <c r="L659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15.778874</v>
      </c>
      <c r="M659" s="228">
        <f>IF(Tableau14[[#This Row],[Prix_Unit_HT]]=0,0,Tableau14[[#This Row],[Prix_Unit_HT]]+(Tableau14[[#This Row],[Prix_Unit_HT]]*VLOOKUP(Tableau14[[#This Row],[EAN]],[1]Grille_Tarifs_Modulable!$B$10:$Q$204,16,FALSE)))</f>
        <v>18.934648800000002</v>
      </c>
      <c r="N659" s="224">
        <v>48</v>
      </c>
      <c r="O659" s="228">
        <f>ROUND(Tableau14[[#This Row],[Prix_Unit_HT]],2)*Tableau14[[#This Row],[Qte_commande]]</f>
        <v>757.43999999999994</v>
      </c>
      <c r="P659" s="228">
        <f>ROUND(Tableau14[[#This Row],[Prix_Unit_TTC]],2)*Tableau14[[#This Row],[Qte_commande]]</f>
        <v>908.64</v>
      </c>
      <c r="Q659" s="224">
        <v>68.569999999999993</v>
      </c>
      <c r="R659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68.571428571428569</v>
      </c>
      <c r="U659" s="224"/>
      <c r="V659" s="224"/>
    </row>
    <row r="660" spans="1:22" ht="14.65" customHeight="1" x14ac:dyDescent="0.2">
      <c r="A660" s="225">
        <v>43124</v>
      </c>
      <c r="B660" s="224" t="s">
        <v>643</v>
      </c>
      <c r="C660" s="224" t="s">
        <v>194</v>
      </c>
      <c r="D660" s="224" t="s">
        <v>641</v>
      </c>
      <c r="E660" s="226"/>
      <c r="G660" s="224" t="s">
        <v>1</v>
      </c>
      <c r="H660" s="224" t="s">
        <v>289</v>
      </c>
      <c r="I660" s="224" t="s">
        <v>15</v>
      </c>
      <c r="J660" s="224">
        <v>175</v>
      </c>
      <c r="K660" s="227">
        <f t="array" ref="K660">IFERROR(INDEX([1]Grille_Tarifs_Modulable!$B$2:$B$204,MATCH(Tableau14[[#This Row],[Designation]]&amp;Tableau14[[#This Row],[CL]],[1]Grille_Tarifs_Modulable!$C$2:$C$204&amp;[1]Grille_Tarifs_Modulable!$F$2:$F$204,0)),0)</f>
        <v>4067700013835</v>
      </c>
      <c r="L660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28.916408750000002</v>
      </c>
      <c r="M660" s="228">
        <f>IF(Tableau14[[#This Row],[Prix_Unit_HT]]=0,0,Tableau14[[#This Row],[Prix_Unit_HT]]+(Tableau14[[#This Row],[Prix_Unit_HT]]*VLOOKUP(Tableau14[[#This Row],[EAN]],[1]Grille_Tarifs_Modulable!$B$10:$Q$204,16,FALSE)))</f>
        <v>34.699690500000003</v>
      </c>
      <c r="N660" s="224">
        <v>60</v>
      </c>
      <c r="O660" s="228">
        <f>ROUND(Tableau14[[#This Row],[Prix_Unit_HT]],2)*Tableau14[[#This Row],[Qte_commande]]</f>
        <v>1735.2</v>
      </c>
      <c r="P660" s="228">
        <f>ROUND(Tableau14[[#This Row],[Prix_Unit_TTC]],2)*Tableau14[[#This Row],[Qte_commande]]</f>
        <v>2082</v>
      </c>
      <c r="Q660" s="224">
        <v>150</v>
      </c>
      <c r="R660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150</v>
      </c>
      <c r="U660" s="224"/>
      <c r="V660" s="224"/>
    </row>
    <row r="661" spans="1:22" ht="14.65" customHeight="1" x14ac:dyDescent="0.2">
      <c r="A661" s="225">
        <v>43125</v>
      </c>
      <c r="B661" s="224" t="s">
        <v>315</v>
      </c>
      <c r="C661" s="224" t="s">
        <v>316</v>
      </c>
      <c r="D661" s="224" t="s">
        <v>317</v>
      </c>
      <c r="E661" s="226"/>
      <c r="G661" s="224" t="s">
        <v>1</v>
      </c>
      <c r="H661" s="224" t="s">
        <v>289</v>
      </c>
      <c r="I661" s="224" t="s">
        <v>22</v>
      </c>
      <c r="J661" s="224">
        <v>70</v>
      </c>
      <c r="K661" s="227">
        <f t="array" ref="K661">IFERROR(INDEX([1]Grille_Tarifs_Modulable!$B$2:$B$204,MATCH(Tableau14[[#This Row],[Designation]]&amp;Tableau14[[#This Row],[CL]],[1]Grille_Tarifs_Modulable!$C$2:$C$204&amp;[1]Grille_Tarifs_Modulable!$F$2:$F$204,0)),0)</f>
        <v>4055800060200</v>
      </c>
      <c r="L661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17.408644000000002</v>
      </c>
      <c r="M661" s="228">
        <f>IF(Tableau14[[#This Row],[Prix_Unit_HT]]=0,0,Tableau14[[#This Row],[Prix_Unit_HT]]+(Tableau14[[#This Row],[Prix_Unit_HT]]*VLOOKUP(Tableau14[[#This Row],[EAN]],[1]Grille_Tarifs_Modulable!$B$10:$Q$204,16,FALSE)))</f>
        <v>20.890372800000002</v>
      </c>
      <c r="N661" s="224">
        <v>18</v>
      </c>
      <c r="O661" s="228">
        <f>ROUND(Tableau14[[#This Row],[Prix_Unit_HT]],2)*Tableau14[[#This Row],[Qte_commande]]</f>
        <v>313.38</v>
      </c>
      <c r="P661" s="228">
        <f>ROUND(Tableau14[[#This Row],[Prix_Unit_TTC]],2)*Tableau14[[#This Row],[Qte_commande]]</f>
        <v>376.02</v>
      </c>
      <c r="Q661" s="224">
        <v>18</v>
      </c>
      <c r="R661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18</v>
      </c>
      <c r="U661" s="224"/>
      <c r="V661" s="224"/>
    </row>
    <row r="662" spans="1:22" ht="14.65" customHeight="1" x14ac:dyDescent="0.2">
      <c r="A662" s="225">
        <v>43125</v>
      </c>
      <c r="B662" s="224" t="s">
        <v>315</v>
      </c>
      <c r="C662" s="224" t="s">
        <v>316</v>
      </c>
      <c r="D662" s="224" t="s">
        <v>317</v>
      </c>
      <c r="E662" s="226"/>
      <c r="G662" s="224" t="s">
        <v>1</v>
      </c>
      <c r="H662" s="224" t="s">
        <v>289</v>
      </c>
      <c r="I662" s="224" t="s">
        <v>35</v>
      </c>
      <c r="J662" s="224">
        <v>70</v>
      </c>
      <c r="K662" s="227">
        <f t="array" ref="K662">IFERROR(INDEX([1]Grille_Tarifs_Modulable!$B$2:$B$204,MATCH(Tableau14[[#This Row],[Designation]]&amp;Tableau14[[#This Row],[CL]],[1]Grille_Tarifs_Modulable!$C$2:$C$204&amp;[1]Grille_Tarifs_Modulable!$F$2:$F$204,0)),0)</f>
        <v>3257150107012</v>
      </c>
      <c r="L662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29.828643999999997</v>
      </c>
      <c r="M662" s="228">
        <f>IF(Tableau14[[#This Row],[Prix_Unit_HT]]=0,0,Tableau14[[#This Row],[Prix_Unit_HT]]+(Tableau14[[#This Row],[Prix_Unit_HT]]*VLOOKUP(Tableau14[[#This Row],[EAN]],[1]Grille_Tarifs_Modulable!$B$10:$Q$204,16,FALSE)))</f>
        <v>35.794372799999998</v>
      </c>
      <c r="N662" s="224">
        <v>12</v>
      </c>
      <c r="O662" s="228">
        <f>ROUND(Tableau14[[#This Row],[Prix_Unit_HT]],2)*Tableau14[[#This Row],[Qte_commande]]</f>
        <v>357.96</v>
      </c>
      <c r="P662" s="228">
        <f>ROUND(Tableau14[[#This Row],[Prix_Unit_TTC]],2)*Tableau14[[#This Row],[Qte_commande]]</f>
        <v>429.48</v>
      </c>
      <c r="Q662" s="224">
        <v>12</v>
      </c>
      <c r="R662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12.000000000000002</v>
      </c>
      <c r="U662" s="224"/>
      <c r="V662" s="224"/>
    </row>
    <row r="663" spans="1:22" ht="14.65" customHeight="1" x14ac:dyDescent="0.2">
      <c r="A663" s="225">
        <v>43125</v>
      </c>
      <c r="B663" s="224" t="s">
        <v>315</v>
      </c>
      <c r="C663" s="224" t="s">
        <v>316</v>
      </c>
      <c r="D663" s="224" t="s">
        <v>317</v>
      </c>
      <c r="E663" s="226"/>
      <c r="G663" s="224" t="s">
        <v>1</v>
      </c>
      <c r="H663" s="224" t="s">
        <v>289</v>
      </c>
      <c r="I663" s="224" t="s">
        <v>30</v>
      </c>
      <c r="J663" s="224">
        <v>70</v>
      </c>
      <c r="K663" s="227">
        <f t="array" ref="K663">IFERROR(INDEX([1]Grille_Tarifs_Modulable!$B$2:$B$204,MATCH(Tableau14[[#This Row],[Designation]]&amp;Tableau14[[#This Row],[CL]],[1]Grille_Tarifs_Modulable!$C$2:$C$204&amp;[1]Grille_Tarifs_Modulable!$F$2:$F$204,0)),0)</f>
        <v>3257150101904</v>
      </c>
      <c r="L663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16.346482999999999</v>
      </c>
      <c r="M663" s="228">
        <f>IF(Tableau14[[#This Row],[Prix_Unit_HT]]=0,0,Tableau14[[#This Row],[Prix_Unit_HT]]+(Tableau14[[#This Row],[Prix_Unit_HT]]*VLOOKUP(Tableau14[[#This Row],[EAN]],[1]Grille_Tarifs_Modulable!$B$10:$Q$204,16,FALSE)))</f>
        <v>19.6157796</v>
      </c>
      <c r="N663" s="224">
        <v>6</v>
      </c>
      <c r="O663" s="228">
        <f>ROUND(Tableau14[[#This Row],[Prix_Unit_HT]],2)*Tableau14[[#This Row],[Qte_commande]]</f>
        <v>98.100000000000009</v>
      </c>
      <c r="P663" s="228">
        <f>ROUND(Tableau14[[#This Row],[Prix_Unit_TTC]],2)*Tableau14[[#This Row],[Qte_commande]]</f>
        <v>117.72</v>
      </c>
      <c r="Q663" s="224">
        <v>6</v>
      </c>
      <c r="R663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6.0000000000000009</v>
      </c>
      <c r="U663" s="224"/>
      <c r="V663" s="224"/>
    </row>
    <row r="664" spans="1:22" ht="14.65" customHeight="1" x14ac:dyDescent="0.2">
      <c r="A664" s="225">
        <v>43125</v>
      </c>
      <c r="B664" s="224" t="s">
        <v>315</v>
      </c>
      <c r="C664" s="224" t="s">
        <v>316</v>
      </c>
      <c r="D664" s="224" t="s">
        <v>317</v>
      </c>
      <c r="E664" s="226"/>
      <c r="G664" s="224" t="s">
        <v>1</v>
      </c>
      <c r="H664" s="224" t="s">
        <v>289</v>
      </c>
      <c r="I664" s="224" t="s">
        <v>31</v>
      </c>
      <c r="J664" s="224">
        <v>70</v>
      </c>
      <c r="K664" s="227">
        <f t="array" ref="K664">IFERROR(INDEX([1]Grille_Tarifs_Modulable!$B$2:$B$204,MATCH(Tableau14[[#This Row],[Designation]]&amp;Tableau14[[#This Row],[CL]],[1]Grille_Tarifs_Modulable!$C$2:$C$204&amp;[1]Grille_Tarifs_Modulable!$F$2:$F$204,0)),0)</f>
        <v>3257150102017</v>
      </c>
      <c r="L664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14.694322</v>
      </c>
      <c r="M664" s="228">
        <f>IF(Tableau14[[#This Row],[Prix_Unit_HT]]=0,0,Tableau14[[#This Row],[Prix_Unit_HT]]+(Tableau14[[#This Row],[Prix_Unit_HT]]*VLOOKUP(Tableau14[[#This Row],[EAN]],[1]Grille_Tarifs_Modulable!$B$10:$Q$204,16,FALSE)))</f>
        <v>17.6331864</v>
      </c>
      <c r="N664" s="224">
        <v>6</v>
      </c>
      <c r="O664" s="228">
        <f>ROUND(Tableau14[[#This Row],[Prix_Unit_HT]],2)*Tableau14[[#This Row],[Qte_commande]]</f>
        <v>88.14</v>
      </c>
      <c r="P664" s="228">
        <f>ROUND(Tableau14[[#This Row],[Prix_Unit_TTC]],2)*Tableau14[[#This Row],[Qte_commande]]</f>
        <v>105.78</v>
      </c>
      <c r="Q664" s="224">
        <v>6</v>
      </c>
      <c r="R664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6.0000000000000009</v>
      </c>
      <c r="U664" s="224"/>
      <c r="V664" s="224"/>
    </row>
    <row r="665" spans="1:22" ht="14.65" customHeight="1" x14ac:dyDescent="0.2">
      <c r="A665" s="225">
        <v>43125</v>
      </c>
      <c r="B665" s="224" t="s">
        <v>315</v>
      </c>
      <c r="C665" s="224" t="s">
        <v>316</v>
      </c>
      <c r="D665" s="224" t="s">
        <v>317</v>
      </c>
      <c r="E665" s="226"/>
      <c r="G665" s="224" t="s">
        <v>1</v>
      </c>
      <c r="H665" s="224" t="s">
        <v>289</v>
      </c>
      <c r="I665" s="224" t="s">
        <v>44</v>
      </c>
      <c r="J665" s="224">
        <v>50</v>
      </c>
      <c r="K665" s="227">
        <f t="array" ref="K665">IFERROR(INDEX([1]Grille_Tarifs_Modulable!$B$2:$B$204,MATCH(Tableau14[[#This Row],[Designation]]&amp;Tableau14[[#This Row],[CL]],[1]Grille_Tarifs_Modulable!$C$2:$C$204&amp;[1]Grille_Tarifs_Modulable!$F$2:$F$204,0)),0)</f>
        <v>4260270192645</v>
      </c>
      <c r="L665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25.192506000000002</v>
      </c>
      <c r="M665" s="228">
        <f>IF(Tableau14[[#This Row],[Prix_Unit_HT]]=0,0,Tableau14[[#This Row],[Prix_Unit_HT]]+(Tableau14[[#This Row],[Prix_Unit_HT]]*VLOOKUP(Tableau14[[#This Row],[EAN]],[1]Grille_Tarifs_Modulable!$B$10:$Q$204,16,FALSE)))</f>
        <v>30.231007200000001</v>
      </c>
      <c r="N665" s="224">
        <v>36</v>
      </c>
      <c r="O665" s="228">
        <f>ROUND(Tableau14[[#This Row],[Prix_Unit_HT]],2)*Tableau14[[#This Row],[Qte_commande]]</f>
        <v>906.84</v>
      </c>
      <c r="P665" s="228">
        <f>ROUND(Tableau14[[#This Row],[Prix_Unit_TTC]],2)*Tableau14[[#This Row],[Qte_commande]]</f>
        <v>1088.28</v>
      </c>
      <c r="Q665" s="224">
        <v>25.71</v>
      </c>
      <c r="R665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25.714285714285715</v>
      </c>
      <c r="U665" s="224"/>
      <c r="V665" s="224"/>
    </row>
    <row r="666" spans="1:22" ht="14.65" customHeight="1" x14ac:dyDescent="0.2">
      <c r="A666" s="225">
        <v>43125</v>
      </c>
      <c r="B666" s="224" t="s">
        <v>315</v>
      </c>
      <c r="C666" s="224" t="s">
        <v>316</v>
      </c>
      <c r="D666" s="224" t="s">
        <v>317</v>
      </c>
      <c r="E666" s="226"/>
      <c r="G666" s="224" t="s">
        <v>1</v>
      </c>
      <c r="H666" s="224"/>
      <c r="I666" s="224" t="s">
        <v>1348</v>
      </c>
      <c r="J666" s="228" t="s">
        <v>448</v>
      </c>
      <c r="K666" s="227">
        <f t="array" ref="K666">IFERROR(INDEX([1]Grille_Tarifs_Modulable!$B$2:$B$204,MATCH(Tableau14[[#This Row],[Designation]]&amp;Tableau14[[#This Row],[CL]],[1]Grille_Tarifs_Modulable!$C$2:$C$204&amp;[1]Grille_Tarifs_Modulable!$F$2:$F$204,0)),0)</f>
        <v>0</v>
      </c>
      <c r="L666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</v>
      </c>
      <c r="M666" s="228">
        <f>IF(Tableau14[[#This Row],[Prix_Unit_HT]]=0,0,Tableau14[[#This Row],[Prix_Unit_HT]]+(Tableau14[[#This Row],[Prix_Unit_HT]]*VLOOKUP(Tableau14[[#This Row],[EAN]],[1]Grille_Tarifs_Modulable!$B$10:$Q$204,16,FALSE)))</f>
        <v>0</v>
      </c>
      <c r="N666" s="224">
        <v>1</v>
      </c>
      <c r="O666" s="228">
        <f>ROUND(Tableau14[[#This Row],[Prix_Unit_HT]],2)*Tableau14[[#This Row],[Qte_commande]]</f>
        <v>0</v>
      </c>
      <c r="P666" s="228">
        <f>ROUND(Tableau14[[#This Row],[Prix_Unit_TTC]],2)*Tableau14[[#This Row],[Qte_commande]]</f>
        <v>0</v>
      </c>
      <c r="Q666" s="224">
        <v>1</v>
      </c>
      <c r="R666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0</v>
      </c>
      <c r="U666" s="224"/>
      <c r="V666" s="224"/>
    </row>
    <row r="667" spans="1:22" ht="14.65" customHeight="1" x14ac:dyDescent="0.2">
      <c r="A667" s="225">
        <v>43126</v>
      </c>
      <c r="B667" s="224" t="s">
        <v>1145</v>
      </c>
      <c r="C667" s="224" t="s">
        <v>522</v>
      </c>
      <c r="D667" s="224" t="s">
        <v>523</v>
      </c>
      <c r="E667" s="226"/>
      <c r="G667" s="224" t="s">
        <v>13</v>
      </c>
      <c r="H667" s="224" t="s">
        <v>451</v>
      </c>
      <c r="I667" s="224" t="s">
        <v>69</v>
      </c>
      <c r="J667" s="227">
        <v>3</v>
      </c>
      <c r="K667" s="227">
        <f t="array" ref="K667">IFERROR(INDEX([1]Grille_Tarifs_Modulable!$B$2:$B$204,MATCH(Tableau14[[#This Row],[Designation]]&amp;Tableau14[[#This Row],[CL]],[1]Grille_Tarifs_Modulable!$C$2:$C$204&amp;[1]Grille_Tarifs_Modulable!$F$2:$F$204,0)),0)</f>
        <v>121</v>
      </c>
      <c r="L667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299</v>
      </c>
      <c r="M667" s="228">
        <f>IF(Tableau14[[#This Row],[Prix_Unit_HT]]=0,0,Tableau14[[#This Row],[Prix_Unit_HT]]+(Tableau14[[#This Row],[Prix_Unit_HT]]*VLOOKUP(Tableau14[[#This Row],[EAN]],[1]Grille_Tarifs_Modulable!$B$10:$Q$204,16,FALSE)))</f>
        <v>358.8</v>
      </c>
      <c r="N667" s="224">
        <v>1</v>
      </c>
      <c r="O667" s="228">
        <f>ROUND(Tableau14[[#This Row],[Prix_Unit_HT]],2)*Tableau14[[#This Row],[Qte_commande]]</f>
        <v>299</v>
      </c>
      <c r="P667" s="228">
        <f>ROUND(Tableau14[[#This Row],[Prix_Unit_TTC]],2)*Tableau14[[#This Row],[Qte_commande]]</f>
        <v>358.8</v>
      </c>
      <c r="Q667" s="224">
        <v>1</v>
      </c>
      <c r="R667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</v>
      </c>
      <c r="U667" s="224"/>
      <c r="V667" s="224"/>
    </row>
    <row r="668" spans="1:22" ht="14.65" customHeight="1" x14ac:dyDescent="0.2">
      <c r="A668" s="225">
        <v>43129</v>
      </c>
      <c r="B668" s="224" t="s">
        <v>230</v>
      </c>
      <c r="C668" s="224" t="s">
        <v>227</v>
      </c>
      <c r="D668" s="224" t="s">
        <v>228</v>
      </c>
      <c r="E668" s="226"/>
      <c r="G668" s="224" t="s">
        <v>13</v>
      </c>
      <c r="H668" s="224" t="s">
        <v>196</v>
      </c>
      <c r="I668" s="224" t="s">
        <v>62</v>
      </c>
      <c r="J668" s="224">
        <v>20</v>
      </c>
      <c r="K668" s="227">
        <f t="array" ref="K668">IFERROR(INDEX([1]Grille_Tarifs_Modulable!$B$2:$B$204,MATCH(Tableau14[[#This Row],[Designation]]&amp;Tableau14[[#This Row],[CL]],[1]Grille_Tarifs_Modulable!$C$2:$C$204&amp;[1]Grille_Tarifs_Modulable!$F$2:$F$204,0)),0)</f>
        <v>4260310550305</v>
      </c>
      <c r="L668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0.89</v>
      </c>
      <c r="M668" s="228">
        <f>IF(Tableau14[[#This Row],[Prix_Unit_HT]]=0,0,Tableau14[[#This Row],[Prix_Unit_HT]]+(Tableau14[[#This Row],[Prix_Unit_HT]]*VLOOKUP(Tableau14[[#This Row],[EAN]],[1]Grille_Tarifs_Modulable!$B$10:$Q$204,16,FALSE)))</f>
        <v>0.93895000000000006</v>
      </c>
      <c r="N668" s="224">
        <v>48</v>
      </c>
      <c r="O668" s="228">
        <f>ROUND(Tableau14[[#This Row],[Prix_Unit_HT]],2)*Tableau14[[#This Row],[Qte_commande]]</f>
        <v>42.72</v>
      </c>
      <c r="P668" s="228">
        <f>ROUND(Tableau14[[#This Row],[Prix_Unit_TTC]],2)*Tableau14[[#This Row],[Qte_commande]]</f>
        <v>45.12</v>
      </c>
      <c r="Q668" s="224">
        <v>13.71</v>
      </c>
      <c r="R668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13.714285714285715</v>
      </c>
      <c r="U668" s="224"/>
      <c r="V668" s="224"/>
    </row>
    <row r="669" spans="1:22" ht="14.65" customHeight="1" x14ac:dyDescent="0.2">
      <c r="A669" s="225">
        <v>43129</v>
      </c>
      <c r="B669" s="224" t="s">
        <v>230</v>
      </c>
      <c r="C669" s="224" t="s">
        <v>227</v>
      </c>
      <c r="D669" s="224" t="s">
        <v>228</v>
      </c>
      <c r="E669" s="226"/>
      <c r="G669" s="224" t="s">
        <v>13</v>
      </c>
      <c r="H669" s="224" t="s">
        <v>196</v>
      </c>
      <c r="I669" s="224" t="s">
        <v>65</v>
      </c>
      <c r="J669" s="224">
        <v>20</v>
      </c>
      <c r="K669" s="227">
        <f t="array" ref="K669">IFERROR(INDEX([1]Grille_Tarifs_Modulable!$B$2:$B$204,MATCH(Tableau14[[#This Row],[Designation]]&amp;Tableau14[[#This Row],[CL]],[1]Grille_Tarifs_Modulable!$C$2:$C$204&amp;[1]Grille_Tarifs_Modulable!$F$2:$F$204,0)),0)</f>
        <v>4260310553863</v>
      </c>
      <c r="L669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0.89</v>
      </c>
      <c r="M669" s="228">
        <f>IF(Tableau14[[#This Row],[Prix_Unit_HT]]=0,0,Tableau14[[#This Row],[Prix_Unit_HT]]+(Tableau14[[#This Row],[Prix_Unit_HT]]*VLOOKUP(Tableau14[[#This Row],[EAN]],[1]Grille_Tarifs_Modulable!$B$10:$Q$204,16,FALSE)))</f>
        <v>0.93895000000000006</v>
      </c>
      <c r="N669" s="224">
        <v>48</v>
      </c>
      <c r="O669" s="228">
        <f>ROUND(Tableau14[[#This Row],[Prix_Unit_HT]],2)*Tableau14[[#This Row],[Qte_commande]]</f>
        <v>42.72</v>
      </c>
      <c r="P669" s="228">
        <f>ROUND(Tableau14[[#This Row],[Prix_Unit_TTC]],2)*Tableau14[[#This Row],[Qte_commande]]</f>
        <v>45.12</v>
      </c>
      <c r="Q669" s="224">
        <v>13.71</v>
      </c>
      <c r="R669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13.714285714285715</v>
      </c>
      <c r="U669" s="224"/>
      <c r="V669" s="224"/>
    </row>
    <row r="670" spans="1:22" ht="14.65" customHeight="1" x14ac:dyDescent="0.2">
      <c r="A670" s="225">
        <v>43129</v>
      </c>
      <c r="B670" s="224" t="s">
        <v>230</v>
      </c>
      <c r="C670" s="224" t="s">
        <v>227</v>
      </c>
      <c r="D670" s="224" t="s">
        <v>228</v>
      </c>
      <c r="E670" s="226"/>
      <c r="G670" s="224" t="s">
        <v>13</v>
      </c>
      <c r="H670" s="224" t="s">
        <v>196</v>
      </c>
      <c r="I670" s="224" t="s">
        <v>60</v>
      </c>
      <c r="J670" s="224">
        <v>20</v>
      </c>
      <c r="K670" s="227">
        <f t="array" ref="K670">IFERROR(INDEX([1]Grille_Tarifs_Modulable!$B$2:$B$204,MATCH(Tableau14[[#This Row],[Designation]]&amp;Tableau14[[#This Row],[CL]],[1]Grille_Tarifs_Modulable!$C$2:$C$204&amp;[1]Grille_Tarifs_Modulable!$F$2:$F$204,0)),0)</f>
        <v>4260310553832</v>
      </c>
      <c r="L670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0.89</v>
      </c>
      <c r="M670" s="228">
        <f>IF(Tableau14[[#This Row],[Prix_Unit_HT]]=0,0,Tableau14[[#This Row],[Prix_Unit_HT]]+(Tableau14[[#This Row],[Prix_Unit_HT]]*VLOOKUP(Tableau14[[#This Row],[EAN]],[1]Grille_Tarifs_Modulable!$B$10:$Q$204,16,FALSE)))</f>
        <v>0.93895000000000006</v>
      </c>
      <c r="N670" s="224">
        <v>24</v>
      </c>
      <c r="O670" s="228">
        <f>ROUND(Tableau14[[#This Row],[Prix_Unit_HT]],2)*Tableau14[[#This Row],[Qte_commande]]</f>
        <v>21.36</v>
      </c>
      <c r="P670" s="228">
        <f>ROUND(Tableau14[[#This Row],[Prix_Unit_TTC]],2)*Tableau14[[#This Row],[Qte_commande]]</f>
        <v>22.56</v>
      </c>
      <c r="Q670" s="224">
        <v>6.86</v>
      </c>
      <c r="R670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6.8571428571428577</v>
      </c>
      <c r="U670" s="224"/>
      <c r="V670" s="224"/>
    </row>
    <row r="671" spans="1:22" ht="14.65" customHeight="1" x14ac:dyDescent="0.2">
      <c r="A671" s="225">
        <v>43129</v>
      </c>
      <c r="B671" s="224" t="s">
        <v>644</v>
      </c>
      <c r="C671" s="224" t="s">
        <v>293</v>
      </c>
      <c r="D671" s="224" t="s">
        <v>233</v>
      </c>
      <c r="E671" s="226"/>
      <c r="G671" s="224" t="s">
        <v>1</v>
      </c>
      <c r="H671" s="224" t="s">
        <v>289</v>
      </c>
      <c r="I671" s="224" t="s">
        <v>15</v>
      </c>
      <c r="J671" s="224">
        <v>175</v>
      </c>
      <c r="K671" s="227">
        <f t="array" ref="K671">IFERROR(INDEX([1]Grille_Tarifs_Modulable!$B$2:$B$204,MATCH(Tableau14[[#This Row],[Designation]]&amp;Tableau14[[#This Row],[CL]],[1]Grille_Tarifs_Modulable!$C$2:$C$204&amp;[1]Grille_Tarifs_Modulable!$F$2:$F$204,0)),0)</f>
        <v>4067700013835</v>
      </c>
      <c r="L671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28.916408750000002</v>
      </c>
      <c r="M671" s="228">
        <f>IF(Tableau14[[#This Row],[Prix_Unit_HT]]=0,0,Tableau14[[#This Row],[Prix_Unit_HT]]+(Tableau14[[#This Row],[Prix_Unit_HT]]*VLOOKUP(Tableau14[[#This Row],[EAN]],[1]Grille_Tarifs_Modulable!$B$10:$Q$204,16,FALSE)))</f>
        <v>34.699690500000003</v>
      </c>
      <c r="N671" s="224">
        <v>30</v>
      </c>
      <c r="O671" s="228">
        <f>ROUND(Tableau14[[#This Row],[Prix_Unit_HT]],2)*Tableau14[[#This Row],[Qte_commande]]</f>
        <v>867.6</v>
      </c>
      <c r="P671" s="228">
        <f>ROUND(Tableau14[[#This Row],[Prix_Unit_TTC]],2)*Tableau14[[#This Row],[Qte_commande]]</f>
        <v>1041</v>
      </c>
      <c r="Q671" s="224">
        <v>75</v>
      </c>
      <c r="R671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75</v>
      </c>
      <c r="U671" s="224"/>
      <c r="V671" s="224"/>
    </row>
    <row r="672" spans="1:22" ht="14.65" customHeight="1" x14ac:dyDescent="0.2">
      <c r="A672" s="225">
        <v>43129</v>
      </c>
      <c r="B672" s="224" t="s">
        <v>644</v>
      </c>
      <c r="C672" s="224" t="s">
        <v>293</v>
      </c>
      <c r="D672" s="224" t="s">
        <v>233</v>
      </c>
      <c r="E672" s="226"/>
      <c r="G672" s="224" t="s">
        <v>1</v>
      </c>
      <c r="H672" s="224" t="s">
        <v>289</v>
      </c>
      <c r="I672" s="224" t="s">
        <v>30</v>
      </c>
      <c r="J672" s="224">
        <v>70</v>
      </c>
      <c r="K672" s="227">
        <f t="array" ref="K672">IFERROR(INDEX([1]Grille_Tarifs_Modulable!$B$2:$B$204,MATCH(Tableau14[[#This Row],[Designation]]&amp;Tableau14[[#This Row],[CL]],[1]Grille_Tarifs_Modulable!$C$2:$C$204&amp;[1]Grille_Tarifs_Modulable!$F$2:$F$204,0)),0)</f>
        <v>3257150101904</v>
      </c>
      <c r="L672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16.346482999999999</v>
      </c>
      <c r="M672" s="228">
        <f>IF(Tableau14[[#This Row],[Prix_Unit_HT]]=0,0,Tableau14[[#This Row],[Prix_Unit_HT]]+(Tableau14[[#This Row],[Prix_Unit_HT]]*VLOOKUP(Tableau14[[#This Row],[EAN]],[1]Grille_Tarifs_Modulable!$B$10:$Q$204,16,FALSE)))</f>
        <v>19.6157796</v>
      </c>
      <c r="N672" s="224">
        <v>6</v>
      </c>
      <c r="O672" s="228">
        <f>ROUND(Tableau14[[#This Row],[Prix_Unit_HT]],2)*Tableau14[[#This Row],[Qte_commande]]</f>
        <v>98.100000000000009</v>
      </c>
      <c r="P672" s="228">
        <f>ROUND(Tableau14[[#This Row],[Prix_Unit_TTC]],2)*Tableau14[[#This Row],[Qte_commande]]</f>
        <v>117.72</v>
      </c>
      <c r="Q672" s="224">
        <v>6</v>
      </c>
      <c r="R672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6.0000000000000009</v>
      </c>
      <c r="U672" s="224"/>
      <c r="V672" s="224"/>
    </row>
    <row r="673" spans="1:22" ht="14.65" customHeight="1" x14ac:dyDescent="0.2">
      <c r="A673" s="225">
        <v>43129</v>
      </c>
      <c r="B673" s="224" t="s">
        <v>644</v>
      </c>
      <c r="C673" s="224" t="s">
        <v>293</v>
      </c>
      <c r="D673" s="224" t="s">
        <v>233</v>
      </c>
      <c r="E673" s="226"/>
      <c r="G673" s="224" t="s">
        <v>1</v>
      </c>
      <c r="H673" s="224" t="s">
        <v>289</v>
      </c>
      <c r="I673" s="224" t="s">
        <v>32</v>
      </c>
      <c r="J673" s="224">
        <v>70</v>
      </c>
      <c r="K673" s="227">
        <f t="array" ref="K673">IFERROR(INDEX([1]Grille_Tarifs_Modulable!$B$2:$B$204,MATCH(Tableau14[[#This Row],[Designation]]&amp;Tableau14[[#This Row],[CL]],[1]Grille_Tarifs_Modulable!$C$2:$C$204&amp;[1]Grille_Tarifs_Modulable!$F$2:$F$204,0)),0)</f>
        <v>3257150100228</v>
      </c>
      <c r="L673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19.998643999999999</v>
      </c>
      <c r="M673" s="228">
        <f>IF(Tableau14[[#This Row],[Prix_Unit_HT]]=0,0,Tableau14[[#This Row],[Prix_Unit_HT]]+(Tableau14[[#This Row],[Prix_Unit_HT]]*VLOOKUP(Tableau14[[#This Row],[EAN]],[1]Grille_Tarifs_Modulable!$B$10:$Q$204,16,FALSE)))</f>
        <v>23.998372799999999</v>
      </c>
      <c r="N673" s="224">
        <v>6</v>
      </c>
      <c r="O673" s="228">
        <f>ROUND(Tableau14[[#This Row],[Prix_Unit_HT]],2)*Tableau14[[#This Row],[Qte_commande]]</f>
        <v>120</v>
      </c>
      <c r="P673" s="228">
        <f>ROUND(Tableau14[[#This Row],[Prix_Unit_TTC]],2)*Tableau14[[#This Row],[Qte_commande]]</f>
        <v>144</v>
      </c>
      <c r="Q673" s="224">
        <v>6</v>
      </c>
      <c r="R673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6.0000000000000009</v>
      </c>
      <c r="U673" s="224"/>
      <c r="V673" s="224"/>
    </row>
    <row r="674" spans="1:22" ht="14.65" customHeight="1" x14ac:dyDescent="0.2">
      <c r="A674" s="225">
        <v>43129</v>
      </c>
      <c r="B674" s="224" t="s">
        <v>644</v>
      </c>
      <c r="C674" s="224" t="s">
        <v>293</v>
      </c>
      <c r="D674" s="224" t="s">
        <v>233</v>
      </c>
      <c r="E674" s="226"/>
      <c r="G674" s="224" t="s">
        <v>1</v>
      </c>
      <c r="H674" s="224" t="s">
        <v>289</v>
      </c>
      <c r="I674" s="224" t="s">
        <v>31</v>
      </c>
      <c r="J674" s="224">
        <v>70</v>
      </c>
      <c r="K674" s="227">
        <f t="array" ref="K674">IFERROR(INDEX([1]Grille_Tarifs_Modulable!$B$2:$B$204,MATCH(Tableau14[[#This Row],[Designation]]&amp;Tableau14[[#This Row],[CL]],[1]Grille_Tarifs_Modulable!$C$2:$C$204&amp;[1]Grille_Tarifs_Modulable!$F$2:$F$204,0)),0)</f>
        <v>3257150102017</v>
      </c>
      <c r="L674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14.694322</v>
      </c>
      <c r="M674" s="228">
        <f>IF(Tableau14[[#This Row],[Prix_Unit_HT]]=0,0,Tableau14[[#This Row],[Prix_Unit_HT]]+(Tableau14[[#This Row],[Prix_Unit_HT]]*VLOOKUP(Tableau14[[#This Row],[EAN]],[1]Grille_Tarifs_Modulable!$B$10:$Q$204,16,FALSE)))</f>
        <v>17.6331864</v>
      </c>
      <c r="N674" s="224">
        <v>6</v>
      </c>
      <c r="O674" s="228">
        <f>ROUND(Tableau14[[#This Row],[Prix_Unit_HT]],2)*Tableau14[[#This Row],[Qte_commande]]</f>
        <v>88.14</v>
      </c>
      <c r="P674" s="228">
        <f>ROUND(Tableau14[[#This Row],[Prix_Unit_TTC]],2)*Tableau14[[#This Row],[Qte_commande]]</f>
        <v>105.78</v>
      </c>
      <c r="Q674" s="224">
        <v>6</v>
      </c>
      <c r="R674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6.0000000000000009</v>
      </c>
      <c r="U674" s="224"/>
      <c r="V674" s="224"/>
    </row>
    <row r="675" spans="1:22" ht="14.65" customHeight="1" x14ac:dyDescent="0.2">
      <c r="A675" s="225">
        <v>43129</v>
      </c>
      <c r="B675" s="224" t="s">
        <v>230</v>
      </c>
      <c r="C675" s="224" t="s">
        <v>227</v>
      </c>
      <c r="D675" s="224" t="s">
        <v>228</v>
      </c>
      <c r="E675" s="226"/>
      <c r="G675" s="224" t="s">
        <v>13</v>
      </c>
      <c r="H675" s="224" t="s">
        <v>289</v>
      </c>
      <c r="I675" s="224" t="s">
        <v>44</v>
      </c>
      <c r="J675" s="224">
        <v>50</v>
      </c>
      <c r="K675" s="227">
        <f t="array" ref="K675">IFERROR(INDEX([1]Grille_Tarifs_Modulable!$B$2:$B$204,MATCH(Tableau14[[#This Row],[Designation]]&amp;Tableau14[[#This Row],[CL]],[1]Grille_Tarifs_Modulable!$C$2:$C$204&amp;[1]Grille_Tarifs_Modulable!$F$2:$F$204,0)),0)</f>
        <v>4260270192645</v>
      </c>
      <c r="L675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28.052506000000001</v>
      </c>
      <c r="M675" s="228">
        <f>IF(Tableau14[[#This Row],[Prix_Unit_HT]]=0,0,Tableau14[[#This Row],[Prix_Unit_HT]]+(Tableau14[[#This Row],[Prix_Unit_HT]]*VLOOKUP(Tableau14[[#This Row],[EAN]],[1]Grille_Tarifs_Modulable!$B$10:$Q$204,16,FALSE)))</f>
        <v>33.663007200000003</v>
      </c>
      <c r="N675" s="224">
        <v>12</v>
      </c>
      <c r="O675" s="228">
        <f>ROUND(Tableau14[[#This Row],[Prix_Unit_HT]],2)*Tableau14[[#This Row],[Qte_commande]]</f>
        <v>336.6</v>
      </c>
      <c r="P675" s="228">
        <f>ROUND(Tableau14[[#This Row],[Prix_Unit_TTC]],2)*Tableau14[[#This Row],[Qte_commande]]</f>
        <v>403.91999999999996</v>
      </c>
      <c r="Q675" s="224">
        <v>8.57</v>
      </c>
      <c r="R675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8.5714285714285712</v>
      </c>
      <c r="U675" s="224"/>
      <c r="V675" s="224"/>
    </row>
    <row r="676" spans="1:22" ht="14.65" customHeight="1" x14ac:dyDescent="0.2">
      <c r="A676" s="225">
        <v>43129</v>
      </c>
      <c r="B676" s="224" t="s">
        <v>230</v>
      </c>
      <c r="C676" s="224" t="s">
        <v>227</v>
      </c>
      <c r="D676" s="224" t="s">
        <v>228</v>
      </c>
      <c r="E676" s="226"/>
      <c r="G676" s="224" t="s">
        <v>13</v>
      </c>
      <c r="H676" s="224" t="s">
        <v>196</v>
      </c>
      <c r="I676" s="224" t="s">
        <v>64</v>
      </c>
      <c r="J676" s="224">
        <v>20</v>
      </c>
      <c r="K676" s="227">
        <f t="array" ref="K676">IFERROR(INDEX([1]Grille_Tarifs_Modulable!$B$2:$B$204,MATCH(Tableau14[[#This Row],[Designation]]&amp;Tableau14[[#This Row],[CL]],[1]Grille_Tarifs_Modulable!$C$2:$C$204&amp;[1]Grille_Tarifs_Modulable!$F$2:$F$204,0)),0)</f>
        <v>4260310553849</v>
      </c>
      <c r="L676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0.89</v>
      </c>
      <c r="M676" s="228">
        <f>IF(Tableau14[[#This Row],[Prix_Unit_HT]]=0,0,Tableau14[[#This Row],[Prix_Unit_HT]]+(Tableau14[[#This Row],[Prix_Unit_HT]]*VLOOKUP(Tableau14[[#This Row],[EAN]],[1]Grille_Tarifs_Modulable!$B$10:$Q$204,16,FALSE)))</f>
        <v>0.93895000000000006</v>
      </c>
      <c r="N676" s="224">
        <v>24</v>
      </c>
      <c r="O676" s="228">
        <f>ROUND(Tableau14[[#This Row],[Prix_Unit_HT]],2)*Tableau14[[#This Row],[Qte_commande]]</f>
        <v>21.36</v>
      </c>
      <c r="P676" s="228">
        <f>ROUND(Tableau14[[#This Row],[Prix_Unit_TTC]],2)*Tableau14[[#This Row],[Qte_commande]]</f>
        <v>22.56</v>
      </c>
      <c r="Q676" s="224">
        <v>6.86</v>
      </c>
      <c r="R676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6.8571428571428577</v>
      </c>
      <c r="U676" s="224"/>
      <c r="V676" s="224"/>
    </row>
    <row r="677" spans="1:22" ht="14.65" customHeight="1" x14ac:dyDescent="0.2">
      <c r="A677" s="225">
        <v>43129</v>
      </c>
      <c r="B677" s="224" t="s">
        <v>230</v>
      </c>
      <c r="C677" s="224" t="s">
        <v>227</v>
      </c>
      <c r="D677" s="224" t="s">
        <v>228</v>
      </c>
      <c r="E677" s="226"/>
      <c r="G677" s="224" t="s">
        <v>13</v>
      </c>
      <c r="H677" s="224" t="s">
        <v>196</v>
      </c>
      <c r="I677" s="224" t="s">
        <v>59</v>
      </c>
      <c r="J677" s="224">
        <v>20</v>
      </c>
      <c r="K677" s="227">
        <f t="array" ref="K677">IFERROR(INDEX([1]Grille_Tarifs_Modulable!$B$2:$B$204,MATCH(Tableau14[[#This Row],[Designation]]&amp;Tableau14[[#This Row],[CL]],[1]Grille_Tarifs_Modulable!$C$2:$C$204&amp;[1]Grille_Tarifs_Modulable!$F$2:$F$204,0)),0)</f>
        <v>4260310553818</v>
      </c>
      <c r="L677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0.89</v>
      </c>
      <c r="M677" s="228">
        <f>IF(Tableau14[[#This Row],[Prix_Unit_HT]]=0,0,Tableau14[[#This Row],[Prix_Unit_HT]]+(Tableau14[[#This Row],[Prix_Unit_HT]]*VLOOKUP(Tableau14[[#This Row],[EAN]],[1]Grille_Tarifs_Modulable!$B$10:$Q$204,16,FALSE)))</f>
        <v>0.93895000000000006</v>
      </c>
      <c r="N677" s="224">
        <v>48</v>
      </c>
      <c r="O677" s="228">
        <f>ROUND(Tableau14[[#This Row],[Prix_Unit_HT]],2)*Tableau14[[#This Row],[Qte_commande]]</f>
        <v>42.72</v>
      </c>
      <c r="P677" s="228">
        <f>ROUND(Tableau14[[#This Row],[Prix_Unit_TTC]],2)*Tableau14[[#This Row],[Qte_commande]]</f>
        <v>45.12</v>
      </c>
      <c r="Q677" s="224">
        <v>13.71</v>
      </c>
      <c r="R677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13.714285714285715</v>
      </c>
      <c r="U677" s="224"/>
      <c r="V677" s="224"/>
    </row>
    <row r="678" spans="1:22" ht="14.65" customHeight="1" x14ac:dyDescent="0.2">
      <c r="A678" s="225">
        <v>43129</v>
      </c>
      <c r="B678" s="224" t="s">
        <v>644</v>
      </c>
      <c r="C678" s="224" t="s">
        <v>293</v>
      </c>
      <c r="D678" s="224" t="s">
        <v>233</v>
      </c>
      <c r="E678" s="226"/>
      <c r="G678" s="224" t="s">
        <v>1</v>
      </c>
      <c r="H678" s="224"/>
      <c r="I678" s="224" t="s">
        <v>1348</v>
      </c>
      <c r="J678" s="228" t="s">
        <v>448</v>
      </c>
      <c r="K678" s="227">
        <f t="array" ref="K678">IFERROR(INDEX([1]Grille_Tarifs_Modulable!$B$2:$B$204,MATCH(Tableau14[[#This Row],[Designation]]&amp;Tableau14[[#This Row],[CL]],[1]Grille_Tarifs_Modulable!$C$2:$C$204&amp;[1]Grille_Tarifs_Modulable!$F$2:$F$204,0)),0)</f>
        <v>0</v>
      </c>
      <c r="L678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</v>
      </c>
      <c r="M678" s="228">
        <f>IF(Tableau14[[#This Row],[Prix_Unit_HT]]=0,0,Tableau14[[#This Row],[Prix_Unit_HT]]+(Tableau14[[#This Row],[Prix_Unit_HT]]*VLOOKUP(Tableau14[[#This Row],[EAN]],[1]Grille_Tarifs_Modulable!$B$10:$Q$204,16,FALSE)))</f>
        <v>0</v>
      </c>
      <c r="N678" s="224">
        <v>1</v>
      </c>
      <c r="O678" s="228">
        <f>ROUND(Tableau14[[#This Row],[Prix_Unit_HT]],2)*Tableau14[[#This Row],[Qte_commande]]</f>
        <v>0</v>
      </c>
      <c r="P678" s="228">
        <f>ROUND(Tableau14[[#This Row],[Prix_Unit_TTC]],2)*Tableau14[[#This Row],[Qte_commande]]</f>
        <v>0</v>
      </c>
      <c r="Q678" s="224">
        <v>1</v>
      </c>
      <c r="R678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0</v>
      </c>
      <c r="U678" s="224"/>
      <c r="V678" s="224"/>
    </row>
    <row r="679" spans="1:22" ht="14.65" customHeight="1" x14ac:dyDescent="0.2">
      <c r="A679" s="225">
        <v>43130</v>
      </c>
      <c r="B679" s="224" t="s">
        <v>370</v>
      </c>
      <c r="C679" s="224" t="s">
        <v>159</v>
      </c>
      <c r="D679" s="224" t="s">
        <v>209</v>
      </c>
      <c r="E679" s="226"/>
      <c r="G679" s="224" t="s">
        <v>1</v>
      </c>
      <c r="H679" s="224" t="s">
        <v>289</v>
      </c>
      <c r="I679" s="224" t="s">
        <v>35</v>
      </c>
      <c r="J679" s="224">
        <v>70</v>
      </c>
      <c r="K679" s="227">
        <f t="array" ref="K679">IFERROR(INDEX([1]Grille_Tarifs_Modulable!$B$2:$B$204,MATCH(Tableau14[[#This Row],[Designation]]&amp;Tableau14[[#This Row],[CL]],[1]Grille_Tarifs_Modulable!$C$2:$C$204&amp;[1]Grille_Tarifs_Modulable!$F$2:$F$204,0)),0)</f>
        <v>3257150107012</v>
      </c>
      <c r="L679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29.828643999999997</v>
      </c>
      <c r="M679" s="228">
        <f>IF(Tableau14[[#This Row],[Prix_Unit_HT]]=0,0,Tableau14[[#This Row],[Prix_Unit_HT]]+(Tableau14[[#This Row],[Prix_Unit_HT]]*VLOOKUP(Tableau14[[#This Row],[EAN]],[1]Grille_Tarifs_Modulable!$B$10:$Q$204,16,FALSE)))</f>
        <v>35.794372799999998</v>
      </c>
      <c r="N679" s="224">
        <v>6</v>
      </c>
      <c r="O679" s="228">
        <f>ROUND(Tableau14[[#This Row],[Prix_Unit_HT]],2)*Tableau14[[#This Row],[Qte_commande]]</f>
        <v>178.98</v>
      </c>
      <c r="P679" s="228">
        <f>ROUND(Tableau14[[#This Row],[Prix_Unit_TTC]],2)*Tableau14[[#This Row],[Qte_commande]]</f>
        <v>214.74</v>
      </c>
      <c r="Q679" s="224">
        <v>6</v>
      </c>
      <c r="R679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6.0000000000000009</v>
      </c>
      <c r="U679" s="224"/>
      <c r="V679" s="224"/>
    </row>
    <row r="680" spans="1:22" ht="14.65" customHeight="1" x14ac:dyDescent="0.2">
      <c r="A680" s="225">
        <v>43130</v>
      </c>
      <c r="B680" s="224" t="s">
        <v>645</v>
      </c>
      <c r="C680" s="224" t="s">
        <v>301</v>
      </c>
      <c r="D680" s="224" t="s">
        <v>302</v>
      </c>
      <c r="E680" s="226"/>
      <c r="G680" s="224" t="s">
        <v>1</v>
      </c>
      <c r="H680" s="224" t="s">
        <v>289</v>
      </c>
      <c r="I680" s="224" t="s">
        <v>15</v>
      </c>
      <c r="J680" s="224">
        <v>100</v>
      </c>
      <c r="K680" s="227">
        <f t="array" ref="K680">IFERROR(INDEX([1]Grille_Tarifs_Modulable!$B$2:$B$204,MATCH(Tableau14[[#This Row],[Designation]]&amp;Tableau14[[#This Row],[CL]],[1]Grille_Tarifs_Modulable!$C$2:$C$204&amp;[1]Grille_Tarifs_Modulable!$F$2:$F$204,0)),0)</f>
        <v>4067700013842</v>
      </c>
      <c r="L680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17.100804999999998</v>
      </c>
      <c r="M680" s="228">
        <f>IF(Tableau14[[#This Row],[Prix_Unit_HT]]=0,0,Tableau14[[#This Row],[Prix_Unit_HT]]+(Tableau14[[#This Row],[Prix_Unit_HT]]*VLOOKUP(Tableau14[[#This Row],[EAN]],[1]Grille_Tarifs_Modulable!$B$10:$Q$204,16,FALSE)))</f>
        <v>20.520965999999998</v>
      </c>
      <c r="N680" s="224">
        <v>84</v>
      </c>
      <c r="O680" s="228">
        <f>ROUND(Tableau14[[#This Row],[Prix_Unit_HT]],2)*Tableau14[[#This Row],[Qte_commande]]</f>
        <v>1436.4</v>
      </c>
      <c r="P680" s="228">
        <f>ROUND(Tableau14[[#This Row],[Prix_Unit_TTC]],2)*Tableau14[[#This Row],[Qte_commande]]</f>
        <v>1723.68</v>
      </c>
      <c r="Q680" s="224">
        <v>120</v>
      </c>
      <c r="R680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120.00000000000001</v>
      </c>
      <c r="U680" s="224"/>
      <c r="V680" s="224"/>
    </row>
    <row r="681" spans="1:22" ht="14.65" customHeight="1" x14ac:dyDescent="0.2">
      <c r="A681" s="225">
        <v>43130</v>
      </c>
      <c r="B681" s="224" t="s">
        <v>370</v>
      </c>
      <c r="C681" s="224" t="s">
        <v>159</v>
      </c>
      <c r="D681" s="224" t="s">
        <v>209</v>
      </c>
      <c r="E681" s="226"/>
      <c r="G681" s="224" t="s">
        <v>1</v>
      </c>
      <c r="H681" s="224" t="s">
        <v>289</v>
      </c>
      <c r="I681" s="224" t="s">
        <v>15</v>
      </c>
      <c r="J681" s="224">
        <v>100</v>
      </c>
      <c r="K681" s="227">
        <f t="array" ref="K681">IFERROR(INDEX([1]Grille_Tarifs_Modulable!$B$2:$B$204,MATCH(Tableau14[[#This Row],[Designation]]&amp;Tableau14[[#This Row],[CL]],[1]Grille_Tarifs_Modulable!$C$2:$C$204&amp;[1]Grille_Tarifs_Modulable!$F$2:$F$204,0)),0)</f>
        <v>4067700013842</v>
      </c>
      <c r="L681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17.100804999999998</v>
      </c>
      <c r="M681" s="228">
        <f>IF(Tableau14[[#This Row],[Prix_Unit_HT]]=0,0,Tableau14[[#This Row],[Prix_Unit_HT]]+(Tableau14[[#This Row],[Prix_Unit_HT]]*VLOOKUP(Tableau14[[#This Row],[EAN]],[1]Grille_Tarifs_Modulable!$B$10:$Q$204,16,FALSE)))</f>
        <v>20.520965999999998</v>
      </c>
      <c r="N681" s="224">
        <v>84</v>
      </c>
      <c r="O681" s="228">
        <f>ROUND(Tableau14[[#This Row],[Prix_Unit_HT]],2)*Tableau14[[#This Row],[Qte_commande]]</f>
        <v>1436.4</v>
      </c>
      <c r="P681" s="228">
        <f>ROUND(Tableau14[[#This Row],[Prix_Unit_TTC]],2)*Tableau14[[#This Row],[Qte_commande]]</f>
        <v>1723.68</v>
      </c>
      <c r="Q681" s="224">
        <v>120</v>
      </c>
      <c r="R681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120.00000000000001</v>
      </c>
      <c r="U681" s="224"/>
      <c r="V681" s="224"/>
    </row>
    <row r="682" spans="1:22" ht="14.65" customHeight="1" x14ac:dyDescent="0.2">
      <c r="A682" s="225">
        <v>43130</v>
      </c>
      <c r="B682" s="224" t="s">
        <v>646</v>
      </c>
      <c r="C682" s="224" t="s">
        <v>159</v>
      </c>
      <c r="D682" s="224" t="s">
        <v>209</v>
      </c>
      <c r="E682" s="226"/>
      <c r="G682" s="224" t="s">
        <v>1</v>
      </c>
      <c r="H682" s="224" t="s">
        <v>289</v>
      </c>
      <c r="I682" s="224" t="s">
        <v>15</v>
      </c>
      <c r="J682" s="224">
        <v>100</v>
      </c>
      <c r="K682" s="227">
        <f t="array" ref="K682">IFERROR(INDEX([1]Grille_Tarifs_Modulable!$B$2:$B$204,MATCH(Tableau14[[#This Row],[Designation]]&amp;Tableau14[[#This Row],[CL]],[1]Grille_Tarifs_Modulable!$C$2:$C$204&amp;[1]Grille_Tarifs_Modulable!$F$2:$F$204,0)),0)</f>
        <v>4067700013842</v>
      </c>
      <c r="L682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17.100804999999998</v>
      </c>
      <c r="M682" s="228">
        <f>IF(Tableau14[[#This Row],[Prix_Unit_HT]]=0,0,Tableau14[[#This Row],[Prix_Unit_HT]]+(Tableau14[[#This Row],[Prix_Unit_HT]]*VLOOKUP(Tableau14[[#This Row],[EAN]],[1]Grille_Tarifs_Modulable!$B$10:$Q$204,16,FALSE)))</f>
        <v>20.520965999999998</v>
      </c>
      <c r="N682" s="224">
        <v>-12</v>
      </c>
      <c r="O682" s="228">
        <f>ROUND(Tableau14[[#This Row],[Prix_Unit_HT]],2)*Tableau14[[#This Row],[Qte_commande]]</f>
        <v>-205.20000000000002</v>
      </c>
      <c r="P682" s="228">
        <f>ROUND(Tableau14[[#This Row],[Prix_Unit_TTC]],2)*Tableau14[[#This Row],[Qte_commande]]</f>
        <v>-246.24</v>
      </c>
      <c r="Q682" s="224">
        <v>-17.14</v>
      </c>
      <c r="R682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-17.142857142857142</v>
      </c>
      <c r="U682" s="224"/>
      <c r="V682" s="224"/>
    </row>
    <row r="683" spans="1:22" ht="14.65" customHeight="1" x14ac:dyDescent="0.2">
      <c r="A683" s="225">
        <v>43130</v>
      </c>
      <c r="B683" s="224" t="s">
        <v>822</v>
      </c>
      <c r="C683" s="224" t="s">
        <v>823</v>
      </c>
      <c r="D683" s="224" t="s">
        <v>209</v>
      </c>
      <c r="E683" s="226"/>
      <c r="G683" s="224" t="s">
        <v>13</v>
      </c>
      <c r="H683" s="224" t="s">
        <v>196</v>
      </c>
      <c r="I683" s="224" t="s">
        <v>66</v>
      </c>
      <c r="J683" s="224">
        <v>50</v>
      </c>
      <c r="K683" s="227">
        <f t="array" ref="K683">IFERROR(INDEX([1]Grille_Tarifs_Modulable!$B$2:$B$204,MATCH(Tableau14[[#This Row],[Designation]]&amp;Tableau14[[#This Row],[CL]],[1]Grille_Tarifs_Modulable!$C$2:$C$204&amp;[1]Grille_Tarifs_Modulable!$F$2:$F$204,0)),0)</f>
        <v>4260310553382</v>
      </c>
      <c r="L683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1.1000000000000001</v>
      </c>
      <c r="M683" s="228">
        <f>IF(Tableau14[[#This Row],[Prix_Unit_HT]]=0,0,Tableau14[[#This Row],[Prix_Unit_HT]]+(Tableau14[[#This Row],[Prix_Unit_HT]]*VLOOKUP(Tableau14[[#This Row],[EAN]],[1]Grille_Tarifs_Modulable!$B$10:$Q$204,16,FALSE)))</f>
        <v>1.1605000000000001</v>
      </c>
      <c r="N683" s="224">
        <v>200</v>
      </c>
      <c r="O683" s="228">
        <f>ROUND(Tableau14[[#This Row],[Prix_Unit_HT]],2)*Tableau14[[#This Row],[Qte_commande]]</f>
        <v>220.00000000000003</v>
      </c>
      <c r="P683" s="228">
        <f>ROUND(Tableau14[[#This Row],[Prix_Unit_TTC]],2)*Tableau14[[#This Row],[Qte_commande]]</f>
        <v>231.99999999999997</v>
      </c>
      <c r="Q683" s="224">
        <v>142.86000000000001</v>
      </c>
      <c r="R683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142.85714285714286</v>
      </c>
      <c r="U683" s="224"/>
      <c r="V683" s="224"/>
    </row>
    <row r="684" spans="1:22" ht="14.65" customHeight="1" x14ac:dyDescent="0.2">
      <c r="A684" s="225">
        <v>43130</v>
      </c>
      <c r="B684" s="224" t="s">
        <v>370</v>
      </c>
      <c r="C684" s="224" t="s">
        <v>159</v>
      </c>
      <c r="D684" s="224" t="s">
        <v>209</v>
      </c>
      <c r="E684" s="226"/>
      <c r="G684" s="224" t="s">
        <v>1</v>
      </c>
      <c r="H684" s="224" t="s">
        <v>289</v>
      </c>
      <c r="I684" s="224" t="s">
        <v>32</v>
      </c>
      <c r="J684" s="224">
        <v>70</v>
      </c>
      <c r="K684" s="227">
        <f t="array" ref="K684">IFERROR(INDEX([1]Grille_Tarifs_Modulable!$B$2:$B$204,MATCH(Tableau14[[#This Row],[Designation]]&amp;Tableau14[[#This Row],[CL]],[1]Grille_Tarifs_Modulable!$C$2:$C$204&amp;[1]Grille_Tarifs_Modulable!$F$2:$F$204,0)),0)</f>
        <v>3257150100228</v>
      </c>
      <c r="L684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19.998643999999999</v>
      </c>
      <c r="M684" s="228">
        <f>IF(Tableau14[[#This Row],[Prix_Unit_HT]]=0,0,Tableau14[[#This Row],[Prix_Unit_HT]]+(Tableau14[[#This Row],[Prix_Unit_HT]]*VLOOKUP(Tableau14[[#This Row],[EAN]],[1]Grille_Tarifs_Modulable!$B$10:$Q$204,16,FALSE)))</f>
        <v>23.998372799999999</v>
      </c>
      <c r="N684" s="224">
        <v>6</v>
      </c>
      <c r="O684" s="228">
        <f>ROUND(Tableau14[[#This Row],[Prix_Unit_HT]],2)*Tableau14[[#This Row],[Qte_commande]]</f>
        <v>120</v>
      </c>
      <c r="P684" s="228">
        <f>ROUND(Tableau14[[#This Row],[Prix_Unit_TTC]],2)*Tableau14[[#This Row],[Qte_commande]]</f>
        <v>144</v>
      </c>
      <c r="Q684" s="224">
        <v>6</v>
      </c>
      <c r="R684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6.0000000000000009</v>
      </c>
      <c r="U684" s="224"/>
      <c r="V684" s="224"/>
    </row>
    <row r="685" spans="1:22" ht="14.65" customHeight="1" x14ac:dyDescent="0.2">
      <c r="A685" s="225">
        <v>43130</v>
      </c>
      <c r="B685" s="224" t="s">
        <v>370</v>
      </c>
      <c r="C685" s="224" t="s">
        <v>159</v>
      </c>
      <c r="D685" s="224" t="s">
        <v>209</v>
      </c>
      <c r="E685" s="226"/>
      <c r="G685" s="224" t="s">
        <v>1</v>
      </c>
      <c r="H685" s="224" t="s">
        <v>289</v>
      </c>
      <c r="I685" s="224" t="s">
        <v>31</v>
      </c>
      <c r="J685" s="224">
        <v>70</v>
      </c>
      <c r="K685" s="227">
        <f t="array" ref="K685">IFERROR(INDEX([1]Grille_Tarifs_Modulable!$B$2:$B$204,MATCH(Tableau14[[#This Row],[Designation]]&amp;Tableau14[[#This Row],[CL]],[1]Grille_Tarifs_Modulable!$C$2:$C$204&amp;[1]Grille_Tarifs_Modulable!$F$2:$F$204,0)),0)</f>
        <v>3257150102017</v>
      </c>
      <c r="L685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14.694322</v>
      </c>
      <c r="M685" s="228">
        <f>IF(Tableau14[[#This Row],[Prix_Unit_HT]]=0,0,Tableau14[[#This Row],[Prix_Unit_HT]]+(Tableau14[[#This Row],[Prix_Unit_HT]]*VLOOKUP(Tableau14[[#This Row],[EAN]],[1]Grille_Tarifs_Modulable!$B$10:$Q$204,16,FALSE)))</f>
        <v>17.6331864</v>
      </c>
      <c r="N685" s="224">
        <v>6</v>
      </c>
      <c r="O685" s="228">
        <f>ROUND(Tableau14[[#This Row],[Prix_Unit_HT]],2)*Tableau14[[#This Row],[Qte_commande]]</f>
        <v>88.14</v>
      </c>
      <c r="P685" s="228">
        <f>ROUND(Tableau14[[#This Row],[Prix_Unit_TTC]],2)*Tableau14[[#This Row],[Qte_commande]]</f>
        <v>105.78</v>
      </c>
      <c r="Q685" s="224">
        <v>6</v>
      </c>
      <c r="R685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6.0000000000000009</v>
      </c>
      <c r="U685" s="224"/>
      <c r="V685" s="224"/>
    </row>
    <row r="686" spans="1:22" ht="14.65" customHeight="1" x14ac:dyDescent="0.2">
      <c r="A686" s="225">
        <v>43130</v>
      </c>
      <c r="B686" s="224" t="s">
        <v>370</v>
      </c>
      <c r="C686" s="224" t="s">
        <v>159</v>
      </c>
      <c r="D686" s="224" t="s">
        <v>209</v>
      </c>
      <c r="E686" s="226"/>
      <c r="G686" s="224" t="s">
        <v>1</v>
      </c>
      <c r="H686" s="224" t="s">
        <v>289</v>
      </c>
      <c r="I686" s="224" t="s">
        <v>44</v>
      </c>
      <c r="J686" s="224">
        <v>50</v>
      </c>
      <c r="K686" s="227">
        <f t="array" ref="K686">IFERROR(INDEX([1]Grille_Tarifs_Modulable!$B$2:$B$204,MATCH(Tableau14[[#This Row],[Designation]]&amp;Tableau14[[#This Row],[CL]],[1]Grille_Tarifs_Modulable!$C$2:$C$204&amp;[1]Grille_Tarifs_Modulable!$F$2:$F$204,0)),0)</f>
        <v>4260270192645</v>
      </c>
      <c r="L686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25.192506000000002</v>
      </c>
      <c r="M686" s="228">
        <f>IF(Tableau14[[#This Row],[Prix_Unit_HT]]=0,0,Tableau14[[#This Row],[Prix_Unit_HT]]+(Tableau14[[#This Row],[Prix_Unit_HT]]*VLOOKUP(Tableau14[[#This Row],[EAN]],[1]Grille_Tarifs_Modulable!$B$10:$Q$204,16,FALSE)))</f>
        <v>30.231007200000001</v>
      </c>
      <c r="N686" s="224">
        <v>6</v>
      </c>
      <c r="O686" s="228">
        <f>ROUND(Tableau14[[#This Row],[Prix_Unit_HT]],2)*Tableau14[[#This Row],[Qte_commande]]</f>
        <v>151.14000000000001</v>
      </c>
      <c r="P686" s="228">
        <f>ROUND(Tableau14[[#This Row],[Prix_Unit_TTC]],2)*Tableau14[[#This Row],[Qte_commande]]</f>
        <v>181.38</v>
      </c>
      <c r="Q686" s="224">
        <v>4.29</v>
      </c>
      <c r="R686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4.2857142857142856</v>
      </c>
      <c r="U686" s="224"/>
      <c r="V686" s="224"/>
    </row>
    <row r="687" spans="1:22" ht="14.65" customHeight="1" x14ac:dyDescent="0.2">
      <c r="A687" s="225">
        <v>43130</v>
      </c>
      <c r="B687" s="224" t="s">
        <v>370</v>
      </c>
      <c r="C687" s="224" t="s">
        <v>159</v>
      </c>
      <c r="D687" s="224" t="s">
        <v>209</v>
      </c>
      <c r="E687" s="226"/>
      <c r="G687" s="224" t="s">
        <v>1</v>
      </c>
      <c r="H687" s="224" t="s">
        <v>289</v>
      </c>
      <c r="I687" s="224" t="s">
        <v>25</v>
      </c>
      <c r="J687" s="224">
        <v>100</v>
      </c>
      <c r="K687" s="227">
        <f t="array" ref="K687">IFERROR(INDEX([1]Grille_Tarifs_Modulable!$B$2:$B$204,MATCH(Tableau14[[#This Row],[Designation]]&amp;Tableau14[[#This Row],[CL]],[1]Grille_Tarifs_Modulable!$C$2:$C$204&amp;[1]Grille_Tarifs_Modulable!$F$2:$F$204,0)),0)</f>
        <v>3257150410167</v>
      </c>
      <c r="L687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15.778874</v>
      </c>
      <c r="M687" s="228">
        <f>IF(Tableau14[[#This Row],[Prix_Unit_HT]]=0,0,Tableau14[[#This Row],[Prix_Unit_HT]]+(Tableau14[[#This Row],[Prix_Unit_HT]]*VLOOKUP(Tableau14[[#This Row],[EAN]],[1]Grille_Tarifs_Modulable!$B$10:$Q$204,16,FALSE)))</f>
        <v>18.934648800000002</v>
      </c>
      <c r="N687" s="224">
        <v>60</v>
      </c>
      <c r="O687" s="228">
        <f>ROUND(Tableau14[[#This Row],[Prix_Unit_HT]],2)*Tableau14[[#This Row],[Qte_commande]]</f>
        <v>946.8</v>
      </c>
      <c r="P687" s="228">
        <f>ROUND(Tableau14[[#This Row],[Prix_Unit_TTC]],2)*Tableau14[[#This Row],[Qte_commande]]</f>
        <v>1135.8</v>
      </c>
      <c r="Q687" s="224">
        <v>85.71</v>
      </c>
      <c r="R687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85.714285714285722</v>
      </c>
      <c r="U687" s="224"/>
      <c r="V687" s="224"/>
    </row>
    <row r="688" spans="1:22" ht="14.65" customHeight="1" x14ac:dyDescent="0.2">
      <c r="A688" s="225">
        <v>43130</v>
      </c>
      <c r="B688" s="224" t="s">
        <v>646</v>
      </c>
      <c r="C688" s="224" t="s">
        <v>159</v>
      </c>
      <c r="D688" s="224" t="s">
        <v>209</v>
      </c>
      <c r="E688" s="226"/>
      <c r="G688" s="224" t="s">
        <v>1</v>
      </c>
      <c r="H688" s="224" t="s">
        <v>289</v>
      </c>
      <c r="I688" s="224" t="s">
        <v>25</v>
      </c>
      <c r="J688" s="224">
        <v>100</v>
      </c>
      <c r="K688" s="227">
        <f t="array" ref="K688">IFERROR(INDEX([1]Grille_Tarifs_Modulable!$B$2:$B$204,MATCH(Tableau14[[#This Row],[Designation]]&amp;Tableau14[[#This Row],[CL]],[1]Grille_Tarifs_Modulable!$C$2:$C$204&amp;[1]Grille_Tarifs_Modulable!$F$2:$F$204,0)),0)</f>
        <v>3257150410167</v>
      </c>
      <c r="L688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15.778874</v>
      </c>
      <c r="M688" s="228">
        <f>IF(Tableau14[[#This Row],[Prix_Unit_HT]]=0,0,Tableau14[[#This Row],[Prix_Unit_HT]]+(Tableau14[[#This Row],[Prix_Unit_HT]]*VLOOKUP(Tableau14[[#This Row],[EAN]],[1]Grille_Tarifs_Modulable!$B$10:$Q$204,16,FALSE)))</f>
        <v>18.934648800000002</v>
      </c>
      <c r="N688" s="224">
        <v>-48</v>
      </c>
      <c r="O688" s="228">
        <f>ROUND(Tableau14[[#This Row],[Prix_Unit_HT]],2)*Tableau14[[#This Row],[Qte_commande]]</f>
        <v>-757.43999999999994</v>
      </c>
      <c r="P688" s="228">
        <f>ROUND(Tableau14[[#This Row],[Prix_Unit_TTC]],2)*Tableau14[[#This Row],[Qte_commande]]</f>
        <v>-908.64</v>
      </c>
      <c r="Q688" s="224">
        <v>-68.569999999999993</v>
      </c>
      <c r="R688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-68.571428571428569</v>
      </c>
      <c r="U688" s="224"/>
      <c r="V688" s="224"/>
    </row>
    <row r="689" spans="1:22" ht="14.65" customHeight="1" x14ac:dyDescent="0.2">
      <c r="A689" s="225">
        <v>43131</v>
      </c>
      <c r="B689" s="224" t="s">
        <v>647</v>
      </c>
      <c r="C689" s="224" t="s">
        <v>378</v>
      </c>
      <c r="D689" s="224" t="s">
        <v>429</v>
      </c>
      <c r="E689" s="226"/>
      <c r="G689" s="224" t="s">
        <v>1</v>
      </c>
      <c r="H689" s="224" t="s">
        <v>289</v>
      </c>
      <c r="I689" s="224" t="s">
        <v>15</v>
      </c>
      <c r="J689" s="224">
        <v>175</v>
      </c>
      <c r="K689" s="227">
        <f t="array" ref="K689">IFERROR(INDEX([1]Grille_Tarifs_Modulable!$B$2:$B$204,MATCH(Tableau14[[#This Row],[Designation]]&amp;Tableau14[[#This Row],[CL]],[1]Grille_Tarifs_Modulable!$C$2:$C$204&amp;[1]Grille_Tarifs_Modulable!$F$2:$F$204,0)),0)</f>
        <v>4067700013835</v>
      </c>
      <c r="L689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28.916408750000002</v>
      </c>
      <c r="M689" s="228">
        <f>IF(Tableau14[[#This Row],[Prix_Unit_HT]]=0,0,Tableau14[[#This Row],[Prix_Unit_HT]]+(Tableau14[[#This Row],[Prix_Unit_HT]]*VLOOKUP(Tableau14[[#This Row],[EAN]],[1]Grille_Tarifs_Modulable!$B$10:$Q$204,16,FALSE)))</f>
        <v>34.699690500000003</v>
      </c>
      <c r="N689" s="224">
        <v>36</v>
      </c>
      <c r="O689" s="228">
        <f>ROUND(Tableau14[[#This Row],[Prix_Unit_HT]],2)*Tableau14[[#This Row],[Qte_commande]]</f>
        <v>1041.1200000000001</v>
      </c>
      <c r="P689" s="228">
        <f>ROUND(Tableau14[[#This Row],[Prix_Unit_TTC]],2)*Tableau14[[#This Row],[Qte_commande]]</f>
        <v>1249.2</v>
      </c>
      <c r="Q689" s="224">
        <v>90</v>
      </c>
      <c r="R689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90</v>
      </c>
      <c r="U689" s="224"/>
      <c r="V689" s="224"/>
    </row>
    <row r="690" spans="1:22" ht="14.65" customHeight="1" x14ac:dyDescent="0.2">
      <c r="A690" s="225">
        <v>43131</v>
      </c>
      <c r="B690" s="224" t="s">
        <v>647</v>
      </c>
      <c r="C690" s="224" t="s">
        <v>378</v>
      </c>
      <c r="D690" s="224" t="s">
        <v>429</v>
      </c>
      <c r="E690" s="226"/>
      <c r="G690" s="224" t="s">
        <v>1</v>
      </c>
      <c r="H690" s="224" t="s">
        <v>289</v>
      </c>
      <c r="I690" s="224" t="s">
        <v>804</v>
      </c>
      <c r="J690" s="224">
        <v>70</v>
      </c>
      <c r="K690" s="227">
        <f t="array" ref="K690">IFERROR(INDEX([1]Grille_Tarifs_Modulable!$B$2:$B$204,MATCH(Tableau14[[#This Row],[Designation]]&amp;Tableau14[[#This Row],[CL]],[1]Grille_Tarifs_Modulable!$C$2:$C$204&amp;[1]Grille_Tarifs_Modulable!$F$2:$F$204,0)),0)</f>
        <v>0</v>
      </c>
      <c r="L690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</v>
      </c>
      <c r="M690" s="228">
        <f>IF(Tableau14[[#This Row],[Prix_Unit_HT]]=0,0,Tableau14[[#This Row],[Prix_Unit_HT]]+(Tableau14[[#This Row],[Prix_Unit_HT]]*VLOOKUP(Tableau14[[#This Row],[EAN]],[1]Grille_Tarifs_Modulable!$B$10:$Q$204,16,FALSE)))</f>
        <v>0</v>
      </c>
      <c r="N690" s="224">
        <v>12</v>
      </c>
      <c r="O690" s="228">
        <f>ROUND(Tableau14[[#This Row],[Prix_Unit_HT]],2)*Tableau14[[#This Row],[Qte_commande]]</f>
        <v>0</v>
      </c>
      <c r="P690" s="228">
        <f>ROUND(Tableau14[[#This Row],[Prix_Unit_TTC]],2)*Tableau14[[#This Row],[Qte_commande]]</f>
        <v>0</v>
      </c>
      <c r="Q690" s="224">
        <v>12</v>
      </c>
      <c r="R690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12.000000000000002</v>
      </c>
      <c r="U690" s="224"/>
      <c r="V690" s="224"/>
    </row>
    <row r="691" spans="1:22" ht="14.65" customHeight="1" x14ac:dyDescent="0.2">
      <c r="A691" s="225">
        <v>43131</v>
      </c>
      <c r="B691" s="224" t="s">
        <v>647</v>
      </c>
      <c r="C691" s="224" t="s">
        <v>378</v>
      </c>
      <c r="D691" s="224" t="s">
        <v>429</v>
      </c>
      <c r="E691" s="226"/>
      <c r="G691" s="224" t="s">
        <v>1</v>
      </c>
      <c r="H691" s="224" t="s">
        <v>289</v>
      </c>
      <c r="I691" s="224" t="s">
        <v>30</v>
      </c>
      <c r="J691" s="224">
        <v>70</v>
      </c>
      <c r="K691" s="227">
        <f t="array" ref="K691">IFERROR(INDEX([1]Grille_Tarifs_Modulable!$B$2:$B$204,MATCH(Tableau14[[#This Row],[Designation]]&amp;Tableau14[[#This Row],[CL]],[1]Grille_Tarifs_Modulable!$C$2:$C$204&amp;[1]Grille_Tarifs_Modulable!$F$2:$F$204,0)),0)</f>
        <v>3257150101904</v>
      </c>
      <c r="L691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16.346482999999999</v>
      </c>
      <c r="M691" s="228">
        <f>IF(Tableau14[[#This Row],[Prix_Unit_HT]]=0,0,Tableau14[[#This Row],[Prix_Unit_HT]]+(Tableau14[[#This Row],[Prix_Unit_HT]]*VLOOKUP(Tableau14[[#This Row],[EAN]],[1]Grille_Tarifs_Modulable!$B$10:$Q$204,16,FALSE)))</f>
        <v>19.6157796</v>
      </c>
      <c r="N691" s="224">
        <v>6</v>
      </c>
      <c r="O691" s="228">
        <f>ROUND(Tableau14[[#This Row],[Prix_Unit_HT]],2)*Tableau14[[#This Row],[Qte_commande]]</f>
        <v>98.100000000000009</v>
      </c>
      <c r="P691" s="228">
        <f>ROUND(Tableau14[[#This Row],[Prix_Unit_TTC]],2)*Tableau14[[#This Row],[Qte_commande]]</f>
        <v>117.72</v>
      </c>
      <c r="Q691" s="224">
        <v>6</v>
      </c>
      <c r="R691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6.0000000000000009</v>
      </c>
      <c r="U691" s="224"/>
      <c r="V691" s="224"/>
    </row>
    <row r="692" spans="1:22" ht="14.65" customHeight="1" x14ac:dyDescent="0.2">
      <c r="A692" s="225">
        <v>43131</v>
      </c>
      <c r="B692" s="224" t="s">
        <v>647</v>
      </c>
      <c r="C692" s="224" t="s">
        <v>378</v>
      </c>
      <c r="D692" s="224" t="s">
        <v>429</v>
      </c>
      <c r="E692" s="226"/>
      <c r="G692" s="224" t="s">
        <v>1</v>
      </c>
      <c r="H692" s="224" t="s">
        <v>289</v>
      </c>
      <c r="I692" s="224" t="s">
        <v>31</v>
      </c>
      <c r="J692" s="224">
        <v>70</v>
      </c>
      <c r="K692" s="227">
        <f t="array" ref="K692">IFERROR(INDEX([1]Grille_Tarifs_Modulable!$B$2:$B$204,MATCH(Tableau14[[#This Row],[Designation]]&amp;Tableau14[[#This Row],[CL]],[1]Grille_Tarifs_Modulable!$C$2:$C$204&amp;[1]Grille_Tarifs_Modulable!$F$2:$F$204,0)),0)</f>
        <v>3257150102017</v>
      </c>
      <c r="L692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14.694322</v>
      </c>
      <c r="M692" s="228">
        <f>IF(Tableau14[[#This Row],[Prix_Unit_HT]]=0,0,Tableau14[[#This Row],[Prix_Unit_HT]]+(Tableau14[[#This Row],[Prix_Unit_HT]]*VLOOKUP(Tableau14[[#This Row],[EAN]],[1]Grille_Tarifs_Modulable!$B$10:$Q$204,16,FALSE)))</f>
        <v>17.6331864</v>
      </c>
      <c r="N692" s="224">
        <v>6</v>
      </c>
      <c r="O692" s="228">
        <f>ROUND(Tableau14[[#This Row],[Prix_Unit_HT]],2)*Tableau14[[#This Row],[Qte_commande]]</f>
        <v>88.14</v>
      </c>
      <c r="P692" s="228">
        <f>ROUND(Tableau14[[#This Row],[Prix_Unit_TTC]],2)*Tableau14[[#This Row],[Qte_commande]]</f>
        <v>105.78</v>
      </c>
      <c r="Q692" s="224">
        <v>6</v>
      </c>
      <c r="R692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6.0000000000000009</v>
      </c>
      <c r="U692" s="224"/>
      <c r="V692" s="224"/>
    </row>
    <row r="693" spans="1:22" ht="14.65" customHeight="1" x14ac:dyDescent="0.2">
      <c r="A693" s="225">
        <v>43131</v>
      </c>
      <c r="B693" s="224" t="s">
        <v>647</v>
      </c>
      <c r="C693" s="224" t="s">
        <v>378</v>
      </c>
      <c r="D693" s="224" t="s">
        <v>429</v>
      </c>
      <c r="E693" s="226"/>
      <c r="G693" s="224" t="s">
        <v>1</v>
      </c>
      <c r="H693" s="224" t="s">
        <v>289</v>
      </c>
      <c r="I693" s="224" t="s">
        <v>44</v>
      </c>
      <c r="J693" s="224">
        <v>50</v>
      </c>
      <c r="K693" s="227">
        <f t="array" ref="K693">IFERROR(INDEX([1]Grille_Tarifs_Modulable!$B$2:$B$204,MATCH(Tableau14[[#This Row],[Designation]]&amp;Tableau14[[#This Row],[CL]],[1]Grille_Tarifs_Modulable!$C$2:$C$204&amp;[1]Grille_Tarifs_Modulable!$F$2:$F$204,0)),0)</f>
        <v>4260270192645</v>
      </c>
      <c r="L693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25.192506000000002</v>
      </c>
      <c r="M693" s="228">
        <f>IF(Tableau14[[#This Row],[Prix_Unit_HT]]=0,0,Tableau14[[#This Row],[Prix_Unit_HT]]+(Tableau14[[#This Row],[Prix_Unit_HT]]*VLOOKUP(Tableau14[[#This Row],[EAN]],[1]Grille_Tarifs_Modulable!$B$10:$Q$204,16,FALSE)))</f>
        <v>30.231007200000001</v>
      </c>
      <c r="N693" s="224">
        <v>12</v>
      </c>
      <c r="O693" s="228">
        <f>ROUND(Tableau14[[#This Row],[Prix_Unit_HT]],2)*Tableau14[[#This Row],[Qte_commande]]</f>
        <v>302.28000000000003</v>
      </c>
      <c r="P693" s="228">
        <f>ROUND(Tableau14[[#This Row],[Prix_Unit_TTC]],2)*Tableau14[[#This Row],[Qte_commande]]</f>
        <v>362.76</v>
      </c>
      <c r="Q693" s="224">
        <v>8.57</v>
      </c>
      <c r="R693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8.5714285714285712</v>
      </c>
      <c r="U693" s="224"/>
      <c r="V693" s="224"/>
    </row>
    <row r="694" spans="1:22" ht="14.65" customHeight="1" x14ac:dyDescent="0.2">
      <c r="A694" s="225">
        <v>43131</v>
      </c>
      <c r="B694" s="224" t="s">
        <v>647</v>
      </c>
      <c r="C694" s="224" t="s">
        <v>378</v>
      </c>
      <c r="D694" s="224" t="s">
        <v>429</v>
      </c>
      <c r="E694" s="226"/>
      <c r="G694" s="224" t="s">
        <v>1</v>
      </c>
      <c r="H694" s="224"/>
      <c r="I694" s="224" t="s">
        <v>1348</v>
      </c>
      <c r="J694" s="228" t="s">
        <v>448</v>
      </c>
      <c r="K694" s="227">
        <f t="array" ref="K694">IFERROR(INDEX([1]Grille_Tarifs_Modulable!$B$2:$B$204,MATCH(Tableau14[[#This Row],[Designation]]&amp;Tableau14[[#This Row],[CL]],[1]Grille_Tarifs_Modulable!$C$2:$C$204&amp;[1]Grille_Tarifs_Modulable!$F$2:$F$204,0)),0)</f>
        <v>0</v>
      </c>
      <c r="L694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</v>
      </c>
      <c r="M694" s="228">
        <f>IF(Tableau14[[#This Row],[Prix_Unit_HT]]=0,0,Tableau14[[#This Row],[Prix_Unit_HT]]+(Tableau14[[#This Row],[Prix_Unit_HT]]*VLOOKUP(Tableau14[[#This Row],[EAN]],[1]Grille_Tarifs_Modulable!$B$10:$Q$204,16,FALSE)))</f>
        <v>0</v>
      </c>
      <c r="N694" s="224">
        <v>1</v>
      </c>
      <c r="O694" s="228">
        <f>ROUND(Tableau14[[#This Row],[Prix_Unit_HT]],2)*Tableau14[[#This Row],[Qte_commande]]</f>
        <v>0</v>
      </c>
      <c r="P694" s="228">
        <f>ROUND(Tableau14[[#This Row],[Prix_Unit_TTC]],2)*Tableau14[[#This Row],[Qte_commande]]</f>
        <v>0</v>
      </c>
      <c r="Q694" s="224">
        <v>1</v>
      </c>
      <c r="R694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0</v>
      </c>
      <c r="U694" s="224"/>
      <c r="V694" s="224"/>
    </row>
    <row r="695" spans="1:22" ht="14.65" customHeight="1" x14ac:dyDescent="0.2">
      <c r="A695" s="225">
        <v>43133</v>
      </c>
      <c r="B695" s="224" t="s">
        <v>318</v>
      </c>
      <c r="C695" s="224" t="s">
        <v>308</v>
      </c>
      <c r="D695" s="224" t="s">
        <v>309</v>
      </c>
      <c r="E695" s="226"/>
      <c r="G695" s="224" t="s">
        <v>1</v>
      </c>
      <c r="H695" s="224" t="s">
        <v>289</v>
      </c>
      <c r="I695" s="224" t="s">
        <v>22</v>
      </c>
      <c r="J695" s="224">
        <v>70</v>
      </c>
      <c r="K695" s="227">
        <f t="array" ref="K695">IFERROR(INDEX([1]Grille_Tarifs_Modulable!$B$2:$B$204,MATCH(Tableau14[[#This Row],[Designation]]&amp;Tableau14[[#This Row],[CL]],[1]Grille_Tarifs_Modulable!$C$2:$C$204&amp;[1]Grille_Tarifs_Modulable!$F$2:$F$204,0)),0)</f>
        <v>4055800060200</v>
      </c>
      <c r="L695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17.408644000000002</v>
      </c>
      <c r="M695" s="228">
        <f>IF(Tableau14[[#This Row],[Prix_Unit_HT]]=0,0,Tableau14[[#This Row],[Prix_Unit_HT]]+(Tableau14[[#This Row],[Prix_Unit_HT]]*VLOOKUP(Tableau14[[#This Row],[EAN]],[1]Grille_Tarifs_Modulable!$B$10:$Q$204,16,FALSE)))</f>
        <v>20.890372800000002</v>
      </c>
      <c r="N695" s="224">
        <v>12</v>
      </c>
      <c r="O695" s="228">
        <f>ROUND(Tableau14[[#This Row],[Prix_Unit_HT]],2)*Tableau14[[#This Row],[Qte_commande]]</f>
        <v>208.92000000000002</v>
      </c>
      <c r="P695" s="228">
        <f>ROUND(Tableau14[[#This Row],[Prix_Unit_TTC]],2)*Tableau14[[#This Row],[Qte_commande]]</f>
        <v>250.68</v>
      </c>
      <c r="Q695" s="224">
        <v>12</v>
      </c>
      <c r="R695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12.000000000000002</v>
      </c>
      <c r="U695" s="224"/>
      <c r="V695" s="224"/>
    </row>
    <row r="696" spans="1:22" ht="14.65" customHeight="1" x14ac:dyDescent="0.2">
      <c r="A696" s="225">
        <v>43133</v>
      </c>
      <c r="B696" s="224" t="s">
        <v>318</v>
      </c>
      <c r="C696" s="224" t="s">
        <v>308</v>
      </c>
      <c r="D696" s="224" t="s">
        <v>309</v>
      </c>
      <c r="E696" s="226"/>
      <c r="G696" s="224" t="s">
        <v>1</v>
      </c>
      <c r="H696" s="224" t="s">
        <v>289</v>
      </c>
      <c r="I696" s="224" t="s">
        <v>15</v>
      </c>
      <c r="J696" s="224">
        <v>100</v>
      </c>
      <c r="K696" s="227">
        <f t="array" ref="K696">IFERROR(INDEX([1]Grille_Tarifs_Modulable!$B$2:$B$204,MATCH(Tableau14[[#This Row],[Designation]]&amp;Tableau14[[#This Row],[CL]],[1]Grille_Tarifs_Modulable!$C$2:$C$204&amp;[1]Grille_Tarifs_Modulable!$F$2:$F$204,0)),0)</f>
        <v>4067700013842</v>
      </c>
      <c r="L696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17.100804999999998</v>
      </c>
      <c r="M696" s="228">
        <f>IF(Tableau14[[#This Row],[Prix_Unit_HT]]=0,0,Tableau14[[#This Row],[Prix_Unit_HT]]+(Tableau14[[#This Row],[Prix_Unit_HT]]*VLOOKUP(Tableau14[[#This Row],[EAN]],[1]Grille_Tarifs_Modulable!$B$10:$Q$204,16,FALSE)))</f>
        <v>20.520965999999998</v>
      </c>
      <c r="N696" s="224">
        <v>180</v>
      </c>
      <c r="O696" s="228">
        <f>ROUND(Tableau14[[#This Row],[Prix_Unit_HT]],2)*Tableau14[[#This Row],[Qte_commande]]</f>
        <v>3078.0000000000005</v>
      </c>
      <c r="P696" s="228">
        <f>ROUND(Tableau14[[#This Row],[Prix_Unit_TTC]],2)*Tableau14[[#This Row],[Qte_commande]]</f>
        <v>3693.6</v>
      </c>
      <c r="Q696" s="224">
        <v>257.14</v>
      </c>
      <c r="R696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257.14285714285717</v>
      </c>
      <c r="U696" s="224"/>
      <c r="V696" s="224"/>
    </row>
    <row r="697" spans="1:22" ht="14.65" customHeight="1" x14ac:dyDescent="0.2">
      <c r="A697" s="225">
        <v>43133</v>
      </c>
      <c r="B697" s="224" t="s">
        <v>318</v>
      </c>
      <c r="C697" s="224" t="s">
        <v>308</v>
      </c>
      <c r="D697" s="224" t="s">
        <v>309</v>
      </c>
      <c r="E697" s="226"/>
      <c r="G697" s="224" t="s">
        <v>1</v>
      </c>
      <c r="H697" s="224" t="s">
        <v>196</v>
      </c>
      <c r="I697" s="224" t="s">
        <v>66</v>
      </c>
      <c r="J697" s="224">
        <v>50</v>
      </c>
      <c r="K697" s="227">
        <f t="array" ref="K697">IFERROR(INDEX([1]Grille_Tarifs_Modulable!$B$2:$B$204,MATCH(Tableau14[[#This Row],[Designation]]&amp;Tableau14[[#This Row],[CL]],[1]Grille_Tarifs_Modulable!$C$2:$C$204&amp;[1]Grille_Tarifs_Modulable!$F$2:$F$204,0)),0)</f>
        <v>4260310553382</v>
      </c>
      <c r="L697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</v>
      </c>
      <c r="M697" s="228">
        <f>IF(Tableau14[[#This Row],[Prix_Unit_HT]]=0,0,Tableau14[[#This Row],[Prix_Unit_HT]]+(Tableau14[[#This Row],[Prix_Unit_HT]]*VLOOKUP(Tableau14[[#This Row],[EAN]],[1]Grille_Tarifs_Modulable!$B$10:$Q$204,16,FALSE)))</f>
        <v>1.0549999999999999</v>
      </c>
      <c r="N697" s="224">
        <v>60</v>
      </c>
      <c r="O697" s="228">
        <f>ROUND(Tableau14[[#This Row],[Prix_Unit_HT]],2)*Tableau14[[#This Row],[Qte_commande]]</f>
        <v>60</v>
      </c>
      <c r="P697" s="228">
        <f>ROUND(Tableau14[[#This Row],[Prix_Unit_TTC]],2)*Tableau14[[#This Row],[Qte_commande]]</f>
        <v>63.6</v>
      </c>
      <c r="Q697" s="224">
        <v>42.86</v>
      </c>
      <c r="R697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42.857142857142861</v>
      </c>
      <c r="U697" s="224"/>
      <c r="V697" s="224"/>
    </row>
    <row r="698" spans="1:22" ht="14.65" customHeight="1" x14ac:dyDescent="0.2">
      <c r="A698" s="225">
        <v>43133</v>
      </c>
      <c r="B698" s="224" t="s">
        <v>318</v>
      </c>
      <c r="C698" s="224" t="s">
        <v>308</v>
      </c>
      <c r="D698" s="224" t="s">
        <v>309</v>
      </c>
      <c r="E698" s="226"/>
      <c r="G698" s="224" t="s">
        <v>1</v>
      </c>
      <c r="H698" s="224" t="s">
        <v>289</v>
      </c>
      <c r="I698" s="224" t="s">
        <v>1352</v>
      </c>
      <c r="J698" s="224">
        <v>70</v>
      </c>
      <c r="K698" s="227">
        <f t="array" ref="K698">IFERROR(INDEX([1]Grille_Tarifs_Modulable!$B$2:$B$204,MATCH(Tableau14[[#This Row],[Designation]]&amp;Tableau14[[#This Row],[CL]],[1]Grille_Tarifs_Modulable!$C$2:$C$204&amp;[1]Grille_Tarifs_Modulable!$F$2:$F$204,0)),0)</f>
        <v>0</v>
      </c>
      <c r="L698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</v>
      </c>
      <c r="M698" s="228">
        <f>IF(Tableau14[[#This Row],[Prix_Unit_HT]]=0,0,Tableau14[[#This Row],[Prix_Unit_HT]]+(Tableau14[[#This Row],[Prix_Unit_HT]]*VLOOKUP(Tableau14[[#This Row],[EAN]],[1]Grille_Tarifs_Modulable!$B$10:$Q$204,16,FALSE)))</f>
        <v>0</v>
      </c>
      <c r="N698" s="224">
        <v>6</v>
      </c>
      <c r="O698" s="228">
        <f>ROUND(Tableau14[[#This Row],[Prix_Unit_HT]],2)*Tableau14[[#This Row],[Qte_commande]]</f>
        <v>0</v>
      </c>
      <c r="P698" s="228">
        <f>ROUND(Tableau14[[#This Row],[Prix_Unit_TTC]],2)*Tableau14[[#This Row],[Qte_commande]]</f>
        <v>0</v>
      </c>
      <c r="Q698" s="224">
        <v>6</v>
      </c>
      <c r="R698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6.0000000000000009</v>
      </c>
      <c r="U698" s="224"/>
      <c r="V698" s="224"/>
    </row>
    <row r="699" spans="1:22" ht="14.65" customHeight="1" x14ac:dyDescent="0.2">
      <c r="A699" s="225">
        <v>43137</v>
      </c>
      <c r="B699" s="224" t="s">
        <v>648</v>
      </c>
      <c r="C699" s="224" t="s">
        <v>530</v>
      </c>
      <c r="D699" s="224" t="s">
        <v>531</v>
      </c>
      <c r="E699" s="226"/>
      <c r="G699" s="224" t="s">
        <v>1</v>
      </c>
      <c r="H699" s="224" t="s">
        <v>289</v>
      </c>
      <c r="I699" s="224" t="s">
        <v>15</v>
      </c>
      <c r="J699" s="224">
        <v>70</v>
      </c>
      <c r="K699" s="227">
        <f t="array" ref="K699">IFERROR(INDEX([1]Grille_Tarifs_Modulable!$B$2:$B$204,MATCH(Tableau14[[#This Row],[Designation]]&amp;Tableau14[[#This Row],[CL]],[1]Grille_Tarifs_Modulable!$C$2:$C$204&amp;[1]Grille_Tarifs_Modulable!$F$2:$F$204,0)),0)</f>
        <v>4067700013859</v>
      </c>
      <c r="L699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12.532563499999998</v>
      </c>
      <c r="M699" s="228">
        <f>IF(Tableau14[[#This Row],[Prix_Unit_HT]]=0,0,Tableau14[[#This Row],[Prix_Unit_HT]]+(Tableau14[[#This Row],[Prix_Unit_HT]]*VLOOKUP(Tableau14[[#This Row],[EAN]],[1]Grille_Tarifs_Modulable!$B$10:$Q$204,16,FALSE)))</f>
        <v>15.039076199999998</v>
      </c>
      <c r="N699" s="224">
        <v>150</v>
      </c>
      <c r="O699" s="228">
        <f>ROUND(Tableau14[[#This Row],[Prix_Unit_HT]],2)*Tableau14[[#This Row],[Qte_commande]]</f>
        <v>1879.5</v>
      </c>
      <c r="P699" s="228">
        <f>ROUND(Tableau14[[#This Row],[Prix_Unit_TTC]],2)*Tableau14[[#This Row],[Qte_commande]]</f>
        <v>2256</v>
      </c>
      <c r="Q699" s="224">
        <v>150</v>
      </c>
      <c r="R699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150</v>
      </c>
      <c r="U699" s="224"/>
      <c r="V699" s="224"/>
    </row>
    <row r="700" spans="1:22" ht="14.65" customHeight="1" x14ac:dyDescent="0.2">
      <c r="A700" s="225">
        <v>43137</v>
      </c>
      <c r="B700" s="224" t="s">
        <v>649</v>
      </c>
      <c r="C700" s="224" t="s">
        <v>639</v>
      </c>
      <c r="D700" s="224" t="s">
        <v>373</v>
      </c>
      <c r="E700" s="226"/>
      <c r="G700" s="224" t="s">
        <v>1</v>
      </c>
      <c r="H700" s="224" t="s">
        <v>289</v>
      </c>
      <c r="I700" s="224" t="s">
        <v>15</v>
      </c>
      <c r="J700" s="224">
        <v>70</v>
      </c>
      <c r="K700" s="227">
        <f t="array" ref="K700">IFERROR(INDEX([1]Grille_Tarifs_Modulable!$B$2:$B$204,MATCH(Tableau14[[#This Row],[Designation]]&amp;Tableau14[[#This Row],[CL]],[1]Grille_Tarifs_Modulable!$C$2:$C$204&amp;[1]Grille_Tarifs_Modulable!$F$2:$F$204,0)),0)</f>
        <v>4067700013859</v>
      </c>
      <c r="L700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12.532563499999998</v>
      </c>
      <c r="M700" s="228">
        <f>IF(Tableau14[[#This Row],[Prix_Unit_HT]]=0,0,Tableau14[[#This Row],[Prix_Unit_HT]]+(Tableau14[[#This Row],[Prix_Unit_HT]]*VLOOKUP(Tableau14[[#This Row],[EAN]],[1]Grille_Tarifs_Modulable!$B$10:$Q$204,16,FALSE)))</f>
        <v>15.039076199999998</v>
      </c>
      <c r="N700" s="224">
        <v>150</v>
      </c>
      <c r="O700" s="228">
        <f>ROUND(Tableau14[[#This Row],[Prix_Unit_HT]],2)*Tableau14[[#This Row],[Qte_commande]]</f>
        <v>1879.5</v>
      </c>
      <c r="P700" s="228">
        <f>ROUND(Tableau14[[#This Row],[Prix_Unit_TTC]],2)*Tableau14[[#This Row],[Qte_commande]]</f>
        <v>2256</v>
      </c>
      <c r="Q700" s="224">
        <v>150</v>
      </c>
      <c r="R700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150</v>
      </c>
      <c r="U700" s="224"/>
      <c r="V700" s="224"/>
    </row>
    <row r="701" spans="1:22" ht="14.65" customHeight="1" x14ac:dyDescent="0.2">
      <c r="A701" s="225">
        <v>43139</v>
      </c>
      <c r="B701" s="224" t="s">
        <v>319</v>
      </c>
      <c r="C701" s="224" t="s">
        <v>320</v>
      </c>
      <c r="D701" s="224" t="s">
        <v>270</v>
      </c>
      <c r="E701" s="226"/>
      <c r="G701" s="224" t="s">
        <v>13</v>
      </c>
      <c r="H701" s="224" t="s">
        <v>289</v>
      </c>
      <c r="I701" s="224" t="s">
        <v>22</v>
      </c>
      <c r="J701" s="224">
        <v>70</v>
      </c>
      <c r="K701" s="227">
        <f t="array" ref="K701">IFERROR(INDEX([1]Grille_Tarifs_Modulable!$B$2:$B$204,MATCH(Tableau14[[#This Row],[Designation]]&amp;Tableau14[[#This Row],[CL]],[1]Grille_Tarifs_Modulable!$C$2:$C$204&amp;[1]Grille_Tarifs_Modulable!$F$2:$F$204,0)),0)</f>
        <v>4055800060200</v>
      </c>
      <c r="L701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18.588644000000002</v>
      </c>
      <c r="M701" s="228">
        <f>IF(Tableau14[[#This Row],[Prix_Unit_HT]]=0,0,Tableau14[[#This Row],[Prix_Unit_HT]]+(Tableau14[[#This Row],[Prix_Unit_HT]]*VLOOKUP(Tableau14[[#This Row],[EAN]],[1]Grille_Tarifs_Modulable!$B$10:$Q$204,16,FALSE)))</f>
        <v>22.306372800000002</v>
      </c>
      <c r="N701" s="224">
        <v>6</v>
      </c>
      <c r="O701" s="228">
        <f>ROUND(Tableau14[[#This Row],[Prix_Unit_HT]],2)*Tableau14[[#This Row],[Qte_commande]]</f>
        <v>111.53999999999999</v>
      </c>
      <c r="P701" s="228">
        <f>ROUND(Tableau14[[#This Row],[Prix_Unit_TTC]],2)*Tableau14[[#This Row],[Qte_commande]]</f>
        <v>133.85999999999999</v>
      </c>
      <c r="Q701" s="224">
        <v>6</v>
      </c>
      <c r="R701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6.0000000000000009</v>
      </c>
      <c r="U701" s="224"/>
      <c r="V701" s="224"/>
    </row>
    <row r="702" spans="1:22" ht="14.65" customHeight="1" x14ac:dyDescent="0.2">
      <c r="A702" s="225">
        <v>43139</v>
      </c>
      <c r="B702" s="224" t="s">
        <v>319</v>
      </c>
      <c r="C702" s="224" t="s">
        <v>320</v>
      </c>
      <c r="D702" s="224" t="s">
        <v>270</v>
      </c>
      <c r="E702" s="226"/>
      <c r="G702" s="224" t="s">
        <v>1</v>
      </c>
      <c r="H702" s="224" t="s">
        <v>289</v>
      </c>
      <c r="I702" s="224" t="s">
        <v>35</v>
      </c>
      <c r="J702" s="224">
        <v>70</v>
      </c>
      <c r="K702" s="227">
        <f t="array" ref="K702">IFERROR(INDEX([1]Grille_Tarifs_Modulable!$B$2:$B$204,MATCH(Tableau14[[#This Row],[Designation]]&amp;Tableau14[[#This Row],[CL]],[1]Grille_Tarifs_Modulable!$C$2:$C$204&amp;[1]Grille_Tarifs_Modulable!$F$2:$F$204,0)),0)</f>
        <v>3257150107012</v>
      </c>
      <c r="L702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29.828643999999997</v>
      </c>
      <c r="M702" s="228">
        <f>IF(Tableau14[[#This Row],[Prix_Unit_HT]]=0,0,Tableau14[[#This Row],[Prix_Unit_HT]]+(Tableau14[[#This Row],[Prix_Unit_HT]]*VLOOKUP(Tableau14[[#This Row],[EAN]],[1]Grille_Tarifs_Modulable!$B$10:$Q$204,16,FALSE)))</f>
        <v>35.794372799999998</v>
      </c>
      <c r="N702" s="224">
        <v>6</v>
      </c>
      <c r="O702" s="228">
        <f>ROUND(Tableau14[[#This Row],[Prix_Unit_HT]],2)*Tableau14[[#This Row],[Qte_commande]]</f>
        <v>178.98</v>
      </c>
      <c r="P702" s="228">
        <f>ROUND(Tableau14[[#This Row],[Prix_Unit_TTC]],2)*Tableau14[[#This Row],[Qte_commande]]</f>
        <v>214.74</v>
      </c>
      <c r="Q702" s="224">
        <v>6</v>
      </c>
      <c r="R702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6.0000000000000009</v>
      </c>
      <c r="U702" s="224"/>
      <c r="V702" s="224"/>
    </row>
    <row r="703" spans="1:22" ht="14.65" customHeight="1" x14ac:dyDescent="0.2">
      <c r="A703" s="225">
        <v>43139</v>
      </c>
      <c r="B703" s="224" t="s">
        <v>319</v>
      </c>
      <c r="C703" s="224" t="s">
        <v>320</v>
      </c>
      <c r="D703" s="224" t="s">
        <v>270</v>
      </c>
      <c r="E703" s="226"/>
      <c r="G703" s="224" t="s">
        <v>13</v>
      </c>
      <c r="H703" s="224" t="s">
        <v>289</v>
      </c>
      <c r="I703" s="224" t="s">
        <v>30</v>
      </c>
      <c r="J703" s="224">
        <v>70</v>
      </c>
      <c r="K703" s="227">
        <f t="array" ref="K703">IFERROR(INDEX([1]Grille_Tarifs_Modulable!$B$2:$B$204,MATCH(Tableau14[[#This Row],[Designation]]&amp;Tableau14[[#This Row],[CL]],[1]Grille_Tarifs_Modulable!$C$2:$C$204&amp;[1]Grille_Tarifs_Modulable!$F$2:$F$204,0)),0)</f>
        <v>3257150101904</v>
      </c>
      <c r="L703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18.506483000000003</v>
      </c>
      <c r="M703" s="228">
        <f>IF(Tableau14[[#This Row],[Prix_Unit_HT]]=0,0,Tableau14[[#This Row],[Prix_Unit_HT]]+(Tableau14[[#This Row],[Prix_Unit_HT]]*VLOOKUP(Tableau14[[#This Row],[EAN]],[1]Grille_Tarifs_Modulable!$B$10:$Q$204,16,FALSE)))</f>
        <v>22.207779600000002</v>
      </c>
      <c r="N703" s="224">
        <v>6</v>
      </c>
      <c r="O703" s="228">
        <f>ROUND(Tableau14[[#This Row],[Prix_Unit_HT]],2)*Tableau14[[#This Row],[Qte_commande]]</f>
        <v>111.06</v>
      </c>
      <c r="P703" s="228">
        <f>ROUND(Tableau14[[#This Row],[Prix_Unit_TTC]],2)*Tableau14[[#This Row],[Qte_commande]]</f>
        <v>133.26</v>
      </c>
      <c r="Q703" s="224">
        <v>6</v>
      </c>
      <c r="R703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6.0000000000000009</v>
      </c>
      <c r="U703" s="224"/>
      <c r="V703" s="224"/>
    </row>
    <row r="704" spans="1:22" ht="14.65" customHeight="1" x14ac:dyDescent="0.2">
      <c r="A704" s="225">
        <v>43139</v>
      </c>
      <c r="B704" s="224" t="s">
        <v>319</v>
      </c>
      <c r="C704" s="224" t="s">
        <v>320</v>
      </c>
      <c r="D704" s="224" t="s">
        <v>270</v>
      </c>
      <c r="E704" s="226"/>
      <c r="G704" s="224" t="s">
        <v>13</v>
      </c>
      <c r="H704" s="224" t="s">
        <v>289</v>
      </c>
      <c r="I704" s="224" t="s">
        <v>31</v>
      </c>
      <c r="J704" s="224">
        <v>70</v>
      </c>
      <c r="K704" s="227">
        <f t="array" ref="K704">IFERROR(INDEX([1]Grille_Tarifs_Modulable!$B$2:$B$204,MATCH(Tableau14[[#This Row],[Designation]]&amp;Tableau14[[#This Row],[CL]],[1]Grille_Tarifs_Modulable!$C$2:$C$204&amp;[1]Grille_Tarifs_Modulable!$F$2:$F$204,0)),0)</f>
        <v>3257150102017</v>
      </c>
      <c r="L704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16.854322</v>
      </c>
      <c r="M704" s="228">
        <f>IF(Tableau14[[#This Row],[Prix_Unit_HT]]=0,0,Tableau14[[#This Row],[Prix_Unit_HT]]+(Tableau14[[#This Row],[Prix_Unit_HT]]*VLOOKUP(Tableau14[[#This Row],[EAN]],[1]Grille_Tarifs_Modulable!$B$10:$Q$204,16,FALSE)))</f>
        <v>20.225186399999998</v>
      </c>
      <c r="N704" s="224">
        <v>6</v>
      </c>
      <c r="O704" s="228">
        <f>ROUND(Tableau14[[#This Row],[Prix_Unit_HT]],2)*Tableau14[[#This Row],[Qte_commande]]</f>
        <v>101.10000000000001</v>
      </c>
      <c r="P704" s="228">
        <f>ROUND(Tableau14[[#This Row],[Prix_Unit_TTC]],2)*Tableau14[[#This Row],[Qte_commande]]</f>
        <v>121.38</v>
      </c>
      <c r="Q704" s="224">
        <v>6</v>
      </c>
      <c r="R704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6.0000000000000009</v>
      </c>
      <c r="U704" s="224"/>
      <c r="V704" s="224"/>
    </row>
    <row r="705" spans="1:22" ht="14.65" customHeight="1" x14ac:dyDescent="0.2">
      <c r="A705" s="225">
        <v>43143</v>
      </c>
      <c r="B705" s="224" t="s">
        <v>267</v>
      </c>
      <c r="C705" s="224" t="s">
        <v>265</v>
      </c>
      <c r="D705" s="224" t="s">
        <v>266</v>
      </c>
      <c r="E705" s="226"/>
      <c r="G705" s="224" t="s">
        <v>1</v>
      </c>
      <c r="H705" s="224" t="s">
        <v>196</v>
      </c>
      <c r="I705" s="224" t="s">
        <v>63</v>
      </c>
      <c r="J705" s="224">
        <v>20</v>
      </c>
      <c r="K705" s="227">
        <f t="array" ref="K705">IFERROR(INDEX([1]Grille_Tarifs_Modulable!$B$2:$B$204,MATCH(Tableau14[[#This Row],[Designation]]&amp;Tableau14[[#This Row],[CL]],[1]Grille_Tarifs_Modulable!$C$2:$C$204&amp;[1]Grille_Tarifs_Modulable!$F$2:$F$204,0)),0)</f>
        <v>4260310552941</v>
      </c>
      <c r="L705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0.81</v>
      </c>
      <c r="M705" s="228">
        <f>IF(Tableau14[[#This Row],[Prix_Unit_HT]]=0,0,Tableau14[[#This Row],[Prix_Unit_HT]]+(Tableau14[[#This Row],[Prix_Unit_HT]]*VLOOKUP(Tableau14[[#This Row],[EAN]],[1]Grille_Tarifs_Modulable!$B$10:$Q$204,16,FALSE)))</f>
        <v>0.85455000000000003</v>
      </c>
      <c r="N705" s="224">
        <v>96</v>
      </c>
      <c r="O705" s="228">
        <f>ROUND(Tableau14[[#This Row],[Prix_Unit_HT]],2)*Tableau14[[#This Row],[Qte_commande]]</f>
        <v>77.760000000000005</v>
      </c>
      <c r="P705" s="228">
        <f>ROUND(Tableau14[[#This Row],[Prix_Unit_TTC]],2)*Tableau14[[#This Row],[Qte_commande]]</f>
        <v>81.599999999999994</v>
      </c>
      <c r="Q705" s="224">
        <v>27.43</v>
      </c>
      <c r="R705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27.428571428571431</v>
      </c>
      <c r="U705" s="224"/>
      <c r="V705" s="224"/>
    </row>
    <row r="706" spans="1:22" ht="14.65" customHeight="1" x14ac:dyDescent="0.2">
      <c r="A706" s="225">
        <v>43143</v>
      </c>
      <c r="B706" s="224" t="s">
        <v>321</v>
      </c>
      <c r="C706" s="224" t="s">
        <v>198</v>
      </c>
      <c r="D706" s="224" t="s">
        <v>199</v>
      </c>
      <c r="E706" s="226"/>
      <c r="G706" s="224" t="s">
        <v>1</v>
      </c>
      <c r="H706" s="224" t="s">
        <v>289</v>
      </c>
      <c r="I706" s="224" t="s">
        <v>22</v>
      </c>
      <c r="J706" s="224">
        <v>70</v>
      </c>
      <c r="K706" s="227">
        <f t="array" ref="K706">IFERROR(INDEX([1]Grille_Tarifs_Modulable!$B$2:$B$204,MATCH(Tableau14[[#This Row],[Designation]]&amp;Tableau14[[#This Row],[CL]],[1]Grille_Tarifs_Modulable!$C$2:$C$204&amp;[1]Grille_Tarifs_Modulable!$F$2:$F$204,0)),0)</f>
        <v>4055800060200</v>
      </c>
      <c r="L706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17.408644000000002</v>
      </c>
      <c r="M706" s="228">
        <f>IF(Tableau14[[#This Row],[Prix_Unit_HT]]=0,0,Tableau14[[#This Row],[Prix_Unit_HT]]+(Tableau14[[#This Row],[Prix_Unit_HT]]*VLOOKUP(Tableau14[[#This Row],[EAN]],[1]Grille_Tarifs_Modulable!$B$10:$Q$204,16,FALSE)))</f>
        <v>20.890372800000002</v>
      </c>
      <c r="N706" s="224">
        <v>6</v>
      </c>
      <c r="O706" s="228">
        <f>ROUND(Tableau14[[#This Row],[Prix_Unit_HT]],2)*Tableau14[[#This Row],[Qte_commande]]</f>
        <v>104.46000000000001</v>
      </c>
      <c r="P706" s="228">
        <f>ROUND(Tableau14[[#This Row],[Prix_Unit_TTC]],2)*Tableau14[[#This Row],[Qte_commande]]</f>
        <v>125.34</v>
      </c>
      <c r="Q706" s="224">
        <v>6</v>
      </c>
      <c r="R706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6.0000000000000009</v>
      </c>
      <c r="U706" s="224"/>
      <c r="V706" s="224"/>
    </row>
    <row r="707" spans="1:22" ht="14.65" customHeight="1" x14ac:dyDescent="0.2">
      <c r="A707" s="225">
        <v>43143</v>
      </c>
      <c r="B707" s="224" t="s">
        <v>267</v>
      </c>
      <c r="C707" s="224" t="s">
        <v>265</v>
      </c>
      <c r="D707" s="224" t="s">
        <v>266</v>
      </c>
      <c r="E707" s="226"/>
      <c r="G707" s="224" t="s">
        <v>1</v>
      </c>
      <c r="H707" s="224" t="s">
        <v>196</v>
      </c>
      <c r="I707" s="224" t="s">
        <v>60</v>
      </c>
      <c r="J707" s="224">
        <v>20</v>
      </c>
      <c r="K707" s="227">
        <f t="array" ref="K707">IFERROR(INDEX([1]Grille_Tarifs_Modulable!$B$2:$B$204,MATCH(Tableau14[[#This Row],[Designation]]&amp;Tableau14[[#This Row],[CL]],[1]Grille_Tarifs_Modulable!$C$2:$C$204&amp;[1]Grille_Tarifs_Modulable!$F$2:$F$204,0)),0)</f>
        <v>4260310553832</v>
      </c>
      <c r="L707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0.81</v>
      </c>
      <c r="M707" s="228">
        <f>IF(Tableau14[[#This Row],[Prix_Unit_HT]]=0,0,Tableau14[[#This Row],[Prix_Unit_HT]]+(Tableau14[[#This Row],[Prix_Unit_HT]]*VLOOKUP(Tableau14[[#This Row],[EAN]],[1]Grille_Tarifs_Modulable!$B$10:$Q$204,16,FALSE)))</f>
        <v>0.85455000000000003</v>
      </c>
      <c r="N707" s="224">
        <v>144</v>
      </c>
      <c r="O707" s="228">
        <f>ROUND(Tableau14[[#This Row],[Prix_Unit_HT]],2)*Tableau14[[#This Row],[Qte_commande]]</f>
        <v>116.64000000000001</v>
      </c>
      <c r="P707" s="228">
        <f>ROUND(Tableau14[[#This Row],[Prix_Unit_TTC]],2)*Tableau14[[#This Row],[Qte_commande]]</f>
        <v>122.39999999999999</v>
      </c>
      <c r="Q707" s="224">
        <v>41.14</v>
      </c>
      <c r="R707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41.142857142857146</v>
      </c>
      <c r="U707" s="224"/>
      <c r="V707" s="224"/>
    </row>
    <row r="708" spans="1:22" ht="14.65" customHeight="1" x14ac:dyDescent="0.2">
      <c r="A708" s="225">
        <v>43143</v>
      </c>
      <c r="B708" s="224" t="s">
        <v>267</v>
      </c>
      <c r="C708" s="224" t="s">
        <v>265</v>
      </c>
      <c r="D708" s="224" t="s">
        <v>266</v>
      </c>
      <c r="E708" s="226"/>
      <c r="G708" s="224" t="s">
        <v>1</v>
      </c>
      <c r="H708" s="224" t="s">
        <v>289</v>
      </c>
      <c r="I708" s="224" t="s">
        <v>15</v>
      </c>
      <c r="J708" s="224">
        <v>70</v>
      </c>
      <c r="K708" s="227">
        <f t="array" ref="K708">IFERROR(INDEX([1]Grille_Tarifs_Modulable!$B$2:$B$204,MATCH(Tableau14[[#This Row],[Designation]]&amp;Tableau14[[#This Row],[CL]],[1]Grille_Tarifs_Modulable!$C$2:$C$204&amp;[1]Grille_Tarifs_Modulable!$F$2:$F$204,0)),0)</f>
        <v>4067700013859</v>
      </c>
      <c r="L708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12.532563499999998</v>
      </c>
      <c r="M708" s="228">
        <f>IF(Tableau14[[#This Row],[Prix_Unit_HT]]=0,0,Tableau14[[#This Row],[Prix_Unit_HT]]+(Tableau14[[#This Row],[Prix_Unit_HT]]*VLOOKUP(Tableau14[[#This Row],[EAN]],[1]Grille_Tarifs_Modulable!$B$10:$Q$204,16,FALSE)))</f>
        <v>15.039076199999998</v>
      </c>
      <c r="N708" s="224">
        <v>240</v>
      </c>
      <c r="O708" s="228">
        <f>ROUND(Tableau14[[#This Row],[Prix_Unit_HT]],2)*Tableau14[[#This Row],[Qte_commande]]</f>
        <v>3007.2</v>
      </c>
      <c r="P708" s="228">
        <f>ROUND(Tableau14[[#This Row],[Prix_Unit_TTC]],2)*Tableau14[[#This Row],[Qte_commande]]</f>
        <v>3609.6</v>
      </c>
      <c r="Q708" s="224">
        <v>240</v>
      </c>
      <c r="R708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240.00000000000003</v>
      </c>
      <c r="U708" s="224"/>
      <c r="V708" s="224"/>
    </row>
    <row r="709" spans="1:22" ht="14.65" customHeight="1" x14ac:dyDescent="0.2">
      <c r="A709" s="225">
        <v>43143</v>
      </c>
      <c r="B709" s="224" t="s">
        <v>321</v>
      </c>
      <c r="C709" s="224" t="s">
        <v>198</v>
      </c>
      <c r="D709" s="224" t="s">
        <v>199</v>
      </c>
      <c r="E709" s="226"/>
      <c r="G709" s="224" t="s">
        <v>1</v>
      </c>
      <c r="H709" s="224" t="s">
        <v>289</v>
      </c>
      <c r="I709" s="224" t="s">
        <v>15</v>
      </c>
      <c r="J709" s="224">
        <v>70</v>
      </c>
      <c r="K709" s="227">
        <f t="array" ref="K709">IFERROR(INDEX([1]Grille_Tarifs_Modulable!$B$2:$B$204,MATCH(Tableau14[[#This Row],[Designation]]&amp;Tableau14[[#This Row],[CL]],[1]Grille_Tarifs_Modulable!$C$2:$C$204&amp;[1]Grille_Tarifs_Modulable!$F$2:$F$204,0)),0)</f>
        <v>4067700013859</v>
      </c>
      <c r="L709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12.532563499999998</v>
      </c>
      <c r="M709" s="228">
        <f>IF(Tableau14[[#This Row],[Prix_Unit_HT]]=0,0,Tableau14[[#This Row],[Prix_Unit_HT]]+(Tableau14[[#This Row],[Prix_Unit_HT]]*VLOOKUP(Tableau14[[#This Row],[EAN]],[1]Grille_Tarifs_Modulable!$B$10:$Q$204,16,FALSE)))</f>
        <v>15.039076199999998</v>
      </c>
      <c r="N709" s="224">
        <v>24</v>
      </c>
      <c r="O709" s="228">
        <f>ROUND(Tableau14[[#This Row],[Prix_Unit_HT]],2)*Tableau14[[#This Row],[Qte_commande]]</f>
        <v>300.71999999999997</v>
      </c>
      <c r="P709" s="228">
        <f>ROUND(Tableau14[[#This Row],[Prix_Unit_TTC]],2)*Tableau14[[#This Row],[Qte_commande]]</f>
        <v>360.96</v>
      </c>
      <c r="Q709" s="224">
        <v>24</v>
      </c>
      <c r="R709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24.000000000000004</v>
      </c>
      <c r="U709" s="224"/>
      <c r="V709" s="224"/>
    </row>
    <row r="710" spans="1:22" ht="14.65" customHeight="1" x14ac:dyDescent="0.2">
      <c r="A710" s="225">
        <v>43143</v>
      </c>
      <c r="B710" s="224" t="s">
        <v>321</v>
      </c>
      <c r="C710" s="224" t="s">
        <v>198</v>
      </c>
      <c r="D710" s="224" t="s">
        <v>199</v>
      </c>
      <c r="E710" s="226"/>
      <c r="G710" s="224" t="s">
        <v>1</v>
      </c>
      <c r="H710" s="224" t="s">
        <v>289</v>
      </c>
      <c r="I710" s="224" t="s">
        <v>15</v>
      </c>
      <c r="J710" s="224">
        <v>100</v>
      </c>
      <c r="K710" s="227">
        <f t="array" ref="K710">IFERROR(INDEX([1]Grille_Tarifs_Modulable!$B$2:$B$204,MATCH(Tableau14[[#This Row],[Designation]]&amp;Tableau14[[#This Row],[CL]],[1]Grille_Tarifs_Modulable!$C$2:$C$204&amp;[1]Grille_Tarifs_Modulable!$F$2:$F$204,0)),0)</f>
        <v>4067700013842</v>
      </c>
      <c r="L710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17.100804999999998</v>
      </c>
      <c r="M710" s="228">
        <f>IF(Tableau14[[#This Row],[Prix_Unit_HT]]=0,0,Tableau14[[#This Row],[Prix_Unit_HT]]+(Tableau14[[#This Row],[Prix_Unit_HT]]*VLOOKUP(Tableau14[[#This Row],[EAN]],[1]Grille_Tarifs_Modulable!$B$10:$Q$204,16,FALSE)))</f>
        <v>20.520965999999998</v>
      </c>
      <c r="N710" s="224">
        <v>36</v>
      </c>
      <c r="O710" s="228">
        <f>ROUND(Tableau14[[#This Row],[Prix_Unit_HT]],2)*Tableau14[[#This Row],[Qte_commande]]</f>
        <v>615.6</v>
      </c>
      <c r="P710" s="228">
        <f>ROUND(Tableau14[[#This Row],[Prix_Unit_TTC]],2)*Tableau14[[#This Row],[Qte_commande]]</f>
        <v>738.72</v>
      </c>
      <c r="Q710" s="224">
        <v>51.43</v>
      </c>
      <c r="R710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51.428571428571431</v>
      </c>
      <c r="U710" s="224"/>
      <c r="V710" s="224"/>
    </row>
    <row r="711" spans="1:22" ht="14.65" customHeight="1" x14ac:dyDescent="0.2">
      <c r="A711" s="225">
        <v>43143</v>
      </c>
      <c r="B711" s="224" t="s">
        <v>321</v>
      </c>
      <c r="C711" s="224" t="s">
        <v>198</v>
      </c>
      <c r="D711" s="224" t="s">
        <v>199</v>
      </c>
      <c r="E711" s="226"/>
      <c r="G711" s="224" t="s">
        <v>1</v>
      </c>
      <c r="H711" s="224" t="s">
        <v>289</v>
      </c>
      <c r="I711" s="224" t="s">
        <v>15</v>
      </c>
      <c r="J711" s="224">
        <v>175</v>
      </c>
      <c r="K711" s="227">
        <f t="array" ref="K711">IFERROR(INDEX([1]Grille_Tarifs_Modulable!$B$2:$B$204,MATCH(Tableau14[[#This Row],[Designation]]&amp;Tableau14[[#This Row],[CL]],[1]Grille_Tarifs_Modulable!$C$2:$C$204&amp;[1]Grille_Tarifs_Modulable!$F$2:$F$204,0)),0)</f>
        <v>4067700013835</v>
      </c>
      <c r="L711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28.916408750000002</v>
      </c>
      <c r="M711" s="228">
        <f>IF(Tableau14[[#This Row],[Prix_Unit_HT]]=0,0,Tableau14[[#This Row],[Prix_Unit_HT]]+(Tableau14[[#This Row],[Prix_Unit_HT]]*VLOOKUP(Tableau14[[#This Row],[EAN]],[1]Grille_Tarifs_Modulable!$B$10:$Q$204,16,FALSE)))</f>
        <v>34.699690500000003</v>
      </c>
      <c r="N711" s="224">
        <v>24</v>
      </c>
      <c r="O711" s="228">
        <f>ROUND(Tableau14[[#This Row],[Prix_Unit_HT]],2)*Tableau14[[#This Row],[Qte_commande]]</f>
        <v>694.08</v>
      </c>
      <c r="P711" s="228">
        <f>ROUND(Tableau14[[#This Row],[Prix_Unit_TTC]],2)*Tableau14[[#This Row],[Qte_commande]]</f>
        <v>832.80000000000007</v>
      </c>
      <c r="Q711" s="224">
        <v>60</v>
      </c>
      <c r="R711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60.000000000000007</v>
      </c>
      <c r="U711" s="224"/>
      <c r="V711" s="224"/>
    </row>
    <row r="712" spans="1:22" ht="14.65" customHeight="1" x14ac:dyDescent="0.2">
      <c r="A712" s="225">
        <v>43143</v>
      </c>
      <c r="B712" s="224" t="s">
        <v>267</v>
      </c>
      <c r="C712" s="224" t="s">
        <v>265</v>
      </c>
      <c r="D712" s="224" t="s">
        <v>266</v>
      </c>
      <c r="E712" s="226"/>
      <c r="G712" s="224" t="s">
        <v>1</v>
      </c>
      <c r="H712" s="224" t="s">
        <v>289</v>
      </c>
      <c r="I712" s="224" t="s">
        <v>24</v>
      </c>
      <c r="J712" s="224">
        <v>70</v>
      </c>
      <c r="K712" s="227">
        <f t="array" ref="K712">IFERROR(INDEX([1]Grille_Tarifs_Modulable!$B$2:$B$204,MATCH(Tableau14[[#This Row],[Designation]]&amp;Tableau14[[#This Row],[CL]],[1]Grille_Tarifs_Modulable!$C$2:$C$204&amp;[1]Grille_Tarifs_Modulable!$F$2:$F$204,0)),0)</f>
        <v>8500000917008</v>
      </c>
      <c r="L712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11.028211800000001</v>
      </c>
      <c r="M712" s="228">
        <f>IF(Tableau14[[#This Row],[Prix_Unit_HT]]=0,0,Tableau14[[#This Row],[Prix_Unit_HT]]+(Tableau14[[#This Row],[Prix_Unit_HT]]*VLOOKUP(Tableau14[[#This Row],[EAN]],[1]Grille_Tarifs_Modulable!$B$10:$Q$204,16,FALSE)))</f>
        <v>13.233854160000002</v>
      </c>
      <c r="N712" s="224">
        <v>6</v>
      </c>
      <c r="O712" s="228">
        <f>ROUND(Tableau14[[#This Row],[Prix_Unit_HT]],2)*Tableau14[[#This Row],[Qte_commande]]</f>
        <v>66.179999999999993</v>
      </c>
      <c r="P712" s="228">
        <f>ROUND(Tableau14[[#This Row],[Prix_Unit_TTC]],2)*Tableau14[[#This Row],[Qte_commande]]</f>
        <v>79.38</v>
      </c>
      <c r="Q712" s="224">
        <v>6</v>
      </c>
      <c r="R712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6.0000000000000009</v>
      </c>
      <c r="U712" s="224"/>
      <c r="V712" s="224"/>
    </row>
    <row r="713" spans="1:22" ht="14.65" customHeight="1" x14ac:dyDescent="0.2">
      <c r="A713" s="225">
        <v>43143</v>
      </c>
      <c r="B713" s="224" t="s">
        <v>321</v>
      </c>
      <c r="C713" s="224" t="s">
        <v>198</v>
      </c>
      <c r="D713" s="224" t="s">
        <v>199</v>
      </c>
      <c r="E713" s="226"/>
      <c r="G713" s="224" t="s">
        <v>1</v>
      </c>
      <c r="H713" s="224" t="s">
        <v>289</v>
      </c>
      <c r="I713" s="224" t="s">
        <v>42</v>
      </c>
      <c r="J713" s="224">
        <v>70</v>
      </c>
      <c r="K713" s="227">
        <f t="array" ref="K713">IFERROR(INDEX([1]Grille_Tarifs_Modulable!$B$2:$B$204,MATCH(Tableau14[[#This Row],[Designation]]&amp;Tableau14[[#This Row],[CL]],[1]Grille_Tarifs_Modulable!$C$2:$C$204&amp;[1]Grille_Tarifs_Modulable!$F$2:$F$204,0)),0)</f>
        <v>3257150688009</v>
      </c>
      <c r="L713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12.556915199999999</v>
      </c>
      <c r="M713" s="228">
        <f>IF(Tableau14[[#This Row],[Prix_Unit_HT]]=0,0,Tableau14[[#This Row],[Prix_Unit_HT]]+(Tableau14[[#This Row],[Prix_Unit_HT]]*VLOOKUP(Tableau14[[#This Row],[EAN]],[1]Grille_Tarifs_Modulable!$B$10:$Q$204,16,FALSE)))</f>
        <v>15.068298239999999</v>
      </c>
      <c r="N713" s="224">
        <v>30</v>
      </c>
      <c r="O713" s="228">
        <f>ROUND(Tableau14[[#This Row],[Prix_Unit_HT]],2)*Tableau14[[#This Row],[Qte_commande]]</f>
        <v>376.8</v>
      </c>
      <c r="P713" s="228">
        <f>ROUND(Tableau14[[#This Row],[Prix_Unit_TTC]],2)*Tableau14[[#This Row],[Qte_commande]]</f>
        <v>452.1</v>
      </c>
      <c r="Q713" s="224">
        <v>30</v>
      </c>
      <c r="R713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30.000000000000004</v>
      </c>
      <c r="U713" s="224"/>
      <c r="V713" s="224"/>
    </row>
    <row r="714" spans="1:22" ht="14.65" customHeight="1" x14ac:dyDescent="0.2">
      <c r="A714" s="225">
        <v>43143</v>
      </c>
      <c r="B714" s="224" t="s">
        <v>267</v>
      </c>
      <c r="C714" s="224" t="s">
        <v>265</v>
      </c>
      <c r="D714" s="224" t="s">
        <v>266</v>
      </c>
      <c r="E714" s="226"/>
      <c r="G714" s="224" t="s">
        <v>1</v>
      </c>
      <c r="H714" s="224" t="s">
        <v>196</v>
      </c>
      <c r="I714" s="224" t="s">
        <v>64</v>
      </c>
      <c r="J714" s="224">
        <v>20</v>
      </c>
      <c r="K714" s="227">
        <f t="array" ref="K714">IFERROR(INDEX([1]Grille_Tarifs_Modulable!$B$2:$B$204,MATCH(Tableau14[[#This Row],[Designation]]&amp;Tableau14[[#This Row],[CL]],[1]Grille_Tarifs_Modulable!$C$2:$C$204&amp;[1]Grille_Tarifs_Modulable!$F$2:$F$204,0)),0)</f>
        <v>4260310553849</v>
      </c>
      <c r="L714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0.81</v>
      </c>
      <c r="M714" s="228">
        <f>IF(Tableau14[[#This Row],[Prix_Unit_HT]]=0,0,Tableau14[[#This Row],[Prix_Unit_HT]]+(Tableau14[[#This Row],[Prix_Unit_HT]]*VLOOKUP(Tableau14[[#This Row],[EAN]],[1]Grille_Tarifs_Modulable!$B$10:$Q$204,16,FALSE)))</f>
        <v>0.85455000000000003</v>
      </c>
      <c r="N714" s="224">
        <v>144</v>
      </c>
      <c r="O714" s="228">
        <f>ROUND(Tableau14[[#This Row],[Prix_Unit_HT]],2)*Tableau14[[#This Row],[Qte_commande]]</f>
        <v>116.64000000000001</v>
      </c>
      <c r="P714" s="228">
        <f>ROUND(Tableau14[[#This Row],[Prix_Unit_TTC]],2)*Tableau14[[#This Row],[Qte_commande]]</f>
        <v>122.39999999999999</v>
      </c>
      <c r="Q714" s="224">
        <v>41.14</v>
      </c>
      <c r="R714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41.142857142857146</v>
      </c>
      <c r="U714" s="224"/>
      <c r="V714" s="224"/>
    </row>
    <row r="715" spans="1:22" ht="14.65" customHeight="1" x14ac:dyDescent="0.2">
      <c r="A715" s="225">
        <v>43143</v>
      </c>
      <c r="B715" s="224" t="s">
        <v>267</v>
      </c>
      <c r="C715" s="224" t="s">
        <v>265</v>
      </c>
      <c r="D715" s="224" t="s">
        <v>266</v>
      </c>
      <c r="E715" s="226"/>
      <c r="G715" s="224" t="s">
        <v>1</v>
      </c>
      <c r="H715" s="224" t="s">
        <v>196</v>
      </c>
      <c r="I715" s="224" t="s">
        <v>59</v>
      </c>
      <c r="J715" s="224">
        <v>20</v>
      </c>
      <c r="K715" s="227">
        <f t="array" ref="K715">IFERROR(INDEX([1]Grille_Tarifs_Modulable!$B$2:$B$204,MATCH(Tableau14[[#This Row],[Designation]]&amp;Tableau14[[#This Row],[CL]],[1]Grille_Tarifs_Modulable!$C$2:$C$204&amp;[1]Grille_Tarifs_Modulable!$F$2:$F$204,0)),0)</f>
        <v>4260310553818</v>
      </c>
      <c r="L715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0.81</v>
      </c>
      <c r="M715" s="228">
        <f>IF(Tableau14[[#This Row],[Prix_Unit_HT]]=0,0,Tableau14[[#This Row],[Prix_Unit_HT]]+(Tableau14[[#This Row],[Prix_Unit_HT]]*VLOOKUP(Tableau14[[#This Row],[EAN]],[1]Grille_Tarifs_Modulable!$B$10:$Q$204,16,FALSE)))</f>
        <v>0.85455000000000003</v>
      </c>
      <c r="N715" s="224">
        <v>360</v>
      </c>
      <c r="O715" s="228">
        <f>ROUND(Tableau14[[#This Row],[Prix_Unit_HT]],2)*Tableau14[[#This Row],[Qte_commande]]</f>
        <v>291.60000000000002</v>
      </c>
      <c r="P715" s="228">
        <f>ROUND(Tableau14[[#This Row],[Prix_Unit_TTC]],2)*Tableau14[[#This Row],[Qte_commande]]</f>
        <v>306</v>
      </c>
      <c r="Q715" s="224">
        <v>102.86</v>
      </c>
      <c r="R715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102.85714285714286</v>
      </c>
      <c r="U715" s="224"/>
      <c r="V715" s="224"/>
    </row>
    <row r="716" spans="1:22" ht="14.65" customHeight="1" x14ac:dyDescent="0.2">
      <c r="A716" s="225">
        <v>43146</v>
      </c>
      <c r="B716" s="224" t="s">
        <v>650</v>
      </c>
      <c r="C716" s="224" t="s">
        <v>651</v>
      </c>
      <c r="D716" s="224" t="s">
        <v>652</v>
      </c>
      <c r="E716" s="226"/>
      <c r="G716" s="224" t="s">
        <v>13</v>
      </c>
      <c r="H716" s="224" t="s">
        <v>289</v>
      </c>
      <c r="I716" s="224" t="s">
        <v>15</v>
      </c>
      <c r="J716" s="224">
        <v>175</v>
      </c>
      <c r="K716" s="227">
        <f t="array" ref="K716">IFERROR(INDEX([1]Grille_Tarifs_Modulable!$B$2:$B$204,MATCH(Tableau14[[#This Row],[Designation]]&amp;Tableau14[[#This Row],[CL]],[1]Grille_Tarifs_Modulable!$C$2:$C$204&amp;[1]Grille_Tarifs_Modulable!$F$2:$F$204,0)),0)</f>
        <v>4067700013835</v>
      </c>
      <c r="L716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32.266408749999997</v>
      </c>
      <c r="M716" s="228">
        <f>IF(Tableau14[[#This Row],[Prix_Unit_HT]]=0,0,Tableau14[[#This Row],[Prix_Unit_HT]]+(Tableau14[[#This Row],[Prix_Unit_HT]]*VLOOKUP(Tableau14[[#This Row],[EAN]],[1]Grille_Tarifs_Modulable!$B$10:$Q$204,16,FALSE)))</f>
        <v>38.719690499999999</v>
      </c>
      <c r="N716" s="224">
        <v>6</v>
      </c>
      <c r="O716" s="228">
        <f>ROUND(Tableau14[[#This Row],[Prix_Unit_HT]],2)*Tableau14[[#This Row],[Qte_commande]]</f>
        <v>193.62</v>
      </c>
      <c r="P716" s="228">
        <f>ROUND(Tableau14[[#This Row],[Prix_Unit_TTC]],2)*Tableau14[[#This Row],[Qte_commande]]</f>
        <v>232.32</v>
      </c>
      <c r="Q716" s="224">
        <v>15</v>
      </c>
      <c r="R716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15.000000000000002</v>
      </c>
      <c r="U716" s="224"/>
      <c r="V716" s="224"/>
    </row>
    <row r="717" spans="1:22" ht="14.65" customHeight="1" x14ac:dyDescent="0.2">
      <c r="A717" s="225">
        <v>43146</v>
      </c>
      <c r="B717" s="224" t="s">
        <v>650</v>
      </c>
      <c r="C717" s="224" t="s">
        <v>651</v>
      </c>
      <c r="D717" s="224" t="s">
        <v>652</v>
      </c>
      <c r="E717" s="226"/>
      <c r="G717" s="224" t="s">
        <v>13</v>
      </c>
      <c r="H717" s="224" t="s">
        <v>289</v>
      </c>
      <c r="I717" s="224" t="s">
        <v>30</v>
      </c>
      <c r="J717" s="224">
        <v>70</v>
      </c>
      <c r="K717" s="227">
        <f t="array" ref="K717">IFERROR(INDEX([1]Grille_Tarifs_Modulable!$B$2:$B$204,MATCH(Tableau14[[#This Row],[Designation]]&amp;Tableau14[[#This Row],[CL]],[1]Grille_Tarifs_Modulable!$C$2:$C$204&amp;[1]Grille_Tarifs_Modulable!$F$2:$F$204,0)),0)</f>
        <v>3257150101904</v>
      </c>
      <c r="L717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18.506483000000003</v>
      </c>
      <c r="M717" s="228">
        <f>IF(Tableau14[[#This Row],[Prix_Unit_HT]]=0,0,Tableau14[[#This Row],[Prix_Unit_HT]]+(Tableau14[[#This Row],[Prix_Unit_HT]]*VLOOKUP(Tableau14[[#This Row],[EAN]],[1]Grille_Tarifs_Modulable!$B$10:$Q$204,16,FALSE)))</f>
        <v>22.207779600000002</v>
      </c>
      <c r="N717" s="224">
        <v>6</v>
      </c>
      <c r="O717" s="228">
        <f>ROUND(Tableau14[[#This Row],[Prix_Unit_HT]],2)*Tableau14[[#This Row],[Qte_commande]]</f>
        <v>111.06</v>
      </c>
      <c r="P717" s="228">
        <f>ROUND(Tableau14[[#This Row],[Prix_Unit_TTC]],2)*Tableau14[[#This Row],[Qte_commande]]</f>
        <v>133.26</v>
      </c>
      <c r="Q717" s="224">
        <v>6</v>
      </c>
      <c r="R717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6.0000000000000009</v>
      </c>
      <c r="U717" s="224"/>
      <c r="V717" s="224"/>
    </row>
    <row r="718" spans="1:22" ht="14.65" customHeight="1" x14ac:dyDescent="0.2">
      <c r="A718" s="225">
        <v>43146</v>
      </c>
      <c r="B718" s="224" t="s">
        <v>650</v>
      </c>
      <c r="C718" s="224" t="s">
        <v>651</v>
      </c>
      <c r="D718" s="224" t="s">
        <v>652</v>
      </c>
      <c r="E718" s="226"/>
      <c r="G718" s="224" t="s">
        <v>13</v>
      </c>
      <c r="H718" s="224" t="s">
        <v>289</v>
      </c>
      <c r="I718" s="224" t="s">
        <v>31</v>
      </c>
      <c r="J718" s="224">
        <v>70</v>
      </c>
      <c r="K718" s="227">
        <f t="array" ref="K718">IFERROR(INDEX([1]Grille_Tarifs_Modulable!$B$2:$B$204,MATCH(Tableau14[[#This Row],[Designation]]&amp;Tableau14[[#This Row],[CL]],[1]Grille_Tarifs_Modulable!$C$2:$C$204&amp;[1]Grille_Tarifs_Modulable!$F$2:$F$204,0)),0)</f>
        <v>3257150102017</v>
      </c>
      <c r="L718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16.854322</v>
      </c>
      <c r="M718" s="228">
        <f>IF(Tableau14[[#This Row],[Prix_Unit_HT]]=0,0,Tableau14[[#This Row],[Prix_Unit_HT]]+(Tableau14[[#This Row],[Prix_Unit_HT]]*VLOOKUP(Tableau14[[#This Row],[EAN]],[1]Grille_Tarifs_Modulable!$B$10:$Q$204,16,FALSE)))</f>
        <v>20.225186399999998</v>
      </c>
      <c r="N718" s="224">
        <v>6</v>
      </c>
      <c r="O718" s="228">
        <f>ROUND(Tableau14[[#This Row],[Prix_Unit_HT]],2)*Tableau14[[#This Row],[Qte_commande]]</f>
        <v>101.10000000000001</v>
      </c>
      <c r="P718" s="228">
        <f>ROUND(Tableau14[[#This Row],[Prix_Unit_TTC]],2)*Tableau14[[#This Row],[Qte_commande]]</f>
        <v>121.38</v>
      </c>
      <c r="Q718" s="224">
        <v>6</v>
      </c>
      <c r="R718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6.0000000000000009</v>
      </c>
      <c r="U718" s="224"/>
      <c r="V718" s="224"/>
    </row>
    <row r="719" spans="1:22" ht="14.65" customHeight="1" x14ac:dyDescent="0.2">
      <c r="A719" s="225">
        <v>43147</v>
      </c>
      <c r="B719" s="224" t="s">
        <v>1146</v>
      </c>
      <c r="C719" s="224" t="s">
        <v>1147</v>
      </c>
      <c r="D719" s="224" t="s">
        <v>979</v>
      </c>
      <c r="E719" s="226"/>
      <c r="G719" s="224" t="s">
        <v>13</v>
      </c>
      <c r="H719" s="224" t="s">
        <v>451</v>
      </c>
      <c r="I719" s="224" t="s">
        <v>69</v>
      </c>
      <c r="J719" s="227">
        <v>3</v>
      </c>
      <c r="K719" s="227">
        <f t="array" ref="K719">IFERROR(INDEX([1]Grille_Tarifs_Modulable!$B$2:$B$204,MATCH(Tableau14[[#This Row],[Designation]]&amp;Tableau14[[#This Row],[CL]],[1]Grille_Tarifs_Modulable!$C$2:$C$204&amp;[1]Grille_Tarifs_Modulable!$F$2:$F$204,0)),0)</f>
        <v>121</v>
      </c>
      <c r="L719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299</v>
      </c>
      <c r="M719" s="228">
        <f>IF(Tableau14[[#This Row],[Prix_Unit_HT]]=0,0,Tableau14[[#This Row],[Prix_Unit_HT]]+(Tableau14[[#This Row],[Prix_Unit_HT]]*VLOOKUP(Tableau14[[#This Row],[EAN]],[1]Grille_Tarifs_Modulable!$B$10:$Q$204,16,FALSE)))</f>
        <v>358.8</v>
      </c>
      <c r="N719" s="224">
        <v>1</v>
      </c>
      <c r="O719" s="228">
        <f>ROUND(Tableau14[[#This Row],[Prix_Unit_HT]],2)*Tableau14[[#This Row],[Qte_commande]]</f>
        <v>299</v>
      </c>
      <c r="P719" s="228">
        <f>ROUND(Tableau14[[#This Row],[Prix_Unit_TTC]],2)*Tableau14[[#This Row],[Qte_commande]]</f>
        <v>358.8</v>
      </c>
      <c r="Q719" s="224">
        <v>1</v>
      </c>
      <c r="R719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</v>
      </c>
      <c r="U719" s="224"/>
      <c r="V719" s="224"/>
    </row>
    <row r="720" spans="1:22" ht="14.65" customHeight="1" x14ac:dyDescent="0.2">
      <c r="A720" s="225">
        <v>43150</v>
      </c>
      <c r="B720" s="224" t="s">
        <v>653</v>
      </c>
      <c r="C720" s="224" t="s">
        <v>654</v>
      </c>
      <c r="D720" s="224" t="s">
        <v>402</v>
      </c>
      <c r="E720" s="226"/>
      <c r="G720" s="224" t="s">
        <v>1</v>
      </c>
      <c r="H720" s="224" t="s">
        <v>289</v>
      </c>
      <c r="I720" s="224" t="s">
        <v>15</v>
      </c>
      <c r="J720" s="224">
        <v>100</v>
      </c>
      <c r="K720" s="227">
        <f t="array" ref="K720">IFERROR(INDEX([1]Grille_Tarifs_Modulable!$B$2:$B$204,MATCH(Tableau14[[#This Row],[Designation]]&amp;Tableau14[[#This Row],[CL]],[1]Grille_Tarifs_Modulable!$C$2:$C$204&amp;[1]Grille_Tarifs_Modulable!$F$2:$F$204,0)),0)</f>
        <v>4067700013842</v>
      </c>
      <c r="L720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17.100804999999998</v>
      </c>
      <c r="M720" s="228">
        <f>IF(Tableau14[[#This Row],[Prix_Unit_HT]]=0,0,Tableau14[[#This Row],[Prix_Unit_HT]]+(Tableau14[[#This Row],[Prix_Unit_HT]]*VLOOKUP(Tableau14[[#This Row],[EAN]],[1]Grille_Tarifs_Modulable!$B$10:$Q$204,16,FALSE)))</f>
        <v>20.520965999999998</v>
      </c>
      <c r="N720" s="224">
        <v>18</v>
      </c>
      <c r="O720" s="228">
        <f>ROUND(Tableau14[[#This Row],[Prix_Unit_HT]],2)*Tableau14[[#This Row],[Qte_commande]]</f>
        <v>307.8</v>
      </c>
      <c r="P720" s="228">
        <f>ROUND(Tableau14[[#This Row],[Prix_Unit_TTC]],2)*Tableau14[[#This Row],[Qte_commande]]</f>
        <v>369.36</v>
      </c>
      <c r="Q720" s="224">
        <v>25.71</v>
      </c>
      <c r="R720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25.714285714285715</v>
      </c>
      <c r="U720" s="224"/>
      <c r="V720" s="224"/>
    </row>
    <row r="721" spans="1:22" ht="14.65" customHeight="1" x14ac:dyDescent="0.2">
      <c r="A721" s="225">
        <v>43150</v>
      </c>
      <c r="B721" s="224" t="s">
        <v>655</v>
      </c>
      <c r="C721" s="224" t="s">
        <v>198</v>
      </c>
      <c r="D721" s="224" t="s">
        <v>199</v>
      </c>
      <c r="E721" s="226"/>
      <c r="G721" s="224" t="s">
        <v>1</v>
      </c>
      <c r="H721" s="224" t="s">
        <v>289</v>
      </c>
      <c r="I721" s="224" t="s">
        <v>15</v>
      </c>
      <c r="J721" s="224">
        <v>70</v>
      </c>
      <c r="K721" s="227">
        <f t="array" ref="K721">IFERROR(INDEX([1]Grille_Tarifs_Modulable!$B$2:$B$204,MATCH(Tableau14[[#This Row],[Designation]]&amp;Tableau14[[#This Row],[CL]],[1]Grille_Tarifs_Modulable!$C$2:$C$204&amp;[1]Grille_Tarifs_Modulable!$F$2:$F$204,0)),0)</f>
        <v>4067700013859</v>
      </c>
      <c r="L721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12.532563499999998</v>
      </c>
      <c r="M721" s="228">
        <f>IF(Tableau14[[#This Row],[Prix_Unit_HT]]=0,0,Tableau14[[#This Row],[Prix_Unit_HT]]+(Tableau14[[#This Row],[Prix_Unit_HT]]*VLOOKUP(Tableau14[[#This Row],[EAN]],[1]Grille_Tarifs_Modulable!$B$10:$Q$204,16,FALSE)))</f>
        <v>15.039076199999998</v>
      </c>
      <c r="N721" s="224">
        <v>12</v>
      </c>
      <c r="O721" s="228">
        <f>ROUND(Tableau14[[#This Row],[Prix_Unit_HT]],2)*Tableau14[[#This Row],[Qte_commande]]</f>
        <v>150.35999999999999</v>
      </c>
      <c r="P721" s="228">
        <f>ROUND(Tableau14[[#This Row],[Prix_Unit_TTC]],2)*Tableau14[[#This Row],[Qte_commande]]</f>
        <v>180.48</v>
      </c>
      <c r="Q721" s="224">
        <v>12</v>
      </c>
      <c r="R721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12.000000000000002</v>
      </c>
      <c r="U721" s="224"/>
      <c r="V721" s="224"/>
    </row>
    <row r="722" spans="1:22" ht="14.65" customHeight="1" x14ac:dyDescent="0.2">
      <c r="A722" s="225">
        <v>43150</v>
      </c>
      <c r="B722" s="224" t="s">
        <v>655</v>
      </c>
      <c r="C722" s="224" t="s">
        <v>198</v>
      </c>
      <c r="D722" s="224" t="s">
        <v>199</v>
      </c>
      <c r="E722" s="226"/>
      <c r="G722" s="224" t="s">
        <v>1</v>
      </c>
      <c r="H722" s="224" t="s">
        <v>289</v>
      </c>
      <c r="I722" s="224" t="s">
        <v>15</v>
      </c>
      <c r="J722" s="224">
        <v>100</v>
      </c>
      <c r="K722" s="227">
        <f t="array" ref="K722">IFERROR(INDEX([1]Grille_Tarifs_Modulable!$B$2:$B$204,MATCH(Tableau14[[#This Row],[Designation]]&amp;Tableau14[[#This Row],[CL]],[1]Grille_Tarifs_Modulable!$C$2:$C$204&amp;[1]Grille_Tarifs_Modulable!$F$2:$F$204,0)),0)</f>
        <v>4067700013842</v>
      </c>
      <c r="L722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17.100804999999998</v>
      </c>
      <c r="M722" s="228">
        <f>IF(Tableau14[[#This Row],[Prix_Unit_HT]]=0,0,Tableau14[[#This Row],[Prix_Unit_HT]]+(Tableau14[[#This Row],[Prix_Unit_HT]]*VLOOKUP(Tableau14[[#This Row],[EAN]],[1]Grille_Tarifs_Modulable!$B$10:$Q$204,16,FALSE)))</f>
        <v>20.520965999999998</v>
      </c>
      <c r="N722" s="224">
        <v>30</v>
      </c>
      <c r="O722" s="228">
        <f>ROUND(Tableau14[[#This Row],[Prix_Unit_HT]],2)*Tableau14[[#This Row],[Qte_commande]]</f>
        <v>513</v>
      </c>
      <c r="P722" s="228">
        <f>ROUND(Tableau14[[#This Row],[Prix_Unit_TTC]],2)*Tableau14[[#This Row],[Qte_commande]]</f>
        <v>615.6</v>
      </c>
      <c r="Q722" s="224">
        <v>42.86</v>
      </c>
      <c r="R722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42.857142857142861</v>
      </c>
      <c r="U722" s="224"/>
      <c r="V722" s="224"/>
    </row>
    <row r="723" spans="1:22" ht="14.65" customHeight="1" x14ac:dyDescent="0.2">
      <c r="A723" s="225">
        <v>43150</v>
      </c>
      <c r="B723" s="224" t="s">
        <v>656</v>
      </c>
      <c r="C723" s="224" t="s">
        <v>397</v>
      </c>
      <c r="D723" s="224" t="s">
        <v>209</v>
      </c>
      <c r="E723" s="226"/>
      <c r="G723" s="224" t="s">
        <v>1</v>
      </c>
      <c r="H723" s="224" t="s">
        <v>289</v>
      </c>
      <c r="I723" s="224" t="s">
        <v>15</v>
      </c>
      <c r="J723" s="224">
        <v>175</v>
      </c>
      <c r="K723" s="227">
        <f t="array" ref="K723">IFERROR(INDEX([1]Grille_Tarifs_Modulable!$B$2:$B$204,MATCH(Tableau14[[#This Row],[Designation]]&amp;Tableau14[[#This Row],[CL]],[1]Grille_Tarifs_Modulable!$C$2:$C$204&amp;[1]Grille_Tarifs_Modulable!$F$2:$F$204,0)),0)</f>
        <v>4067700013835</v>
      </c>
      <c r="L723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28.916408750000002</v>
      </c>
      <c r="M723" s="228">
        <f>IF(Tableau14[[#This Row],[Prix_Unit_HT]]=0,0,Tableau14[[#This Row],[Prix_Unit_HT]]+(Tableau14[[#This Row],[Prix_Unit_HT]]*VLOOKUP(Tableau14[[#This Row],[EAN]],[1]Grille_Tarifs_Modulable!$B$10:$Q$204,16,FALSE)))</f>
        <v>34.699690500000003</v>
      </c>
      <c r="N723" s="224">
        <v>48</v>
      </c>
      <c r="O723" s="228">
        <f>ROUND(Tableau14[[#This Row],[Prix_Unit_HT]],2)*Tableau14[[#This Row],[Qte_commande]]</f>
        <v>1388.16</v>
      </c>
      <c r="P723" s="228">
        <f>ROUND(Tableau14[[#This Row],[Prix_Unit_TTC]],2)*Tableau14[[#This Row],[Qte_commande]]</f>
        <v>1665.6000000000001</v>
      </c>
      <c r="Q723" s="224">
        <v>120</v>
      </c>
      <c r="R723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120.00000000000001</v>
      </c>
      <c r="U723" s="224"/>
      <c r="V723" s="224"/>
    </row>
    <row r="724" spans="1:22" ht="14.65" customHeight="1" x14ac:dyDescent="0.2">
      <c r="A724" s="225">
        <v>43150</v>
      </c>
      <c r="B724" s="224" t="s">
        <v>655</v>
      </c>
      <c r="C724" s="224" t="s">
        <v>198</v>
      </c>
      <c r="D724" s="224" t="s">
        <v>199</v>
      </c>
      <c r="E724" s="226"/>
      <c r="G724" s="224" t="s">
        <v>1</v>
      </c>
      <c r="H724" s="224" t="s">
        <v>196</v>
      </c>
      <c r="I724" s="224" t="s">
        <v>66</v>
      </c>
      <c r="J724" s="224">
        <v>50</v>
      </c>
      <c r="K724" s="227">
        <f t="array" ref="K724">IFERROR(INDEX([1]Grille_Tarifs_Modulable!$B$2:$B$204,MATCH(Tableau14[[#This Row],[Designation]]&amp;Tableau14[[#This Row],[CL]],[1]Grille_Tarifs_Modulable!$C$2:$C$204&amp;[1]Grille_Tarifs_Modulable!$F$2:$F$204,0)),0)</f>
        <v>4260310553382</v>
      </c>
      <c r="L724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</v>
      </c>
      <c r="M724" s="228">
        <f>IF(Tableau14[[#This Row],[Prix_Unit_HT]]=0,0,Tableau14[[#This Row],[Prix_Unit_HT]]+(Tableau14[[#This Row],[Prix_Unit_HT]]*VLOOKUP(Tableau14[[#This Row],[EAN]],[1]Grille_Tarifs_Modulable!$B$10:$Q$204,16,FALSE)))</f>
        <v>1.0549999999999999</v>
      </c>
      <c r="N724" s="224">
        <v>40</v>
      </c>
      <c r="O724" s="228">
        <f>ROUND(Tableau14[[#This Row],[Prix_Unit_HT]],2)*Tableau14[[#This Row],[Qte_commande]]</f>
        <v>40</v>
      </c>
      <c r="P724" s="228">
        <f>ROUND(Tableau14[[#This Row],[Prix_Unit_TTC]],2)*Tableau14[[#This Row],[Qte_commande]]</f>
        <v>42.400000000000006</v>
      </c>
      <c r="Q724" s="224">
        <v>28.57</v>
      </c>
      <c r="R724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28.571428571428573</v>
      </c>
      <c r="U724" s="224"/>
      <c r="V724" s="224"/>
    </row>
    <row r="725" spans="1:22" ht="14.65" customHeight="1" x14ac:dyDescent="0.2">
      <c r="A725" s="225">
        <v>43150</v>
      </c>
      <c r="B725" s="224" t="s">
        <v>656</v>
      </c>
      <c r="C725" s="224" t="s">
        <v>397</v>
      </c>
      <c r="D725" s="224" t="s">
        <v>209</v>
      </c>
      <c r="E725" s="226"/>
      <c r="G725" s="224" t="s">
        <v>1</v>
      </c>
      <c r="H725" s="224" t="s">
        <v>289</v>
      </c>
      <c r="I725" s="224" t="s">
        <v>30</v>
      </c>
      <c r="J725" s="224">
        <v>70</v>
      </c>
      <c r="K725" s="227">
        <f t="array" ref="K725">IFERROR(INDEX([1]Grille_Tarifs_Modulable!$B$2:$B$204,MATCH(Tableau14[[#This Row],[Designation]]&amp;Tableau14[[#This Row],[CL]],[1]Grille_Tarifs_Modulable!$C$2:$C$204&amp;[1]Grille_Tarifs_Modulable!$F$2:$F$204,0)),0)</f>
        <v>3257150101904</v>
      </c>
      <c r="L725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16.346482999999999</v>
      </c>
      <c r="M725" s="228">
        <f>IF(Tableau14[[#This Row],[Prix_Unit_HT]]=0,0,Tableau14[[#This Row],[Prix_Unit_HT]]+(Tableau14[[#This Row],[Prix_Unit_HT]]*VLOOKUP(Tableau14[[#This Row],[EAN]],[1]Grille_Tarifs_Modulable!$B$10:$Q$204,16,FALSE)))</f>
        <v>19.6157796</v>
      </c>
      <c r="N725" s="224">
        <v>6</v>
      </c>
      <c r="O725" s="228">
        <f>ROUND(Tableau14[[#This Row],[Prix_Unit_HT]],2)*Tableau14[[#This Row],[Qte_commande]]</f>
        <v>98.100000000000009</v>
      </c>
      <c r="P725" s="228">
        <f>ROUND(Tableau14[[#This Row],[Prix_Unit_TTC]],2)*Tableau14[[#This Row],[Qte_commande]]</f>
        <v>117.72</v>
      </c>
      <c r="Q725" s="224">
        <v>6</v>
      </c>
      <c r="R725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6.0000000000000009</v>
      </c>
      <c r="U725" s="224"/>
      <c r="V725" s="224"/>
    </row>
    <row r="726" spans="1:22" ht="14.65" customHeight="1" x14ac:dyDescent="0.2">
      <c r="A726" s="225">
        <v>43150</v>
      </c>
      <c r="B726" s="224" t="s">
        <v>842</v>
      </c>
      <c r="C726" s="224" t="s">
        <v>843</v>
      </c>
      <c r="D726" s="224" t="s">
        <v>402</v>
      </c>
      <c r="E726" s="226"/>
      <c r="G726" s="224" t="s">
        <v>1</v>
      </c>
      <c r="H726" s="224" t="s">
        <v>289</v>
      </c>
      <c r="I726" s="224" t="s">
        <v>30</v>
      </c>
      <c r="J726" s="224">
        <v>70</v>
      </c>
      <c r="K726" s="227">
        <f t="array" ref="K726">IFERROR(INDEX([1]Grille_Tarifs_Modulable!$B$2:$B$204,MATCH(Tableau14[[#This Row],[Designation]]&amp;Tableau14[[#This Row],[CL]],[1]Grille_Tarifs_Modulable!$C$2:$C$204&amp;[1]Grille_Tarifs_Modulable!$F$2:$F$204,0)),0)</f>
        <v>3257150101904</v>
      </c>
      <c r="L726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16.346482999999999</v>
      </c>
      <c r="M726" s="228">
        <f>IF(Tableau14[[#This Row],[Prix_Unit_HT]]=0,0,Tableau14[[#This Row],[Prix_Unit_HT]]+(Tableau14[[#This Row],[Prix_Unit_HT]]*VLOOKUP(Tableau14[[#This Row],[EAN]],[1]Grille_Tarifs_Modulable!$B$10:$Q$204,16,FALSE)))</f>
        <v>19.6157796</v>
      </c>
      <c r="N726" s="224">
        <v>6</v>
      </c>
      <c r="O726" s="228">
        <f>ROUND(Tableau14[[#This Row],[Prix_Unit_HT]],2)*Tableau14[[#This Row],[Qte_commande]]</f>
        <v>98.100000000000009</v>
      </c>
      <c r="P726" s="228">
        <f>ROUND(Tableau14[[#This Row],[Prix_Unit_TTC]],2)*Tableau14[[#This Row],[Qte_commande]]</f>
        <v>117.72</v>
      </c>
      <c r="Q726" s="224">
        <v>6</v>
      </c>
      <c r="R726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6.0000000000000009</v>
      </c>
      <c r="U726" s="224"/>
      <c r="V726" s="224"/>
    </row>
    <row r="727" spans="1:22" ht="14.65" customHeight="1" x14ac:dyDescent="0.2">
      <c r="A727" s="225">
        <v>43150</v>
      </c>
      <c r="B727" s="224" t="s">
        <v>655</v>
      </c>
      <c r="C727" s="224" t="s">
        <v>198</v>
      </c>
      <c r="D727" s="224" t="s">
        <v>199</v>
      </c>
      <c r="E727" s="226"/>
      <c r="G727" s="224" t="s">
        <v>1</v>
      </c>
      <c r="H727" s="224" t="s">
        <v>289</v>
      </c>
      <c r="I727" s="224" t="s">
        <v>32</v>
      </c>
      <c r="J727" s="224">
        <v>70</v>
      </c>
      <c r="K727" s="227">
        <f t="array" ref="K727">IFERROR(INDEX([1]Grille_Tarifs_Modulable!$B$2:$B$204,MATCH(Tableau14[[#This Row],[Designation]]&amp;Tableau14[[#This Row],[CL]],[1]Grille_Tarifs_Modulable!$C$2:$C$204&amp;[1]Grille_Tarifs_Modulable!$F$2:$F$204,0)),0)</f>
        <v>3257150100228</v>
      </c>
      <c r="L727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19.998643999999999</v>
      </c>
      <c r="M727" s="228">
        <f>IF(Tableau14[[#This Row],[Prix_Unit_HT]]=0,0,Tableau14[[#This Row],[Prix_Unit_HT]]+(Tableau14[[#This Row],[Prix_Unit_HT]]*VLOOKUP(Tableau14[[#This Row],[EAN]],[1]Grille_Tarifs_Modulable!$B$10:$Q$204,16,FALSE)))</f>
        <v>23.998372799999999</v>
      </c>
      <c r="N727" s="224">
        <v>6</v>
      </c>
      <c r="O727" s="228">
        <f>ROUND(Tableau14[[#This Row],[Prix_Unit_HT]],2)*Tableau14[[#This Row],[Qte_commande]]</f>
        <v>120</v>
      </c>
      <c r="P727" s="228">
        <f>ROUND(Tableau14[[#This Row],[Prix_Unit_TTC]],2)*Tableau14[[#This Row],[Qte_commande]]</f>
        <v>144</v>
      </c>
      <c r="Q727" s="224">
        <v>6</v>
      </c>
      <c r="R727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6.0000000000000009</v>
      </c>
      <c r="U727" s="224"/>
      <c r="V727" s="224"/>
    </row>
    <row r="728" spans="1:22" ht="14.65" customHeight="1" x14ac:dyDescent="0.2">
      <c r="A728" s="225">
        <v>43150</v>
      </c>
      <c r="B728" s="224" t="s">
        <v>655</v>
      </c>
      <c r="C728" s="224" t="s">
        <v>198</v>
      </c>
      <c r="D728" s="224" t="s">
        <v>199</v>
      </c>
      <c r="E728" s="226"/>
      <c r="G728" s="224" t="s">
        <v>1</v>
      </c>
      <c r="H728" s="224" t="s">
        <v>289</v>
      </c>
      <c r="I728" s="224" t="s">
        <v>36</v>
      </c>
      <c r="J728" s="224">
        <v>70</v>
      </c>
      <c r="K728" s="227">
        <f t="array" ref="K728">IFERROR(INDEX([1]Grille_Tarifs_Modulable!$B$2:$B$204,MATCH(Tableau14[[#This Row],[Designation]]&amp;Tableau14[[#This Row],[CL]],[1]Grille_Tarifs_Modulable!$C$2:$C$204&amp;[1]Grille_Tarifs_Modulable!$F$2:$F$204,0)),0)</f>
        <v>3257150100792</v>
      </c>
      <c r="L728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71.40864400000001</v>
      </c>
      <c r="M728" s="228">
        <f>IF(Tableau14[[#This Row],[Prix_Unit_HT]]=0,0,Tableau14[[#This Row],[Prix_Unit_HT]]+(Tableau14[[#This Row],[Prix_Unit_HT]]*VLOOKUP(Tableau14[[#This Row],[EAN]],[1]Grille_Tarifs_Modulable!$B$10:$Q$204,16,FALSE)))</f>
        <v>85.690372800000006</v>
      </c>
      <c r="N728" s="224">
        <v>2</v>
      </c>
      <c r="O728" s="228">
        <f>ROUND(Tableau14[[#This Row],[Prix_Unit_HT]],2)*Tableau14[[#This Row],[Qte_commande]]</f>
        <v>142.82</v>
      </c>
      <c r="P728" s="228">
        <f>ROUND(Tableau14[[#This Row],[Prix_Unit_TTC]],2)*Tableau14[[#This Row],[Qte_commande]]</f>
        <v>171.38</v>
      </c>
      <c r="Q728" s="224">
        <v>2</v>
      </c>
      <c r="R728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2</v>
      </c>
      <c r="U728" s="224"/>
      <c r="V728" s="224"/>
    </row>
    <row r="729" spans="1:22" ht="14.65" customHeight="1" x14ac:dyDescent="0.2">
      <c r="A729" s="225">
        <v>43150</v>
      </c>
      <c r="B729" s="224" t="s">
        <v>656</v>
      </c>
      <c r="C729" s="224" t="s">
        <v>397</v>
      </c>
      <c r="D729" s="224" t="s">
        <v>209</v>
      </c>
      <c r="E729" s="226"/>
      <c r="G729" s="224" t="s">
        <v>1</v>
      </c>
      <c r="H729" s="224" t="s">
        <v>289</v>
      </c>
      <c r="I729" s="224" t="s">
        <v>31</v>
      </c>
      <c r="J729" s="224">
        <v>70</v>
      </c>
      <c r="K729" s="227">
        <f t="array" ref="K729">IFERROR(INDEX([1]Grille_Tarifs_Modulable!$B$2:$B$204,MATCH(Tableau14[[#This Row],[Designation]]&amp;Tableau14[[#This Row],[CL]],[1]Grille_Tarifs_Modulable!$C$2:$C$204&amp;[1]Grille_Tarifs_Modulable!$F$2:$F$204,0)),0)</f>
        <v>3257150102017</v>
      </c>
      <c r="L729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14.694322</v>
      </c>
      <c r="M729" s="228">
        <f>IF(Tableau14[[#This Row],[Prix_Unit_HT]]=0,0,Tableau14[[#This Row],[Prix_Unit_HT]]+(Tableau14[[#This Row],[Prix_Unit_HT]]*VLOOKUP(Tableau14[[#This Row],[EAN]],[1]Grille_Tarifs_Modulable!$B$10:$Q$204,16,FALSE)))</f>
        <v>17.6331864</v>
      </c>
      <c r="N729" s="224">
        <v>6</v>
      </c>
      <c r="O729" s="228">
        <f>ROUND(Tableau14[[#This Row],[Prix_Unit_HT]],2)*Tableau14[[#This Row],[Qte_commande]]</f>
        <v>88.14</v>
      </c>
      <c r="P729" s="228">
        <f>ROUND(Tableau14[[#This Row],[Prix_Unit_TTC]],2)*Tableau14[[#This Row],[Qte_commande]]</f>
        <v>105.78</v>
      </c>
      <c r="Q729" s="224">
        <v>6</v>
      </c>
      <c r="R729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6.0000000000000009</v>
      </c>
      <c r="U729" s="224"/>
      <c r="V729" s="224"/>
    </row>
    <row r="730" spans="1:22" ht="14.65" customHeight="1" x14ac:dyDescent="0.2">
      <c r="A730" s="225">
        <v>43150</v>
      </c>
      <c r="B730" s="224" t="s">
        <v>655</v>
      </c>
      <c r="C730" s="224" t="s">
        <v>198</v>
      </c>
      <c r="D730" s="224" t="s">
        <v>199</v>
      </c>
      <c r="E730" s="226"/>
      <c r="G730" s="224" t="s">
        <v>1</v>
      </c>
      <c r="H730" s="224" t="s">
        <v>289</v>
      </c>
      <c r="I730" s="224" t="s">
        <v>42</v>
      </c>
      <c r="J730" s="224">
        <v>70</v>
      </c>
      <c r="K730" s="227">
        <f t="array" ref="K730">IFERROR(INDEX([1]Grille_Tarifs_Modulable!$B$2:$B$204,MATCH(Tableau14[[#This Row],[Designation]]&amp;Tableau14[[#This Row],[CL]],[1]Grille_Tarifs_Modulable!$C$2:$C$204&amp;[1]Grille_Tarifs_Modulable!$F$2:$F$204,0)),0)</f>
        <v>3257150688009</v>
      </c>
      <c r="L730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12.556915199999999</v>
      </c>
      <c r="M730" s="228">
        <f>IF(Tableau14[[#This Row],[Prix_Unit_HT]]=0,0,Tableau14[[#This Row],[Prix_Unit_HT]]+(Tableau14[[#This Row],[Prix_Unit_HT]]*VLOOKUP(Tableau14[[#This Row],[EAN]],[1]Grille_Tarifs_Modulable!$B$10:$Q$204,16,FALSE)))</f>
        <v>15.068298239999999</v>
      </c>
      <c r="N730" s="224">
        <v>12</v>
      </c>
      <c r="O730" s="228">
        <f>ROUND(Tableau14[[#This Row],[Prix_Unit_HT]],2)*Tableau14[[#This Row],[Qte_commande]]</f>
        <v>150.72</v>
      </c>
      <c r="P730" s="228">
        <f>ROUND(Tableau14[[#This Row],[Prix_Unit_TTC]],2)*Tableau14[[#This Row],[Qte_commande]]</f>
        <v>180.84</v>
      </c>
      <c r="Q730" s="224">
        <v>12</v>
      </c>
      <c r="R730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12.000000000000002</v>
      </c>
      <c r="U730" s="224"/>
      <c r="V730" s="224"/>
    </row>
    <row r="731" spans="1:22" ht="14.65" customHeight="1" x14ac:dyDescent="0.2">
      <c r="A731" s="225">
        <v>43150</v>
      </c>
      <c r="B731" s="224" t="s">
        <v>655</v>
      </c>
      <c r="C731" s="224" t="s">
        <v>198</v>
      </c>
      <c r="D731" s="224" t="s">
        <v>199</v>
      </c>
      <c r="E731" s="226"/>
      <c r="G731" s="224" t="s">
        <v>1</v>
      </c>
      <c r="H731" s="224" t="s">
        <v>196</v>
      </c>
      <c r="I731" s="224" t="s">
        <v>59</v>
      </c>
      <c r="J731" s="224">
        <v>20</v>
      </c>
      <c r="K731" s="227">
        <f t="array" ref="K731">IFERROR(INDEX([1]Grille_Tarifs_Modulable!$B$2:$B$204,MATCH(Tableau14[[#This Row],[Designation]]&amp;Tableau14[[#This Row],[CL]],[1]Grille_Tarifs_Modulable!$C$2:$C$204&amp;[1]Grille_Tarifs_Modulable!$F$2:$F$204,0)),0)</f>
        <v>4260310553818</v>
      </c>
      <c r="L731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0.81</v>
      </c>
      <c r="M731" s="228">
        <f>IF(Tableau14[[#This Row],[Prix_Unit_HT]]=0,0,Tableau14[[#This Row],[Prix_Unit_HT]]+(Tableau14[[#This Row],[Prix_Unit_HT]]*VLOOKUP(Tableau14[[#This Row],[EAN]],[1]Grille_Tarifs_Modulable!$B$10:$Q$204,16,FALSE)))</f>
        <v>0.85455000000000003</v>
      </c>
      <c r="N731" s="224">
        <v>192</v>
      </c>
      <c r="O731" s="228">
        <f>ROUND(Tableau14[[#This Row],[Prix_Unit_HT]],2)*Tableau14[[#This Row],[Qte_commande]]</f>
        <v>155.52000000000001</v>
      </c>
      <c r="P731" s="228">
        <f>ROUND(Tableau14[[#This Row],[Prix_Unit_TTC]],2)*Tableau14[[#This Row],[Qte_commande]]</f>
        <v>163.19999999999999</v>
      </c>
      <c r="Q731" s="224">
        <v>54.86</v>
      </c>
      <c r="R731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54.857142857142861</v>
      </c>
      <c r="U731" s="224"/>
      <c r="V731" s="224"/>
    </row>
    <row r="732" spans="1:22" ht="14.65" customHeight="1" x14ac:dyDescent="0.2">
      <c r="A732" s="225">
        <v>43153</v>
      </c>
      <c r="B732" s="224" t="s">
        <v>322</v>
      </c>
      <c r="C732" s="224" t="s">
        <v>305</v>
      </c>
      <c r="D732" s="224" t="s">
        <v>180</v>
      </c>
      <c r="E732" s="226"/>
      <c r="G732" s="224" t="s">
        <v>1</v>
      </c>
      <c r="H732" s="224" t="s">
        <v>289</v>
      </c>
      <c r="I732" s="224" t="s">
        <v>22</v>
      </c>
      <c r="J732" s="224">
        <v>70</v>
      </c>
      <c r="K732" s="227">
        <f t="array" ref="K732">IFERROR(INDEX([1]Grille_Tarifs_Modulable!$B$2:$B$204,MATCH(Tableau14[[#This Row],[Designation]]&amp;Tableau14[[#This Row],[CL]],[1]Grille_Tarifs_Modulable!$C$2:$C$204&amp;[1]Grille_Tarifs_Modulable!$F$2:$F$204,0)),0)</f>
        <v>4055800060200</v>
      </c>
      <c r="L732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17.408644000000002</v>
      </c>
      <c r="M732" s="228">
        <f>IF(Tableau14[[#This Row],[Prix_Unit_HT]]=0,0,Tableau14[[#This Row],[Prix_Unit_HT]]+(Tableau14[[#This Row],[Prix_Unit_HT]]*VLOOKUP(Tableau14[[#This Row],[EAN]],[1]Grille_Tarifs_Modulable!$B$10:$Q$204,16,FALSE)))</f>
        <v>20.890372800000002</v>
      </c>
      <c r="N732" s="224">
        <v>6</v>
      </c>
      <c r="O732" s="228">
        <f>ROUND(Tableau14[[#This Row],[Prix_Unit_HT]],2)*Tableau14[[#This Row],[Qte_commande]]</f>
        <v>104.46000000000001</v>
      </c>
      <c r="P732" s="228">
        <f>ROUND(Tableau14[[#This Row],[Prix_Unit_TTC]],2)*Tableau14[[#This Row],[Qte_commande]]</f>
        <v>125.34</v>
      </c>
      <c r="Q732" s="224">
        <v>6</v>
      </c>
      <c r="R732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6.0000000000000009</v>
      </c>
      <c r="U732" s="224"/>
      <c r="V732" s="224"/>
    </row>
    <row r="733" spans="1:22" ht="14.65" customHeight="1" x14ac:dyDescent="0.2">
      <c r="A733" s="225">
        <v>43153</v>
      </c>
      <c r="B733" s="224" t="s">
        <v>371</v>
      </c>
      <c r="C733" s="224" t="s">
        <v>372</v>
      </c>
      <c r="D733" s="224" t="s">
        <v>373</v>
      </c>
      <c r="E733" s="226"/>
      <c r="G733" s="224" t="s">
        <v>1</v>
      </c>
      <c r="H733" s="224" t="s">
        <v>289</v>
      </c>
      <c r="I733" s="224" t="s">
        <v>35</v>
      </c>
      <c r="J733" s="224">
        <v>70</v>
      </c>
      <c r="K733" s="227">
        <f t="array" ref="K733">IFERROR(INDEX([1]Grille_Tarifs_Modulable!$B$2:$B$204,MATCH(Tableau14[[#This Row],[Designation]]&amp;Tableau14[[#This Row],[CL]],[1]Grille_Tarifs_Modulable!$C$2:$C$204&amp;[1]Grille_Tarifs_Modulable!$F$2:$F$204,0)),0)</f>
        <v>3257150107012</v>
      </c>
      <c r="L733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29.828643999999997</v>
      </c>
      <c r="M733" s="228">
        <f>IF(Tableau14[[#This Row],[Prix_Unit_HT]]=0,0,Tableau14[[#This Row],[Prix_Unit_HT]]+(Tableau14[[#This Row],[Prix_Unit_HT]]*VLOOKUP(Tableau14[[#This Row],[EAN]],[1]Grille_Tarifs_Modulable!$B$10:$Q$204,16,FALSE)))</f>
        <v>35.794372799999998</v>
      </c>
      <c r="N733" s="224">
        <v>6</v>
      </c>
      <c r="O733" s="228">
        <f>ROUND(Tableau14[[#This Row],[Prix_Unit_HT]],2)*Tableau14[[#This Row],[Qte_commande]]</f>
        <v>178.98</v>
      </c>
      <c r="P733" s="228">
        <f>ROUND(Tableau14[[#This Row],[Prix_Unit_TTC]],2)*Tableau14[[#This Row],[Qte_commande]]</f>
        <v>214.74</v>
      </c>
      <c r="Q733" s="224">
        <v>6</v>
      </c>
      <c r="R733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6.0000000000000009</v>
      </c>
      <c r="U733" s="224"/>
      <c r="V733" s="224"/>
    </row>
    <row r="734" spans="1:22" ht="14.65" customHeight="1" x14ac:dyDescent="0.2">
      <c r="A734" s="225">
        <v>43153</v>
      </c>
      <c r="B734" s="224" t="s">
        <v>322</v>
      </c>
      <c r="C734" s="224" t="s">
        <v>305</v>
      </c>
      <c r="D734" s="224" t="s">
        <v>180</v>
      </c>
      <c r="E734" s="226"/>
      <c r="G734" s="224" t="s">
        <v>1</v>
      </c>
      <c r="H734" s="224" t="s">
        <v>289</v>
      </c>
      <c r="I734" s="224" t="s">
        <v>15</v>
      </c>
      <c r="J734" s="224">
        <v>100</v>
      </c>
      <c r="K734" s="227">
        <f t="array" ref="K734">IFERROR(INDEX([1]Grille_Tarifs_Modulable!$B$2:$B$204,MATCH(Tableau14[[#This Row],[Designation]]&amp;Tableau14[[#This Row],[CL]],[1]Grille_Tarifs_Modulable!$C$2:$C$204&amp;[1]Grille_Tarifs_Modulable!$F$2:$F$204,0)),0)</f>
        <v>4067700013842</v>
      </c>
      <c r="L734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17.100804999999998</v>
      </c>
      <c r="M734" s="228">
        <f>IF(Tableau14[[#This Row],[Prix_Unit_HT]]=0,0,Tableau14[[#This Row],[Prix_Unit_HT]]+(Tableau14[[#This Row],[Prix_Unit_HT]]*VLOOKUP(Tableau14[[#This Row],[EAN]],[1]Grille_Tarifs_Modulable!$B$10:$Q$204,16,FALSE)))</f>
        <v>20.520965999999998</v>
      </c>
      <c r="N734" s="224">
        <v>90</v>
      </c>
      <c r="O734" s="228">
        <f>ROUND(Tableau14[[#This Row],[Prix_Unit_HT]],2)*Tableau14[[#This Row],[Qte_commande]]</f>
        <v>1539.0000000000002</v>
      </c>
      <c r="P734" s="228">
        <f>ROUND(Tableau14[[#This Row],[Prix_Unit_TTC]],2)*Tableau14[[#This Row],[Qte_commande]]</f>
        <v>1846.8</v>
      </c>
      <c r="Q734" s="224">
        <v>128.57</v>
      </c>
      <c r="R734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128.57142857142858</v>
      </c>
      <c r="U734" s="224"/>
      <c r="V734" s="224"/>
    </row>
    <row r="735" spans="1:22" ht="14.65" customHeight="1" x14ac:dyDescent="0.2">
      <c r="A735" s="225">
        <v>43153</v>
      </c>
      <c r="B735" s="224" t="s">
        <v>657</v>
      </c>
      <c r="C735" s="224" t="s">
        <v>658</v>
      </c>
      <c r="D735" s="224" t="s">
        <v>209</v>
      </c>
      <c r="E735" s="226"/>
      <c r="G735" s="224" t="s">
        <v>1</v>
      </c>
      <c r="H735" s="224" t="s">
        <v>289</v>
      </c>
      <c r="I735" s="224" t="s">
        <v>15</v>
      </c>
      <c r="J735" s="224">
        <v>35</v>
      </c>
      <c r="K735" s="227">
        <f t="array" ref="K735">IFERROR(INDEX([1]Grille_Tarifs_Modulable!$B$2:$B$204,MATCH(Tableau14[[#This Row],[Designation]]&amp;Tableau14[[#This Row],[CL]],[1]Grille_Tarifs_Modulable!$C$2:$C$204&amp;[1]Grille_Tarifs_Modulable!$F$2:$F$204,0)),0)</f>
        <v>4067700013866</v>
      </c>
      <c r="L735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6.27128175</v>
      </c>
      <c r="M735" s="228">
        <f>IF(Tableau14[[#This Row],[Prix_Unit_HT]]=0,0,Tableau14[[#This Row],[Prix_Unit_HT]]+(Tableau14[[#This Row],[Prix_Unit_HT]]*VLOOKUP(Tableau14[[#This Row],[EAN]],[1]Grille_Tarifs_Modulable!$B$10:$Q$204,16,FALSE)))</f>
        <v>7.5255381000000003</v>
      </c>
      <c r="N735" s="224">
        <v>24</v>
      </c>
      <c r="O735" s="228">
        <f>ROUND(Tableau14[[#This Row],[Prix_Unit_HT]],2)*Tableau14[[#This Row],[Qte_commande]]</f>
        <v>150.47999999999999</v>
      </c>
      <c r="P735" s="228">
        <f>ROUND(Tableau14[[#This Row],[Prix_Unit_TTC]],2)*Tableau14[[#This Row],[Qte_commande]]</f>
        <v>180.72</v>
      </c>
      <c r="Q735" s="224">
        <v>12</v>
      </c>
      <c r="R735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12.000000000000002</v>
      </c>
      <c r="U735" s="224"/>
      <c r="V735" s="224"/>
    </row>
    <row r="736" spans="1:22" ht="14.65" customHeight="1" x14ac:dyDescent="0.2">
      <c r="A736" s="225">
        <v>43153</v>
      </c>
      <c r="B736" s="224" t="s">
        <v>322</v>
      </c>
      <c r="C736" s="224" t="s">
        <v>305</v>
      </c>
      <c r="D736" s="224" t="s">
        <v>180</v>
      </c>
      <c r="E736" s="226"/>
      <c r="G736" s="224" t="s">
        <v>1</v>
      </c>
      <c r="H736" s="224" t="s">
        <v>289</v>
      </c>
      <c r="I736" s="224" t="s">
        <v>15</v>
      </c>
      <c r="J736" s="224">
        <v>175</v>
      </c>
      <c r="K736" s="227">
        <f t="array" ref="K736">IFERROR(INDEX([1]Grille_Tarifs_Modulable!$B$2:$B$204,MATCH(Tableau14[[#This Row],[Designation]]&amp;Tableau14[[#This Row],[CL]],[1]Grille_Tarifs_Modulable!$C$2:$C$204&amp;[1]Grille_Tarifs_Modulable!$F$2:$F$204,0)),0)</f>
        <v>4067700013835</v>
      </c>
      <c r="L736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28.916408750000002</v>
      </c>
      <c r="M736" s="228">
        <f>IF(Tableau14[[#This Row],[Prix_Unit_HT]]=0,0,Tableau14[[#This Row],[Prix_Unit_HT]]+(Tableau14[[#This Row],[Prix_Unit_HT]]*VLOOKUP(Tableau14[[#This Row],[EAN]],[1]Grille_Tarifs_Modulable!$B$10:$Q$204,16,FALSE)))</f>
        <v>34.699690500000003</v>
      </c>
      <c r="N736" s="224">
        <v>60</v>
      </c>
      <c r="O736" s="228">
        <f>ROUND(Tableau14[[#This Row],[Prix_Unit_HT]],2)*Tableau14[[#This Row],[Qte_commande]]</f>
        <v>1735.2</v>
      </c>
      <c r="P736" s="228">
        <f>ROUND(Tableau14[[#This Row],[Prix_Unit_TTC]],2)*Tableau14[[#This Row],[Qte_commande]]</f>
        <v>2082</v>
      </c>
      <c r="Q736" s="224">
        <v>150</v>
      </c>
      <c r="R736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150</v>
      </c>
      <c r="U736" s="224"/>
      <c r="V736" s="224"/>
    </row>
    <row r="737" spans="1:22" ht="14.65" customHeight="1" x14ac:dyDescent="0.2">
      <c r="A737" s="225">
        <v>43153</v>
      </c>
      <c r="B737" s="224" t="s">
        <v>371</v>
      </c>
      <c r="C737" s="224" t="s">
        <v>372</v>
      </c>
      <c r="D737" s="224" t="s">
        <v>373</v>
      </c>
      <c r="E737" s="226"/>
      <c r="G737" s="224" t="s">
        <v>1</v>
      </c>
      <c r="H737" s="224" t="s">
        <v>289</v>
      </c>
      <c r="I737" s="224" t="s">
        <v>15</v>
      </c>
      <c r="J737" s="224">
        <v>175</v>
      </c>
      <c r="K737" s="227">
        <f t="array" ref="K737">IFERROR(INDEX([1]Grille_Tarifs_Modulable!$B$2:$B$204,MATCH(Tableau14[[#This Row],[Designation]]&amp;Tableau14[[#This Row],[CL]],[1]Grille_Tarifs_Modulable!$C$2:$C$204&amp;[1]Grille_Tarifs_Modulable!$F$2:$F$204,0)),0)</f>
        <v>4067700013835</v>
      </c>
      <c r="L737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28.916408750000002</v>
      </c>
      <c r="M737" s="228">
        <f>IF(Tableau14[[#This Row],[Prix_Unit_HT]]=0,0,Tableau14[[#This Row],[Prix_Unit_HT]]+(Tableau14[[#This Row],[Prix_Unit_HT]]*VLOOKUP(Tableau14[[#This Row],[EAN]],[1]Grille_Tarifs_Modulable!$B$10:$Q$204,16,FALSE)))</f>
        <v>34.699690500000003</v>
      </c>
      <c r="N737" s="224">
        <v>24</v>
      </c>
      <c r="O737" s="228">
        <f>ROUND(Tableau14[[#This Row],[Prix_Unit_HT]],2)*Tableau14[[#This Row],[Qte_commande]]</f>
        <v>694.08</v>
      </c>
      <c r="P737" s="228">
        <f>ROUND(Tableau14[[#This Row],[Prix_Unit_TTC]],2)*Tableau14[[#This Row],[Qte_commande]]</f>
        <v>832.80000000000007</v>
      </c>
      <c r="Q737" s="224">
        <v>60</v>
      </c>
      <c r="R737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60.000000000000007</v>
      </c>
      <c r="U737" s="224"/>
      <c r="V737" s="224"/>
    </row>
    <row r="738" spans="1:22" ht="14.65" customHeight="1" x14ac:dyDescent="0.2">
      <c r="A738" s="225">
        <v>43153</v>
      </c>
      <c r="B738" s="224" t="s">
        <v>657</v>
      </c>
      <c r="C738" s="224" t="s">
        <v>658</v>
      </c>
      <c r="D738" s="224" t="s">
        <v>209</v>
      </c>
      <c r="E738" s="226"/>
      <c r="G738" s="224" t="s">
        <v>1</v>
      </c>
      <c r="H738" s="224" t="s">
        <v>289</v>
      </c>
      <c r="I738" s="224" t="s">
        <v>15</v>
      </c>
      <c r="J738" s="224">
        <v>175</v>
      </c>
      <c r="K738" s="227">
        <f t="array" ref="K738">IFERROR(INDEX([1]Grille_Tarifs_Modulable!$B$2:$B$204,MATCH(Tableau14[[#This Row],[Designation]]&amp;Tableau14[[#This Row],[CL]],[1]Grille_Tarifs_Modulable!$C$2:$C$204&amp;[1]Grille_Tarifs_Modulable!$F$2:$F$204,0)),0)</f>
        <v>4067700013835</v>
      </c>
      <c r="L738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28.916408750000002</v>
      </c>
      <c r="M738" s="228">
        <f>IF(Tableau14[[#This Row],[Prix_Unit_HT]]=0,0,Tableau14[[#This Row],[Prix_Unit_HT]]+(Tableau14[[#This Row],[Prix_Unit_HT]]*VLOOKUP(Tableau14[[#This Row],[EAN]],[1]Grille_Tarifs_Modulable!$B$10:$Q$204,16,FALSE)))</f>
        <v>34.699690500000003</v>
      </c>
      <c r="N738" s="224">
        <v>12</v>
      </c>
      <c r="O738" s="228">
        <f>ROUND(Tableau14[[#This Row],[Prix_Unit_HT]],2)*Tableau14[[#This Row],[Qte_commande]]</f>
        <v>347.04</v>
      </c>
      <c r="P738" s="228">
        <f>ROUND(Tableau14[[#This Row],[Prix_Unit_TTC]],2)*Tableau14[[#This Row],[Qte_commande]]</f>
        <v>416.40000000000003</v>
      </c>
      <c r="Q738" s="224">
        <v>30</v>
      </c>
      <c r="R738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30.000000000000004</v>
      </c>
      <c r="U738" s="224"/>
      <c r="V738" s="224"/>
    </row>
    <row r="739" spans="1:22" ht="14.65" customHeight="1" x14ac:dyDescent="0.2">
      <c r="A739" s="225">
        <v>43153</v>
      </c>
      <c r="B739" s="224" t="s">
        <v>322</v>
      </c>
      <c r="C739" s="224" t="s">
        <v>305</v>
      </c>
      <c r="D739" s="224" t="s">
        <v>180</v>
      </c>
      <c r="E739" s="226"/>
      <c r="G739" s="224" t="s">
        <v>1</v>
      </c>
      <c r="H739" s="224" t="s">
        <v>289</v>
      </c>
      <c r="I739" s="224" t="s">
        <v>15</v>
      </c>
      <c r="J739" s="224">
        <v>175</v>
      </c>
      <c r="K739" s="227">
        <f t="array" ref="K739">IFERROR(INDEX([1]Grille_Tarifs_Modulable!$B$2:$B$204,MATCH(Tableau14[[#This Row],[Designation]]&amp;Tableau14[[#This Row],[CL]],[1]Grille_Tarifs_Modulable!$C$2:$C$204&amp;[1]Grille_Tarifs_Modulable!$F$2:$F$204,0)),0)</f>
        <v>4067700013835</v>
      </c>
      <c r="L739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28.916408750000002</v>
      </c>
      <c r="M739" s="228">
        <f>IF(Tableau14[[#This Row],[Prix_Unit_HT]]=0,0,Tableau14[[#This Row],[Prix_Unit_HT]]+(Tableau14[[#This Row],[Prix_Unit_HT]]*VLOOKUP(Tableau14[[#This Row],[EAN]],[1]Grille_Tarifs_Modulable!$B$10:$Q$204,16,FALSE)))</f>
        <v>34.699690500000003</v>
      </c>
      <c r="N739" s="224">
        <v>30</v>
      </c>
      <c r="O739" s="228">
        <f>ROUND(Tableau14[[#This Row],[Prix_Unit_HT]],2)*Tableau14[[#This Row],[Qte_commande]]</f>
        <v>867.6</v>
      </c>
      <c r="P739" s="228">
        <f>ROUND(Tableau14[[#This Row],[Prix_Unit_TTC]],2)*Tableau14[[#This Row],[Qte_commande]]</f>
        <v>1041</v>
      </c>
      <c r="Q739" s="224">
        <v>75</v>
      </c>
      <c r="R739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75</v>
      </c>
      <c r="U739" s="224"/>
      <c r="V739" s="224"/>
    </row>
    <row r="740" spans="1:22" ht="14.65" customHeight="1" x14ac:dyDescent="0.2">
      <c r="A740" s="225">
        <v>43153</v>
      </c>
      <c r="B740" s="224" t="s">
        <v>322</v>
      </c>
      <c r="C740" s="224" t="s">
        <v>305</v>
      </c>
      <c r="D740" s="224" t="s">
        <v>180</v>
      </c>
      <c r="E740" s="226"/>
      <c r="G740" s="224" t="s">
        <v>1</v>
      </c>
      <c r="H740" s="224" t="s">
        <v>289</v>
      </c>
      <c r="I740" s="224" t="s">
        <v>30</v>
      </c>
      <c r="J740" s="224">
        <v>70</v>
      </c>
      <c r="K740" s="227">
        <f t="array" ref="K740">IFERROR(INDEX([1]Grille_Tarifs_Modulable!$B$2:$B$204,MATCH(Tableau14[[#This Row],[Designation]]&amp;Tableau14[[#This Row],[CL]],[1]Grille_Tarifs_Modulable!$C$2:$C$204&amp;[1]Grille_Tarifs_Modulable!$F$2:$F$204,0)),0)</f>
        <v>3257150101904</v>
      </c>
      <c r="L740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16.346482999999999</v>
      </c>
      <c r="M740" s="228">
        <f>IF(Tableau14[[#This Row],[Prix_Unit_HT]]=0,0,Tableau14[[#This Row],[Prix_Unit_HT]]+(Tableau14[[#This Row],[Prix_Unit_HT]]*VLOOKUP(Tableau14[[#This Row],[EAN]],[1]Grille_Tarifs_Modulable!$B$10:$Q$204,16,FALSE)))</f>
        <v>19.6157796</v>
      </c>
      <c r="N740" s="224">
        <v>6</v>
      </c>
      <c r="O740" s="228">
        <f>ROUND(Tableau14[[#This Row],[Prix_Unit_HT]],2)*Tableau14[[#This Row],[Qte_commande]]</f>
        <v>98.100000000000009</v>
      </c>
      <c r="P740" s="228">
        <f>ROUND(Tableau14[[#This Row],[Prix_Unit_TTC]],2)*Tableau14[[#This Row],[Qte_commande]]</f>
        <v>117.72</v>
      </c>
      <c r="Q740" s="224">
        <v>6</v>
      </c>
      <c r="R740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6.0000000000000009</v>
      </c>
      <c r="U740" s="224"/>
      <c r="V740" s="224"/>
    </row>
    <row r="741" spans="1:22" ht="14.65" customHeight="1" x14ac:dyDescent="0.2">
      <c r="A741" s="225">
        <v>43153</v>
      </c>
      <c r="B741" s="224" t="s">
        <v>371</v>
      </c>
      <c r="C741" s="224" t="s">
        <v>372</v>
      </c>
      <c r="D741" s="224" t="s">
        <v>373</v>
      </c>
      <c r="E741" s="226"/>
      <c r="G741" s="224" t="s">
        <v>1</v>
      </c>
      <c r="H741" s="224" t="s">
        <v>289</v>
      </c>
      <c r="I741" s="224" t="s">
        <v>30</v>
      </c>
      <c r="J741" s="224">
        <v>70</v>
      </c>
      <c r="K741" s="227">
        <f t="array" ref="K741">IFERROR(INDEX([1]Grille_Tarifs_Modulable!$B$2:$B$204,MATCH(Tableau14[[#This Row],[Designation]]&amp;Tableau14[[#This Row],[CL]],[1]Grille_Tarifs_Modulable!$C$2:$C$204&amp;[1]Grille_Tarifs_Modulable!$F$2:$F$204,0)),0)</f>
        <v>3257150101904</v>
      </c>
      <c r="L741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16.346482999999999</v>
      </c>
      <c r="M741" s="228">
        <f>IF(Tableau14[[#This Row],[Prix_Unit_HT]]=0,0,Tableau14[[#This Row],[Prix_Unit_HT]]+(Tableau14[[#This Row],[Prix_Unit_HT]]*VLOOKUP(Tableau14[[#This Row],[EAN]],[1]Grille_Tarifs_Modulable!$B$10:$Q$204,16,FALSE)))</f>
        <v>19.6157796</v>
      </c>
      <c r="N741" s="224">
        <v>6</v>
      </c>
      <c r="O741" s="228">
        <f>ROUND(Tableau14[[#This Row],[Prix_Unit_HT]],2)*Tableau14[[#This Row],[Qte_commande]]</f>
        <v>98.100000000000009</v>
      </c>
      <c r="P741" s="228">
        <f>ROUND(Tableau14[[#This Row],[Prix_Unit_TTC]],2)*Tableau14[[#This Row],[Qte_commande]]</f>
        <v>117.72</v>
      </c>
      <c r="Q741" s="224">
        <v>6</v>
      </c>
      <c r="R741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6.0000000000000009</v>
      </c>
      <c r="U741" s="224"/>
      <c r="V741" s="224"/>
    </row>
    <row r="742" spans="1:22" ht="14.65" customHeight="1" x14ac:dyDescent="0.2">
      <c r="A742" s="225">
        <v>43153</v>
      </c>
      <c r="B742" s="224" t="s">
        <v>657</v>
      </c>
      <c r="C742" s="224" t="s">
        <v>658</v>
      </c>
      <c r="D742" s="224" t="s">
        <v>209</v>
      </c>
      <c r="E742" s="226"/>
      <c r="G742" s="224" t="s">
        <v>1</v>
      </c>
      <c r="H742" s="224" t="s">
        <v>289</v>
      </c>
      <c r="I742" s="224" t="s">
        <v>30</v>
      </c>
      <c r="J742" s="224">
        <v>70</v>
      </c>
      <c r="K742" s="227">
        <f t="array" ref="K742">IFERROR(INDEX([1]Grille_Tarifs_Modulable!$B$2:$B$204,MATCH(Tableau14[[#This Row],[Designation]]&amp;Tableau14[[#This Row],[CL]],[1]Grille_Tarifs_Modulable!$C$2:$C$204&amp;[1]Grille_Tarifs_Modulable!$F$2:$F$204,0)),0)</f>
        <v>3257150101904</v>
      </c>
      <c r="L742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16.346482999999999</v>
      </c>
      <c r="M742" s="228">
        <f>IF(Tableau14[[#This Row],[Prix_Unit_HT]]=0,0,Tableau14[[#This Row],[Prix_Unit_HT]]+(Tableau14[[#This Row],[Prix_Unit_HT]]*VLOOKUP(Tableau14[[#This Row],[EAN]],[1]Grille_Tarifs_Modulable!$B$10:$Q$204,16,FALSE)))</f>
        <v>19.6157796</v>
      </c>
      <c r="N742" s="224">
        <v>6</v>
      </c>
      <c r="O742" s="228">
        <f>ROUND(Tableau14[[#This Row],[Prix_Unit_HT]],2)*Tableau14[[#This Row],[Qte_commande]]</f>
        <v>98.100000000000009</v>
      </c>
      <c r="P742" s="228">
        <f>ROUND(Tableau14[[#This Row],[Prix_Unit_TTC]],2)*Tableau14[[#This Row],[Qte_commande]]</f>
        <v>117.72</v>
      </c>
      <c r="Q742" s="224">
        <v>6</v>
      </c>
      <c r="R742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6.0000000000000009</v>
      </c>
      <c r="U742" s="224"/>
      <c r="V742" s="224"/>
    </row>
    <row r="743" spans="1:22" ht="14.65" customHeight="1" x14ac:dyDescent="0.2">
      <c r="A743" s="225">
        <v>43153</v>
      </c>
      <c r="B743" s="224" t="s">
        <v>322</v>
      </c>
      <c r="C743" s="224" t="s">
        <v>305</v>
      </c>
      <c r="D743" s="224" t="s">
        <v>180</v>
      </c>
      <c r="E743" s="226"/>
      <c r="G743" s="224" t="s">
        <v>1</v>
      </c>
      <c r="H743" s="224" t="s">
        <v>289</v>
      </c>
      <c r="I743" s="224" t="s">
        <v>32</v>
      </c>
      <c r="J743" s="224">
        <v>70</v>
      </c>
      <c r="K743" s="227">
        <f t="array" ref="K743">IFERROR(INDEX([1]Grille_Tarifs_Modulable!$B$2:$B$204,MATCH(Tableau14[[#This Row],[Designation]]&amp;Tableau14[[#This Row],[CL]],[1]Grille_Tarifs_Modulable!$C$2:$C$204&amp;[1]Grille_Tarifs_Modulable!$F$2:$F$204,0)),0)</f>
        <v>3257150100228</v>
      </c>
      <c r="L743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19.998643999999999</v>
      </c>
      <c r="M743" s="228">
        <f>IF(Tableau14[[#This Row],[Prix_Unit_HT]]=0,0,Tableau14[[#This Row],[Prix_Unit_HT]]+(Tableau14[[#This Row],[Prix_Unit_HT]]*VLOOKUP(Tableau14[[#This Row],[EAN]],[1]Grille_Tarifs_Modulable!$B$10:$Q$204,16,FALSE)))</f>
        <v>23.998372799999999</v>
      </c>
      <c r="N743" s="224">
        <v>6</v>
      </c>
      <c r="O743" s="228">
        <f>ROUND(Tableau14[[#This Row],[Prix_Unit_HT]],2)*Tableau14[[#This Row],[Qte_commande]]</f>
        <v>120</v>
      </c>
      <c r="P743" s="228">
        <f>ROUND(Tableau14[[#This Row],[Prix_Unit_TTC]],2)*Tableau14[[#This Row],[Qte_commande]]</f>
        <v>144</v>
      </c>
      <c r="Q743" s="224">
        <v>6</v>
      </c>
      <c r="R743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6.0000000000000009</v>
      </c>
      <c r="U743" s="224"/>
      <c r="V743" s="224"/>
    </row>
    <row r="744" spans="1:22" ht="14.65" customHeight="1" x14ac:dyDescent="0.2">
      <c r="A744" s="225">
        <v>43153</v>
      </c>
      <c r="B744" s="224" t="s">
        <v>322</v>
      </c>
      <c r="C744" s="224" t="s">
        <v>305</v>
      </c>
      <c r="D744" s="224" t="s">
        <v>180</v>
      </c>
      <c r="E744" s="226"/>
      <c r="G744" s="224" t="s">
        <v>1</v>
      </c>
      <c r="H744" s="224" t="s">
        <v>289</v>
      </c>
      <c r="I744" s="224" t="s">
        <v>31</v>
      </c>
      <c r="J744" s="224">
        <v>70</v>
      </c>
      <c r="K744" s="227">
        <f t="array" ref="K744">IFERROR(INDEX([1]Grille_Tarifs_Modulable!$B$2:$B$204,MATCH(Tableau14[[#This Row],[Designation]]&amp;Tableau14[[#This Row],[CL]],[1]Grille_Tarifs_Modulable!$C$2:$C$204&amp;[1]Grille_Tarifs_Modulable!$F$2:$F$204,0)),0)</f>
        <v>3257150102017</v>
      </c>
      <c r="L744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14.694322</v>
      </c>
      <c r="M744" s="228">
        <f>IF(Tableau14[[#This Row],[Prix_Unit_HT]]=0,0,Tableau14[[#This Row],[Prix_Unit_HT]]+(Tableau14[[#This Row],[Prix_Unit_HT]]*VLOOKUP(Tableau14[[#This Row],[EAN]],[1]Grille_Tarifs_Modulable!$B$10:$Q$204,16,FALSE)))</f>
        <v>17.6331864</v>
      </c>
      <c r="N744" s="224">
        <v>6</v>
      </c>
      <c r="O744" s="228">
        <f>ROUND(Tableau14[[#This Row],[Prix_Unit_HT]],2)*Tableau14[[#This Row],[Qte_commande]]</f>
        <v>88.14</v>
      </c>
      <c r="P744" s="228">
        <f>ROUND(Tableau14[[#This Row],[Prix_Unit_TTC]],2)*Tableau14[[#This Row],[Qte_commande]]</f>
        <v>105.78</v>
      </c>
      <c r="Q744" s="224">
        <v>6</v>
      </c>
      <c r="R744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6.0000000000000009</v>
      </c>
      <c r="U744" s="224"/>
      <c r="V744" s="224"/>
    </row>
    <row r="745" spans="1:22" ht="14.65" customHeight="1" x14ac:dyDescent="0.2">
      <c r="A745" s="225">
        <v>43153</v>
      </c>
      <c r="B745" s="224" t="s">
        <v>657</v>
      </c>
      <c r="C745" s="224" t="s">
        <v>658</v>
      </c>
      <c r="D745" s="224" t="s">
        <v>209</v>
      </c>
      <c r="E745" s="226"/>
      <c r="G745" s="224" t="s">
        <v>1</v>
      </c>
      <c r="H745" s="224" t="s">
        <v>289</v>
      </c>
      <c r="I745" s="224" t="s">
        <v>31</v>
      </c>
      <c r="J745" s="224">
        <v>70</v>
      </c>
      <c r="K745" s="227">
        <f t="array" ref="K745">IFERROR(INDEX([1]Grille_Tarifs_Modulable!$B$2:$B$204,MATCH(Tableau14[[#This Row],[Designation]]&amp;Tableau14[[#This Row],[CL]],[1]Grille_Tarifs_Modulable!$C$2:$C$204&amp;[1]Grille_Tarifs_Modulable!$F$2:$F$204,0)),0)</f>
        <v>3257150102017</v>
      </c>
      <c r="L745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14.694322</v>
      </c>
      <c r="M745" s="228">
        <f>IF(Tableau14[[#This Row],[Prix_Unit_HT]]=0,0,Tableau14[[#This Row],[Prix_Unit_HT]]+(Tableau14[[#This Row],[Prix_Unit_HT]]*VLOOKUP(Tableau14[[#This Row],[EAN]],[1]Grille_Tarifs_Modulable!$B$10:$Q$204,16,FALSE)))</f>
        <v>17.6331864</v>
      </c>
      <c r="N745" s="224">
        <v>6</v>
      </c>
      <c r="O745" s="228">
        <f>ROUND(Tableau14[[#This Row],[Prix_Unit_HT]],2)*Tableau14[[#This Row],[Qte_commande]]</f>
        <v>88.14</v>
      </c>
      <c r="P745" s="228">
        <f>ROUND(Tableau14[[#This Row],[Prix_Unit_TTC]],2)*Tableau14[[#This Row],[Qte_commande]]</f>
        <v>105.78</v>
      </c>
      <c r="Q745" s="224">
        <v>6</v>
      </c>
      <c r="R745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6.0000000000000009</v>
      </c>
      <c r="U745" s="224"/>
      <c r="V745" s="224"/>
    </row>
    <row r="746" spans="1:22" ht="14.65" customHeight="1" x14ac:dyDescent="0.2">
      <c r="A746" s="225">
        <v>43153</v>
      </c>
      <c r="B746" s="224" t="s">
        <v>371</v>
      </c>
      <c r="C746" s="224" t="s">
        <v>372</v>
      </c>
      <c r="D746" s="224" t="s">
        <v>373</v>
      </c>
      <c r="E746" s="226"/>
      <c r="G746" s="224" t="s">
        <v>1</v>
      </c>
      <c r="H746" s="224" t="s">
        <v>289</v>
      </c>
      <c r="I746" s="224" t="s">
        <v>44</v>
      </c>
      <c r="J746" s="224">
        <v>50</v>
      </c>
      <c r="K746" s="227">
        <f t="array" ref="K746">IFERROR(INDEX([1]Grille_Tarifs_Modulable!$B$2:$B$204,MATCH(Tableau14[[#This Row],[Designation]]&amp;Tableau14[[#This Row],[CL]],[1]Grille_Tarifs_Modulable!$C$2:$C$204&amp;[1]Grille_Tarifs_Modulable!$F$2:$F$204,0)),0)</f>
        <v>4260270192645</v>
      </c>
      <c r="L746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25.192506000000002</v>
      </c>
      <c r="M746" s="228">
        <f>IF(Tableau14[[#This Row],[Prix_Unit_HT]]=0,0,Tableau14[[#This Row],[Prix_Unit_HT]]+(Tableau14[[#This Row],[Prix_Unit_HT]]*VLOOKUP(Tableau14[[#This Row],[EAN]],[1]Grille_Tarifs_Modulable!$B$10:$Q$204,16,FALSE)))</f>
        <v>30.231007200000001</v>
      </c>
      <c r="N746" s="224">
        <v>6</v>
      </c>
      <c r="O746" s="228">
        <f>ROUND(Tableau14[[#This Row],[Prix_Unit_HT]],2)*Tableau14[[#This Row],[Qte_commande]]</f>
        <v>151.14000000000001</v>
      </c>
      <c r="P746" s="228">
        <f>ROUND(Tableau14[[#This Row],[Prix_Unit_TTC]],2)*Tableau14[[#This Row],[Qte_commande]]</f>
        <v>181.38</v>
      </c>
      <c r="Q746" s="224">
        <v>4.29</v>
      </c>
      <c r="R746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4.2857142857142856</v>
      </c>
      <c r="U746" s="224"/>
      <c r="V746" s="224"/>
    </row>
    <row r="747" spans="1:22" ht="14.65" customHeight="1" x14ac:dyDescent="0.2">
      <c r="A747" s="225">
        <v>43153</v>
      </c>
      <c r="B747" s="224" t="s">
        <v>322</v>
      </c>
      <c r="C747" s="224" t="s">
        <v>305</v>
      </c>
      <c r="D747" s="224" t="s">
        <v>180</v>
      </c>
      <c r="E747" s="226"/>
      <c r="G747" s="224" t="s">
        <v>1</v>
      </c>
      <c r="H747" s="224" t="s">
        <v>289</v>
      </c>
      <c r="I747" s="224" t="s">
        <v>18</v>
      </c>
      <c r="J747" s="224">
        <v>70</v>
      </c>
      <c r="K747" s="227">
        <f t="array" ref="K747">IFERROR(INDEX([1]Grille_Tarifs_Modulable!$B$2:$B$204,MATCH(Tableau14[[#This Row],[Designation]]&amp;Tableau14[[#This Row],[CL]],[1]Grille_Tarifs_Modulable!$C$2:$C$204&amp;[1]Grille_Tarifs_Modulable!$F$2:$F$204,0)),0)</f>
        <v>8002095736606</v>
      </c>
      <c r="L747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15.747779600000001</v>
      </c>
      <c r="M747" s="228">
        <f>IF(Tableau14[[#This Row],[Prix_Unit_HT]]=0,0,Tableau14[[#This Row],[Prix_Unit_HT]]+(Tableau14[[#This Row],[Prix_Unit_HT]]*VLOOKUP(Tableau14[[#This Row],[EAN]],[1]Grille_Tarifs_Modulable!$B$10:$Q$204,16,FALSE)))</f>
        <v>18.897335520000002</v>
      </c>
      <c r="N747" s="224">
        <v>6</v>
      </c>
      <c r="O747" s="228">
        <f>ROUND(Tableau14[[#This Row],[Prix_Unit_HT]],2)*Tableau14[[#This Row],[Qte_commande]]</f>
        <v>94.5</v>
      </c>
      <c r="P747" s="228">
        <f>ROUND(Tableau14[[#This Row],[Prix_Unit_TTC]],2)*Tableau14[[#This Row],[Qte_commande]]</f>
        <v>113.39999999999999</v>
      </c>
      <c r="Q747" s="224">
        <v>6</v>
      </c>
      <c r="R747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6.0000000000000009</v>
      </c>
      <c r="U747" s="224"/>
      <c r="V747" s="224"/>
    </row>
    <row r="748" spans="1:22" ht="14.65" customHeight="1" x14ac:dyDescent="0.2">
      <c r="A748" s="225">
        <v>43154</v>
      </c>
      <c r="B748" s="224" t="s">
        <v>659</v>
      </c>
      <c r="C748" s="224" t="s">
        <v>660</v>
      </c>
      <c r="D748" s="224" t="s">
        <v>209</v>
      </c>
      <c r="E748" s="226"/>
      <c r="G748" s="224" t="s">
        <v>1</v>
      </c>
      <c r="H748" s="224" t="s">
        <v>289</v>
      </c>
      <c r="I748" s="224" t="s">
        <v>15</v>
      </c>
      <c r="J748" s="224">
        <v>100</v>
      </c>
      <c r="K748" s="227">
        <f t="array" ref="K748">IFERROR(INDEX([1]Grille_Tarifs_Modulable!$B$2:$B$204,MATCH(Tableau14[[#This Row],[Designation]]&amp;Tableau14[[#This Row],[CL]],[1]Grille_Tarifs_Modulable!$C$2:$C$204&amp;[1]Grille_Tarifs_Modulable!$F$2:$F$204,0)),0)</f>
        <v>4067700013842</v>
      </c>
      <c r="L748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17.100804999999998</v>
      </c>
      <c r="M748" s="228">
        <f>IF(Tableau14[[#This Row],[Prix_Unit_HT]]=0,0,Tableau14[[#This Row],[Prix_Unit_HT]]+(Tableau14[[#This Row],[Prix_Unit_HT]]*VLOOKUP(Tableau14[[#This Row],[EAN]],[1]Grille_Tarifs_Modulable!$B$10:$Q$204,16,FALSE)))</f>
        <v>20.520965999999998</v>
      </c>
      <c r="N748" s="224">
        <v>12</v>
      </c>
      <c r="O748" s="228">
        <f>ROUND(Tableau14[[#This Row],[Prix_Unit_HT]],2)*Tableau14[[#This Row],[Qte_commande]]</f>
        <v>205.20000000000002</v>
      </c>
      <c r="P748" s="228">
        <f>ROUND(Tableau14[[#This Row],[Prix_Unit_TTC]],2)*Tableau14[[#This Row],[Qte_commande]]</f>
        <v>246.24</v>
      </c>
      <c r="Q748" s="224">
        <v>17.14</v>
      </c>
      <c r="R748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17.142857142857142</v>
      </c>
      <c r="U748" s="224"/>
      <c r="V748" s="224"/>
    </row>
    <row r="749" spans="1:22" ht="14.65" customHeight="1" x14ac:dyDescent="0.2">
      <c r="A749" s="225">
        <v>43154</v>
      </c>
      <c r="B749" s="224" t="s">
        <v>659</v>
      </c>
      <c r="C749" s="224" t="s">
        <v>660</v>
      </c>
      <c r="D749" s="224" t="s">
        <v>209</v>
      </c>
      <c r="E749" s="226"/>
      <c r="G749" s="224" t="s">
        <v>1</v>
      </c>
      <c r="H749" s="224" t="s">
        <v>289</v>
      </c>
      <c r="I749" s="224" t="s">
        <v>15</v>
      </c>
      <c r="J749" s="224">
        <v>175</v>
      </c>
      <c r="K749" s="227">
        <f t="array" ref="K749">IFERROR(INDEX([1]Grille_Tarifs_Modulable!$B$2:$B$204,MATCH(Tableau14[[#This Row],[Designation]]&amp;Tableau14[[#This Row],[CL]],[1]Grille_Tarifs_Modulable!$C$2:$C$204&amp;[1]Grille_Tarifs_Modulable!$F$2:$F$204,0)),0)</f>
        <v>4067700013835</v>
      </c>
      <c r="L749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28.916408750000002</v>
      </c>
      <c r="M749" s="228">
        <f>IF(Tableau14[[#This Row],[Prix_Unit_HT]]=0,0,Tableau14[[#This Row],[Prix_Unit_HT]]+(Tableau14[[#This Row],[Prix_Unit_HT]]*VLOOKUP(Tableau14[[#This Row],[EAN]],[1]Grille_Tarifs_Modulable!$B$10:$Q$204,16,FALSE)))</f>
        <v>34.699690500000003</v>
      </c>
      <c r="N749" s="224">
        <v>12</v>
      </c>
      <c r="O749" s="228">
        <f>ROUND(Tableau14[[#This Row],[Prix_Unit_HT]],2)*Tableau14[[#This Row],[Qte_commande]]</f>
        <v>347.04</v>
      </c>
      <c r="P749" s="228">
        <f>ROUND(Tableau14[[#This Row],[Prix_Unit_TTC]],2)*Tableau14[[#This Row],[Qte_commande]]</f>
        <v>416.40000000000003</v>
      </c>
      <c r="Q749" s="224">
        <v>30</v>
      </c>
      <c r="R749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30.000000000000004</v>
      </c>
      <c r="U749" s="224"/>
      <c r="V749" s="224"/>
    </row>
    <row r="750" spans="1:22" ht="14.65" customHeight="1" x14ac:dyDescent="0.2">
      <c r="A750" s="225">
        <v>43154</v>
      </c>
      <c r="B750" s="224" t="s">
        <v>659</v>
      </c>
      <c r="C750" s="224" t="s">
        <v>660</v>
      </c>
      <c r="D750" s="224" t="s">
        <v>209</v>
      </c>
      <c r="E750" s="226"/>
      <c r="G750" s="224" t="s">
        <v>1</v>
      </c>
      <c r="H750" s="224" t="s">
        <v>289</v>
      </c>
      <c r="I750" s="224" t="s">
        <v>30</v>
      </c>
      <c r="J750" s="224">
        <v>70</v>
      </c>
      <c r="K750" s="227">
        <f t="array" ref="K750">IFERROR(INDEX([1]Grille_Tarifs_Modulable!$B$2:$B$204,MATCH(Tableau14[[#This Row],[Designation]]&amp;Tableau14[[#This Row],[CL]],[1]Grille_Tarifs_Modulable!$C$2:$C$204&amp;[1]Grille_Tarifs_Modulable!$F$2:$F$204,0)),0)</f>
        <v>3257150101904</v>
      </c>
      <c r="L750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16.346482999999999</v>
      </c>
      <c r="M750" s="228">
        <f>IF(Tableau14[[#This Row],[Prix_Unit_HT]]=0,0,Tableau14[[#This Row],[Prix_Unit_HT]]+(Tableau14[[#This Row],[Prix_Unit_HT]]*VLOOKUP(Tableau14[[#This Row],[EAN]],[1]Grille_Tarifs_Modulable!$B$10:$Q$204,16,FALSE)))</f>
        <v>19.6157796</v>
      </c>
      <c r="N750" s="224">
        <v>4</v>
      </c>
      <c r="O750" s="228">
        <f>ROUND(Tableau14[[#This Row],[Prix_Unit_HT]],2)*Tableau14[[#This Row],[Qte_commande]]</f>
        <v>65.400000000000006</v>
      </c>
      <c r="P750" s="228">
        <f>ROUND(Tableau14[[#This Row],[Prix_Unit_TTC]],2)*Tableau14[[#This Row],[Qte_commande]]</f>
        <v>78.48</v>
      </c>
      <c r="Q750" s="224">
        <v>4</v>
      </c>
      <c r="R750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4</v>
      </c>
      <c r="U750" s="224"/>
      <c r="V750" s="224"/>
    </row>
    <row r="751" spans="1:22" ht="14.65" customHeight="1" x14ac:dyDescent="0.2">
      <c r="A751" s="225">
        <v>43154</v>
      </c>
      <c r="B751" s="224" t="s">
        <v>659</v>
      </c>
      <c r="C751" s="224" t="s">
        <v>660</v>
      </c>
      <c r="D751" s="224" t="s">
        <v>209</v>
      </c>
      <c r="E751" s="226"/>
      <c r="G751" s="224" t="s">
        <v>1</v>
      </c>
      <c r="H751" s="224" t="s">
        <v>289</v>
      </c>
      <c r="I751" s="224" t="s">
        <v>32</v>
      </c>
      <c r="J751" s="224">
        <v>70</v>
      </c>
      <c r="K751" s="227">
        <f t="array" ref="K751">IFERROR(INDEX([1]Grille_Tarifs_Modulable!$B$2:$B$204,MATCH(Tableau14[[#This Row],[Designation]]&amp;Tableau14[[#This Row],[CL]],[1]Grille_Tarifs_Modulable!$C$2:$C$204&amp;[1]Grille_Tarifs_Modulable!$F$2:$F$204,0)),0)</f>
        <v>3257150100228</v>
      </c>
      <c r="L751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19.998643999999999</v>
      </c>
      <c r="M751" s="228">
        <f>IF(Tableau14[[#This Row],[Prix_Unit_HT]]=0,0,Tableau14[[#This Row],[Prix_Unit_HT]]+(Tableau14[[#This Row],[Prix_Unit_HT]]*VLOOKUP(Tableau14[[#This Row],[EAN]],[1]Grille_Tarifs_Modulable!$B$10:$Q$204,16,FALSE)))</f>
        <v>23.998372799999999</v>
      </c>
      <c r="N751" s="224">
        <v>4</v>
      </c>
      <c r="O751" s="228">
        <f>ROUND(Tableau14[[#This Row],[Prix_Unit_HT]],2)*Tableau14[[#This Row],[Qte_commande]]</f>
        <v>80</v>
      </c>
      <c r="P751" s="228">
        <f>ROUND(Tableau14[[#This Row],[Prix_Unit_TTC]],2)*Tableau14[[#This Row],[Qte_commande]]</f>
        <v>96</v>
      </c>
      <c r="Q751" s="224">
        <v>4</v>
      </c>
      <c r="R751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4</v>
      </c>
      <c r="U751" s="224"/>
      <c r="V751" s="224"/>
    </row>
    <row r="752" spans="1:22" ht="14.65" customHeight="1" x14ac:dyDescent="0.2">
      <c r="A752" s="225">
        <v>43154</v>
      </c>
      <c r="B752" s="224" t="s">
        <v>659</v>
      </c>
      <c r="C752" s="224" t="s">
        <v>660</v>
      </c>
      <c r="D752" s="224" t="s">
        <v>209</v>
      </c>
      <c r="E752" s="226"/>
      <c r="G752" s="224" t="s">
        <v>1</v>
      </c>
      <c r="H752" s="224" t="s">
        <v>289</v>
      </c>
      <c r="I752" s="224" t="s">
        <v>31</v>
      </c>
      <c r="J752" s="224">
        <v>70</v>
      </c>
      <c r="K752" s="227">
        <f t="array" ref="K752">IFERROR(INDEX([1]Grille_Tarifs_Modulable!$B$2:$B$204,MATCH(Tableau14[[#This Row],[Designation]]&amp;Tableau14[[#This Row],[CL]],[1]Grille_Tarifs_Modulable!$C$2:$C$204&amp;[1]Grille_Tarifs_Modulable!$F$2:$F$204,0)),0)</f>
        <v>3257150102017</v>
      </c>
      <c r="L752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14.694322</v>
      </c>
      <c r="M752" s="228">
        <f>IF(Tableau14[[#This Row],[Prix_Unit_HT]]=0,0,Tableau14[[#This Row],[Prix_Unit_HT]]+(Tableau14[[#This Row],[Prix_Unit_HT]]*VLOOKUP(Tableau14[[#This Row],[EAN]],[1]Grille_Tarifs_Modulable!$B$10:$Q$204,16,FALSE)))</f>
        <v>17.6331864</v>
      </c>
      <c r="N752" s="224">
        <v>4</v>
      </c>
      <c r="O752" s="228">
        <f>ROUND(Tableau14[[#This Row],[Prix_Unit_HT]],2)*Tableau14[[#This Row],[Qte_commande]]</f>
        <v>58.76</v>
      </c>
      <c r="P752" s="228">
        <f>ROUND(Tableau14[[#This Row],[Prix_Unit_TTC]],2)*Tableau14[[#This Row],[Qte_commande]]</f>
        <v>70.52</v>
      </c>
      <c r="Q752" s="224">
        <v>4</v>
      </c>
      <c r="R752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4</v>
      </c>
      <c r="U752" s="224"/>
      <c r="V752" s="224"/>
    </row>
    <row r="753" spans="1:22" ht="14.65" customHeight="1" x14ac:dyDescent="0.2">
      <c r="A753" s="225">
        <v>43154</v>
      </c>
      <c r="B753" s="224" t="s">
        <v>659</v>
      </c>
      <c r="C753" s="224" t="s">
        <v>660</v>
      </c>
      <c r="D753" s="224" t="s">
        <v>209</v>
      </c>
      <c r="E753" s="226"/>
      <c r="G753" s="224" t="s">
        <v>1</v>
      </c>
      <c r="H753" s="224" t="s">
        <v>289</v>
      </c>
      <c r="I753" s="224" t="s">
        <v>931</v>
      </c>
      <c r="J753" s="224">
        <v>100</v>
      </c>
      <c r="K753" s="227">
        <f t="array" ref="K753">IFERROR(INDEX([1]Grille_Tarifs_Modulable!$B$2:$B$204,MATCH(Tableau14[[#This Row],[Designation]]&amp;Tableau14[[#This Row],[CL]],[1]Grille_Tarifs_Modulable!$C$2:$C$204&amp;[1]Grille_Tarifs_Modulable!$F$2:$F$204,0)),0)</f>
        <v>0</v>
      </c>
      <c r="L753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</v>
      </c>
      <c r="M753" s="228">
        <f>IF(Tableau14[[#This Row],[Prix_Unit_HT]]=0,0,Tableau14[[#This Row],[Prix_Unit_HT]]+(Tableau14[[#This Row],[Prix_Unit_HT]]*VLOOKUP(Tableau14[[#This Row],[EAN]],[1]Grille_Tarifs_Modulable!$B$10:$Q$204,16,FALSE)))</f>
        <v>0</v>
      </c>
      <c r="N753" s="224">
        <v>30</v>
      </c>
      <c r="O753" s="228">
        <f>ROUND(Tableau14[[#This Row],[Prix_Unit_HT]],2)*Tableau14[[#This Row],[Qte_commande]]</f>
        <v>0</v>
      </c>
      <c r="P753" s="228">
        <f>ROUND(Tableau14[[#This Row],[Prix_Unit_TTC]],2)*Tableau14[[#This Row],[Qte_commande]]</f>
        <v>0</v>
      </c>
      <c r="Q753" s="224">
        <v>42.86</v>
      </c>
      <c r="R753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42.857142857142861</v>
      </c>
      <c r="U753" s="224"/>
      <c r="V753" s="224"/>
    </row>
    <row r="754" spans="1:22" ht="14.65" customHeight="1" x14ac:dyDescent="0.2">
      <c r="A754" s="225">
        <v>43157</v>
      </c>
      <c r="B754" s="224" t="s">
        <v>231</v>
      </c>
      <c r="C754" s="224" t="s">
        <v>232</v>
      </c>
      <c r="D754" s="224" t="s">
        <v>233</v>
      </c>
      <c r="E754" s="226"/>
      <c r="G754" s="224" t="s">
        <v>1</v>
      </c>
      <c r="H754" s="224" t="s">
        <v>196</v>
      </c>
      <c r="I754" s="224" t="s">
        <v>62</v>
      </c>
      <c r="J754" s="224">
        <v>20</v>
      </c>
      <c r="K754" s="227">
        <f t="array" ref="K754">IFERROR(INDEX([1]Grille_Tarifs_Modulable!$B$2:$B$204,MATCH(Tableau14[[#This Row],[Designation]]&amp;Tableau14[[#This Row],[CL]],[1]Grille_Tarifs_Modulable!$C$2:$C$204&amp;[1]Grille_Tarifs_Modulable!$F$2:$F$204,0)),0)</f>
        <v>4260310550305</v>
      </c>
      <c r="L754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0.81</v>
      </c>
      <c r="M754" s="228">
        <f>IF(Tableau14[[#This Row],[Prix_Unit_HT]]=0,0,Tableau14[[#This Row],[Prix_Unit_HT]]+(Tableau14[[#This Row],[Prix_Unit_HT]]*VLOOKUP(Tableau14[[#This Row],[EAN]],[1]Grille_Tarifs_Modulable!$B$10:$Q$204,16,FALSE)))</f>
        <v>0.85455000000000003</v>
      </c>
      <c r="N754" s="224">
        <v>48</v>
      </c>
      <c r="O754" s="228">
        <f>ROUND(Tableau14[[#This Row],[Prix_Unit_HT]],2)*Tableau14[[#This Row],[Qte_commande]]</f>
        <v>38.880000000000003</v>
      </c>
      <c r="P754" s="228">
        <f>ROUND(Tableau14[[#This Row],[Prix_Unit_TTC]],2)*Tableau14[[#This Row],[Qte_commande]]</f>
        <v>40.799999999999997</v>
      </c>
      <c r="Q754" s="224">
        <v>13.71</v>
      </c>
      <c r="R754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13.714285714285715</v>
      </c>
      <c r="U754" s="224"/>
      <c r="V754" s="224"/>
    </row>
    <row r="755" spans="1:22" ht="14.65" customHeight="1" x14ac:dyDescent="0.2">
      <c r="A755" s="225">
        <v>43157</v>
      </c>
      <c r="B755" s="224" t="s">
        <v>231</v>
      </c>
      <c r="C755" s="224" t="s">
        <v>232</v>
      </c>
      <c r="D755" s="224" t="s">
        <v>233</v>
      </c>
      <c r="E755" s="226"/>
      <c r="G755" s="224" t="s">
        <v>1</v>
      </c>
      <c r="H755" s="224" t="s">
        <v>196</v>
      </c>
      <c r="I755" s="224" t="s">
        <v>63</v>
      </c>
      <c r="J755" s="224">
        <v>20</v>
      </c>
      <c r="K755" s="227">
        <f t="array" ref="K755">IFERROR(INDEX([1]Grille_Tarifs_Modulable!$B$2:$B$204,MATCH(Tableau14[[#This Row],[Designation]]&amp;Tableau14[[#This Row],[CL]],[1]Grille_Tarifs_Modulable!$C$2:$C$204&amp;[1]Grille_Tarifs_Modulable!$F$2:$F$204,0)),0)</f>
        <v>4260310552941</v>
      </c>
      <c r="L755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0.81</v>
      </c>
      <c r="M755" s="228">
        <f>IF(Tableau14[[#This Row],[Prix_Unit_HT]]=0,0,Tableau14[[#This Row],[Prix_Unit_HT]]+(Tableau14[[#This Row],[Prix_Unit_HT]]*VLOOKUP(Tableau14[[#This Row],[EAN]],[1]Grille_Tarifs_Modulable!$B$10:$Q$204,16,FALSE)))</f>
        <v>0.85455000000000003</v>
      </c>
      <c r="N755" s="224">
        <v>48</v>
      </c>
      <c r="O755" s="228">
        <f>ROUND(Tableau14[[#This Row],[Prix_Unit_HT]],2)*Tableau14[[#This Row],[Qte_commande]]</f>
        <v>38.880000000000003</v>
      </c>
      <c r="P755" s="228">
        <f>ROUND(Tableau14[[#This Row],[Prix_Unit_TTC]],2)*Tableau14[[#This Row],[Qte_commande]]</f>
        <v>40.799999999999997</v>
      </c>
      <c r="Q755" s="224">
        <v>13.71</v>
      </c>
      <c r="R755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13.714285714285715</v>
      </c>
      <c r="U755" s="224"/>
      <c r="V755" s="224"/>
    </row>
    <row r="756" spans="1:22" ht="14.65" customHeight="1" x14ac:dyDescent="0.2">
      <c r="A756" s="225">
        <v>43157</v>
      </c>
      <c r="B756" s="224" t="s">
        <v>268</v>
      </c>
      <c r="C756" s="224" t="s">
        <v>269</v>
      </c>
      <c r="D756" s="224" t="s">
        <v>270</v>
      </c>
      <c r="E756" s="226"/>
      <c r="G756" s="224" t="s">
        <v>13</v>
      </c>
      <c r="H756" s="224" t="s">
        <v>196</v>
      </c>
      <c r="I756" s="224" t="s">
        <v>63</v>
      </c>
      <c r="J756" s="224">
        <v>20</v>
      </c>
      <c r="K756" s="227">
        <f t="array" ref="K756">IFERROR(INDEX([1]Grille_Tarifs_Modulable!$B$2:$B$204,MATCH(Tableau14[[#This Row],[Designation]]&amp;Tableau14[[#This Row],[CL]],[1]Grille_Tarifs_Modulable!$C$2:$C$204&amp;[1]Grille_Tarifs_Modulable!$F$2:$F$204,0)),0)</f>
        <v>4260310552941</v>
      </c>
      <c r="L756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0.89</v>
      </c>
      <c r="M756" s="228">
        <f>IF(Tableau14[[#This Row],[Prix_Unit_HT]]=0,0,Tableau14[[#This Row],[Prix_Unit_HT]]+(Tableau14[[#This Row],[Prix_Unit_HT]]*VLOOKUP(Tableau14[[#This Row],[EAN]],[1]Grille_Tarifs_Modulable!$B$10:$Q$204,16,FALSE)))</f>
        <v>0.93895000000000006</v>
      </c>
      <c r="N756" s="224">
        <v>72</v>
      </c>
      <c r="O756" s="228">
        <f>ROUND(Tableau14[[#This Row],[Prix_Unit_HT]],2)*Tableau14[[#This Row],[Qte_commande]]</f>
        <v>64.08</v>
      </c>
      <c r="P756" s="228">
        <f>ROUND(Tableau14[[#This Row],[Prix_Unit_TTC]],2)*Tableau14[[#This Row],[Qte_commande]]</f>
        <v>67.679999999999993</v>
      </c>
      <c r="Q756" s="224">
        <v>20.57</v>
      </c>
      <c r="R756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20.571428571428573</v>
      </c>
      <c r="U756" s="224"/>
      <c r="V756" s="224"/>
    </row>
    <row r="757" spans="1:22" ht="14.65" customHeight="1" x14ac:dyDescent="0.2">
      <c r="A757" s="225">
        <v>43157</v>
      </c>
      <c r="B757" s="224" t="s">
        <v>231</v>
      </c>
      <c r="C757" s="224" t="s">
        <v>232</v>
      </c>
      <c r="D757" s="224" t="s">
        <v>233</v>
      </c>
      <c r="E757" s="226"/>
      <c r="G757" s="224" t="s">
        <v>1</v>
      </c>
      <c r="H757" s="224" t="s">
        <v>289</v>
      </c>
      <c r="I757" s="224" t="s">
        <v>22</v>
      </c>
      <c r="J757" s="224">
        <v>70</v>
      </c>
      <c r="K757" s="227">
        <f t="array" ref="K757">IFERROR(INDEX([1]Grille_Tarifs_Modulable!$B$2:$B$204,MATCH(Tableau14[[#This Row],[Designation]]&amp;Tableau14[[#This Row],[CL]],[1]Grille_Tarifs_Modulable!$C$2:$C$204&amp;[1]Grille_Tarifs_Modulable!$F$2:$F$204,0)),0)</f>
        <v>4055800060200</v>
      </c>
      <c r="L757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17.408644000000002</v>
      </c>
      <c r="M757" s="228">
        <f>IF(Tableau14[[#This Row],[Prix_Unit_HT]]=0,0,Tableau14[[#This Row],[Prix_Unit_HT]]+(Tableau14[[#This Row],[Prix_Unit_HT]]*VLOOKUP(Tableau14[[#This Row],[EAN]],[1]Grille_Tarifs_Modulable!$B$10:$Q$204,16,FALSE)))</f>
        <v>20.890372800000002</v>
      </c>
      <c r="N757" s="224">
        <v>6</v>
      </c>
      <c r="O757" s="228">
        <f>ROUND(Tableau14[[#This Row],[Prix_Unit_HT]],2)*Tableau14[[#This Row],[Qte_commande]]</f>
        <v>104.46000000000001</v>
      </c>
      <c r="P757" s="228">
        <f>ROUND(Tableau14[[#This Row],[Prix_Unit_TTC]],2)*Tableau14[[#This Row],[Qte_commande]]</f>
        <v>125.34</v>
      </c>
      <c r="Q757" s="224">
        <v>6</v>
      </c>
      <c r="R757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6.0000000000000009</v>
      </c>
      <c r="U757" s="224"/>
      <c r="V757" s="224"/>
    </row>
    <row r="758" spans="1:22" ht="14.65" customHeight="1" x14ac:dyDescent="0.2">
      <c r="A758" s="225">
        <v>43157</v>
      </c>
      <c r="B758" s="224" t="s">
        <v>231</v>
      </c>
      <c r="C758" s="224" t="s">
        <v>232</v>
      </c>
      <c r="D758" s="224" t="s">
        <v>233</v>
      </c>
      <c r="E758" s="226"/>
      <c r="G758" s="224" t="s">
        <v>1</v>
      </c>
      <c r="H758" s="224" t="s">
        <v>196</v>
      </c>
      <c r="I758" s="224" t="s">
        <v>65</v>
      </c>
      <c r="J758" s="224">
        <v>20</v>
      </c>
      <c r="K758" s="227">
        <f t="array" ref="K758">IFERROR(INDEX([1]Grille_Tarifs_Modulable!$B$2:$B$204,MATCH(Tableau14[[#This Row],[Designation]]&amp;Tableau14[[#This Row],[CL]],[1]Grille_Tarifs_Modulable!$C$2:$C$204&amp;[1]Grille_Tarifs_Modulable!$F$2:$F$204,0)),0)</f>
        <v>4260310553863</v>
      </c>
      <c r="L758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0.81</v>
      </c>
      <c r="M758" s="228">
        <f>IF(Tableau14[[#This Row],[Prix_Unit_HT]]=0,0,Tableau14[[#This Row],[Prix_Unit_HT]]+(Tableau14[[#This Row],[Prix_Unit_HT]]*VLOOKUP(Tableau14[[#This Row],[EAN]],[1]Grille_Tarifs_Modulable!$B$10:$Q$204,16,FALSE)))</f>
        <v>0.85455000000000003</v>
      </c>
      <c r="N758" s="224">
        <v>48</v>
      </c>
      <c r="O758" s="228">
        <f>ROUND(Tableau14[[#This Row],[Prix_Unit_HT]],2)*Tableau14[[#This Row],[Qte_commande]]</f>
        <v>38.880000000000003</v>
      </c>
      <c r="P758" s="228">
        <f>ROUND(Tableau14[[#This Row],[Prix_Unit_TTC]],2)*Tableau14[[#This Row],[Qte_commande]]</f>
        <v>40.799999999999997</v>
      </c>
      <c r="Q758" s="224">
        <v>13.71</v>
      </c>
      <c r="R758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13.714285714285715</v>
      </c>
      <c r="U758" s="224"/>
      <c r="V758" s="224"/>
    </row>
    <row r="759" spans="1:22" ht="14.65" customHeight="1" x14ac:dyDescent="0.2">
      <c r="A759" s="225">
        <v>43157</v>
      </c>
      <c r="B759" s="224" t="s">
        <v>268</v>
      </c>
      <c r="C759" s="224" t="s">
        <v>269</v>
      </c>
      <c r="D759" s="224" t="s">
        <v>270</v>
      </c>
      <c r="E759" s="226"/>
      <c r="G759" s="224" t="s">
        <v>13</v>
      </c>
      <c r="H759" s="224" t="s">
        <v>289</v>
      </c>
      <c r="I759" s="224" t="s">
        <v>15</v>
      </c>
      <c r="J759" s="224">
        <v>70</v>
      </c>
      <c r="K759" s="227">
        <f t="array" ref="K759">IFERROR(INDEX([1]Grille_Tarifs_Modulable!$B$2:$B$204,MATCH(Tableau14[[#This Row],[Designation]]&amp;Tableau14[[#This Row],[CL]],[1]Grille_Tarifs_Modulable!$C$2:$C$204&amp;[1]Grille_Tarifs_Modulable!$F$2:$F$204,0)),0)</f>
        <v>4067700013859</v>
      </c>
      <c r="L759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13.942563499999999</v>
      </c>
      <c r="M759" s="228">
        <f>IF(Tableau14[[#This Row],[Prix_Unit_HT]]=0,0,Tableau14[[#This Row],[Prix_Unit_HT]]+(Tableau14[[#This Row],[Prix_Unit_HT]]*VLOOKUP(Tableau14[[#This Row],[EAN]],[1]Grille_Tarifs_Modulable!$B$10:$Q$204,16,FALSE)))</f>
        <v>16.731076199999997</v>
      </c>
      <c r="N759" s="224">
        <v>6</v>
      </c>
      <c r="O759" s="228">
        <f>ROUND(Tableau14[[#This Row],[Prix_Unit_HT]],2)*Tableau14[[#This Row],[Qte_commande]]</f>
        <v>83.64</v>
      </c>
      <c r="P759" s="228">
        <f>ROUND(Tableau14[[#This Row],[Prix_Unit_TTC]],2)*Tableau14[[#This Row],[Qte_commande]]</f>
        <v>100.38</v>
      </c>
      <c r="Q759" s="224">
        <v>6</v>
      </c>
      <c r="R759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6.0000000000000009</v>
      </c>
      <c r="U759" s="224"/>
      <c r="V759" s="224"/>
    </row>
    <row r="760" spans="1:22" ht="14.65" customHeight="1" x14ac:dyDescent="0.2">
      <c r="A760" s="225">
        <v>43157</v>
      </c>
      <c r="B760" s="224" t="s">
        <v>231</v>
      </c>
      <c r="C760" s="224" t="s">
        <v>232</v>
      </c>
      <c r="D760" s="224" t="s">
        <v>233</v>
      </c>
      <c r="E760" s="226"/>
      <c r="G760" s="224" t="s">
        <v>1</v>
      </c>
      <c r="H760" s="224" t="s">
        <v>289</v>
      </c>
      <c r="I760" s="224" t="s">
        <v>15</v>
      </c>
      <c r="J760" s="224">
        <v>175</v>
      </c>
      <c r="K760" s="227">
        <f t="array" ref="K760">IFERROR(INDEX([1]Grille_Tarifs_Modulable!$B$2:$B$204,MATCH(Tableau14[[#This Row],[Designation]]&amp;Tableau14[[#This Row],[CL]],[1]Grille_Tarifs_Modulable!$C$2:$C$204&amp;[1]Grille_Tarifs_Modulable!$F$2:$F$204,0)),0)</f>
        <v>4067700013835</v>
      </c>
      <c r="L760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28.916408750000002</v>
      </c>
      <c r="M760" s="228">
        <f>IF(Tableau14[[#This Row],[Prix_Unit_HT]]=0,0,Tableau14[[#This Row],[Prix_Unit_HT]]+(Tableau14[[#This Row],[Prix_Unit_HT]]*VLOOKUP(Tableau14[[#This Row],[EAN]],[1]Grille_Tarifs_Modulable!$B$10:$Q$204,16,FALSE)))</f>
        <v>34.699690500000003</v>
      </c>
      <c r="N760" s="224">
        <v>24</v>
      </c>
      <c r="O760" s="228">
        <f>ROUND(Tableau14[[#This Row],[Prix_Unit_HT]],2)*Tableau14[[#This Row],[Qte_commande]]</f>
        <v>694.08</v>
      </c>
      <c r="P760" s="228">
        <f>ROUND(Tableau14[[#This Row],[Prix_Unit_TTC]],2)*Tableau14[[#This Row],[Qte_commande]]</f>
        <v>832.80000000000007</v>
      </c>
      <c r="Q760" s="224">
        <v>60</v>
      </c>
      <c r="R760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60.000000000000007</v>
      </c>
      <c r="U760" s="224"/>
      <c r="V760" s="224"/>
    </row>
    <row r="761" spans="1:22" ht="14.65" customHeight="1" x14ac:dyDescent="0.2">
      <c r="A761" s="225">
        <v>43157</v>
      </c>
      <c r="B761" s="224" t="s">
        <v>231</v>
      </c>
      <c r="C761" s="224" t="s">
        <v>232</v>
      </c>
      <c r="D761" s="224" t="s">
        <v>233</v>
      </c>
      <c r="E761" s="226"/>
      <c r="G761" s="224" t="s">
        <v>1</v>
      </c>
      <c r="H761" s="224" t="s">
        <v>196</v>
      </c>
      <c r="I761" s="224" t="s">
        <v>66</v>
      </c>
      <c r="J761" s="224">
        <v>50</v>
      </c>
      <c r="K761" s="227">
        <f t="array" ref="K761">IFERROR(INDEX([1]Grille_Tarifs_Modulable!$B$2:$B$204,MATCH(Tableau14[[#This Row],[Designation]]&amp;Tableau14[[#This Row],[CL]],[1]Grille_Tarifs_Modulable!$C$2:$C$204&amp;[1]Grille_Tarifs_Modulable!$F$2:$F$204,0)),0)</f>
        <v>4260310553382</v>
      </c>
      <c r="L761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</v>
      </c>
      <c r="M761" s="228">
        <f>IF(Tableau14[[#This Row],[Prix_Unit_HT]]=0,0,Tableau14[[#This Row],[Prix_Unit_HT]]+(Tableau14[[#This Row],[Prix_Unit_HT]]*VLOOKUP(Tableau14[[#This Row],[EAN]],[1]Grille_Tarifs_Modulable!$B$10:$Q$204,16,FALSE)))</f>
        <v>1.0549999999999999</v>
      </c>
      <c r="N761" s="224">
        <v>40</v>
      </c>
      <c r="O761" s="228">
        <f>ROUND(Tableau14[[#This Row],[Prix_Unit_HT]],2)*Tableau14[[#This Row],[Qte_commande]]</f>
        <v>40</v>
      </c>
      <c r="P761" s="228">
        <f>ROUND(Tableau14[[#This Row],[Prix_Unit_TTC]],2)*Tableau14[[#This Row],[Qte_commande]]</f>
        <v>42.400000000000006</v>
      </c>
      <c r="Q761" s="224">
        <v>28.57</v>
      </c>
      <c r="R761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28.571428571428573</v>
      </c>
      <c r="U761" s="224"/>
      <c r="V761" s="224"/>
    </row>
    <row r="762" spans="1:22" ht="14.65" customHeight="1" x14ac:dyDescent="0.2">
      <c r="A762" s="225">
        <v>43157</v>
      </c>
      <c r="B762" s="224" t="s">
        <v>231</v>
      </c>
      <c r="C762" s="224" t="s">
        <v>232</v>
      </c>
      <c r="D762" s="224" t="s">
        <v>233</v>
      </c>
      <c r="E762" s="226"/>
      <c r="G762" s="224" t="s">
        <v>1</v>
      </c>
      <c r="H762" s="224" t="s">
        <v>289</v>
      </c>
      <c r="I762" s="224" t="s">
        <v>30</v>
      </c>
      <c r="J762" s="224">
        <v>70</v>
      </c>
      <c r="K762" s="227">
        <f t="array" ref="K762">IFERROR(INDEX([1]Grille_Tarifs_Modulable!$B$2:$B$204,MATCH(Tableau14[[#This Row],[Designation]]&amp;Tableau14[[#This Row],[CL]],[1]Grille_Tarifs_Modulable!$C$2:$C$204&amp;[1]Grille_Tarifs_Modulable!$F$2:$F$204,0)),0)</f>
        <v>3257150101904</v>
      </c>
      <c r="L762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16.346482999999999</v>
      </c>
      <c r="M762" s="228">
        <f>IF(Tableau14[[#This Row],[Prix_Unit_HT]]=0,0,Tableau14[[#This Row],[Prix_Unit_HT]]+(Tableau14[[#This Row],[Prix_Unit_HT]]*VLOOKUP(Tableau14[[#This Row],[EAN]],[1]Grille_Tarifs_Modulable!$B$10:$Q$204,16,FALSE)))</f>
        <v>19.6157796</v>
      </c>
      <c r="N762" s="224">
        <v>6</v>
      </c>
      <c r="O762" s="228">
        <f>ROUND(Tableau14[[#This Row],[Prix_Unit_HT]],2)*Tableau14[[#This Row],[Qte_commande]]</f>
        <v>98.100000000000009</v>
      </c>
      <c r="P762" s="228">
        <f>ROUND(Tableau14[[#This Row],[Prix_Unit_TTC]],2)*Tableau14[[#This Row],[Qte_commande]]</f>
        <v>117.72</v>
      </c>
      <c r="Q762" s="224">
        <v>6</v>
      </c>
      <c r="R762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6.0000000000000009</v>
      </c>
      <c r="U762" s="224"/>
      <c r="V762" s="224"/>
    </row>
    <row r="763" spans="1:22" ht="14.65" customHeight="1" x14ac:dyDescent="0.2">
      <c r="A763" s="225">
        <v>43157</v>
      </c>
      <c r="B763" s="224" t="s">
        <v>231</v>
      </c>
      <c r="C763" s="224" t="s">
        <v>232</v>
      </c>
      <c r="D763" s="224" t="s">
        <v>233</v>
      </c>
      <c r="E763" s="226"/>
      <c r="G763" s="224" t="s">
        <v>1</v>
      </c>
      <c r="H763" s="224" t="s">
        <v>289</v>
      </c>
      <c r="I763" s="224" t="s">
        <v>32</v>
      </c>
      <c r="J763" s="224">
        <v>70</v>
      </c>
      <c r="K763" s="227">
        <f t="array" ref="K763">IFERROR(INDEX([1]Grille_Tarifs_Modulable!$B$2:$B$204,MATCH(Tableau14[[#This Row],[Designation]]&amp;Tableau14[[#This Row],[CL]],[1]Grille_Tarifs_Modulable!$C$2:$C$204&amp;[1]Grille_Tarifs_Modulable!$F$2:$F$204,0)),0)</f>
        <v>3257150100228</v>
      </c>
      <c r="L763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19.998643999999999</v>
      </c>
      <c r="M763" s="228">
        <f>IF(Tableau14[[#This Row],[Prix_Unit_HT]]=0,0,Tableau14[[#This Row],[Prix_Unit_HT]]+(Tableau14[[#This Row],[Prix_Unit_HT]]*VLOOKUP(Tableau14[[#This Row],[EAN]],[1]Grille_Tarifs_Modulable!$B$10:$Q$204,16,FALSE)))</f>
        <v>23.998372799999999</v>
      </c>
      <c r="N763" s="224">
        <v>6</v>
      </c>
      <c r="O763" s="228">
        <f>ROUND(Tableau14[[#This Row],[Prix_Unit_HT]],2)*Tableau14[[#This Row],[Qte_commande]]</f>
        <v>120</v>
      </c>
      <c r="P763" s="228">
        <f>ROUND(Tableau14[[#This Row],[Prix_Unit_TTC]],2)*Tableau14[[#This Row],[Qte_commande]]</f>
        <v>144</v>
      </c>
      <c r="Q763" s="224">
        <v>6</v>
      </c>
      <c r="R763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6.0000000000000009</v>
      </c>
      <c r="U763" s="224"/>
      <c r="V763" s="224"/>
    </row>
    <row r="764" spans="1:22" ht="14.65" customHeight="1" x14ac:dyDescent="0.2">
      <c r="A764" s="225">
        <v>43157</v>
      </c>
      <c r="B764" s="224" t="s">
        <v>231</v>
      </c>
      <c r="C764" s="224" t="s">
        <v>232</v>
      </c>
      <c r="D764" s="224" t="s">
        <v>233</v>
      </c>
      <c r="E764" s="226"/>
      <c r="G764" s="224" t="s">
        <v>1</v>
      </c>
      <c r="H764" s="224" t="s">
        <v>289</v>
      </c>
      <c r="I764" s="224" t="s">
        <v>31</v>
      </c>
      <c r="J764" s="224">
        <v>70</v>
      </c>
      <c r="K764" s="227">
        <f t="array" ref="K764">IFERROR(INDEX([1]Grille_Tarifs_Modulable!$B$2:$B$204,MATCH(Tableau14[[#This Row],[Designation]]&amp;Tableau14[[#This Row],[CL]],[1]Grille_Tarifs_Modulable!$C$2:$C$204&amp;[1]Grille_Tarifs_Modulable!$F$2:$F$204,0)),0)</f>
        <v>3257150102017</v>
      </c>
      <c r="L764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14.694322</v>
      </c>
      <c r="M764" s="228">
        <f>IF(Tableau14[[#This Row],[Prix_Unit_HT]]=0,0,Tableau14[[#This Row],[Prix_Unit_HT]]+(Tableau14[[#This Row],[Prix_Unit_HT]]*VLOOKUP(Tableau14[[#This Row],[EAN]],[1]Grille_Tarifs_Modulable!$B$10:$Q$204,16,FALSE)))</f>
        <v>17.6331864</v>
      </c>
      <c r="N764" s="224">
        <v>6</v>
      </c>
      <c r="O764" s="228">
        <f>ROUND(Tableau14[[#This Row],[Prix_Unit_HT]],2)*Tableau14[[#This Row],[Qte_commande]]</f>
        <v>88.14</v>
      </c>
      <c r="P764" s="228">
        <f>ROUND(Tableau14[[#This Row],[Prix_Unit_TTC]],2)*Tableau14[[#This Row],[Qte_commande]]</f>
        <v>105.78</v>
      </c>
      <c r="Q764" s="224">
        <v>6</v>
      </c>
      <c r="R764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6.0000000000000009</v>
      </c>
      <c r="U764" s="224"/>
      <c r="V764" s="224"/>
    </row>
    <row r="765" spans="1:22" ht="14.65" customHeight="1" x14ac:dyDescent="0.2">
      <c r="A765" s="225">
        <v>43157</v>
      </c>
      <c r="B765" s="224" t="s">
        <v>268</v>
      </c>
      <c r="C765" s="224" t="s">
        <v>269</v>
      </c>
      <c r="D765" s="224" t="s">
        <v>270</v>
      </c>
      <c r="E765" s="226"/>
      <c r="G765" s="224" t="s">
        <v>13</v>
      </c>
      <c r="H765" s="224" t="s">
        <v>289</v>
      </c>
      <c r="I765" s="224" t="s">
        <v>931</v>
      </c>
      <c r="J765" s="224">
        <v>100</v>
      </c>
      <c r="K765" s="227">
        <f t="array" ref="K765">IFERROR(INDEX([1]Grille_Tarifs_Modulable!$B$2:$B$204,MATCH(Tableau14[[#This Row],[Designation]]&amp;Tableau14[[#This Row],[CL]],[1]Grille_Tarifs_Modulable!$C$2:$C$204&amp;[1]Grille_Tarifs_Modulable!$F$2:$F$204,0)),0)</f>
        <v>0</v>
      </c>
      <c r="L765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</v>
      </c>
      <c r="M765" s="228">
        <f>IF(Tableau14[[#This Row],[Prix_Unit_HT]]=0,0,Tableau14[[#This Row],[Prix_Unit_HT]]+(Tableau14[[#This Row],[Prix_Unit_HT]]*VLOOKUP(Tableau14[[#This Row],[EAN]],[1]Grille_Tarifs_Modulable!$B$10:$Q$204,16,FALSE)))</f>
        <v>0</v>
      </c>
      <c r="N765" s="224">
        <v>6</v>
      </c>
      <c r="O765" s="228">
        <f>ROUND(Tableau14[[#This Row],[Prix_Unit_HT]],2)*Tableau14[[#This Row],[Qte_commande]]</f>
        <v>0</v>
      </c>
      <c r="P765" s="228">
        <f>ROUND(Tableau14[[#This Row],[Prix_Unit_TTC]],2)*Tableau14[[#This Row],[Qte_commande]]</f>
        <v>0</v>
      </c>
      <c r="Q765" s="224">
        <v>8.57</v>
      </c>
      <c r="R765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8.5714285714285712</v>
      </c>
      <c r="U765" s="224"/>
      <c r="V765" s="224"/>
    </row>
    <row r="766" spans="1:22" ht="14.65" customHeight="1" x14ac:dyDescent="0.2">
      <c r="A766" s="225">
        <v>43157</v>
      </c>
      <c r="B766" s="224" t="s">
        <v>231</v>
      </c>
      <c r="C766" s="224" t="s">
        <v>232</v>
      </c>
      <c r="D766" s="224" t="s">
        <v>233</v>
      </c>
      <c r="E766" s="226"/>
      <c r="G766" s="224" t="s">
        <v>1</v>
      </c>
      <c r="H766" s="224" t="s">
        <v>196</v>
      </c>
      <c r="I766" s="224" t="s">
        <v>64</v>
      </c>
      <c r="J766" s="224">
        <v>20</v>
      </c>
      <c r="K766" s="227">
        <f t="array" ref="K766">IFERROR(INDEX([1]Grille_Tarifs_Modulable!$B$2:$B$204,MATCH(Tableau14[[#This Row],[Designation]]&amp;Tableau14[[#This Row],[CL]],[1]Grille_Tarifs_Modulable!$C$2:$C$204&amp;[1]Grille_Tarifs_Modulable!$F$2:$F$204,0)),0)</f>
        <v>4260310553849</v>
      </c>
      <c r="L766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0.81</v>
      </c>
      <c r="M766" s="228">
        <f>IF(Tableau14[[#This Row],[Prix_Unit_HT]]=0,0,Tableau14[[#This Row],[Prix_Unit_HT]]+(Tableau14[[#This Row],[Prix_Unit_HT]]*VLOOKUP(Tableau14[[#This Row],[EAN]],[1]Grille_Tarifs_Modulable!$B$10:$Q$204,16,FALSE)))</f>
        <v>0.85455000000000003</v>
      </c>
      <c r="N766" s="224">
        <v>48</v>
      </c>
      <c r="O766" s="228">
        <f>ROUND(Tableau14[[#This Row],[Prix_Unit_HT]],2)*Tableau14[[#This Row],[Qte_commande]]</f>
        <v>38.880000000000003</v>
      </c>
      <c r="P766" s="228">
        <f>ROUND(Tableau14[[#This Row],[Prix_Unit_TTC]],2)*Tableau14[[#This Row],[Qte_commande]]</f>
        <v>40.799999999999997</v>
      </c>
      <c r="Q766" s="224">
        <v>13.71</v>
      </c>
      <c r="R766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13.714285714285715</v>
      </c>
      <c r="U766" s="224"/>
      <c r="V766" s="224"/>
    </row>
    <row r="767" spans="1:22" ht="14.65" customHeight="1" x14ac:dyDescent="0.2">
      <c r="A767" s="225">
        <v>43157</v>
      </c>
      <c r="B767" s="224" t="s">
        <v>231</v>
      </c>
      <c r="C767" s="224" t="s">
        <v>232</v>
      </c>
      <c r="D767" s="224" t="s">
        <v>233</v>
      </c>
      <c r="E767" s="226"/>
      <c r="G767" s="224" t="s">
        <v>1</v>
      </c>
      <c r="H767" s="224" t="s">
        <v>196</v>
      </c>
      <c r="I767" s="224" t="s">
        <v>59</v>
      </c>
      <c r="J767" s="224">
        <v>20</v>
      </c>
      <c r="K767" s="227">
        <f t="array" ref="K767">IFERROR(INDEX([1]Grille_Tarifs_Modulable!$B$2:$B$204,MATCH(Tableau14[[#This Row],[Designation]]&amp;Tableau14[[#This Row],[CL]],[1]Grille_Tarifs_Modulable!$C$2:$C$204&amp;[1]Grille_Tarifs_Modulable!$F$2:$F$204,0)),0)</f>
        <v>4260310553818</v>
      </c>
      <c r="L767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0.81</v>
      </c>
      <c r="M767" s="228">
        <f>IF(Tableau14[[#This Row],[Prix_Unit_HT]]=0,0,Tableau14[[#This Row],[Prix_Unit_HT]]+(Tableau14[[#This Row],[Prix_Unit_HT]]*VLOOKUP(Tableau14[[#This Row],[EAN]],[1]Grille_Tarifs_Modulable!$B$10:$Q$204,16,FALSE)))</f>
        <v>0.85455000000000003</v>
      </c>
      <c r="N767" s="224">
        <v>48</v>
      </c>
      <c r="O767" s="228">
        <f>ROUND(Tableau14[[#This Row],[Prix_Unit_HT]],2)*Tableau14[[#This Row],[Qte_commande]]</f>
        <v>38.880000000000003</v>
      </c>
      <c r="P767" s="228">
        <f>ROUND(Tableau14[[#This Row],[Prix_Unit_TTC]],2)*Tableau14[[#This Row],[Qte_commande]]</f>
        <v>40.799999999999997</v>
      </c>
      <c r="Q767" s="224">
        <v>13.71</v>
      </c>
      <c r="R767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13.714285714285715</v>
      </c>
      <c r="U767" s="224"/>
      <c r="V767" s="224"/>
    </row>
    <row r="768" spans="1:22" ht="14.65" customHeight="1" x14ac:dyDescent="0.2">
      <c r="A768" s="225">
        <v>43159</v>
      </c>
      <c r="B768" s="224" t="s">
        <v>661</v>
      </c>
      <c r="C768" s="224" t="s">
        <v>542</v>
      </c>
      <c r="D768" s="224" t="s">
        <v>209</v>
      </c>
      <c r="E768" s="226"/>
      <c r="G768" s="224" t="s">
        <v>1</v>
      </c>
      <c r="H768" s="224" t="s">
        <v>289</v>
      </c>
      <c r="I768" s="224" t="s">
        <v>15</v>
      </c>
      <c r="J768" s="224">
        <v>175</v>
      </c>
      <c r="K768" s="227">
        <f t="array" ref="K768">IFERROR(INDEX([1]Grille_Tarifs_Modulable!$B$2:$B$204,MATCH(Tableau14[[#This Row],[Designation]]&amp;Tableau14[[#This Row],[CL]],[1]Grille_Tarifs_Modulable!$C$2:$C$204&amp;[1]Grille_Tarifs_Modulable!$F$2:$F$204,0)),0)</f>
        <v>4067700013835</v>
      </c>
      <c r="L768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28.916408750000002</v>
      </c>
      <c r="M768" s="228">
        <f>IF(Tableau14[[#This Row],[Prix_Unit_HT]]=0,0,Tableau14[[#This Row],[Prix_Unit_HT]]+(Tableau14[[#This Row],[Prix_Unit_HT]]*VLOOKUP(Tableau14[[#This Row],[EAN]],[1]Grille_Tarifs_Modulable!$B$10:$Q$204,16,FALSE)))</f>
        <v>34.699690500000003</v>
      </c>
      <c r="N768" s="224">
        <v>12</v>
      </c>
      <c r="O768" s="228">
        <f>ROUND(Tableau14[[#This Row],[Prix_Unit_HT]],2)*Tableau14[[#This Row],[Qte_commande]]</f>
        <v>347.04</v>
      </c>
      <c r="P768" s="228">
        <f>ROUND(Tableau14[[#This Row],[Prix_Unit_TTC]],2)*Tableau14[[#This Row],[Qte_commande]]</f>
        <v>416.40000000000003</v>
      </c>
      <c r="Q768" s="224">
        <v>30</v>
      </c>
      <c r="R768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30.000000000000004</v>
      </c>
      <c r="U768" s="224"/>
      <c r="V768" s="224"/>
    </row>
    <row r="769" spans="1:22" ht="14.65" customHeight="1" x14ac:dyDescent="0.2">
      <c r="A769" s="225">
        <v>43159</v>
      </c>
      <c r="B769" s="224" t="s">
        <v>661</v>
      </c>
      <c r="C769" s="224" t="s">
        <v>542</v>
      </c>
      <c r="D769" s="224" t="s">
        <v>209</v>
      </c>
      <c r="E769" s="226"/>
      <c r="G769" s="224" t="s">
        <v>1</v>
      </c>
      <c r="H769" s="224" t="s">
        <v>289</v>
      </c>
      <c r="I769" s="224" t="s">
        <v>30</v>
      </c>
      <c r="J769" s="224">
        <v>70</v>
      </c>
      <c r="K769" s="227">
        <f t="array" ref="K769">IFERROR(INDEX([1]Grille_Tarifs_Modulable!$B$2:$B$204,MATCH(Tableau14[[#This Row],[Designation]]&amp;Tableau14[[#This Row],[CL]],[1]Grille_Tarifs_Modulable!$C$2:$C$204&amp;[1]Grille_Tarifs_Modulable!$F$2:$F$204,0)),0)</f>
        <v>3257150101904</v>
      </c>
      <c r="L769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16.346482999999999</v>
      </c>
      <c r="M769" s="228">
        <f>IF(Tableau14[[#This Row],[Prix_Unit_HT]]=0,0,Tableau14[[#This Row],[Prix_Unit_HT]]+(Tableau14[[#This Row],[Prix_Unit_HT]]*VLOOKUP(Tableau14[[#This Row],[EAN]],[1]Grille_Tarifs_Modulable!$B$10:$Q$204,16,FALSE)))</f>
        <v>19.6157796</v>
      </c>
      <c r="N769" s="224">
        <v>6</v>
      </c>
      <c r="O769" s="228">
        <f>ROUND(Tableau14[[#This Row],[Prix_Unit_HT]],2)*Tableau14[[#This Row],[Qte_commande]]</f>
        <v>98.100000000000009</v>
      </c>
      <c r="P769" s="228">
        <f>ROUND(Tableau14[[#This Row],[Prix_Unit_TTC]],2)*Tableau14[[#This Row],[Qte_commande]]</f>
        <v>117.72</v>
      </c>
      <c r="Q769" s="224">
        <v>6</v>
      </c>
      <c r="R769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6.0000000000000009</v>
      </c>
      <c r="U769" s="224"/>
      <c r="V769" s="224"/>
    </row>
    <row r="770" spans="1:22" ht="14.65" customHeight="1" x14ac:dyDescent="0.2">
      <c r="A770" s="225">
        <v>43159</v>
      </c>
      <c r="B770" s="224" t="s">
        <v>661</v>
      </c>
      <c r="C770" s="224" t="s">
        <v>542</v>
      </c>
      <c r="D770" s="224" t="s">
        <v>209</v>
      </c>
      <c r="E770" s="226"/>
      <c r="G770" s="224" t="s">
        <v>1</v>
      </c>
      <c r="H770" s="224" t="s">
        <v>289</v>
      </c>
      <c r="I770" s="224" t="s">
        <v>32</v>
      </c>
      <c r="J770" s="224">
        <v>70</v>
      </c>
      <c r="K770" s="227">
        <f t="array" ref="K770">IFERROR(INDEX([1]Grille_Tarifs_Modulable!$B$2:$B$204,MATCH(Tableau14[[#This Row],[Designation]]&amp;Tableau14[[#This Row],[CL]],[1]Grille_Tarifs_Modulable!$C$2:$C$204&amp;[1]Grille_Tarifs_Modulable!$F$2:$F$204,0)),0)</f>
        <v>3257150100228</v>
      </c>
      <c r="L770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19.998643999999999</v>
      </c>
      <c r="M770" s="228">
        <f>IF(Tableau14[[#This Row],[Prix_Unit_HT]]=0,0,Tableau14[[#This Row],[Prix_Unit_HT]]+(Tableau14[[#This Row],[Prix_Unit_HT]]*VLOOKUP(Tableau14[[#This Row],[EAN]],[1]Grille_Tarifs_Modulable!$B$10:$Q$204,16,FALSE)))</f>
        <v>23.998372799999999</v>
      </c>
      <c r="N770" s="224">
        <v>6</v>
      </c>
      <c r="O770" s="228">
        <f>ROUND(Tableau14[[#This Row],[Prix_Unit_HT]],2)*Tableau14[[#This Row],[Qte_commande]]</f>
        <v>120</v>
      </c>
      <c r="P770" s="228">
        <f>ROUND(Tableau14[[#This Row],[Prix_Unit_TTC]],2)*Tableau14[[#This Row],[Qte_commande]]</f>
        <v>144</v>
      </c>
      <c r="Q770" s="224">
        <v>6</v>
      </c>
      <c r="R770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6.0000000000000009</v>
      </c>
      <c r="U770" s="224"/>
      <c r="V770" s="224"/>
    </row>
    <row r="771" spans="1:22" ht="14.65" customHeight="1" x14ac:dyDescent="0.2">
      <c r="A771" s="225">
        <v>43159</v>
      </c>
      <c r="B771" s="224" t="s">
        <v>661</v>
      </c>
      <c r="C771" s="224" t="s">
        <v>542</v>
      </c>
      <c r="D771" s="224" t="s">
        <v>209</v>
      </c>
      <c r="E771" s="226"/>
      <c r="G771" s="224" t="s">
        <v>1</v>
      </c>
      <c r="H771" s="224" t="s">
        <v>289</v>
      </c>
      <c r="I771" s="224" t="s">
        <v>31</v>
      </c>
      <c r="J771" s="224">
        <v>70</v>
      </c>
      <c r="K771" s="227">
        <f t="array" ref="K771">IFERROR(INDEX([1]Grille_Tarifs_Modulable!$B$2:$B$204,MATCH(Tableau14[[#This Row],[Designation]]&amp;Tableau14[[#This Row],[CL]],[1]Grille_Tarifs_Modulable!$C$2:$C$204&amp;[1]Grille_Tarifs_Modulable!$F$2:$F$204,0)),0)</f>
        <v>3257150102017</v>
      </c>
      <c r="L771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14.694322</v>
      </c>
      <c r="M771" s="228">
        <f>IF(Tableau14[[#This Row],[Prix_Unit_HT]]=0,0,Tableau14[[#This Row],[Prix_Unit_HT]]+(Tableau14[[#This Row],[Prix_Unit_HT]]*VLOOKUP(Tableau14[[#This Row],[EAN]],[1]Grille_Tarifs_Modulable!$B$10:$Q$204,16,FALSE)))</f>
        <v>17.6331864</v>
      </c>
      <c r="N771" s="224">
        <v>6</v>
      </c>
      <c r="O771" s="228">
        <f>ROUND(Tableau14[[#This Row],[Prix_Unit_HT]],2)*Tableau14[[#This Row],[Qte_commande]]</f>
        <v>88.14</v>
      </c>
      <c r="P771" s="228">
        <f>ROUND(Tableau14[[#This Row],[Prix_Unit_TTC]],2)*Tableau14[[#This Row],[Qte_commande]]</f>
        <v>105.78</v>
      </c>
      <c r="Q771" s="224">
        <v>6</v>
      </c>
      <c r="R771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6.0000000000000009</v>
      </c>
      <c r="U771" s="224"/>
      <c r="V771" s="224"/>
    </row>
    <row r="772" spans="1:22" ht="14.65" customHeight="1" x14ac:dyDescent="0.2">
      <c r="A772" s="225">
        <v>43159</v>
      </c>
      <c r="B772" s="224" t="s">
        <v>661</v>
      </c>
      <c r="C772" s="224" t="s">
        <v>542</v>
      </c>
      <c r="D772" s="224" t="s">
        <v>209</v>
      </c>
      <c r="E772" s="226"/>
      <c r="G772" s="224" t="s">
        <v>13</v>
      </c>
      <c r="H772" s="224" t="s">
        <v>289</v>
      </c>
      <c r="I772" s="224" t="s">
        <v>931</v>
      </c>
      <c r="J772" s="224">
        <v>100</v>
      </c>
      <c r="K772" s="227">
        <f t="array" ref="K772">IFERROR(INDEX([1]Grille_Tarifs_Modulable!$B$2:$B$204,MATCH(Tableau14[[#This Row],[Designation]]&amp;Tableau14[[#This Row],[CL]],[1]Grille_Tarifs_Modulable!$C$2:$C$204&amp;[1]Grille_Tarifs_Modulable!$F$2:$F$204,0)),0)</f>
        <v>0</v>
      </c>
      <c r="L772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</v>
      </c>
      <c r="M772" s="228">
        <f>IF(Tableau14[[#This Row],[Prix_Unit_HT]]=0,0,Tableau14[[#This Row],[Prix_Unit_HT]]+(Tableau14[[#This Row],[Prix_Unit_HT]]*VLOOKUP(Tableau14[[#This Row],[EAN]],[1]Grille_Tarifs_Modulable!$B$10:$Q$204,16,FALSE)))</f>
        <v>0</v>
      </c>
      <c r="N772" s="224">
        <v>36</v>
      </c>
      <c r="O772" s="228">
        <f>ROUND(Tableau14[[#This Row],[Prix_Unit_HT]],2)*Tableau14[[#This Row],[Qte_commande]]</f>
        <v>0</v>
      </c>
      <c r="P772" s="228">
        <f>ROUND(Tableau14[[#This Row],[Prix_Unit_TTC]],2)*Tableau14[[#This Row],[Qte_commande]]</f>
        <v>0</v>
      </c>
      <c r="Q772" s="224">
        <v>51.43</v>
      </c>
      <c r="R772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51.428571428571431</v>
      </c>
      <c r="U772" s="224"/>
      <c r="V772" s="224"/>
    </row>
    <row r="773" spans="1:22" ht="14.65" customHeight="1" x14ac:dyDescent="0.2">
      <c r="A773" s="225">
        <v>43160</v>
      </c>
      <c r="B773" s="224" t="s">
        <v>662</v>
      </c>
      <c r="C773" s="224" t="s">
        <v>530</v>
      </c>
      <c r="D773" s="224" t="s">
        <v>531</v>
      </c>
      <c r="E773" s="226"/>
      <c r="G773" s="224" t="s">
        <v>1</v>
      </c>
      <c r="H773" s="224" t="s">
        <v>289</v>
      </c>
      <c r="I773" s="224" t="s">
        <v>15</v>
      </c>
      <c r="J773" s="224">
        <v>70</v>
      </c>
      <c r="K773" s="227">
        <f t="array" ref="K773">IFERROR(INDEX([1]Grille_Tarifs_Modulable!$B$2:$B$204,MATCH(Tableau14[[#This Row],[Designation]]&amp;Tableau14[[#This Row],[CL]],[1]Grille_Tarifs_Modulable!$C$2:$C$204&amp;[1]Grille_Tarifs_Modulable!$F$2:$F$204,0)),0)</f>
        <v>4067700013859</v>
      </c>
      <c r="L773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12.532563499999998</v>
      </c>
      <c r="M773" s="228">
        <f>IF(Tableau14[[#This Row],[Prix_Unit_HT]]=0,0,Tableau14[[#This Row],[Prix_Unit_HT]]+(Tableau14[[#This Row],[Prix_Unit_HT]]*VLOOKUP(Tableau14[[#This Row],[EAN]],[1]Grille_Tarifs_Modulable!$B$10:$Q$204,16,FALSE)))</f>
        <v>15.039076199999998</v>
      </c>
      <c r="N773" s="224">
        <v>150</v>
      </c>
      <c r="O773" s="228">
        <f>ROUND(Tableau14[[#This Row],[Prix_Unit_HT]],2)*Tableau14[[#This Row],[Qte_commande]]</f>
        <v>1879.5</v>
      </c>
      <c r="P773" s="228">
        <f>ROUND(Tableau14[[#This Row],[Prix_Unit_TTC]],2)*Tableau14[[#This Row],[Qte_commande]]</f>
        <v>2256</v>
      </c>
      <c r="Q773" s="224">
        <v>150</v>
      </c>
      <c r="R773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150</v>
      </c>
      <c r="U773" s="224"/>
      <c r="V773" s="224"/>
    </row>
    <row r="774" spans="1:22" ht="14.65" customHeight="1" x14ac:dyDescent="0.2">
      <c r="A774" s="225">
        <v>43166</v>
      </c>
      <c r="B774" s="224" t="s">
        <v>663</v>
      </c>
      <c r="C774" s="224" t="s">
        <v>664</v>
      </c>
      <c r="D774" s="224" t="s">
        <v>209</v>
      </c>
      <c r="E774" s="226"/>
      <c r="G774" s="224" t="s">
        <v>13</v>
      </c>
      <c r="H774" s="224" t="s">
        <v>289</v>
      </c>
      <c r="I774" s="224" t="s">
        <v>15</v>
      </c>
      <c r="J774" s="224">
        <v>175</v>
      </c>
      <c r="K774" s="227">
        <f t="array" ref="K774">IFERROR(INDEX([1]Grille_Tarifs_Modulable!$B$2:$B$204,MATCH(Tableau14[[#This Row],[Designation]]&amp;Tableau14[[#This Row],[CL]],[1]Grille_Tarifs_Modulable!$C$2:$C$204&amp;[1]Grille_Tarifs_Modulable!$F$2:$F$204,0)),0)</f>
        <v>4067700013835</v>
      </c>
      <c r="L774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32.266408749999997</v>
      </c>
      <c r="M774" s="228">
        <f>IF(Tableau14[[#This Row],[Prix_Unit_HT]]=0,0,Tableau14[[#This Row],[Prix_Unit_HT]]+(Tableau14[[#This Row],[Prix_Unit_HT]]*VLOOKUP(Tableau14[[#This Row],[EAN]],[1]Grille_Tarifs_Modulable!$B$10:$Q$204,16,FALSE)))</f>
        <v>38.719690499999999</v>
      </c>
      <c r="N774" s="224">
        <v>60</v>
      </c>
      <c r="O774" s="228">
        <f>ROUND(Tableau14[[#This Row],[Prix_Unit_HT]],2)*Tableau14[[#This Row],[Qte_commande]]</f>
        <v>1936.2000000000003</v>
      </c>
      <c r="P774" s="228">
        <f>ROUND(Tableau14[[#This Row],[Prix_Unit_TTC]],2)*Tableau14[[#This Row],[Qte_commande]]</f>
        <v>2323.1999999999998</v>
      </c>
      <c r="Q774" s="224">
        <v>150</v>
      </c>
      <c r="R774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150</v>
      </c>
      <c r="U774" s="224"/>
      <c r="V774" s="224"/>
    </row>
    <row r="775" spans="1:22" ht="14.65" customHeight="1" x14ac:dyDescent="0.2">
      <c r="A775" s="225">
        <v>43166</v>
      </c>
      <c r="B775" s="224" t="s">
        <v>663</v>
      </c>
      <c r="C775" s="224" t="s">
        <v>664</v>
      </c>
      <c r="D775" s="224" t="s">
        <v>209</v>
      </c>
      <c r="E775" s="226"/>
      <c r="G775" s="224" t="s">
        <v>1</v>
      </c>
      <c r="H775" s="224" t="s">
        <v>289</v>
      </c>
      <c r="I775" s="224" t="s">
        <v>30</v>
      </c>
      <c r="J775" s="224">
        <v>70</v>
      </c>
      <c r="K775" s="227">
        <f t="array" ref="K775">IFERROR(INDEX([1]Grille_Tarifs_Modulable!$B$2:$B$204,MATCH(Tableau14[[#This Row],[Designation]]&amp;Tableau14[[#This Row],[CL]],[1]Grille_Tarifs_Modulable!$C$2:$C$204&amp;[1]Grille_Tarifs_Modulable!$F$2:$F$204,0)),0)</f>
        <v>3257150101904</v>
      </c>
      <c r="L775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16.346482999999999</v>
      </c>
      <c r="M775" s="228">
        <f>IF(Tableau14[[#This Row],[Prix_Unit_HT]]=0,0,Tableau14[[#This Row],[Prix_Unit_HT]]+(Tableau14[[#This Row],[Prix_Unit_HT]]*VLOOKUP(Tableau14[[#This Row],[EAN]],[1]Grille_Tarifs_Modulable!$B$10:$Q$204,16,FALSE)))</f>
        <v>19.6157796</v>
      </c>
      <c r="N775" s="224">
        <v>6</v>
      </c>
      <c r="O775" s="228">
        <f>ROUND(Tableau14[[#This Row],[Prix_Unit_HT]],2)*Tableau14[[#This Row],[Qte_commande]]</f>
        <v>98.100000000000009</v>
      </c>
      <c r="P775" s="228">
        <f>ROUND(Tableau14[[#This Row],[Prix_Unit_TTC]],2)*Tableau14[[#This Row],[Qte_commande]]</f>
        <v>117.72</v>
      </c>
      <c r="Q775" s="224">
        <v>6</v>
      </c>
      <c r="R775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6.0000000000000009</v>
      </c>
      <c r="U775" s="224"/>
      <c r="V775" s="224"/>
    </row>
    <row r="776" spans="1:22" ht="14.65" customHeight="1" x14ac:dyDescent="0.2">
      <c r="A776" s="225">
        <v>43166</v>
      </c>
      <c r="B776" s="224" t="s">
        <v>663</v>
      </c>
      <c r="C776" s="224" t="s">
        <v>664</v>
      </c>
      <c r="D776" s="224" t="s">
        <v>209</v>
      </c>
      <c r="E776" s="226"/>
      <c r="G776" s="224" t="s">
        <v>1</v>
      </c>
      <c r="H776" s="224" t="s">
        <v>289</v>
      </c>
      <c r="I776" s="224" t="s">
        <v>31</v>
      </c>
      <c r="J776" s="224">
        <v>70</v>
      </c>
      <c r="K776" s="227">
        <f t="array" ref="K776">IFERROR(INDEX([1]Grille_Tarifs_Modulable!$B$2:$B$204,MATCH(Tableau14[[#This Row],[Designation]]&amp;Tableau14[[#This Row],[CL]],[1]Grille_Tarifs_Modulable!$C$2:$C$204&amp;[1]Grille_Tarifs_Modulable!$F$2:$F$204,0)),0)</f>
        <v>3257150102017</v>
      </c>
      <c r="L776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14.694322</v>
      </c>
      <c r="M776" s="228">
        <f>IF(Tableau14[[#This Row],[Prix_Unit_HT]]=0,0,Tableau14[[#This Row],[Prix_Unit_HT]]+(Tableau14[[#This Row],[Prix_Unit_HT]]*VLOOKUP(Tableau14[[#This Row],[EAN]],[1]Grille_Tarifs_Modulable!$B$10:$Q$204,16,FALSE)))</f>
        <v>17.6331864</v>
      </c>
      <c r="N776" s="224">
        <v>6</v>
      </c>
      <c r="O776" s="228">
        <f>ROUND(Tableau14[[#This Row],[Prix_Unit_HT]],2)*Tableau14[[#This Row],[Qte_commande]]</f>
        <v>88.14</v>
      </c>
      <c r="P776" s="228">
        <f>ROUND(Tableau14[[#This Row],[Prix_Unit_TTC]],2)*Tableau14[[#This Row],[Qte_commande]]</f>
        <v>105.78</v>
      </c>
      <c r="Q776" s="224">
        <v>6</v>
      </c>
      <c r="R776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6.0000000000000009</v>
      </c>
      <c r="U776" s="224"/>
      <c r="V776" s="224"/>
    </row>
    <row r="777" spans="1:22" ht="14.65" customHeight="1" x14ac:dyDescent="0.2">
      <c r="A777" s="225">
        <v>43166</v>
      </c>
      <c r="B777" s="224" t="s">
        <v>663</v>
      </c>
      <c r="C777" s="224" t="s">
        <v>664</v>
      </c>
      <c r="D777" s="224" t="s">
        <v>209</v>
      </c>
      <c r="E777" s="226"/>
      <c r="G777" s="224" t="s">
        <v>1</v>
      </c>
      <c r="H777" s="224" t="s">
        <v>289</v>
      </c>
      <c r="I777" s="224" t="s">
        <v>17</v>
      </c>
      <c r="J777" s="224">
        <v>100</v>
      </c>
      <c r="K777" s="227">
        <f t="array" ref="K777">IFERROR(INDEX([1]Grille_Tarifs_Modulable!$B$2:$B$204,MATCH(Tableau14[[#This Row],[Designation]]&amp;Tableau14[[#This Row],[CL]],[1]Grille_Tarifs_Modulable!$C$2:$C$204&amp;[1]Grille_Tarifs_Modulable!$F$2:$F$204,0)),0)</f>
        <v>8002095200039</v>
      </c>
      <c r="L777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20.79092</v>
      </c>
      <c r="M777" s="228">
        <f>IF(Tableau14[[#This Row],[Prix_Unit_HT]]=0,0,Tableau14[[#This Row],[Prix_Unit_HT]]+(Tableau14[[#This Row],[Prix_Unit_HT]]*VLOOKUP(Tableau14[[#This Row],[EAN]],[1]Grille_Tarifs_Modulable!$B$10:$Q$204,16,FALSE)))</f>
        <v>24.949103999999998</v>
      </c>
      <c r="N777" s="224">
        <v>6</v>
      </c>
      <c r="O777" s="228">
        <f>ROUND(Tableau14[[#This Row],[Prix_Unit_HT]],2)*Tableau14[[#This Row],[Qte_commande]]</f>
        <v>124.74</v>
      </c>
      <c r="P777" s="228">
        <f>ROUND(Tableau14[[#This Row],[Prix_Unit_TTC]],2)*Tableau14[[#This Row],[Qte_commande]]</f>
        <v>149.69999999999999</v>
      </c>
      <c r="Q777" s="224">
        <v>8.57</v>
      </c>
      <c r="R777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8.5714285714285712</v>
      </c>
      <c r="U777" s="224"/>
      <c r="V777" s="224"/>
    </row>
    <row r="778" spans="1:22" ht="14.65" customHeight="1" x14ac:dyDescent="0.2">
      <c r="A778" s="225">
        <v>43171</v>
      </c>
      <c r="B778" s="224" t="s">
        <v>844</v>
      </c>
      <c r="C778" s="224" t="s">
        <v>845</v>
      </c>
      <c r="D778" s="224" t="s">
        <v>233</v>
      </c>
      <c r="E778" s="226"/>
      <c r="G778" s="224" t="s">
        <v>13</v>
      </c>
      <c r="H778" s="224" t="s">
        <v>289</v>
      </c>
      <c r="I778" s="224" t="s">
        <v>30</v>
      </c>
      <c r="J778" s="224">
        <v>70</v>
      </c>
      <c r="K778" s="227">
        <f t="array" ref="K778">IFERROR(INDEX([1]Grille_Tarifs_Modulable!$B$2:$B$204,MATCH(Tableau14[[#This Row],[Designation]]&amp;Tableau14[[#This Row],[CL]],[1]Grille_Tarifs_Modulable!$C$2:$C$204&amp;[1]Grille_Tarifs_Modulable!$F$2:$F$204,0)),0)</f>
        <v>3257150101904</v>
      </c>
      <c r="L778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18.506483000000003</v>
      </c>
      <c r="M778" s="228">
        <f>IF(Tableau14[[#This Row],[Prix_Unit_HT]]=0,0,Tableau14[[#This Row],[Prix_Unit_HT]]+(Tableau14[[#This Row],[Prix_Unit_HT]]*VLOOKUP(Tableau14[[#This Row],[EAN]],[1]Grille_Tarifs_Modulable!$B$10:$Q$204,16,FALSE)))</f>
        <v>22.207779600000002</v>
      </c>
      <c r="N778" s="224">
        <v>6</v>
      </c>
      <c r="O778" s="228">
        <f>ROUND(Tableau14[[#This Row],[Prix_Unit_HT]],2)*Tableau14[[#This Row],[Qte_commande]]</f>
        <v>111.06</v>
      </c>
      <c r="P778" s="228">
        <f>ROUND(Tableau14[[#This Row],[Prix_Unit_TTC]],2)*Tableau14[[#This Row],[Qte_commande]]</f>
        <v>133.26</v>
      </c>
      <c r="Q778" s="224">
        <v>6</v>
      </c>
      <c r="R778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6.0000000000000009</v>
      </c>
      <c r="U778" s="224"/>
      <c r="V778" s="224"/>
    </row>
    <row r="779" spans="1:22" ht="14.65" customHeight="1" x14ac:dyDescent="0.2">
      <c r="A779" s="225">
        <v>43171</v>
      </c>
      <c r="B779" s="224" t="s">
        <v>844</v>
      </c>
      <c r="C779" s="224" t="s">
        <v>845</v>
      </c>
      <c r="D779" s="224" t="s">
        <v>233</v>
      </c>
      <c r="E779" s="226"/>
      <c r="G779" s="224" t="s">
        <v>13</v>
      </c>
      <c r="H779" s="224" t="s">
        <v>289</v>
      </c>
      <c r="I779" s="224" t="s">
        <v>31</v>
      </c>
      <c r="J779" s="224">
        <v>70</v>
      </c>
      <c r="K779" s="227">
        <f t="array" ref="K779">IFERROR(INDEX([1]Grille_Tarifs_Modulable!$B$2:$B$204,MATCH(Tableau14[[#This Row],[Designation]]&amp;Tableau14[[#This Row],[CL]],[1]Grille_Tarifs_Modulable!$C$2:$C$204&amp;[1]Grille_Tarifs_Modulable!$F$2:$F$204,0)),0)</f>
        <v>3257150102017</v>
      </c>
      <c r="L779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16.854322</v>
      </c>
      <c r="M779" s="228">
        <f>IF(Tableau14[[#This Row],[Prix_Unit_HT]]=0,0,Tableau14[[#This Row],[Prix_Unit_HT]]+(Tableau14[[#This Row],[Prix_Unit_HT]]*VLOOKUP(Tableau14[[#This Row],[EAN]],[1]Grille_Tarifs_Modulable!$B$10:$Q$204,16,FALSE)))</f>
        <v>20.225186399999998</v>
      </c>
      <c r="N779" s="224">
        <v>6</v>
      </c>
      <c r="O779" s="228">
        <f>ROUND(Tableau14[[#This Row],[Prix_Unit_HT]],2)*Tableau14[[#This Row],[Qte_commande]]</f>
        <v>101.10000000000001</v>
      </c>
      <c r="P779" s="228">
        <f>ROUND(Tableau14[[#This Row],[Prix_Unit_TTC]],2)*Tableau14[[#This Row],[Qte_commande]]</f>
        <v>121.38</v>
      </c>
      <c r="Q779" s="224">
        <v>6</v>
      </c>
      <c r="R779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6.0000000000000009</v>
      </c>
      <c r="U779" s="224"/>
      <c r="V779" s="224"/>
    </row>
    <row r="780" spans="1:22" ht="14.65" customHeight="1" x14ac:dyDescent="0.2">
      <c r="A780" s="225">
        <v>43178</v>
      </c>
      <c r="B780" s="224" t="s">
        <v>665</v>
      </c>
      <c r="C780" s="224" t="s">
        <v>161</v>
      </c>
      <c r="D780" s="224" t="s">
        <v>666</v>
      </c>
      <c r="E780" s="226"/>
      <c r="G780" s="224" t="s">
        <v>1</v>
      </c>
      <c r="H780" s="224" t="s">
        <v>289</v>
      </c>
      <c r="I780" s="224" t="s">
        <v>15</v>
      </c>
      <c r="J780" s="224">
        <v>175</v>
      </c>
      <c r="K780" s="227">
        <f t="array" ref="K780">IFERROR(INDEX([1]Grille_Tarifs_Modulable!$B$2:$B$204,MATCH(Tableau14[[#This Row],[Designation]]&amp;Tableau14[[#This Row],[CL]],[1]Grille_Tarifs_Modulable!$C$2:$C$204&amp;[1]Grille_Tarifs_Modulable!$F$2:$F$204,0)),0)</f>
        <v>4067700013835</v>
      </c>
      <c r="L780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28.916408750000002</v>
      </c>
      <c r="M780" s="228">
        <f>IF(Tableau14[[#This Row],[Prix_Unit_HT]]=0,0,Tableau14[[#This Row],[Prix_Unit_HT]]+(Tableau14[[#This Row],[Prix_Unit_HT]]*VLOOKUP(Tableau14[[#This Row],[EAN]],[1]Grille_Tarifs_Modulable!$B$10:$Q$204,16,FALSE)))</f>
        <v>34.699690500000003</v>
      </c>
      <c r="N780" s="224">
        <v>30</v>
      </c>
      <c r="O780" s="228">
        <f>ROUND(Tableau14[[#This Row],[Prix_Unit_HT]],2)*Tableau14[[#This Row],[Qte_commande]]</f>
        <v>867.6</v>
      </c>
      <c r="P780" s="228">
        <f>ROUND(Tableau14[[#This Row],[Prix_Unit_TTC]],2)*Tableau14[[#This Row],[Qte_commande]]</f>
        <v>1041</v>
      </c>
      <c r="Q780" s="224">
        <v>75</v>
      </c>
      <c r="R780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75</v>
      </c>
      <c r="U780" s="224"/>
      <c r="V780" s="224"/>
    </row>
    <row r="781" spans="1:22" ht="14.65" customHeight="1" x14ac:dyDescent="0.2">
      <c r="A781" s="225">
        <v>43178</v>
      </c>
      <c r="B781" s="224" t="s">
        <v>667</v>
      </c>
      <c r="C781" s="224" t="s">
        <v>265</v>
      </c>
      <c r="D781" s="224" t="s">
        <v>266</v>
      </c>
      <c r="E781" s="226"/>
      <c r="G781" s="224" t="s">
        <v>1</v>
      </c>
      <c r="H781" s="224" t="s">
        <v>289</v>
      </c>
      <c r="I781" s="224" t="s">
        <v>15</v>
      </c>
      <c r="J781" s="224">
        <v>70</v>
      </c>
      <c r="K781" s="227">
        <f t="array" ref="K781">IFERROR(INDEX([1]Grille_Tarifs_Modulable!$B$2:$B$204,MATCH(Tableau14[[#This Row],[Designation]]&amp;Tableau14[[#This Row],[CL]],[1]Grille_Tarifs_Modulable!$C$2:$C$204&amp;[1]Grille_Tarifs_Modulable!$F$2:$F$204,0)),0)</f>
        <v>4067700013859</v>
      </c>
      <c r="L781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12.532563499999998</v>
      </c>
      <c r="M781" s="228">
        <f>IF(Tableau14[[#This Row],[Prix_Unit_HT]]=0,0,Tableau14[[#This Row],[Prix_Unit_HT]]+(Tableau14[[#This Row],[Prix_Unit_HT]]*VLOOKUP(Tableau14[[#This Row],[EAN]],[1]Grille_Tarifs_Modulable!$B$10:$Q$204,16,FALSE)))</f>
        <v>15.039076199999998</v>
      </c>
      <c r="N781" s="224">
        <v>240</v>
      </c>
      <c r="O781" s="228">
        <f>ROUND(Tableau14[[#This Row],[Prix_Unit_HT]],2)*Tableau14[[#This Row],[Qte_commande]]</f>
        <v>3007.2</v>
      </c>
      <c r="P781" s="228">
        <f>ROUND(Tableau14[[#This Row],[Prix_Unit_TTC]],2)*Tableau14[[#This Row],[Qte_commande]]</f>
        <v>3609.6</v>
      </c>
      <c r="Q781" s="224">
        <v>240</v>
      </c>
      <c r="R781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240.00000000000003</v>
      </c>
      <c r="U781" s="224"/>
      <c r="V781" s="224"/>
    </row>
    <row r="782" spans="1:22" ht="14.65" customHeight="1" x14ac:dyDescent="0.2">
      <c r="A782" s="225">
        <v>43178</v>
      </c>
      <c r="B782" s="224" t="s">
        <v>667</v>
      </c>
      <c r="C782" s="224" t="s">
        <v>265</v>
      </c>
      <c r="D782" s="224" t="s">
        <v>266</v>
      </c>
      <c r="E782" s="226"/>
      <c r="G782" s="224" t="s">
        <v>1</v>
      </c>
      <c r="H782" s="224" t="s">
        <v>196</v>
      </c>
      <c r="I782" s="224" t="s">
        <v>66</v>
      </c>
      <c r="J782" s="224">
        <v>50</v>
      </c>
      <c r="K782" s="227">
        <f t="array" ref="K782">IFERROR(INDEX([1]Grille_Tarifs_Modulable!$B$2:$B$204,MATCH(Tableau14[[#This Row],[Designation]]&amp;Tableau14[[#This Row],[CL]],[1]Grille_Tarifs_Modulable!$C$2:$C$204&amp;[1]Grille_Tarifs_Modulable!$F$2:$F$204,0)),0)</f>
        <v>4260310553382</v>
      </c>
      <c r="L782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</v>
      </c>
      <c r="M782" s="228">
        <f>IF(Tableau14[[#This Row],[Prix_Unit_HT]]=0,0,Tableau14[[#This Row],[Prix_Unit_HT]]+(Tableau14[[#This Row],[Prix_Unit_HT]]*VLOOKUP(Tableau14[[#This Row],[EAN]],[1]Grille_Tarifs_Modulable!$B$10:$Q$204,16,FALSE)))</f>
        <v>1.0549999999999999</v>
      </c>
      <c r="N782" s="224">
        <v>100</v>
      </c>
      <c r="O782" s="228">
        <f>ROUND(Tableau14[[#This Row],[Prix_Unit_HT]],2)*Tableau14[[#This Row],[Qte_commande]]</f>
        <v>100</v>
      </c>
      <c r="P782" s="228">
        <f>ROUND(Tableau14[[#This Row],[Prix_Unit_TTC]],2)*Tableau14[[#This Row],[Qte_commande]]</f>
        <v>106</v>
      </c>
      <c r="Q782" s="224">
        <v>71.430000000000007</v>
      </c>
      <c r="R782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71.428571428571431</v>
      </c>
      <c r="U782" s="224"/>
      <c r="V782" s="224"/>
    </row>
    <row r="783" spans="1:22" ht="14.65" customHeight="1" x14ac:dyDescent="0.2">
      <c r="A783" s="225">
        <v>43178</v>
      </c>
      <c r="B783" s="224" t="s">
        <v>665</v>
      </c>
      <c r="C783" s="224" t="s">
        <v>161</v>
      </c>
      <c r="D783" s="224" t="s">
        <v>666</v>
      </c>
      <c r="E783" s="226"/>
      <c r="G783" s="224" t="s">
        <v>1</v>
      </c>
      <c r="H783" s="224" t="s">
        <v>289</v>
      </c>
      <c r="I783" s="224" t="s">
        <v>30</v>
      </c>
      <c r="J783" s="224">
        <v>70</v>
      </c>
      <c r="K783" s="227">
        <f t="array" ref="K783">IFERROR(INDEX([1]Grille_Tarifs_Modulable!$B$2:$B$204,MATCH(Tableau14[[#This Row],[Designation]]&amp;Tableau14[[#This Row],[CL]],[1]Grille_Tarifs_Modulable!$C$2:$C$204&amp;[1]Grille_Tarifs_Modulable!$F$2:$F$204,0)),0)</f>
        <v>3257150101904</v>
      </c>
      <c r="L783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16.346482999999999</v>
      </c>
      <c r="M783" s="228">
        <f>IF(Tableau14[[#This Row],[Prix_Unit_HT]]=0,0,Tableau14[[#This Row],[Prix_Unit_HT]]+(Tableau14[[#This Row],[Prix_Unit_HT]]*VLOOKUP(Tableau14[[#This Row],[EAN]],[1]Grille_Tarifs_Modulable!$B$10:$Q$204,16,FALSE)))</f>
        <v>19.6157796</v>
      </c>
      <c r="N783" s="224">
        <v>6</v>
      </c>
      <c r="O783" s="228">
        <f>ROUND(Tableau14[[#This Row],[Prix_Unit_HT]],2)*Tableau14[[#This Row],[Qte_commande]]</f>
        <v>98.100000000000009</v>
      </c>
      <c r="P783" s="228">
        <f>ROUND(Tableau14[[#This Row],[Prix_Unit_TTC]],2)*Tableau14[[#This Row],[Qte_commande]]</f>
        <v>117.72</v>
      </c>
      <c r="Q783" s="224">
        <v>6</v>
      </c>
      <c r="R783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6.0000000000000009</v>
      </c>
      <c r="U783" s="224"/>
      <c r="V783" s="224"/>
    </row>
    <row r="784" spans="1:22" ht="14.65" customHeight="1" x14ac:dyDescent="0.2">
      <c r="A784" s="225">
        <v>43178</v>
      </c>
      <c r="B784" s="224" t="s">
        <v>665</v>
      </c>
      <c r="C784" s="224" t="s">
        <v>161</v>
      </c>
      <c r="D784" s="224" t="s">
        <v>666</v>
      </c>
      <c r="E784" s="226"/>
      <c r="G784" s="224" t="s">
        <v>1</v>
      </c>
      <c r="H784" s="224" t="s">
        <v>289</v>
      </c>
      <c r="I784" s="224" t="s">
        <v>31</v>
      </c>
      <c r="J784" s="224">
        <v>70</v>
      </c>
      <c r="K784" s="227">
        <f t="array" ref="K784">IFERROR(INDEX([1]Grille_Tarifs_Modulable!$B$2:$B$204,MATCH(Tableau14[[#This Row],[Designation]]&amp;Tableau14[[#This Row],[CL]],[1]Grille_Tarifs_Modulable!$C$2:$C$204&amp;[1]Grille_Tarifs_Modulable!$F$2:$F$204,0)),0)</f>
        <v>3257150102017</v>
      </c>
      <c r="L784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14.694322</v>
      </c>
      <c r="M784" s="228">
        <f>IF(Tableau14[[#This Row],[Prix_Unit_HT]]=0,0,Tableau14[[#This Row],[Prix_Unit_HT]]+(Tableau14[[#This Row],[Prix_Unit_HT]]*VLOOKUP(Tableau14[[#This Row],[EAN]],[1]Grille_Tarifs_Modulable!$B$10:$Q$204,16,FALSE)))</f>
        <v>17.6331864</v>
      </c>
      <c r="N784" s="224">
        <v>6</v>
      </c>
      <c r="O784" s="228">
        <f>ROUND(Tableau14[[#This Row],[Prix_Unit_HT]],2)*Tableau14[[#This Row],[Qte_commande]]</f>
        <v>88.14</v>
      </c>
      <c r="P784" s="228">
        <f>ROUND(Tableau14[[#This Row],[Prix_Unit_TTC]],2)*Tableau14[[#This Row],[Qte_commande]]</f>
        <v>105.78</v>
      </c>
      <c r="Q784" s="224">
        <v>6</v>
      </c>
      <c r="R784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6.0000000000000009</v>
      </c>
      <c r="U784" s="224"/>
      <c r="V784" s="224"/>
    </row>
    <row r="785" spans="1:22" ht="14.65" customHeight="1" x14ac:dyDescent="0.2">
      <c r="A785" s="225">
        <v>43179</v>
      </c>
      <c r="B785" s="224" t="s">
        <v>668</v>
      </c>
      <c r="C785" s="224" t="s">
        <v>530</v>
      </c>
      <c r="D785" s="224" t="s">
        <v>531</v>
      </c>
      <c r="E785" s="226"/>
      <c r="G785" s="224" t="s">
        <v>1</v>
      </c>
      <c r="H785" s="224" t="s">
        <v>289</v>
      </c>
      <c r="I785" s="224" t="s">
        <v>15</v>
      </c>
      <c r="J785" s="224">
        <v>70</v>
      </c>
      <c r="K785" s="227">
        <f t="array" ref="K785">IFERROR(INDEX([1]Grille_Tarifs_Modulable!$B$2:$B$204,MATCH(Tableau14[[#This Row],[Designation]]&amp;Tableau14[[#This Row],[CL]],[1]Grille_Tarifs_Modulable!$C$2:$C$204&amp;[1]Grille_Tarifs_Modulable!$F$2:$F$204,0)),0)</f>
        <v>4067700013859</v>
      </c>
      <c r="L785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12.532563499999998</v>
      </c>
      <c r="M785" s="228">
        <f>IF(Tableau14[[#This Row],[Prix_Unit_HT]]=0,0,Tableau14[[#This Row],[Prix_Unit_HT]]+(Tableau14[[#This Row],[Prix_Unit_HT]]*VLOOKUP(Tableau14[[#This Row],[EAN]],[1]Grille_Tarifs_Modulable!$B$10:$Q$204,16,FALSE)))</f>
        <v>15.039076199999998</v>
      </c>
      <c r="N785" s="224">
        <v>150</v>
      </c>
      <c r="O785" s="228">
        <f>ROUND(Tableau14[[#This Row],[Prix_Unit_HT]],2)*Tableau14[[#This Row],[Qte_commande]]</f>
        <v>1879.5</v>
      </c>
      <c r="P785" s="228">
        <f>ROUND(Tableau14[[#This Row],[Prix_Unit_TTC]],2)*Tableau14[[#This Row],[Qte_commande]]</f>
        <v>2256</v>
      </c>
      <c r="Q785" s="224">
        <v>150</v>
      </c>
      <c r="R785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150</v>
      </c>
      <c r="U785" s="224"/>
      <c r="V785" s="224"/>
    </row>
    <row r="786" spans="1:22" ht="14.65" customHeight="1" x14ac:dyDescent="0.2">
      <c r="A786" s="225">
        <v>43180</v>
      </c>
      <c r="B786" s="224" t="s">
        <v>234</v>
      </c>
      <c r="C786" s="224" t="s">
        <v>214</v>
      </c>
      <c r="D786" s="224" t="s">
        <v>215</v>
      </c>
      <c r="E786" s="226"/>
      <c r="G786" s="224" t="s">
        <v>1</v>
      </c>
      <c r="H786" s="224" t="s">
        <v>196</v>
      </c>
      <c r="I786" s="224" t="s">
        <v>62</v>
      </c>
      <c r="J786" s="224">
        <v>20</v>
      </c>
      <c r="K786" s="227">
        <f t="array" ref="K786">IFERROR(INDEX([1]Grille_Tarifs_Modulable!$B$2:$B$204,MATCH(Tableau14[[#This Row],[Designation]]&amp;Tableau14[[#This Row],[CL]],[1]Grille_Tarifs_Modulable!$C$2:$C$204&amp;[1]Grille_Tarifs_Modulable!$F$2:$F$204,0)),0)</f>
        <v>4260310550305</v>
      </c>
      <c r="L786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0.81</v>
      </c>
      <c r="M786" s="228">
        <f>IF(Tableau14[[#This Row],[Prix_Unit_HT]]=0,0,Tableau14[[#This Row],[Prix_Unit_HT]]+(Tableau14[[#This Row],[Prix_Unit_HT]]*VLOOKUP(Tableau14[[#This Row],[EAN]],[1]Grille_Tarifs_Modulable!$B$10:$Q$204,16,FALSE)))</f>
        <v>0.85455000000000003</v>
      </c>
      <c r="N786" s="224">
        <v>48</v>
      </c>
      <c r="O786" s="228">
        <f>ROUND(Tableau14[[#This Row],[Prix_Unit_HT]],2)*Tableau14[[#This Row],[Qte_commande]]</f>
        <v>38.880000000000003</v>
      </c>
      <c r="P786" s="228">
        <f>ROUND(Tableau14[[#This Row],[Prix_Unit_TTC]],2)*Tableau14[[#This Row],[Qte_commande]]</f>
        <v>40.799999999999997</v>
      </c>
      <c r="Q786" s="224">
        <v>13.71</v>
      </c>
      <c r="R786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13.714285714285715</v>
      </c>
      <c r="U786" s="224"/>
      <c r="V786" s="224"/>
    </row>
    <row r="787" spans="1:22" ht="14.65" customHeight="1" x14ac:dyDescent="0.2">
      <c r="A787" s="225">
        <v>43180</v>
      </c>
      <c r="B787" s="224" t="s">
        <v>234</v>
      </c>
      <c r="C787" s="224" t="s">
        <v>214</v>
      </c>
      <c r="D787" s="224" t="s">
        <v>215</v>
      </c>
      <c r="E787" s="226"/>
      <c r="G787" s="224" t="s">
        <v>1</v>
      </c>
      <c r="H787" s="224" t="s">
        <v>196</v>
      </c>
      <c r="I787" s="224" t="s">
        <v>60</v>
      </c>
      <c r="J787" s="224">
        <v>20</v>
      </c>
      <c r="K787" s="227">
        <f t="array" ref="K787">IFERROR(INDEX([1]Grille_Tarifs_Modulable!$B$2:$B$204,MATCH(Tableau14[[#This Row],[Designation]]&amp;Tableau14[[#This Row],[CL]],[1]Grille_Tarifs_Modulable!$C$2:$C$204&amp;[1]Grille_Tarifs_Modulable!$F$2:$F$204,0)),0)</f>
        <v>4260310553832</v>
      </c>
      <c r="L787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0.81</v>
      </c>
      <c r="M787" s="228">
        <f>IF(Tableau14[[#This Row],[Prix_Unit_HT]]=0,0,Tableau14[[#This Row],[Prix_Unit_HT]]+(Tableau14[[#This Row],[Prix_Unit_HT]]*VLOOKUP(Tableau14[[#This Row],[EAN]],[1]Grille_Tarifs_Modulable!$B$10:$Q$204,16,FALSE)))</f>
        <v>0.85455000000000003</v>
      </c>
      <c r="N787" s="224">
        <v>48</v>
      </c>
      <c r="O787" s="228">
        <f>ROUND(Tableau14[[#This Row],[Prix_Unit_HT]],2)*Tableau14[[#This Row],[Qte_commande]]</f>
        <v>38.880000000000003</v>
      </c>
      <c r="P787" s="228">
        <f>ROUND(Tableau14[[#This Row],[Prix_Unit_TTC]],2)*Tableau14[[#This Row],[Qte_commande]]</f>
        <v>40.799999999999997</v>
      </c>
      <c r="Q787" s="224">
        <v>13.71</v>
      </c>
      <c r="R787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13.714285714285715</v>
      </c>
      <c r="U787" s="224"/>
      <c r="V787" s="224"/>
    </row>
    <row r="788" spans="1:22" ht="14.65" customHeight="1" x14ac:dyDescent="0.2">
      <c r="A788" s="225">
        <v>43180</v>
      </c>
      <c r="B788" s="224" t="s">
        <v>234</v>
      </c>
      <c r="C788" s="224" t="s">
        <v>214</v>
      </c>
      <c r="D788" s="224" t="s">
        <v>215</v>
      </c>
      <c r="E788" s="226"/>
      <c r="G788" s="224" t="s">
        <v>1</v>
      </c>
      <c r="H788" s="224" t="s">
        <v>289</v>
      </c>
      <c r="I788" s="224" t="s">
        <v>20</v>
      </c>
      <c r="J788" s="224">
        <v>70</v>
      </c>
      <c r="K788" s="227">
        <f t="array" ref="K788">IFERROR(INDEX([1]Grille_Tarifs_Modulable!$B$2:$B$204,MATCH(Tableau14[[#This Row],[Designation]]&amp;Tableau14[[#This Row],[CL]],[1]Grille_Tarifs_Modulable!$C$2:$C$204&amp;[1]Grille_Tarifs_Modulable!$F$2:$F$204,0)),0)</f>
        <v>8017450002104</v>
      </c>
      <c r="L788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14.266482999999999</v>
      </c>
      <c r="M788" s="228">
        <f>IF(Tableau14[[#This Row],[Prix_Unit_HT]]=0,0,Tableau14[[#This Row],[Prix_Unit_HT]]+(Tableau14[[#This Row],[Prix_Unit_HT]]*VLOOKUP(Tableau14[[#This Row],[EAN]],[1]Grille_Tarifs_Modulable!$B$10:$Q$204,16,FALSE)))</f>
        <v>17.119779600000001</v>
      </c>
      <c r="N788" s="224">
        <v>12</v>
      </c>
      <c r="O788" s="228">
        <f>ROUND(Tableau14[[#This Row],[Prix_Unit_HT]],2)*Tableau14[[#This Row],[Qte_commande]]</f>
        <v>171.24</v>
      </c>
      <c r="P788" s="228">
        <f>ROUND(Tableau14[[#This Row],[Prix_Unit_TTC]],2)*Tableau14[[#This Row],[Qte_commande]]</f>
        <v>205.44</v>
      </c>
      <c r="Q788" s="224">
        <v>12</v>
      </c>
      <c r="R788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12.000000000000002</v>
      </c>
      <c r="U788" s="224"/>
      <c r="V788" s="224"/>
    </row>
    <row r="789" spans="1:22" ht="14.65" customHeight="1" x14ac:dyDescent="0.2">
      <c r="A789" s="225">
        <v>43180</v>
      </c>
      <c r="B789" s="224" t="s">
        <v>234</v>
      </c>
      <c r="C789" s="224" t="s">
        <v>214</v>
      </c>
      <c r="D789" s="224" t="s">
        <v>215</v>
      </c>
      <c r="E789" s="226"/>
      <c r="G789" s="224" t="s">
        <v>1</v>
      </c>
      <c r="H789" s="224" t="s">
        <v>196</v>
      </c>
      <c r="I789" s="224" t="s">
        <v>66</v>
      </c>
      <c r="J789" s="224">
        <v>50</v>
      </c>
      <c r="K789" s="227">
        <f t="array" ref="K789">IFERROR(INDEX([1]Grille_Tarifs_Modulable!$B$2:$B$204,MATCH(Tableau14[[#This Row],[Designation]]&amp;Tableau14[[#This Row],[CL]],[1]Grille_Tarifs_Modulable!$C$2:$C$204&amp;[1]Grille_Tarifs_Modulable!$F$2:$F$204,0)),0)</f>
        <v>4260310553382</v>
      </c>
      <c r="L789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</v>
      </c>
      <c r="M789" s="228">
        <f>IF(Tableau14[[#This Row],[Prix_Unit_HT]]=0,0,Tableau14[[#This Row],[Prix_Unit_HT]]+(Tableau14[[#This Row],[Prix_Unit_HT]]*VLOOKUP(Tableau14[[#This Row],[EAN]],[1]Grille_Tarifs_Modulable!$B$10:$Q$204,16,FALSE)))</f>
        <v>1.0549999999999999</v>
      </c>
      <c r="N789" s="224">
        <v>40</v>
      </c>
      <c r="O789" s="228">
        <f>ROUND(Tableau14[[#This Row],[Prix_Unit_HT]],2)*Tableau14[[#This Row],[Qte_commande]]</f>
        <v>40</v>
      </c>
      <c r="P789" s="228">
        <f>ROUND(Tableau14[[#This Row],[Prix_Unit_TTC]],2)*Tableau14[[#This Row],[Qte_commande]]</f>
        <v>42.400000000000006</v>
      </c>
      <c r="Q789" s="224">
        <v>28.57</v>
      </c>
      <c r="R789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28.571428571428573</v>
      </c>
      <c r="U789" s="224"/>
      <c r="V789" s="224"/>
    </row>
    <row r="790" spans="1:22" ht="14.65" customHeight="1" x14ac:dyDescent="0.2">
      <c r="A790" s="225">
        <v>43180</v>
      </c>
      <c r="B790" s="224" t="s">
        <v>234</v>
      </c>
      <c r="C790" s="224" t="s">
        <v>214</v>
      </c>
      <c r="D790" s="224" t="s">
        <v>215</v>
      </c>
      <c r="E790" s="226"/>
      <c r="G790" s="224" t="s">
        <v>1</v>
      </c>
      <c r="H790" s="224" t="s">
        <v>289</v>
      </c>
      <c r="I790" s="224" t="s">
        <v>44</v>
      </c>
      <c r="J790" s="224">
        <v>50</v>
      </c>
      <c r="K790" s="227">
        <f t="array" ref="K790">IFERROR(INDEX([1]Grille_Tarifs_Modulable!$B$2:$B$204,MATCH(Tableau14[[#This Row],[Designation]]&amp;Tableau14[[#This Row],[CL]],[1]Grille_Tarifs_Modulable!$C$2:$C$204&amp;[1]Grille_Tarifs_Modulable!$F$2:$F$204,0)),0)</f>
        <v>4260270192645</v>
      </c>
      <c r="L790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25.192506000000002</v>
      </c>
      <c r="M790" s="228">
        <f>IF(Tableau14[[#This Row],[Prix_Unit_HT]]=0,0,Tableau14[[#This Row],[Prix_Unit_HT]]+(Tableau14[[#This Row],[Prix_Unit_HT]]*VLOOKUP(Tableau14[[#This Row],[EAN]],[1]Grille_Tarifs_Modulable!$B$10:$Q$204,16,FALSE)))</f>
        <v>30.231007200000001</v>
      </c>
      <c r="N790" s="224">
        <v>18</v>
      </c>
      <c r="O790" s="228">
        <f>ROUND(Tableau14[[#This Row],[Prix_Unit_HT]],2)*Tableau14[[#This Row],[Qte_commande]]</f>
        <v>453.42</v>
      </c>
      <c r="P790" s="228">
        <f>ROUND(Tableau14[[#This Row],[Prix_Unit_TTC]],2)*Tableau14[[#This Row],[Qte_commande]]</f>
        <v>544.14</v>
      </c>
      <c r="Q790" s="224">
        <v>12.86</v>
      </c>
      <c r="R790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12.857142857142858</v>
      </c>
      <c r="U790" s="224"/>
      <c r="V790" s="224"/>
    </row>
    <row r="791" spans="1:22" ht="14.65" customHeight="1" x14ac:dyDescent="0.2">
      <c r="A791" s="225">
        <v>43180</v>
      </c>
      <c r="B791" s="224" t="s">
        <v>234</v>
      </c>
      <c r="C791" s="224" t="s">
        <v>214</v>
      </c>
      <c r="D791" s="224" t="s">
        <v>215</v>
      </c>
      <c r="E791" s="226"/>
      <c r="G791" s="224" t="s">
        <v>1</v>
      </c>
      <c r="H791" s="224" t="s">
        <v>196</v>
      </c>
      <c r="I791" s="224" t="s">
        <v>64</v>
      </c>
      <c r="J791" s="224">
        <v>20</v>
      </c>
      <c r="K791" s="227">
        <f t="array" ref="K791">IFERROR(INDEX([1]Grille_Tarifs_Modulable!$B$2:$B$204,MATCH(Tableau14[[#This Row],[Designation]]&amp;Tableau14[[#This Row],[CL]],[1]Grille_Tarifs_Modulable!$C$2:$C$204&amp;[1]Grille_Tarifs_Modulable!$F$2:$F$204,0)),0)</f>
        <v>4260310553849</v>
      </c>
      <c r="L791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0.81</v>
      </c>
      <c r="M791" s="228">
        <f>IF(Tableau14[[#This Row],[Prix_Unit_HT]]=0,0,Tableau14[[#This Row],[Prix_Unit_HT]]+(Tableau14[[#This Row],[Prix_Unit_HT]]*VLOOKUP(Tableau14[[#This Row],[EAN]],[1]Grille_Tarifs_Modulable!$B$10:$Q$204,16,FALSE)))</f>
        <v>0.85455000000000003</v>
      </c>
      <c r="N791" s="224">
        <v>96</v>
      </c>
      <c r="O791" s="228">
        <f>ROUND(Tableau14[[#This Row],[Prix_Unit_HT]],2)*Tableau14[[#This Row],[Qte_commande]]</f>
        <v>77.760000000000005</v>
      </c>
      <c r="P791" s="228">
        <f>ROUND(Tableau14[[#This Row],[Prix_Unit_TTC]],2)*Tableau14[[#This Row],[Qte_commande]]</f>
        <v>81.599999999999994</v>
      </c>
      <c r="Q791" s="224">
        <v>27.43</v>
      </c>
      <c r="R791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27.428571428571431</v>
      </c>
      <c r="U791" s="224"/>
      <c r="V791" s="224"/>
    </row>
    <row r="792" spans="1:22" ht="14.65" customHeight="1" x14ac:dyDescent="0.2">
      <c r="A792" s="225">
        <v>43185</v>
      </c>
      <c r="B792" s="224" t="s">
        <v>669</v>
      </c>
      <c r="C792" s="224" t="s">
        <v>194</v>
      </c>
      <c r="D792" s="224" t="s">
        <v>641</v>
      </c>
      <c r="E792" s="226"/>
      <c r="G792" s="224" t="s">
        <v>1</v>
      </c>
      <c r="H792" s="224" t="s">
        <v>289</v>
      </c>
      <c r="I792" s="224" t="s">
        <v>15</v>
      </c>
      <c r="J792" s="224">
        <v>175</v>
      </c>
      <c r="K792" s="227">
        <f t="array" ref="K792">IFERROR(INDEX([1]Grille_Tarifs_Modulable!$B$2:$B$204,MATCH(Tableau14[[#This Row],[Designation]]&amp;Tableau14[[#This Row],[CL]],[1]Grille_Tarifs_Modulable!$C$2:$C$204&amp;[1]Grille_Tarifs_Modulable!$F$2:$F$204,0)),0)</f>
        <v>4067700013835</v>
      </c>
      <c r="L792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28.916408750000002</v>
      </c>
      <c r="M792" s="228">
        <f>IF(Tableau14[[#This Row],[Prix_Unit_HT]]=0,0,Tableau14[[#This Row],[Prix_Unit_HT]]+(Tableau14[[#This Row],[Prix_Unit_HT]]*VLOOKUP(Tableau14[[#This Row],[EAN]],[1]Grille_Tarifs_Modulable!$B$10:$Q$204,16,FALSE)))</f>
        <v>34.699690500000003</v>
      </c>
      <c r="N792" s="224">
        <v>60</v>
      </c>
      <c r="O792" s="228">
        <f>ROUND(Tableau14[[#This Row],[Prix_Unit_HT]],2)*Tableau14[[#This Row],[Qte_commande]]</f>
        <v>1735.2</v>
      </c>
      <c r="P792" s="228">
        <f>ROUND(Tableau14[[#This Row],[Prix_Unit_TTC]],2)*Tableau14[[#This Row],[Qte_commande]]</f>
        <v>2082</v>
      </c>
      <c r="Q792" s="224">
        <v>150</v>
      </c>
      <c r="R792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150</v>
      </c>
      <c r="U792" s="224"/>
      <c r="V792" s="224"/>
    </row>
    <row r="793" spans="1:22" ht="14.65" customHeight="1" x14ac:dyDescent="0.2">
      <c r="A793" s="225">
        <v>43186</v>
      </c>
      <c r="B793" s="224" t="s">
        <v>846</v>
      </c>
      <c r="C793" s="224" t="s">
        <v>397</v>
      </c>
      <c r="D793" s="224" t="s">
        <v>209</v>
      </c>
      <c r="E793" s="226"/>
      <c r="G793" s="224" t="s">
        <v>1</v>
      </c>
      <c r="H793" s="224" t="s">
        <v>289</v>
      </c>
      <c r="I793" s="224" t="s">
        <v>30</v>
      </c>
      <c r="J793" s="224">
        <v>70</v>
      </c>
      <c r="K793" s="227">
        <f t="array" ref="K793">IFERROR(INDEX([1]Grille_Tarifs_Modulable!$B$2:$B$204,MATCH(Tableau14[[#This Row],[Designation]]&amp;Tableau14[[#This Row],[CL]],[1]Grille_Tarifs_Modulable!$C$2:$C$204&amp;[1]Grille_Tarifs_Modulable!$F$2:$F$204,0)),0)</f>
        <v>3257150101904</v>
      </c>
      <c r="L793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16.346482999999999</v>
      </c>
      <c r="M793" s="228">
        <f>IF(Tableau14[[#This Row],[Prix_Unit_HT]]=0,0,Tableau14[[#This Row],[Prix_Unit_HT]]+(Tableau14[[#This Row],[Prix_Unit_HT]]*VLOOKUP(Tableau14[[#This Row],[EAN]],[1]Grille_Tarifs_Modulable!$B$10:$Q$204,16,FALSE)))</f>
        <v>19.6157796</v>
      </c>
      <c r="N793" s="224">
        <v>6</v>
      </c>
      <c r="O793" s="228">
        <f>ROUND(Tableau14[[#This Row],[Prix_Unit_HT]],2)*Tableau14[[#This Row],[Qte_commande]]</f>
        <v>98.100000000000009</v>
      </c>
      <c r="P793" s="228">
        <f>ROUND(Tableau14[[#This Row],[Prix_Unit_TTC]],2)*Tableau14[[#This Row],[Qte_commande]]</f>
        <v>117.72</v>
      </c>
      <c r="Q793" s="224">
        <v>6</v>
      </c>
      <c r="R793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6.0000000000000009</v>
      </c>
      <c r="U793" s="224"/>
      <c r="V793" s="224"/>
    </row>
    <row r="794" spans="1:22" ht="14.65" customHeight="1" x14ac:dyDescent="0.2">
      <c r="A794" s="225">
        <v>43186</v>
      </c>
      <c r="B794" s="224" t="s">
        <v>846</v>
      </c>
      <c r="C794" s="224" t="s">
        <v>397</v>
      </c>
      <c r="D794" s="224" t="s">
        <v>209</v>
      </c>
      <c r="E794" s="226"/>
      <c r="G794" s="224" t="s">
        <v>1</v>
      </c>
      <c r="H794" s="224" t="s">
        <v>289</v>
      </c>
      <c r="I794" s="224" t="s">
        <v>31</v>
      </c>
      <c r="J794" s="224">
        <v>70</v>
      </c>
      <c r="K794" s="227">
        <f t="array" ref="K794">IFERROR(INDEX([1]Grille_Tarifs_Modulable!$B$2:$B$204,MATCH(Tableau14[[#This Row],[Designation]]&amp;Tableau14[[#This Row],[CL]],[1]Grille_Tarifs_Modulable!$C$2:$C$204&amp;[1]Grille_Tarifs_Modulable!$F$2:$F$204,0)),0)</f>
        <v>3257150102017</v>
      </c>
      <c r="L794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14.694322</v>
      </c>
      <c r="M794" s="228">
        <f>IF(Tableau14[[#This Row],[Prix_Unit_HT]]=0,0,Tableau14[[#This Row],[Prix_Unit_HT]]+(Tableau14[[#This Row],[Prix_Unit_HT]]*VLOOKUP(Tableau14[[#This Row],[EAN]],[1]Grille_Tarifs_Modulable!$B$10:$Q$204,16,FALSE)))</f>
        <v>17.6331864</v>
      </c>
      <c r="N794" s="224">
        <v>6</v>
      </c>
      <c r="O794" s="228">
        <f>ROUND(Tableau14[[#This Row],[Prix_Unit_HT]],2)*Tableau14[[#This Row],[Qte_commande]]</f>
        <v>88.14</v>
      </c>
      <c r="P794" s="228">
        <f>ROUND(Tableau14[[#This Row],[Prix_Unit_TTC]],2)*Tableau14[[#This Row],[Qte_commande]]</f>
        <v>105.78</v>
      </c>
      <c r="Q794" s="224">
        <v>6</v>
      </c>
      <c r="R794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6.0000000000000009</v>
      </c>
      <c r="U794" s="224"/>
      <c r="V794" s="224"/>
    </row>
    <row r="795" spans="1:22" ht="14.65" customHeight="1" x14ac:dyDescent="0.2">
      <c r="A795" s="225">
        <v>43186</v>
      </c>
      <c r="B795" s="224" t="s">
        <v>1148</v>
      </c>
      <c r="C795" s="224" t="s">
        <v>1009</v>
      </c>
      <c r="D795" s="224" t="s">
        <v>527</v>
      </c>
      <c r="E795" s="226"/>
      <c r="G795" s="224" t="s">
        <v>13</v>
      </c>
      <c r="H795" s="224" t="s">
        <v>451</v>
      </c>
      <c r="I795" s="224" t="s">
        <v>69</v>
      </c>
      <c r="J795" s="227">
        <v>3</v>
      </c>
      <c r="K795" s="227">
        <f t="array" ref="K795">IFERROR(INDEX([1]Grille_Tarifs_Modulable!$B$2:$B$204,MATCH(Tableau14[[#This Row],[Designation]]&amp;Tableau14[[#This Row],[CL]],[1]Grille_Tarifs_Modulable!$C$2:$C$204&amp;[1]Grille_Tarifs_Modulable!$F$2:$F$204,0)),0)</f>
        <v>121</v>
      </c>
      <c r="L795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299</v>
      </c>
      <c r="M795" s="228">
        <f>IF(Tableau14[[#This Row],[Prix_Unit_HT]]=0,0,Tableau14[[#This Row],[Prix_Unit_HT]]+(Tableau14[[#This Row],[Prix_Unit_HT]]*VLOOKUP(Tableau14[[#This Row],[EAN]],[1]Grille_Tarifs_Modulable!$B$10:$Q$204,16,FALSE)))</f>
        <v>358.8</v>
      </c>
      <c r="N795" s="224">
        <v>2</v>
      </c>
      <c r="O795" s="228">
        <f>ROUND(Tableau14[[#This Row],[Prix_Unit_HT]],2)*Tableau14[[#This Row],[Qte_commande]]</f>
        <v>598</v>
      </c>
      <c r="P795" s="228">
        <f>ROUND(Tableau14[[#This Row],[Prix_Unit_TTC]],2)*Tableau14[[#This Row],[Qte_commande]]</f>
        <v>717.6</v>
      </c>
      <c r="Q795" s="224">
        <v>2</v>
      </c>
      <c r="R795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2</v>
      </c>
      <c r="U795" s="224"/>
      <c r="V795" s="224"/>
    </row>
    <row r="796" spans="1:22" ht="14.65" customHeight="1" x14ac:dyDescent="0.2">
      <c r="A796" s="225">
        <v>43186</v>
      </c>
      <c r="B796" s="224" t="s">
        <v>1149</v>
      </c>
      <c r="C796" s="224" t="s">
        <v>651</v>
      </c>
      <c r="D796" s="224" t="s">
        <v>652</v>
      </c>
      <c r="E796" s="226"/>
      <c r="G796" s="224" t="s">
        <v>13</v>
      </c>
      <c r="H796" s="224" t="s">
        <v>451</v>
      </c>
      <c r="I796" s="224" t="s">
        <v>69</v>
      </c>
      <c r="J796" s="227">
        <v>3</v>
      </c>
      <c r="K796" s="227">
        <f t="array" ref="K796">IFERROR(INDEX([1]Grille_Tarifs_Modulable!$B$2:$B$204,MATCH(Tableau14[[#This Row],[Designation]]&amp;Tableau14[[#This Row],[CL]],[1]Grille_Tarifs_Modulable!$C$2:$C$204&amp;[1]Grille_Tarifs_Modulable!$F$2:$F$204,0)),0)</f>
        <v>121</v>
      </c>
      <c r="L796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299</v>
      </c>
      <c r="M796" s="228">
        <f>IF(Tableau14[[#This Row],[Prix_Unit_HT]]=0,0,Tableau14[[#This Row],[Prix_Unit_HT]]+(Tableau14[[#This Row],[Prix_Unit_HT]]*VLOOKUP(Tableau14[[#This Row],[EAN]],[1]Grille_Tarifs_Modulable!$B$10:$Q$204,16,FALSE)))</f>
        <v>358.8</v>
      </c>
      <c r="N796" s="224">
        <v>1</v>
      </c>
      <c r="O796" s="228">
        <f>ROUND(Tableau14[[#This Row],[Prix_Unit_HT]],2)*Tableau14[[#This Row],[Qte_commande]]</f>
        <v>299</v>
      </c>
      <c r="P796" s="228">
        <f>ROUND(Tableau14[[#This Row],[Prix_Unit_TTC]],2)*Tableau14[[#This Row],[Qte_commande]]</f>
        <v>358.8</v>
      </c>
      <c r="Q796" s="224">
        <v>1</v>
      </c>
      <c r="R796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</v>
      </c>
      <c r="U796" s="224"/>
      <c r="V796" s="224"/>
    </row>
    <row r="797" spans="1:22" ht="14.65" customHeight="1" x14ac:dyDescent="0.2">
      <c r="A797" s="225">
        <v>43186</v>
      </c>
      <c r="B797" s="224" t="s">
        <v>1150</v>
      </c>
      <c r="C797" s="224" t="s">
        <v>1067</v>
      </c>
      <c r="D797" s="224" t="s">
        <v>1068</v>
      </c>
      <c r="E797" s="226"/>
      <c r="G797" s="224" t="s">
        <v>13</v>
      </c>
      <c r="H797" s="224" t="s">
        <v>451</v>
      </c>
      <c r="I797" s="224" t="s">
        <v>69</v>
      </c>
      <c r="J797" s="227">
        <v>3</v>
      </c>
      <c r="K797" s="227">
        <f t="array" ref="K797">IFERROR(INDEX([1]Grille_Tarifs_Modulable!$B$2:$B$204,MATCH(Tableau14[[#This Row],[Designation]]&amp;Tableau14[[#This Row],[CL]],[1]Grille_Tarifs_Modulable!$C$2:$C$204&amp;[1]Grille_Tarifs_Modulable!$F$2:$F$204,0)),0)</f>
        <v>121</v>
      </c>
      <c r="L797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299</v>
      </c>
      <c r="M797" s="228">
        <f>IF(Tableau14[[#This Row],[Prix_Unit_HT]]=0,0,Tableau14[[#This Row],[Prix_Unit_HT]]+(Tableau14[[#This Row],[Prix_Unit_HT]]*VLOOKUP(Tableau14[[#This Row],[EAN]],[1]Grille_Tarifs_Modulable!$B$10:$Q$204,16,FALSE)))</f>
        <v>358.8</v>
      </c>
      <c r="N797" s="224">
        <v>1</v>
      </c>
      <c r="O797" s="228">
        <f>ROUND(Tableau14[[#This Row],[Prix_Unit_HT]],2)*Tableau14[[#This Row],[Qte_commande]]</f>
        <v>299</v>
      </c>
      <c r="P797" s="228">
        <f>ROUND(Tableau14[[#This Row],[Prix_Unit_TTC]],2)*Tableau14[[#This Row],[Qte_commande]]</f>
        <v>358.8</v>
      </c>
      <c r="Q797" s="224">
        <v>1</v>
      </c>
      <c r="R797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</v>
      </c>
      <c r="U797" s="224"/>
      <c r="V797" s="224"/>
    </row>
    <row r="798" spans="1:22" ht="14.65" customHeight="1" x14ac:dyDescent="0.2">
      <c r="A798" s="225">
        <v>43188</v>
      </c>
      <c r="B798" s="224" t="s">
        <v>886</v>
      </c>
      <c r="C798" s="224" t="s">
        <v>887</v>
      </c>
      <c r="D798" s="224" t="s">
        <v>887</v>
      </c>
      <c r="E798" s="226"/>
      <c r="G798" s="224" t="s">
        <v>13</v>
      </c>
      <c r="H798" s="224" t="s">
        <v>289</v>
      </c>
      <c r="I798" s="224" t="s">
        <v>31</v>
      </c>
      <c r="J798" s="224">
        <v>70</v>
      </c>
      <c r="K798" s="227">
        <f t="array" ref="K798">IFERROR(INDEX([1]Grille_Tarifs_Modulable!$B$2:$B$204,MATCH(Tableau14[[#This Row],[Designation]]&amp;Tableau14[[#This Row],[CL]],[1]Grille_Tarifs_Modulable!$C$2:$C$204&amp;[1]Grille_Tarifs_Modulable!$F$2:$F$204,0)),0)</f>
        <v>3257150102017</v>
      </c>
      <c r="L798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16.854322</v>
      </c>
      <c r="M798" s="228">
        <f>IF(Tableau14[[#This Row],[Prix_Unit_HT]]=0,0,Tableau14[[#This Row],[Prix_Unit_HT]]+(Tableau14[[#This Row],[Prix_Unit_HT]]*VLOOKUP(Tableau14[[#This Row],[EAN]],[1]Grille_Tarifs_Modulable!$B$10:$Q$204,16,FALSE)))</f>
        <v>20.225186399999998</v>
      </c>
      <c r="N798" s="224">
        <v>6</v>
      </c>
      <c r="O798" s="228">
        <f>ROUND(Tableau14[[#This Row],[Prix_Unit_HT]],2)*Tableau14[[#This Row],[Qte_commande]]</f>
        <v>101.10000000000001</v>
      </c>
      <c r="P798" s="228">
        <f>ROUND(Tableau14[[#This Row],[Prix_Unit_TTC]],2)*Tableau14[[#This Row],[Qte_commande]]</f>
        <v>121.38</v>
      </c>
      <c r="Q798" s="224">
        <v>6</v>
      </c>
      <c r="R798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6.0000000000000009</v>
      </c>
      <c r="U798" s="224"/>
      <c r="V798" s="224"/>
    </row>
    <row r="799" spans="1:22" ht="14.65" customHeight="1" x14ac:dyDescent="0.2">
      <c r="A799" s="225">
        <v>43193</v>
      </c>
      <c r="B799" s="224" t="s">
        <v>670</v>
      </c>
      <c r="C799" s="224" t="s">
        <v>308</v>
      </c>
      <c r="D799" s="224" t="s">
        <v>309</v>
      </c>
      <c r="E799" s="226"/>
      <c r="G799" s="224" t="s">
        <v>1</v>
      </c>
      <c r="H799" s="224" t="s">
        <v>289</v>
      </c>
      <c r="I799" s="224" t="s">
        <v>15</v>
      </c>
      <c r="J799" s="224">
        <v>100</v>
      </c>
      <c r="K799" s="227">
        <f t="array" ref="K799">IFERROR(INDEX([1]Grille_Tarifs_Modulable!$B$2:$B$204,MATCH(Tableau14[[#This Row],[Designation]]&amp;Tableau14[[#This Row],[CL]],[1]Grille_Tarifs_Modulable!$C$2:$C$204&amp;[1]Grille_Tarifs_Modulable!$F$2:$F$204,0)),0)</f>
        <v>4067700013842</v>
      </c>
      <c r="L799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17.100804999999998</v>
      </c>
      <c r="M799" s="228">
        <f>IF(Tableau14[[#This Row],[Prix_Unit_HT]]=0,0,Tableau14[[#This Row],[Prix_Unit_HT]]+(Tableau14[[#This Row],[Prix_Unit_HT]]*VLOOKUP(Tableau14[[#This Row],[EAN]],[1]Grille_Tarifs_Modulable!$B$10:$Q$204,16,FALSE)))</f>
        <v>20.520965999999998</v>
      </c>
      <c r="N799" s="224">
        <v>240</v>
      </c>
      <c r="O799" s="228">
        <f>ROUND(Tableau14[[#This Row],[Prix_Unit_HT]],2)*Tableau14[[#This Row],[Qte_commande]]</f>
        <v>4104</v>
      </c>
      <c r="P799" s="228">
        <f>ROUND(Tableau14[[#This Row],[Prix_Unit_TTC]],2)*Tableau14[[#This Row],[Qte_commande]]</f>
        <v>4924.8</v>
      </c>
      <c r="Q799" s="224">
        <v>342.86</v>
      </c>
      <c r="R799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342.85714285714289</v>
      </c>
      <c r="U799" s="224"/>
      <c r="V799" s="224"/>
    </row>
    <row r="800" spans="1:22" ht="14.65" customHeight="1" x14ac:dyDescent="0.2">
      <c r="A800" s="225">
        <v>43193</v>
      </c>
      <c r="B800" s="224" t="s">
        <v>847</v>
      </c>
      <c r="C800" s="224" t="s">
        <v>488</v>
      </c>
      <c r="D800" s="224" t="s">
        <v>489</v>
      </c>
      <c r="E800" s="226"/>
      <c r="G800" s="224" t="s">
        <v>13</v>
      </c>
      <c r="H800" s="224" t="s">
        <v>289</v>
      </c>
      <c r="I800" s="224" t="s">
        <v>30</v>
      </c>
      <c r="J800" s="224">
        <v>70</v>
      </c>
      <c r="K800" s="227">
        <f t="array" ref="K800">IFERROR(INDEX([1]Grille_Tarifs_Modulable!$B$2:$B$204,MATCH(Tableau14[[#This Row],[Designation]]&amp;Tableau14[[#This Row],[CL]],[1]Grille_Tarifs_Modulable!$C$2:$C$204&amp;[1]Grille_Tarifs_Modulable!$F$2:$F$204,0)),0)</f>
        <v>3257150101904</v>
      </c>
      <c r="L800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18.506483000000003</v>
      </c>
      <c r="M800" s="228">
        <f>IF(Tableau14[[#This Row],[Prix_Unit_HT]]=0,0,Tableau14[[#This Row],[Prix_Unit_HT]]+(Tableau14[[#This Row],[Prix_Unit_HT]]*VLOOKUP(Tableau14[[#This Row],[EAN]],[1]Grille_Tarifs_Modulable!$B$10:$Q$204,16,FALSE)))</f>
        <v>22.207779600000002</v>
      </c>
      <c r="N800" s="224">
        <v>1</v>
      </c>
      <c r="O800" s="228">
        <f>ROUND(Tableau14[[#This Row],[Prix_Unit_HT]],2)*Tableau14[[#This Row],[Qte_commande]]</f>
        <v>18.510000000000002</v>
      </c>
      <c r="P800" s="228">
        <f>ROUND(Tableau14[[#This Row],[Prix_Unit_TTC]],2)*Tableau14[[#This Row],[Qte_commande]]</f>
        <v>22.21</v>
      </c>
      <c r="Q800" s="224">
        <v>1</v>
      </c>
      <c r="R800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</v>
      </c>
      <c r="U800" s="224"/>
      <c r="V800" s="224"/>
    </row>
    <row r="801" spans="1:22" ht="14.65" customHeight="1" x14ac:dyDescent="0.2">
      <c r="A801" s="225">
        <v>43193</v>
      </c>
      <c r="B801" s="224" t="s">
        <v>847</v>
      </c>
      <c r="C801" s="224" t="s">
        <v>488</v>
      </c>
      <c r="D801" s="224" t="s">
        <v>489</v>
      </c>
      <c r="E801" s="226"/>
      <c r="G801" s="224" t="s">
        <v>13</v>
      </c>
      <c r="H801" s="224" t="s">
        <v>289</v>
      </c>
      <c r="I801" s="224" t="s">
        <v>32</v>
      </c>
      <c r="J801" s="224">
        <v>70</v>
      </c>
      <c r="K801" s="227">
        <f t="array" ref="K801">IFERROR(INDEX([1]Grille_Tarifs_Modulable!$B$2:$B$204,MATCH(Tableau14[[#This Row],[Designation]]&amp;Tableau14[[#This Row],[CL]],[1]Grille_Tarifs_Modulable!$C$2:$C$204&amp;[1]Grille_Tarifs_Modulable!$F$2:$F$204,0)),0)</f>
        <v>3257150100228</v>
      </c>
      <c r="L801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21.488644000000001</v>
      </c>
      <c r="M801" s="228">
        <f>IF(Tableau14[[#This Row],[Prix_Unit_HT]]=0,0,Tableau14[[#This Row],[Prix_Unit_HT]]+(Tableau14[[#This Row],[Prix_Unit_HT]]*VLOOKUP(Tableau14[[#This Row],[EAN]],[1]Grille_Tarifs_Modulable!$B$10:$Q$204,16,FALSE)))</f>
        <v>25.786372800000002</v>
      </c>
      <c r="N801" s="224">
        <v>1</v>
      </c>
      <c r="O801" s="228">
        <f>ROUND(Tableau14[[#This Row],[Prix_Unit_HT]],2)*Tableau14[[#This Row],[Qte_commande]]</f>
        <v>21.49</v>
      </c>
      <c r="P801" s="228">
        <f>ROUND(Tableau14[[#This Row],[Prix_Unit_TTC]],2)*Tableau14[[#This Row],[Qte_commande]]</f>
        <v>25.79</v>
      </c>
      <c r="Q801" s="224">
        <v>1</v>
      </c>
      <c r="R801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</v>
      </c>
      <c r="U801" s="224"/>
      <c r="V801" s="224"/>
    </row>
    <row r="802" spans="1:22" ht="14.65" customHeight="1" x14ac:dyDescent="0.2">
      <c r="A802" s="225">
        <v>43193</v>
      </c>
      <c r="B802" s="224" t="s">
        <v>847</v>
      </c>
      <c r="C802" s="224" t="s">
        <v>488</v>
      </c>
      <c r="D802" s="224" t="s">
        <v>489</v>
      </c>
      <c r="E802" s="226"/>
      <c r="G802" s="224" t="s">
        <v>13</v>
      </c>
      <c r="H802" s="224" t="s">
        <v>289</v>
      </c>
      <c r="I802" s="224" t="s">
        <v>36</v>
      </c>
      <c r="J802" s="224">
        <v>70</v>
      </c>
      <c r="K802" s="227">
        <f t="array" ref="K802">IFERROR(INDEX([1]Grille_Tarifs_Modulable!$B$2:$B$204,MATCH(Tableau14[[#This Row],[Designation]]&amp;Tableau14[[#This Row],[CL]],[1]Grille_Tarifs_Modulable!$C$2:$C$204&amp;[1]Grille_Tarifs_Modulable!$F$2:$F$204,0)),0)</f>
        <v>3257150100792</v>
      </c>
      <c r="L802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78.608643999999998</v>
      </c>
      <c r="M802" s="228">
        <f>IF(Tableau14[[#This Row],[Prix_Unit_HT]]=0,0,Tableau14[[#This Row],[Prix_Unit_HT]]+(Tableau14[[#This Row],[Prix_Unit_HT]]*VLOOKUP(Tableau14[[#This Row],[EAN]],[1]Grille_Tarifs_Modulable!$B$10:$Q$204,16,FALSE)))</f>
        <v>94.330372799999992</v>
      </c>
      <c r="N802" s="224">
        <v>1</v>
      </c>
      <c r="O802" s="228">
        <f>ROUND(Tableau14[[#This Row],[Prix_Unit_HT]],2)*Tableau14[[#This Row],[Qte_commande]]</f>
        <v>78.61</v>
      </c>
      <c r="P802" s="228">
        <f>ROUND(Tableau14[[#This Row],[Prix_Unit_TTC]],2)*Tableau14[[#This Row],[Qte_commande]]</f>
        <v>94.33</v>
      </c>
      <c r="Q802" s="224">
        <v>1</v>
      </c>
      <c r="R802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</v>
      </c>
      <c r="U802" s="224"/>
      <c r="V802" s="224"/>
    </row>
    <row r="803" spans="1:22" ht="14.65" customHeight="1" x14ac:dyDescent="0.2">
      <c r="A803" s="225">
        <v>43193</v>
      </c>
      <c r="B803" s="224" t="s">
        <v>847</v>
      </c>
      <c r="C803" s="224" t="s">
        <v>488</v>
      </c>
      <c r="D803" s="224" t="s">
        <v>489</v>
      </c>
      <c r="E803" s="226"/>
      <c r="G803" s="224" t="s">
        <v>13</v>
      </c>
      <c r="H803" s="224" t="s">
        <v>289</v>
      </c>
      <c r="I803" s="224" t="s">
        <v>31</v>
      </c>
      <c r="J803" s="224">
        <v>70</v>
      </c>
      <c r="K803" s="227">
        <f t="array" ref="K803">IFERROR(INDEX([1]Grille_Tarifs_Modulable!$B$2:$B$204,MATCH(Tableau14[[#This Row],[Designation]]&amp;Tableau14[[#This Row],[CL]],[1]Grille_Tarifs_Modulable!$C$2:$C$204&amp;[1]Grille_Tarifs_Modulable!$F$2:$F$204,0)),0)</f>
        <v>3257150102017</v>
      </c>
      <c r="L803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16.854322</v>
      </c>
      <c r="M803" s="228">
        <f>IF(Tableau14[[#This Row],[Prix_Unit_HT]]=0,0,Tableau14[[#This Row],[Prix_Unit_HT]]+(Tableau14[[#This Row],[Prix_Unit_HT]]*VLOOKUP(Tableau14[[#This Row],[EAN]],[1]Grille_Tarifs_Modulable!$B$10:$Q$204,16,FALSE)))</f>
        <v>20.225186399999998</v>
      </c>
      <c r="N803" s="224">
        <v>1</v>
      </c>
      <c r="O803" s="228">
        <f>ROUND(Tableau14[[#This Row],[Prix_Unit_HT]],2)*Tableau14[[#This Row],[Qte_commande]]</f>
        <v>16.850000000000001</v>
      </c>
      <c r="P803" s="228">
        <f>ROUND(Tableau14[[#This Row],[Prix_Unit_TTC]],2)*Tableau14[[#This Row],[Qte_commande]]</f>
        <v>20.23</v>
      </c>
      <c r="Q803" s="224">
        <v>1</v>
      </c>
      <c r="R803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</v>
      </c>
      <c r="U803" s="224"/>
      <c r="V803" s="224"/>
    </row>
    <row r="804" spans="1:22" ht="14.65" customHeight="1" x14ac:dyDescent="0.2">
      <c r="A804" s="225">
        <v>43194</v>
      </c>
      <c r="B804" s="224" t="s">
        <v>356</v>
      </c>
      <c r="C804" s="224" t="s">
        <v>265</v>
      </c>
      <c r="D804" s="224" t="s">
        <v>266</v>
      </c>
      <c r="E804" s="226"/>
      <c r="G804" s="224" t="s">
        <v>1</v>
      </c>
      <c r="H804" s="224" t="s">
        <v>196</v>
      </c>
      <c r="I804" s="224" t="s">
        <v>65</v>
      </c>
      <c r="J804" s="224">
        <v>20</v>
      </c>
      <c r="K804" s="227">
        <f t="array" ref="K804">IFERROR(INDEX([1]Grille_Tarifs_Modulable!$B$2:$B$204,MATCH(Tableau14[[#This Row],[Designation]]&amp;Tableau14[[#This Row],[CL]],[1]Grille_Tarifs_Modulable!$C$2:$C$204&amp;[1]Grille_Tarifs_Modulable!$F$2:$F$204,0)),0)</f>
        <v>4260310553863</v>
      </c>
      <c r="L804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0.81</v>
      </c>
      <c r="M804" s="228">
        <f>IF(Tableau14[[#This Row],[Prix_Unit_HT]]=0,0,Tableau14[[#This Row],[Prix_Unit_HT]]+(Tableau14[[#This Row],[Prix_Unit_HT]]*VLOOKUP(Tableau14[[#This Row],[EAN]],[1]Grille_Tarifs_Modulable!$B$10:$Q$204,16,FALSE)))</f>
        <v>0.85455000000000003</v>
      </c>
      <c r="N804" s="224">
        <v>48</v>
      </c>
      <c r="O804" s="228">
        <f>ROUND(Tableau14[[#This Row],[Prix_Unit_HT]],2)*Tableau14[[#This Row],[Qte_commande]]</f>
        <v>38.880000000000003</v>
      </c>
      <c r="P804" s="228">
        <f>ROUND(Tableau14[[#This Row],[Prix_Unit_TTC]],2)*Tableau14[[#This Row],[Qte_commande]]</f>
        <v>40.799999999999997</v>
      </c>
      <c r="Q804" s="224">
        <v>13.71</v>
      </c>
      <c r="R804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13.714285714285715</v>
      </c>
      <c r="U804" s="224"/>
      <c r="V804" s="224"/>
    </row>
    <row r="805" spans="1:22" ht="14.65" customHeight="1" x14ac:dyDescent="0.2">
      <c r="A805" s="225">
        <v>43194</v>
      </c>
      <c r="B805" s="224" t="s">
        <v>356</v>
      </c>
      <c r="C805" s="224" t="s">
        <v>265</v>
      </c>
      <c r="D805" s="224" t="s">
        <v>266</v>
      </c>
      <c r="E805" s="226"/>
      <c r="G805" s="224" t="s">
        <v>1</v>
      </c>
      <c r="H805" s="224" t="s">
        <v>196</v>
      </c>
      <c r="I805" s="224" t="s">
        <v>60</v>
      </c>
      <c r="J805" s="224">
        <v>20</v>
      </c>
      <c r="K805" s="227">
        <f t="array" ref="K805">IFERROR(INDEX([1]Grille_Tarifs_Modulable!$B$2:$B$204,MATCH(Tableau14[[#This Row],[Designation]]&amp;Tableau14[[#This Row],[CL]],[1]Grille_Tarifs_Modulable!$C$2:$C$204&amp;[1]Grille_Tarifs_Modulable!$F$2:$F$204,0)),0)</f>
        <v>4260310553832</v>
      </c>
      <c r="L805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0.81</v>
      </c>
      <c r="M805" s="228">
        <f>IF(Tableau14[[#This Row],[Prix_Unit_HT]]=0,0,Tableau14[[#This Row],[Prix_Unit_HT]]+(Tableau14[[#This Row],[Prix_Unit_HT]]*VLOOKUP(Tableau14[[#This Row],[EAN]],[1]Grille_Tarifs_Modulable!$B$10:$Q$204,16,FALSE)))</f>
        <v>0.85455000000000003</v>
      </c>
      <c r="N805" s="224">
        <v>48</v>
      </c>
      <c r="O805" s="228">
        <f>ROUND(Tableau14[[#This Row],[Prix_Unit_HT]],2)*Tableau14[[#This Row],[Qte_commande]]</f>
        <v>38.880000000000003</v>
      </c>
      <c r="P805" s="228">
        <f>ROUND(Tableau14[[#This Row],[Prix_Unit_TTC]],2)*Tableau14[[#This Row],[Qte_commande]]</f>
        <v>40.799999999999997</v>
      </c>
      <c r="Q805" s="224">
        <v>13.71</v>
      </c>
      <c r="R805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13.714285714285715</v>
      </c>
      <c r="U805" s="224"/>
      <c r="V805" s="224"/>
    </row>
    <row r="806" spans="1:22" ht="14.65" customHeight="1" x14ac:dyDescent="0.2">
      <c r="A806" s="225">
        <v>43194</v>
      </c>
      <c r="B806" s="224" t="s">
        <v>356</v>
      </c>
      <c r="C806" s="224" t="s">
        <v>265</v>
      </c>
      <c r="D806" s="224" t="s">
        <v>266</v>
      </c>
      <c r="E806" s="226"/>
      <c r="G806" s="224" t="s">
        <v>1</v>
      </c>
      <c r="H806" s="224" t="s">
        <v>289</v>
      </c>
      <c r="I806" s="224" t="s">
        <v>15</v>
      </c>
      <c r="J806" s="224">
        <v>70</v>
      </c>
      <c r="K806" s="227">
        <f t="array" ref="K806">IFERROR(INDEX([1]Grille_Tarifs_Modulable!$B$2:$B$204,MATCH(Tableau14[[#This Row],[Designation]]&amp;Tableau14[[#This Row],[CL]],[1]Grille_Tarifs_Modulable!$C$2:$C$204&amp;[1]Grille_Tarifs_Modulable!$F$2:$F$204,0)),0)</f>
        <v>4067700013859</v>
      </c>
      <c r="L806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12.532563499999998</v>
      </c>
      <c r="M806" s="228">
        <f>IF(Tableau14[[#This Row],[Prix_Unit_HT]]=0,0,Tableau14[[#This Row],[Prix_Unit_HT]]+(Tableau14[[#This Row],[Prix_Unit_HT]]*VLOOKUP(Tableau14[[#This Row],[EAN]],[1]Grille_Tarifs_Modulable!$B$10:$Q$204,16,FALSE)))</f>
        <v>15.039076199999998</v>
      </c>
      <c r="N806" s="224">
        <v>240</v>
      </c>
      <c r="O806" s="228">
        <f>ROUND(Tableau14[[#This Row],[Prix_Unit_HT]],2)*Tableau14[[#This Row],[Qte_commande]]</f>
        <v>3007.2</v>
      </c>
      <c r="P806" s="228">
        <f>ROUND(Tableau14[[#This Row],[Prix_Unit_TTC]],2)*Tableau14[[#This Row],[Qte_commande]]</f>
        <v>3609.6</v>
      </c>
      <c r="Q806" s="224">
        <v>240</v>
      </c>
      <c r="R806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240.00000000000003</v>
      </c>
      <c r="U806" s="224"/>
      <c r="V806" s="224"/>
    </row>
    <row r="807" spans="1:22" ht="14.65" customHeight="1" x14ac:dyDescent="0.2">
      <c r="A807" s="225">
        <v>43194</v>
      </c>
      <c r="B807" s="224" t="s">
        <v>888</v>
      </c>
      <c r="C807" s="224" t="s">
        <v>660</v>
      </c>
      <c r="D807" s="224" t="s">
        <v>209</v>
      </c>
      <c r="E807" s="226"/>
      <c r="G807" s="224" t="s">
        <v>1</v>
      </c>
      <c r="H807" s="224" t="s">
        <v>289</v>
      </c>
      <c r="I807" s="224" t="s">
        <v>31</v>
      </c>
      <c r="J807" s="224">
        <v>70</v>
      </c>
      <c r="K807" s="227">
        <f t="array" ref="K807">IFERROR(INDEX([1]Grille_Tarifs_Modulable!$B$2:$B$204,MATCH(Tableau14[[#This Row],[Designation]]&amp;Tableau14[[#This Row],[CL]],[1]Grille_Tarifs_Modulable!$C$2:$C$204&amp;[1]Grille_Tarifs_Modulable!$F$2:$F$204,0)),0)</f>
        <v>3257150102017</v>
      </c>
      <c r="L807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14.694322</v>
      </c>
      <c r="M807" s="228">
        <f>IF(Tableau14[[#This Row],[Prix_Unit_HT]]=0,0,Tableau14[[#This Row],[Prix_Unit_HT]]+(Tableau14[[#This Row],[Prix_Unit_HT]]*VLOOKUP(Tableau14[[#This Row],[EAN]],[1]Grille_Tarifs_Modulable!$B$10:$Q$204,16,FALSE)))</f>
        <v>17.6331864</v>
      </c>
      <c r="N807" s="224">
        <v>12</v>
      </c>
      <c r="O807" s="228">
        <f>ROUND(Tableau14[[#This Row],[Prix_Unit_HT]],2)*Tableau14[[#This Row],[Qte_commande]]</f>
        <v>176.28</v>
      </c>
      <c r="P807" s="228">
        <f>ROUND(Tableau14[[#This Row],[Prix_Unit_TTC]],2)*Tableau14[[#This Row],[Qte_commande]]</f>
        <v>211.56</v>
      </c>
      <c r="Q807" s="224">
        <v>12</v>
      </c>
      <c r="R807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12.000000000000002</v>
      </c>
      <c r="U807" s="224"/>
      <c r="V807" s="224"/>
    </row>
    <row r="808" spans="1:22" ht="14.65" customHeight="1" x14ac:dyDescent="0.2">
      <c r="A808" s="225">
        <v>43194</v>
      </c>
      <c r="B808" s="224" t="s">
        <v>356</v>
      </c>
      <c r="C808" s="224" t="s">
        <v>265</v>
      </c>
      <c r="D808" s="224" t="s">
        <v>266</v>
      </c>
      <c r="E808" s="226"/>
      <c r="G808" s="224" t="s">
        <v>1</v>
      </c>
      <c r="H808" s="224" t="s">
        <v>289</v>
      </c>
      <c r="I808" s="224" t="s">
        <v>44</v>
      </c>
      <c r="J808" s="224">
        <v>50</v>
      </c>
      <c r="K808" s="227">
        <f t="array" ref="K808">IFERROR(INDEX([1]Grille_Tarifs_Modulable!$B$2:$B$204,MATCH(Tableau14[[#This Row],[Designation]]&amp;Tableau14[[#This Row],[CL]],[1]Grille_Tarifs_Modulable!$C$2:$C$204&amp;[1]Grille_Tarifs_Modulable!$F$2:$F$204,0)),0)</f>
        <v>4260270192645</v>
      </c>
      <c r="L808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25.192506000000002</v>
      </c>
      <c r="M808" s="228">
        <f>IF(Tableau14[[#This Row],[Prix_Unit_HT]]=0,0,Tableau14[[#This Row],[Prix_Unit_HT]]+(Tableau14[[#This Row],[Prix_Unit_HT]]*VLOOKUP(Tableau14[[#This Row],[EAN]],[1]Grille_Tarifs_Modulable!$B$10:$Q$204,16,FALSE)))</f>
        <v>30.231007200000001</v>
      </c>
      <c r="N808" s="224">
        <v>6</v>
      </c>
      <c r="O808" s="228">
        <f>ROUND(Tableau14[[#This Row],[Prix_Unit_HT]],2)*Tableau14[[#This Row],[Qte_commande]]</f>
        <v>151.14000000000001</v>
      </c>
      <c r="P808" s="228">
        <f>ROUND(Tableau14[[#This Row],[Prix_Unit_TTC]],2)*Tableau14[[#This Row],[Qte_commande]]</f>
        <v>181.38</v>
      </c>
      <c r="Q808" s="224">
        <v>4.29</v>
      </c>
      <c r="R808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4.2857142857142856</v>
      </c>
      <c r="U808" s="224"/>
      <c r="V808" s="224"/>
    </row>
    <row r="809" spans="1:22" ht="14.65" customHeight="1" x14ac:dyDescent="0.2">
      <c r="A809" s="225">
        <v>43194</v>
      </c>
      <c r="B809" s="224" t="s">
        <v>356</v>
      </c>
      <c r="C809" s="224" t="s">
        <v>265</v>
      </c>
      <c r="D809" s="224" t="s">
        <v>266</v>
      </c>
      <c r="E809" s="226"/>
      <c r="G809" s="224" t="s">
        <v>1</v>
      </c>
      <c r="H809" s="224" t="s">
        <v>196</v>
      </c>
      <c r="I809" s="224" t="s">
        <v>59</v>
      </c>
      <c r="J809" s="224">
        <v>20</v>
      </c>
      <c r="K809" s="227">
        <f t="array" ref="K809">IFERROR(INDEX([1]Grille_Tarifs_Modulable!$B$2:$B$204,MATCH(Tableau14[[#This Row],[Designation]]&amp;Tableau14[[#This Row],[CL]],[1]Grille_Tarifs_Modulable!$C$2:$C$204&amp;[1]Grille_Tarifs_Modulable!$F$2:$F$204,0)),0)</f>
        <v>4260310553818</v>
      </c>
      <c r="L809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0.81</v>
      </c>
      <c r="M809" s="228">
        <f>IF(Tableau14[[#This Row],[Prix_Unit_HT]]=0,0,Tableau14[[#This Row],[Prix_Unit_HT]]+(Tableau14[[#This Row],[Prix_Unit_HT]]*VLOOKUP(Tableau14[[#This Row],[EAN]],[1]Grille_Tarifs_Modulable!$B$10:$Q$204,16,FALSE)))</f>
        <v>0.85455000000000003</v>
      </c>
      <c r="N809" s="224">
        <v>144</v>
      </c>
      <c r="O809" s="228">
        <f>ROUND(Tableau14[[#This Row],[Prix_Unit_HT]],2)*Tableau14[[#This Row],[Qte_commande]]</f>
        <v>116.64000000000001</v>
      </c>
      <c r="P809" s="228">
        <f>ROUND(Tableau14[[#This Row],[Prix_Unit_TTC]],2)*Tableau14[[#This Row],[Qte_commande]]</f>
        <v>122.39999999999999</v>
      </c>
      <c r="Q809" s="224">
        <v>41.14</v>
      </c>
      <c r="R809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41.142857142857146</v>
      </c>
      <c r="U809" s="224"/>
      <c r="V809" s="224"/>
    </row>
    <row r="810" spans="1:22" ht="14.65" customHeight="1" x14ac:dyDescent="0.2">
      <c r="A810" s="225">
        <v>43195</v>
      </c>
      <c r="B810" s="224" t="s">
        <v>323</v>
      </c>
      <c r="C810" s="224" t="s">
        <v>324</v>
      </c>
      <c r="D810" s="224" t="s">
        <v>209</v>
      </c>
      <c r="E810" s="226"/>
      <c r="G810" s="224" t="s">
        <v>1</v>
      </c>
      <c r="H810" s="224" t="s">
        <v>289</v>
      </c>
      <c r="I810" s="224" t="s">
        <v>22</v>
      </c>
      <c r="J810" s="224">
        <v>70</v>
      </c>
      <c r="K810" s="227">
        <f t="array" ref="K810">IFERROR(INDEX([1]Grille_Tarifs_Modulable!$B$2:$B$204,MATCH(Tableau14[[#This Row],[Designation]]&amp;Tableau14[[#This Row],[CL]],[1]Grille_Tarifs_Modulable!$C$2:$C$204&amp;[1]Grille_Tarifs_Modulable!$F$2:$F$204,0)),0)</f>
        <v>4055800060200</v>
      </c>
      <c r="L810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17.408644000000002</v>
      </c>
      <c r="M810" s="228">
        <f>IF(Tableau14[[#This Row],[Prix_Unit_HT]]=0,0,Tableau14[[#This Row],[Prix_Unit_HT]]+(Tableau14[[#This Row],[Prix_Unit_HT]]*VLOOKUP(Tableau14[[#This Row],[EAN]],[1]Grille_Tarifs_Modulable!$B$10:$Q$204,16,FALSE)))</f>
        <v>20.890372800000002</v>
      </c>
      <c r="N810" s="224">
        <v>6</v>
      </c>
      <c r="O810" s="228">
        <f>ROUND(Tableau14[[#This Row],[Prix_Unit_HT]],2)*Tableau14[[#This Row],[Qte_commande]]</f>
        <v>104.46000000000001</v>
      </c>
      <c r="P810" s="228">
        <f>ROUND(Tableau14[[#This Row],[Prix_Unit_TTC]],2)*Tableau14[[#This Row],[Qte_commande]]</f>
        <v>125.34</v>
      </c>
      <c r="Q810" s="224">
        <v>6</v>
      </c>
      <c r="R810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6.0000000000000009</v>
      </c>
      <c r="U810" s="224"/>
      <c r="V810" s="224"/>
    </row>
    <row r="811" spans="1:22" ht="14.65" customHeight="1" x14ac:dyDescent="0.2">
      <c r="A811" s="225">
        <v>43195</v>
      </c>
      <c r="B811" s="224" t="s">
        <v>671</v>
      </c>
      <c r="C811" s="224" t="s">
        <v>639</v>
      </c>
      <c r="D811" s="224" t="s">
        <v>373</v>
      </c>
      <c r="E811" s="226"/>
      <c r="G811" s="224" t="s">
        <v>1</v>
      </c>
      <c r="H811" s="224" t="s">
        <v>289</v>
      </c>
      <c r="I811" s="224" t="s">
        <v>15</v>
      </c>
      <c r="J811" s="224">
        <v>70</v>
      </c>
      <c r="K811" s="227">
        <f t="array" ref="K811">IFERROR(INDEX([1]Grille_Tarifs_Modulable!$B$2:$B$204,MATCH(Tableau14[[#This Row],[Designation]]&amp;Tableau14[[#This Row],[CL]],[1]Grille_Tarifs_Modulable!$C$2:$C$204&amp;[1]Grille_Tarifs_Modulable!$F$2:$F$204,0)),0)</f>
        <v>4067700013859</v>
      </c>
      <c r="L811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12.532563499999998</v>
      </c>
      <c r="M811" s="228">
        <f>IF(Tableau14[[#This Row],[Prix_Unit_HT]]=0,0,Tableau14[[#This Row],[Prix_Unit_HT]]+(Tableau14[[#This Row],[Prix_Unit_HT]]*VLOOKUP(Tableau14[[#This Row],[EAN]],[1]Grille_Tarifs_Modulable!$B$10:$Q$204,16,FALSE)))</f>
        <v>15.039076199999998</v>
      </c>
      <c r="N811" s="224">
        <v>150</v>
      </c>
      <c r="O811" s="228">
        <f>ROUND(Tableau14[[#This Row],[Prix_Unit_HT]],2)*Tableau14[[#This Row],[Qte_commande]]</f>
        <v>1879.5</v>
      </c>
      <c r="P811" s="228">
        <f>ROUND(Tableau14[[#This Row],[Prix_Unit_TTC]],2)*Tableau14[[#This Row],[Qte_commande]]</f>
        <v>2256</v>
      </c>
      <c r="Q811" s="224">
        <v>150</v>
      </c>
      <c r="R811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150</v>
      </c>
      <c r="U811" s="224"/>
      <c r="V811" s="224"/>
    </row>
    <row r="812" spans="1:22" ht="14.65" customHeight="1" x14ac:dyDescent="0.2">
      <c r="A812" s="225">
        <v>43195</v>
      </c>
      <c r="B812" s="224" t="s">
        <v>323</v>
      </c>
      <c r="C812" s="224" t="s">
        <v>324</v>
      </c>
      <c r="D812" s="224" t="s">
        <v>209</v>
      </c>
      <c r="E812" s="226"/>
      <c r="G812" s="224" t="s">
        <v>1</v>
      </c>
      <c r="H812" s="224" t="s">
        <v>289</v>
      </c>
      <c r="I812" s="224" t="s">
        <v>15</v>
      </c>
      <c r="J812" s="224">
        <v>100</v>
      </c>
      <c r="K812" s="227">
        <f t="array" ref="K812">IFERROR(INDEX([1]Grille_Tarifs_Modulable!$B$2:$B$204,MATCH(Tableau14[[#This Row],[Designation]]&amp;Tableau14[[#This Row],[CL]],[1]Grille_Tarifs_Modulable!$C$2:$C$204&amp;[1]Grille_Tarifs_Modulable!$F$2:$F$204,0)),0)</f>
        <v>4067700013842</v>
      </c>
      <c r="L812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17.100804999999998</v>
      </c>
      <c r="M812" s="228">
        <f>IF(Tableau14[[#This Row],[Prix_Unit_HT]]=0,0,Tableau14[[#This Row],[Prix_Unit_HT]]+(Tableau14[[#This Row],[Prix_Unit_HT]]*VLOOKUP(Tableau14[[#This Row],[EAN]],[1]Grille_Tarifs_Modulable!$B$10:$Q$204,16,FALSE)))</f>
        <v>20.520965999999998</v>
      </c>
      <c r="N812" s="224">
        <v>6</v>
      </c>
      <c r="O812" s="228">
        <f>ROUND(Tableau14[[#This Row],[Prix_Unit_HT]],2)*Tableau14[[#This Row],[Qte_commande]]</f>
        <v>102.60000000000001</v>
      </c>
      <c r="P812" s="228">
        <f>ROUND(Tableau14[[#This Row],[Prix_Unit_TTC]],2)*Tableau14[[#This Row],[Qte_commande]]</f>
        <v>123.12</v>
      </c>
      <c r="Q812" s="224">
        <v>8.57</v>
      </c>
      <c r="R812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8.5714285714285712</v>
      </c>
      <c r="U812" s="224"/>
      <c r="V812" s="224"/>
    </row>
    <row r="813" spans="1:22" ht="14.65" customHeight="1" x14ac:dyDescent="0.2">
      <c r="A813" s="225">
        <v>43195</v>
      </c>
      <c r="B813" s="224" t="s">
        <v>323</v>
      </c>
      <c r="C813" s="224" t="s">
        <v>324</v>
      </c>
      <c r="D813" s="224" t="s">
        <v>209</v>
      </c>
      <c r="E813" s="226"/>
      <c r="G813" s="224" t="s">
        <v>1</v>
      </c>
      <c r="H813" s="224" t="s">
        <v>289</v>
      </c>
      <c r="I813" s="224" t="s">
        <v>15</v>
      </c>
      <c r="J813" s="224">
        <v>175</v>
      </c>
      <c r="K813" s="227">
        <f t="array" ref="K813">IFERROR(INDEX([1]Grille_Tarifs_Modulable!$B$2:$B$204,MATCH(Tableau14[[#This Row],[Designation]]&amp;Tableau14[[#This Row],[CL]],[1]Grille_Tarifs_Modulable!$C$2:$C$204&amp;[1]Grille_Tarifs_Modulable!$F$2:$F$204,0)),0)</f>
        <v>4067700013835</v>
      </c>
      <c r="L813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28.916408750000002</v>
      </c>
      <c r="M813" s="228">
        <f>IF(Tableau14[[#This Row],[Prix_Unit_HT]]=0,0,Tableau14[[#This Row],[Prix_Unit_HT]]+(Tableau14[[#This Row],[Prix_Unit_HT]]*VLOOKUP(Tableau14[[#This Row],[EAN]],[1]Grille_Tarifs_Modulable!$B$10:$Q$204,16,FALSE)))</f>
        <v>34.699690500000003</v>
      </c>
      <c r="N813" s="224">
        <v>30</v>
      </c>
      <c r="O813" s="228">
        <f>ROUND(Tableau14[[#This Row],[Prix_Unit_HT]],2)*Tableau14[[#This Row],[Qte_commande]]</f>
        <v>867.6</v>
      </c>
      <c r="P813" s="228">
        <f>ROUND(Tableau14[[#This Row],[Prix_Unit_TTC]],2)*Tableau14[[#This Row],[Qte_commande]]</f>
        <v>1041</v>
      </c>
      <c r="Q813" s="224">
        <v>75</v>
      </c>
      <c r="R813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75</v>
      </c>
      <c r="U813" s="224"/>
      <c r="V813" s="224"/>
    </row>
    <row r="814" spans="1:22" ht="14.65" customHeight="1" x14ac:dyDescent="0.2">
      <c r="A814" s="225">
        <v>43195</v>
      </c>
      <c r="B814" s="224" t="s">
        <v>323</v>
      </c>
      <c r="C814" s="224" t="s">
        <v>324</v>
      </c>
      <c r="D814" s="224" t="s">
        <v>209</v>
      </c>
      <c r="E814" s="226"/>
      <c r="G814" s="224" t="s">
        <v>1</v>
      </c>
      <c r="H814" s="224" t="s">
        <v>289</v>
      </c>
      <c r="I814" s="224" t="s">
        <v>20</v>
      </c>
      <c r="J814" s="224">
        <v>70</v>
      </c>
      <c r="K814" s="227">
        <f t="array" ref="K814">IFERROR(INDEX([1]Grille_Tarifs_Modulable!$B$2:$B$204,MATCH(Tableau14[[#This Row],[Designation]]&amp;Tableau14[[#This Row],[CL]],[1]Grille_Tarifs_Modulable!$C$2:$C$204&amp;[1]Grille_Tarifs_Modulable!$F$2:$F$204,0)),0)</f>
        <v>8017450002104</v>
      </c>
      <c r="L814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14.266482999999999</v>
      </c>
      <c r="M814" s="228">
        <f>IF(Tableau14[[#This Row],[Prix_Unit_HT]]=0,0,Tableau14[[#This Row],[Prix_Unit_HT]]+(Tableau14[[#This Row],[Prix_Unit_HT]]*VLOOKUP(Tableau14[[#This Row],[EAN]],[1]Grille_Tarifs_Modulable!$B$10:$Q$204,16,FALSE)))</f>
        <v>17.119779600000001</v>
      </c>
      <c r="N814" s="224">
        <v>6</v>
      </c>
      <c r="O814" s="228">
        <f>ROUND(Tableau14[[#This Row],[Prix_Unit_HT]],2)*Tableau14[[#This Row],[Qte_commande]]</f>
        <v>85.62</v>
      </c>
      <c r="P814" s="228">
        <f>ROUND(Tableau14[[#This Row],[Prix_Unit_TTC]],2)*Tableau14[[#This Row],[Qte_commande]]</f>
        <v>102.72</v>
      </c>
      <c r="Q814" s="224">
        <v>6</v>
      </c>
      <c r="R814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6.0000000000000009</v>
      </c>
      <c r="U814" s="224"/>
      <c r="V814" s="224"/>
    </row>
    <row r="815" spans="1:22" ht="14.65" customHeight="1" x14ac:dyDescent="0.2">
      <c r="A815" s="225">
        <v>43195</v>
      </c>
      <c r="B815" s="224" t="s">
        <v>323</v>
      </c>
      <c r="C815" s="224" t="s">
        <v>324</v>
      </c>
      <c r="D815" s="224" t="s">
        <v>209</v>
      </c>
      <c r="E815" s="226"/>
      <c r="G815" s="224" t="s">
        <v>1</v>
      </c>
      <c r="H815" s="224" t="s">
        <v>289</v>
      </c>
      <c r="I815" s="224" t="s">
        <v>30</v>
      </c>
      <c r="J815" s="224">
        <v>70</v>
      </c>
      <c r="K815" s="227">
        <f t="array" ref="K815">IFERROR(INDEX([1]Grille_Tarifs_Modulable!$B$2:$B$204,MATCH(Tableau14[[#This Row],[Designation]]&amp;Tableau14[[#This Row],[CL]],[1]Grille_Tarifs_Modulable!$C$2:$C$204&amp;[1]Grille_Tarifs_Modulable!$F$2:$F$204,0)),0)</f>
        <v>3257150101904</v>
      </c>
      <c r="L815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16.346482999999999</v>
      </c>
      <c r="M815" s="228">
        <f>IF(Tableau14[[#This Row],[Prix_Unit_HT]]=0,0,Tableau14[[#This Row],[Prix_Unit_HT]]+(Tableau14[[#This Row],[Prix_Unit_HT]]*VLOOKUP(Tableau14[[#This Row],[EAN]],[1]Grille_Tarifs_Modulable!$B$10:$Q$204,16,FALSE)))</f>
        <v>19.6157796</v>
      </c>
      <c r="N815" s="224">
        <v>6</v>
      </c>
      <c r="O815" s="228">
        <f>ROUND(Tableau14[[#This Row],[Prix_Unit_HT]],2)*Tableau14[[#This Row],[Qte_commande]]</f>
        <v>98.100000000000009</v>
      </c>
      <c r="P815" s="228">
        <f>ROUND(Tableau14[[#This Row],[Prix_Unit_TTC]],2)*Tableau14[[#This Row],[Qte_commande]]</f>
        <v>117.72</v>
      </c>
      <c r="Q815" s="224">
        <v>6</v>
      </c>
      <c r="R815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6.0000000000000009</v>
      </c>
      <c r="U815" s="224"/>
      <c r="V815" s="224"/>
    </row>
    <row r="816" spans="1:22" ht="14.65" customHeight="1" x14ac:dyDescent="0.2">
      <c r="A816" s="225">
        <v>43195</v>
      </c>
      <c r="B816" s="224" t="s">
        <v>323</v>
      </c>
      <c r="C816" s="224" t="s">
        <v>324</v>
      </c>
      <c r="D816" s="224" t="s">
        <v>209</v>
      </c>
      <c r="E816" s="226"/>
      <c r="G816" s="224" t="s">
        <v>1</v>
      </c>
      <c r="H816" s="224" t="s">
        <v>289</v>
      </c>
      <c r="I816" s="224" t="s">
        <v>31</v>
      </c>
      <c r="J816" s="224">
        <v>70</v>
      </c>
      <c r="K816" s="227">
        <f t="array" ref="K816">IFERROR(INDEX([1]Grille_Tarifs_Modulable!$B$2:$B$204,MATCH(Tableau14[[#This Row],[Designation]]&amp;Tableau14[[#This Row],[CL]],[1]Grille_Tarifs_Modulable!$C$2:$C$204&amp;[1]Grille_Tarifs_Modulable!$F$2:$F$204,0)),0)</f>
        <v>3257150102017</v>
      </c>
      <c r="L816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14.694322</v>
      </c>
      <c r="M816" s="228">
        <f>IF(Tableau14[[#This Row],[Prix_Unit_HT]]=0,0,Tableau14[[#This Row],[Prix_Unit_HT]]+(Tableau14[[#This Row],[Prix_Unit_HT]]*VLOOKUP(Tableau14[[#This Row],[EAN]],[1]Grille_Tarifs_Modulable!$B$10:$Q$204,16,FALSE)))</f>
        <v>17.6331864</v>
      </c>
      <c r="N816" s="224">
        <v>6</v>
      </c>
      <c r="O816" s="228">
        <f>ROUND(Tableau14[[#This Row],[Prix_Unit_HT]],2)*Tableau14[[#This Row],[Qte_commande]]</f>
        <v>88.14</v>
      </c>
      <c r="P816" s="228">
        <f>ROUND(Tableau14[[#This Row],[Prix_Unit_TTC]],2)*Tableau14[[#This Row],[Qte_commande]]</f>
        <v>105.78</v>
      </c>
      <c r="Q816" s="224">
        <v>6</v>
      </c>
      <c r="R816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6.0000000000000009</v>
      </c>
      <c r="U816" s="224"/>
      <c r="V816" s="224"/>
    </row>
    <row r="817" spans="1:22" ht="14.65" customHeight="1" x14ac:dyDescent="0.2">
      <c r="A817" s="225">
        <v>43195</v>
      </c>
      <c r="B817" s="224" t="s">
        <v>323</v>
      </c>
      <c r="C817" s="224" t="s">
        <v>324</v>
      </c>
      <c r="D817" s="224" t="s">
        <v>209</v>
      </c>
      <c r="E817" s="226"/>
      <c r="G817" s="224" t="s">
        <v>1</v>
      </c>
      <c r="H817" s="224" t="s">
        <v>289</v>
      </c>
      <c r="I817" s="224" t="s">
        <v>17</v>
      </c>
      <c r="J817" s="224">
        <v>100</v>
      </c>
      <c r="K817" s="227">
        <f t="array" ref="K817">IFERROR(INDEX([1]Grille_Tarifs_Modulable!$B$2:$B$204,MATCH(Tableau14[[#This Row],[Designation]]&amp;Tableau14[[#This Row],[CL]],[1]Grille_Tarifs_Modulable!$C$2:$C$204&amp;[1]Grille_Tarifs_Modulable!$F$2:$F$204,0)),0)</f>
        <v>8002095200039</v>
      </c>
      <c r="L817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20.79092</v>
      </c>
      <c r="M817" s="228">
        <f>IF(Tableau14[[#This Row],[Prix_Unit_HT]]=0,0,Tableau14[[#This Row],[Prix_Unit_HT]]+(Tableau14[[#This Row],[Prix_Unit_HT]]*VLOOKUP(Tableau14[[#This Row],[EAN]],[1]Grille_Tarifs_Modulable!$B$10:$Q$204,16,FALSE)))</f>
        <v>24.949103999999998</v>
      </c>
      <c r="N817" s="224">
        <v>12</v>
      </c>
      <c r="O817" s="228">
        <f>ROUND(Tableau14[[#This Row],[Prix_Unit_HT]],2)*Tableau14[[#This Row],[Qte_commande]]</f>
        <v>249.48</v>
      </c>
      <c r="P817" s="228">
        <f>ROUND(Tableau14[[#This Row],[Prix_Unit_TTC]],2)*Tableau14[[#This Row],[Qte_commande]]</f>
        <v>299.39999999999998</v>
      </c>
      <c r="Q817" s="224">
        <v>17.14</v>
      </c>
      <c r="R817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17.142857142857142</v>
      </c>
      <c r="U817" s="224"/>
      <c r="V817" s="224"/>
    </row>
    <row r="818" spans="1:22" ht="14.65" customHeight="1" x14ac:dyDescent="0.2">
      <c r="A818" s="225">
        <v>43195</v>
      </c>
      <c r="B818" s="224" t="s">
        <v>323</v>
      </c>
      <c r="C818" s="224" t="s">
        <v>324</v>
      </c>
      <c r="D818" s="224" t="s">
        <v>209</v>
      </c>
      <c r="E818" s="226"/>
      <c r="G818" s="224" t="s">
        <v>1</v>
      </c>
      <c r="H818" s="224" t="s">
        <v>289</v>
      </c>
      <c r="I818" s="224" t="s">
        <v>25</v>
      </c>
      <c r="J818" s="224">
        <v>100</v>
      </c>
      <c r="K818" s="227">
        <f t="array" ref="K818">IFERROR(INDEX([1]Grille_Tarifs_Modulable!$B$2:$B$204,MATCH(Tableau14[[#This Row],[Designation]]&amp;Tableau14[[#This Row],[CL]],[1]Grille_Tarifs_Modulable!$C$2:$C$204&amp;[1]Grille_Tarifs_Modulable!$F$2:$F$204,0)),0)</f>
        <v>3257150410167</v>
      </c>
      <c r="L818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15.778874</v>
      </c>
      <c r="M818" s="228">
        <f>IF(Tableau14[[#This Row],[Prix_Unit_HT]]=0,0,Tableau14[[#This Row],[Prix_Unit_HT]]+(Tableau14[[#This Row],[Prix_Unit_HT]]*VLOOKUP(Tableau14[[#This Row],[EAN]],[1]Grille_Tarifs_Modulable!$B$10:$Q$204,16,FALSE)))</f>
        <v>18.934648800000002</v>
      </c>
      <c r="N818" s="224">
        <v>12</v>
      </c>
      <c r="O818" s="228">
        <f>ROUND(Tableau14[[#This Row],[Prix_Unit_HT]],2)*Tableau14[[#This Row],[Qte_commande]]</f>
        <v>189.35999999999999</v>
      </c>
      <c r="P818" s="228">
        <f>ROUND(Tableau14[[#This Row],[Prix_Unit_TTC]],2)*Tableau14[[#This Row],[Qte_commande]]</f>
        <v>227.16</v>
      </c>
      <c r="Q818" s="224">
        <v>17.14</v>
      </c>
      <c r="R818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17.142857142857142</v>
      </c>
      <c r="U818" s="224"/>
      <c r="V818" s="224"/>
    </row>
    <row r="819" spans="1:22" ht="14.65" customHeight="1" x14ac:dyDescent="0.2">
      <c r="A819" s="225">
        <v>43199</v>
      </c>
      <c r="B819" s="224" t="s">
        <v>325</v>
      </c>
      <c r="C819" s="224" t="s">
        <v>324</v>
      </c>
      <c r="D819" s="224" t="s">
        <v>209</v>
      </c>
      <c r="E819" s="226"/>
      <c r="G819" s="224" t="s">
        <v>1</v>
      </c>
      <c r="H819" s="224" t="s">
        <v>289</v>
      </c>
      <c r="I819" s="224" t="s">
        <v>22</v>
      </c>
      <c r="J819" s="224">
        <v>70</v>
      </c>
      <c r="K819" s="227">
        <f t="array" ref="K819">IFERROR(INDEX([1]Grille_Tarifs_Modulable!$B$2:$B$204,MATCH(Tableau14[[#This Row],[Designation]]&amp;Tableau14[[#This Row],[CL]],[1]Grille_Tarifs_Modulable!$C$2:$C$204&amp;[1]Grille_Tarifs_Modulable!$F$2:$F$204,0)),0)</f>
        <v>4055800060200</v>
      </c>
      <c r="L819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17.408644000000002</v>
      </c>
      <c r="M819" s="228">
        <f>IF(Tableau14[[#This Row],[Prix_Unit_HT]]=0,0,Tableau14[[#This Row],[Prix_Unit_HT]]+(Tableau14[[#This Row],[Prix_Unit_HT]]*VLOOKUP(Tableau14[[#This Row],[EAN]],[1]Grille_Tarifs_Modulable!$B$10:$Q$204,16,FALSE)))</f>
        <v>20.890372800000002</v>
      </c>
      <c r="N819" s="224">
        <v>0</v>
      </c>
      <c r="O819" s="228">
        <f>ROUND(Tableau14[[#This Row],[Prix_Unit_HT]],2)*Tableau14[[#This Row],[Qte_commande]]</f>
        <v>0</v>
      </c>
      <c r="P819" s="228">
        <f>ROUND(Tableau14[[#This Row],[Prix_Unit_TTC]],2)*Tableau14[[#This Row],[Qte_commande]]</f>
        <v>0</v>
      </c>
      <c r="Q819" s="224">
        <v>0</v>
      </c>
      <c r="R819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0</v>
      </c>
      <c r="U819" s="224"/>
      <c r="V819" s="224"/>
    </row>
    <row r="820" spans="1:22" ht="14.65" customHeight="1" x14ac:dyDescent="0.2">
      <c r="A820" s="225">
        <v>43199</v>
      </c>
      <c r="B820" s="224" t="s">
        <v>325</v>
      </c>
      <c r="C820" s="224" t="s">
        <v>324</v>
      </c>
      <c r="D820" s="224" t="s">
        <v>209</v>
      </c>
      <c r="E820" s="226"/>
      <c r="G820" s="224" t="s">
        <v>1</v>
      </c>
      <c r="H820" s="224" t="s">
        <v>289</v>
      </c>
      <c r="I820" s="224" t="s">
        <v>15</v>
      </c>
      <c r="J820" s="224">
        <v>100</v>
      </c>
      <c r="K820" s="227">
        <f t="array" ref="K820">IFERROR(INDEX([1]Grille_Tarifs_Modulable!$B$2:$B$204,MATCH(Tableau14[[#This Row],[Designation]]&amp;Tableau14[[#This Row],[CL]],[1]Grille_Tarifs_Modulable!$C$2:$C$204&amp;[1]Grille_Tarifs_Modulable!$F$2:$F$204,0)),0)</f>
        <v>4067700013842</v>
      </c>
      <c r="L820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17.100804999999998</v>
      </c>
      <c r="M820" s="228">
        <f>IF(Tableau14[[#This Row],[Prix_Unit_HT]]=0,0,Tableau14[[#This Row],[Prix_Unit_HT]]+(Tableau14[[#This Row],[Prix_Unit_HT]]*VLOOKUP(Tableau14[[#This Row],[EAN]],[1]Grille_Tarifs_Modulable!$B$10:$Q$204,16,FALSE)))</f>
        <v>20.520965999999998</v>
      </c>
      <c r="N820" s="224">
        <v>0</v>
      </c>
      <c r="O820" s="228">
        <f>ROUND(Tableau14[[#This Row],[Prix_Unit_HT]],2)*Tableau14[[#This Row],[Qte_commande]]</f>
        <v>0</v>
      </c>
      <c r="P820" s="228">
        <f>ROUND(Tableau14[[#This Row],[Prix_Unit_TTC]],2)*Tableau14[[#This Row],[Qte_commande]]</f>
        <v>0</v>
      </c>
      <c r="Q820" s="224">
        <v>0</v>
      </c>
      <c r="R820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0</v>
      </c>
      <c r="U820" s="224"/>
      <c r="V820" s="224"/>
    </row>
    <row r="821" spans="1:22" ht="14.65" customHeight="1" x14ac:dyDescent="0.2">
      <c r="A821" s="225">
        <v>43199</v>
      </c>
      <c r="B821" s="224" t="s">
        <v>672</v>
      </c>
      <c r="C821" s="224" t="s">
        <v>301</v>
      </c>
      <c r="D821" s="224" t="s">
        <v>302</v>
      </c>
      <c r="E821" s="226"/>
      <c r="G821" s="224" t="s">
        <v>1</v>
      </c>
      <c r="H821" s="224" t="s">
        <v>289</v>
      </c>
      <c r="I821" s="224" t="s">
        <v>15</v>
      </c>
      <c r="J821" s="224">
        <v>100</v>
      </c>
      <c r="K821" s="227">
        <f t="array" ref="K821">IFERROR(INDEX([1]Grille_Tarifs_Modulable!$B$2:$B$204,MATCH(Tableau14[[#This Row],[Designation]]&amp;Tableau14[[#This Row],[CL]],[1]Grille_Tarifs_Modulable!$C$2:$C$204&amp;[1]Grille_Tarifs_Modulable!$F$2:$F$204,0)),0)</f>
        <v>4067700013842</v>
      </c>
      <c r="L821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17.100804999999998</v>
      </c>
      <c r="M821" s="228">
        <f>IF(Tableau14[[#This Row],[Prix_Unit_HT]]=0,0,Tableau14[[#This Row],[Prix_Unit_HT]]+(Tableau14[[#This Row],[Prix_Unit_HT]]*VLOOKUP(Tableau14[[#This Row],[EAN]],[1]Grille_Tarifs_Modulable!$B$10:$Q$204,16,FALSE)))</f>
        <v>20.520965999999998</v>
      </c>
      <c r="N821" s="224">
        <v>150</v>
      </c>
      <c r="O821" s="228">
        <f>ROUND(Tableau14[[#This Row],[Prix_Unit_HT]],2)*Tableau14[[#This Row],[Qte_commande]]</f>
        <v>2565</v>
      </c>
      <c r="P821" s="228">
        <f>ROUND(Tableau14[[#This Row],[Prix_Unit_TTC]],2)*Tableau14[[#This Row],[Qte_commande]]</f>
        <v>3078</v>
      </c>
      <c r="Q821" s="224">
        <v>214.29</v>
      </c>
      <c r="R821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214.28571428571431</v>
      </c>
      <c r="U821" s="224"/>
      <c r="V821" s="224"/>
    </row>
    <row r="822" spans="1:22" ht="14.65" customHeight="1" x14ac:dyDescent="0.2">
      <c r="A822" s="225">
        <v>43199</v>
      </c>
      <c r="B822" s="224" t="s">
        <v>673</v>
      </c>
      <c r="C822" s="224" t="s">
        <v>159</v>
      </c>
      <c r="D822" s="224" t="s">
        <v>209</v>
      </c>
      <c r="E822" s="226"/>
      <c r="G822" s="224" t="s">
        <v>1</v>
      </c>
      <c r="H822" s="224" t="s">
        <v>289</v>
      </c>
      <c r="I822" s="224" t="s">
        <v>15</v>
      </c>
      <c r="J822" s="224">
        <v>100</v>
      </c>
      <c r="K822" s="227">
        <f t="array" ref="K822">IFERROR(INDEX([1]Grille_Tarifs_Modulable!$B$2:$B$204,MATCH(Tableau14[[#This Row],[Designation]]&amp;Tableau14[[#This Row],[CL]],[1]Grille_Tarifs_Modulable!$C$2:$C$204&amp;[1]Grille_Tarifs_Modulable!$F$2:$F$204,0)),0)</f>
        <v>4067700013842</v>
      </c>
      <c r="L822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17.100804999999998</v>
      </c>
      <c r="M822" s="228">
        <f>IF(Tableau14[[#This Row],[Prix_Unit_HT]]=0,0,Tableau14[[#This Row],[Prix_Unit_HT]]+(Tableau14[[#This Row],[Prix_Unit_HT]]*VLOOKUP(Tableau14[[#This Row],[EAN]],[1]Grille_Tarifs_Modulable!$B$10:$Q$204,16,FALSE)))</f>
        <v>20.520965999999998</v>
      </c>
      <c r="N822" s="224">
        <v>60</v>
      </c>
      <c r="O822" s="228">
        <f>ROUND(Tableau14[[#This Row],[Prix_Unit_HT]],2)*Tableau14[[#This Row],[Qte_commande]]</f>
        <v>1026</v>
      </c>
      <c r="P822" s="228">
        <f>ROUND(Tableau14[[#This Row],[Prix_Unit_TTC]],2)*Tableau14[[#This Row],[Qte_commande]]</f>
        <v>1231.2</v>
      </c>
      <c r="Q822" s="224">
        <v>85.71</v>
      </c>
      <c r="R822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85.714285714285722</v>
      </c>
      <c r="U822" s="224"/>
      <c r="V822" s="224"/>
    </row>
    <row r="823" spans="1:22" ht="14.65" customHeight="1" x14ac:dyDescent="0.2">
      <c r="A823" s="225">
        <v>43199</v>
      </c>
      <c r="B823" s="224" t="s">
        <v>325</v>
      </c>
      <c r="C823" s="224" t="s">
        <v>324</v>
      </c>
      <c r="D823" s="224" t="s">
        <v>209</v>
      </c>
      <c r="E823" s="226"/>
      <c r="G823" s="224" t="s">
        <v>1</v>
      </c>
      <c r="H823" s="224" t="s">
        <v>289</v>
      </c>
      <c r="I823" s="224" t="s">
        <v>15</v>
      </c>
      <c r="J823" s="224">
        <v>175</v>
      </c>
      <c r="K823" s="227">
        <f t="array" ref="K823">IFERROR(INDEX([1]Grille_Tarifs_Modulable!$B$2:$B$204,MATCH(Tableau14[[#This Row],[Designation]]&amp;Tableau14[[#This Row],[CL]],[1]Grille_Tarifs_Modulable!$C$2:$C$204&amp;[1]Grille_Tarifs_Modulable!$F$2:$F$204,0)),0)</f>
        <v>4067700013835</v>
      </c>
      <c r="L823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28.916408750000002</v>
      </c>
      <c r="M823" s="228">
        <f>IF(Tableau14[[#This Row],[Prix_Unit_HT]]=0,0,Tableau14[[#This Row],[Prix_Unit_HT]]+(Tableau14[[#This Row],[Prix_Unit_HT]]*VLOOKUP(Tableau14[[#This Row],[EAN]],[1]Grille_Tarifs_Modulable!$B$10:$Q$204,16,FALSE)))</f>
        <v>34.699690500000003</v>
      </c>
      <c r="N823" s="224">
        <v>0</v>
      </c>
      <c r="O823" s="228">
        <f>ROUND(Tableau14[[#This Row],[Prix_Unit_HT]],2)*Tableau14[[#This Row],[Qte_commande]]</f>
        <v>0</v>
      </c>
      <c r="P823" s="228">
        <f>ROUND(Tableau14[[#This Row],[Prix_Unit_TTC]],2)*Tableau14[[#This Row],[Qte_commande]]</f>
        <v>0</v>
      </c>
      <c r="Q823" s="224">
        <v>0</v>
      </c>
      <c r="R823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0</v>
      </c>
      <c r="U823" s="224"/>
      <c r="V823" s="224"/>
    </row>
    <row r="824" spans="1:22" ht="14.65" customHeight="1" x14ac:dyDescent="0.2">
      <c r="A824" s="225">
        <v>43199</v>
      </c>
      <c r="B824" s="224" t="s">
        <v>325</v>
      </c>
      <c r="C824" s="224" t="s">
        <v>324</v>
      </c>
      <c r="D824" s="224" t="s">
        <v>209</v>
      </c>
      <c r="E824" s="226"/>
      <c r="G824" s="224" t="s">
        <v>1</v>
      </c>
      <c r="H824" s="224" t="s">
        <v>289</v>
      </c>
      <c r="I824" s="224" t="s">
        <v>20</v>
      </c>
      <c r="J824" s="224">
        <v>70</v>
      </c>
      <c r="K824" s="227">
        <f t="array" ref="K824">IFERROR(INDEX([1]Grille_Tarifs_Modulable!$B$2:$B$204,MATCH(Tableau14[[#This Row],[Designation]]&amp;Tableau14[[#This Row],[CL]],[1]Grille_Tarifs_Modulable!$C$2:$C$204&amp;[1]Grille_Tarifs_Modulable!$F$2:$F$204,0)),0)</f>
        <v>8017450002104</v>
      </c>
      <c r="L824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14.266482999999999</v>
      </c>
      <c r="M824" s="228">
        <f>IF(Tableau14[[#This Row],[Prix_Unit_HT]]=0,0,Tableau14[[#This Row],[Prix_Unit_HT]]+(Tableau14[[#This Row],[Prix_Unit_HT]]*VLOOKUP(Tableau14[[#This Row],[EAN]],[1]Grille_Tarifs_Modulable!$B$10:$Q$204,16,FALSE)))</f>
        <v>17.119779600000001</v>
      </c>
      <c r="N824" s="224">
        <v>0</v>
      </c>
      <c r="O824" s="228">
        <f>ROUND(Tableau14[[#This Row],[Prix_Unit_HT]],2)*Tableau14[[#This Row],[Qte_commande]]</f>
        <v>0</v>
      </c>
      <c r="P824" s="228">
        <f>ROUND(Tableau14[[#This Row],[Prix_Unit_TTC]],2)*Tableau14[[#This Row],[Qte_commande]]</f>
        <v>0</v>
      </c>
      <c r="Q824" s="224">
        <v>0</v>
      </c>
      <c r="R824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0</v>
      </c>
      <c r="U824" s="224"/>
      <c r="V824" s="224"/>
    </row>
    <row r="825" spans="1:22" ht="14.65" customHeight="1" x14ac:dyDescent="0.2">
      <c r="A825" s="225">
        <v>43199</v>
      </c>
      <c r="B825" s="224" t="s">
        <v>325</v>
      </c>
      <c r="C825" s="224" t="s">
        <v>324</v>
      </c>
      <c r="D825" s="224" t="s">
        <v>209</v>
      </c>
      <c r="E825" s="226"/>
      <c r="G825" s="224" t="s">
        <v>1</v>
      </c>
      <c r="H825" s="224" t="s">
        <v>289</v>
      </c>
      <c r="I825" s="224" t="s">
        <v>30</v>
      </c>
      <c r="J825" s="224">
        <v>70</v>
      </c>
      <c r="K825" s="227">
        <f t="array" ref="K825">IFERROR(INDEX([1]Grille_Tarifs_Modulable!$B$2:$B$204,MATCH(Tableau14[[#This Row],[Designation]]&amp;Tableau14[[#This Row],[CL]],[1]Grille_Tarifs_Modulable!$C$2:$C$204&amp;[1]Grille_Tarifs_Modulable!$F$2:$F$204,0)),0)</f>
        <v>3257150101904</v>
      </c>
      <c r="L825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16.346482999999999</v>
      </c>
      <c r="M825" s="228">
        <f>IF(Tableau14[[#This Row],[Prix_Unit_HT]]=0,0,Tableau14[[#This Row],[Prix_Unit_HT]]+(Tableau14[[#This Row],[Prix_Unit_HT]]*VLOOKUP(Tableau14[[#This Row],[EAN]],[1]Grille_Tarifs_Modulable!$B$10:$Q$204,16,FALSE)))</f>
        <v>19.6157796</v>
      </c>
      <c r="N825" s="224">
        <v>0</v>
      </c>
      <c r="O825" s="228">
        <f>ROUND(Tableau14[[#This Row],[Prix_Unit_HT]],2)*Tableau14[[#This Row],[Qte_commande]]</f>
        <v>0</v>
      </c>
      <c r="P825" s="228">
        <f>ROUND(Tableau14[[#This Row],[Prix_Unit_TTC]],2)*Tableau14[[#This Row],[Qte_commande]]</f>
        <v>0</v>
      </c>
      <c r="Q825" s="224">
        <v>0</v>
      </c>
      <c r="R825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0</v>
      </c>
      <c r="U825" s="224"/>
      <c r="V825" s="224"/>
    </row>
    <row r="826" spans="1:22" ht="14.65" customHeight="1" x14ac:dyDescent="0.2">
      <c r="A826" s="225">
        <v>43199</v>
      </c>
      <c r="B826" s="224" t="s">
        <v>672</v>
      </c>
      <c r="C826" s="224" t="s">
        <v>301</v>
      </c>
      <c r="D826" s="224" t="s">
        <v>302</v>
      </c>
      <c r="E826" s="226"/>
      <c r="G826" s="224" t="s">
        <v>1</v>
      </c>
      <c r="H826" s="224" t="s">
        <v>289</v>
      </c>
      <c r="I826" s="224" t="s">
        <v>30</v>
      </c>
      <c r="J826" s="224">
        <v>70</v>
      </c>
      <c r="K826" s="227">
        <f t="array" ref="K826">IFERROR(INDEX([1]Grille_Tarifs_Modulable!$B$2:$B$204,MATCH(Tableau14[[#This Row],[Designation]]&amp;Tableau14[[#This Row],[CL]],[1]Grille_Tarifs_Modulable!$C$2:$C$204&amp;[1]Grille_Tarifs_Modulable!$F$2:$F$204,0)),0)</f>
        <v>3257150101904</v>
      </c>
      <c r="L826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16.346482999999999</v>
      </c>
      <c r="M826" s="228">
        <f>IF(Tableau14[[#This Row],[Prix_Unit_HT]]=0,0,Tableau14[[#This Row],[Prix_Unit_HT]]+(Tableau14[[#This Row],[Prix_Unit_HT]]*VLOOKUP(Tableau14[[#This Row],[EAN]],[1]Grille_Tarifs_Modulable!$B$10:$Q$204,16,FALSE)))</f>
        <v>19.6157796</v>
      </c>
      <c r="N826" s="224">
        <v>6</v>
      </c>
      <c r="O826" s="228">
        <f>ROUND(Tableau14[[#This Row],[Prix_Unit_HT]],2)*Tableau14[[#This Row],[Qte_commande]]</f>
        <v>98.100000000000009</v>
      </c>
      <c r="P826" s="228">
        <f>ROUND(Tableau14[[#This Row],[Prix_Unit_TTC]],2)*Tableau14[[#This Row],[Qte_commande]]</f>
        <v>117.72</v>
      </c>
      <c r="Q826" s="224">
        <v>6</v>
      </c>
      <c r="R826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6.0000000000000009</v>
      </c>
      <c r="U826" s="224"/>
      <c r="V826" s="224"/>
    </row>
    <row r="827" spans="1:22" ht="14.65" customHeight="1" x14ac:dyDescent="0.2">
      <c r="A827" s="225">
        <v>43199</v>
      </c>
      <c r="B827" s="224" t="s">
        <v>325</v>
      </c>
      <c r="C827" s="224" t="s">
        <v>324</v>
      </c>
      <c r="D827" s="224" t="s">
        <v>209</v>
      </c>
      <c r="E827" s="226"/>
      <c r="G827" s="224" t="s">
        <v>1</v>
      </c>
      <c r="H827" s="224" t="s">
        <v>289</v>
      </c>
      <c r="I827" s="224" t="s">
        <v>31</v>
      </c>
      <c r="J827" s="224">
        <v>70</v>
      </c>
      <c r="K827" s="227">
        <f t="array" ref="K827">IFERROR(INDEX([1]Grille_Tarifs_Modulable!$B$2:$B$204,MATCH(Tableau14[[#This Row],[Designation]]&amp;Tableau14[[#This Row],[CL]],[1]Grille_Tarifs_Modulable!$C$2:$C$204&amp;[1]Grille_Tarifs_Modulable!$F$2:$F$204,0)),0)</f>
        <v>3257150102017</v>
      </c>
      <c r="L827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14.694322</v>
      </c>
      <c r="M827" s="228">
        <f>IF(Tableau14[[#This Row],[Prix_Unit_HT]]=0,0,Tableau14[[#This Row],[Prix_Unit_HT]]+(Tableau14[[#This Row],[Prix_Unit_HT]]*VLOOKUP(Tableau14[[#This Row],[EAN]],[1]Grille_Tarifs_Modulable!$B$10:$Q$204,16,FALSE)))</f>
        <v>17.6331864</v>
      </c>
      <c r="N827" s="224">
        <v>0</v>
      </c>
      <c r="O827" s="228">
        <f>ROUND(Tableau14[[#This Row],[Prix_Unit_HT]],2)*Tableau14[[#This Row],[Qte_commande]]</f>
        <v>0</v>
      </c>
      <c r="P827" s="228">
        <f>ROUND(Tableau14[[#This Row],[Prix_Unit_TTC]],2)*Tableau14[[#This Row],[Qte_commande]]</f>
        <v>0</v>
      </c>
      <c r="Q827" s="224">
        <v>0</v>
      </c>
      <c r="R827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0</v>
      </c>
      <c r="U827" s="224"/>
      <c r="V827" s="224"/>
    </row>
    <row r="828" spans="1:22" ht="14.65" customHeight="1" x14ac:dyDescent="0.2">
      <c r="A828" s="225">
        <v>43199</v>
      </c>
      <c r="B828" s="224" t="s">
        <v>325</v>
      </c>
      <c r="C828" s="224" t="s">
        <v>324</v>
      </c>
      <c r="D828" s="224" t="s">
        <v>209</v>
      </c>
      <c r="E828" s="226"/>
      <c r="G828" s="224" t="s">
        <v>1</v>
      </c>
      <c r="H828" s="224" t="s">
        <v>289</v>
      </c>
      <c r="I828" s="224" t="s">
        <v>17</v>
      </c>
      <c r="J828" s="224">
        <v>100</v>
      </c>
      <c r="K828" s="227">
        <f t="array" ref="K828">IFERROR(INDEX([1]Grille_Tarifs_Modulable!$B$2:$B$204,MATCH(Tableau14[[#This Row],[Designation]]&amp;Tableau14[[#This Row],[CL]],[1]Grille_Tarifs_Modulable!$C$2:$C$204&amp;[1]Grille_Tarifs_Modulable!$F$2:$F$204,0)),0)</f>
        <v>8002095200039</v>
      </c>
      <c r="L828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20.79092</v>
      </c>
      <c r="M828" s="228">
        <f>IF(Tableau14[[#This Row],[Prix_Unit_HT]]=0,0,Tableau14[[#This Row],[Prix_Unit_HT]]+(Tableau14[[#This Row],[Prix_Unit_HT]]*VLOOKUP(Tableau14[[#This Row],[EAN]],[1]Grille_Tarifs_Modulable!$B$10:$Q$204,16,FALSE)))</f>
        <v>24.949103999999998</v>
      </c>
      <c r="N828" s="224">
        <v>0</v>
      </c>
      <c r="O828" s="228">
        <f>ROUND(Tableau14[[#This Row],[Prix_Unit_HT]],2)*Tableau14[[#This Row],[Qte_commande]]</f>
        <v>0</v>
      </c>
      <c r="P828" s="228">
        <f>ROUND(Tableau14[[#This Row],[Prix_Unit_TTC]],2)*Tableau14[[#This Row],[Qte_commande]]</f>
        <v>0</v>
      </c>
      <c r="Q828" s="224">
        <v>0</v>
      </c>
      <c r="R828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0</v>
      </c>
      <c r="U828" s="224"/>
      <c r="V828" s="224"/>
    </row>
    <row r="829" spans="1:22" ht="14.65" customHeight="1" x14ac:dyDescent="0.2">
      <c r="A829" s="225">
        <v>43199</v>
      </c>
      <c r="B829" s="224" t="s">
        <v>325</v>
      </c>
      <c r="C829" s="224" t="s">
        <v>324</v>
      </c>
      <c r="D829" s="224" t="s">
        <v>209</v>
      </c>
      <c r="E829" s="226"/>
      <c r="G829" s="224" t="s">
        <v>1</v>
      </c>
      <c r="H829" s="224" t="s">
        <v>289</v>
      </c>
      <c r="I829" s="224" t="s">
        <v>25</v>
      </c>
      <c r="J829" s="224">
        <v>100</v>
      </c>
      <c r="K829" s="227">
        <f t="array" ref="K829">IFERROR(INDEX([1]Grille_Tarifs_Modulable!$B$2:$B$204,MATCH(Tableau14[[#This Row],[Designation]]&amp;Tableau14[[#This Row],[CL]],[1]Grille_Tarifs_Modulable!$C$2:$C$204&amp;[1]Grille_Tarifs_Modulable!$F$2:$F$204,0)),0)</f>
        <v>3257150410167</v>
      </c>
      <c r="L829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15.778874</v>
      </c>
      <c r="M829" s="228">
        <f>IF(Tableau14[[#This Row],[Prix_Unit_HT]]=0,0,Tableau14[[#This Row],[Prix_Unit_HT]]+(Tableau14[[#This Row],[Prix_Unit_HT]]*VLOOKUP(Tableau14[[#This Row],[EAN]],[1]Grille_Tarifs_Modulable!$B$10:$Q$204,16,FALSE)))</f>
        <v>18.934648800000002</v>
      </c>
      <c r="N829" s="224">
        <v>0</v>
      </c>
      <c r="O829" s="228">
        <f>ROUND(Tableau14[[#This Row],[Prix_Unit_HT]],2)*Tableau14[[#This Row],[Qte_commande]]</f>
        <v>0</v>
      </c>
      <c r="P829" s="228">
        <f>ROUND(Tableau14[[#This Row],[Prix_Unit_TTC]],2)*Tableau14[[#This Row],[Qte_commande]]</f>
        <v>0</v>
      </c>
      <c r="Q829" s="224">
        <v>0</v>
      </c>
      <c r="R829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0</v>
      </c>
      <c r="U829" s="224"/>
      <c r="V829" s="224"/>
    </row>
    <row r="830" spans="1:22" ht="14.65" customHeight="1" x14ac:dyDescent="0.2">
      <c r="A830" s="225">
        <v>43199</v>
      </c>
      <c r="B830" s="224" t="s">
        <v>672</v>
      </c>
      <c r="C830" s="224" t="s">
        <v>301</v>
      </c>
      <c r="D830" s="224" t="s">
        <v>302</v>
      </c>
      <c r="E830" s="226"/>
      <c r="G830" s="224" t="s">
        <v>1</v>
      </c>
      <c r="H830" s="224" t="s">
        <v>289</v>
      </c>
      <c r="I830" s="224" t="s">
        <v>25</v>
      </c>
      <c r="J830" s="224">
        <v>100</v>
      </c>
      <c r="K830" s="227">
        <f t="array" ref="K830">IFERROR(INDEX([1]Grille_Tarifs_Modulable!$B$2:$B$204,MATCH(Tableau14[[#This Row],[Designation]]&amp;Tableau14[[#This Row],[CL]],[1]Grille_Tarifs_Modulable!$C$2:$C$204&amp;[1]Grille_Tarifs_Modulable!$F$2:$F$204,0)),0)</f>
        <v>3257150410167</v>
      </c>
      <c r="L830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15.778874</v>
      </c>
      <c r="M830" s="228">
        <f>IF(Tableau14[[#This Row],[Prix_Unit_HT]]=0,0,Tableau14[[#This Row],[Prix_Unit_HT]]+(Tableau14[[#This Row],[Prix_Unit_HT]]*VLOOKUP(Tableau14[[#This Row],[EAN]],[1]Grille_Tarifs_Modulable!$B$10:$Q$204,16,FALSE)))</f>
        <v>18.934648800000002</v>
      </c>
      <c r="N830" s="224">
        <v>84</v>
      </c>
      <c r="O830" s="228">
        <f>ROUND(Tableau14[[#This Row],[Prix_Unit_HT]],2)*Tableau14[[#This Row],[Qte_commande]]</f>
        <v>1325.52</v>
      </c>
      <c r="P830" s="228">
        <f>ROUND(Tableau14[[#This Row],[Prix_Unit_TTC]],2)*Tableau14[[#This Row],[Qte_commande]]</f>
        <v>1590.12</v>
      </c>
      <c r="Q830" s="224">
        <v>120</v>
      </c>
      <c r="R830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120.00000000000001</v>
      </c>
      <c r="U830" s="224"/>
      <c r="V830" s="224"/>
    </row>
    <row r="831" spans="1:22" ht="14.65" customHeight="1" x14ac:dyDescent="0.2">
      <c r="A831" s="225">
        <v>43199</v>
      </c>
      <c r="B831" s="224" t="s">
        <v>673</v>
      </c>
      <c r="C831" s="224" t="s">
        <v>159</v>
      </c>
      <c r="D831" s="224" t="s">
        <v>209</v>
      </c>
      <c r="E831" s="226"/>
      <c r="G831" s="224" t="s">
        <v>1</v>
      </c>
      <c r="H831" s="224" t="s">
        <v>289</v>
      </c>
      <c r="I831" s="224" t="s">
        <v>25</v>
      </c>
      <c r="J831" s="224">
        <v>100</v>
      </c>
      <c r="K831" s="227">
        <f t="array" ref="K831">IFERROR(INDEX([1]Grille_Tarifs_Modulable!$B$2:$B$204,MATCH(Tableau14[[#This Row],[Designation]]&amp;Tableau14[[#This Row],[CL]],[1]Grille_Tarifs_Modulable!$C$2:$C$204&amp;[1]Grille_Tarifs_Modulable!$F$2:$F$204,0)),0)</f>
        <v>3257150410167</v>
      </c>
      <c r="L831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15.778874</v>
      </c>
      <c r="M831" s="228">
        <f>IF(Tableau14[[#This Row],[Prix_Unit_HT]]=0,0,Tableau14[[#This Row],[Prix_Unit_HT]]+(Tableau14[[#This Row],[Prix_Unit_HT]]*VLOOKUP(Tableau14[[#This Row],[EAN]],[1]Grille_Tarifs_Modulable!$B$10:$Q$204,16,FALSE)))</f>
        <v>18.934648800000002</v>
      </c>
      <c r="N831" s="224">
        <v>180</v>
      </c>
      <c r="O831" s="228">
        <f>ROUND(Tableau14[[#This Row],[Prix_Unit_HT]],2)*Tableau14[[#This Row],[Qte_commande]]</f>
        <v>2840.4</v>
      </c>
      <c r="P831" s="228">
        <f>ROUND(Tableau14[[#This Row],[Prix_Unit_TTC]],2)*Tableau14[[#This Row],[Qte_commande]]</f>
        <v>3407.4</v>
      </c>
      <c r="Q831" s="224">
        <v>257.14</v>
      </c>
      <c r="R831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257.14285714285717</v>
      </c>
      <c r="U831" s="224"/>
      <c r="V831" s="224"/>
    </row>
    <row r="832" spans="1:22" ht="14.65" customHeight="1" x14ac:dyDescent="0.2">
      <c r="A832" s="225">
        <v>43203</v>
      </c>
      <c r="B832" s="224" t="s">
        <v>326</v>
      </c>
      <c r="C832" s="224" t="s">
        <v>198</v>
      </c>
      <c r="D832" s="224" t="s">
        <v>199</v>
      </c>
      <c r="E832" s="226"/>
      <c r="G832" s="224" t="s">
        <v>1</v>
      </c>
      <c r="H832" s="224" t="s">
        <v>289</v>
      </c>
      <c r="I832" s="224" t="s">
        <v>22</v>
      </c>
      <c r="J832" s="224">
        <v>70</v>
      </c>
      <c r="K832" s="227">
        <f t="array" ref="K832">IFERROR(INDEX([1]Grille_Tarifs_Modulable!$B$2:$B$204,MATCH(Tableau14[[#This Row],[Designation]]&amp;Tableau14[[#This Row],[CL]],[1]Grille_Tarifs_Modulable!$C$2:$C$204&amp;[1]Grille_Tarifs_Modulable!$F$2:$F$204,0)),0)</f>
        <v>4055800060200</v>
      </c>
      <c r="L832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17.408644000000002</v>
      </c>
      <c r="M832" s="228">
        <f>IF(Tableau14[[#This Row],[Prix_Unit_HT]]=0,0,Tableau14[[#This Row],[Prix_Unit_HT]]+(Tableau14[[#This Row],[Prix_Unit_HT]]*VLOOKUP(Tableau14[[#This Row],[EAN]],[1]Grille_Tarifs_Modulable!$B$10:$Q$204,16,FALSE)))</f>
        <v>20.890372800000002</v>
      </c>
      <c r="N832" s="224">
        <v>12</v>
      </c>
      <c r="O832" s="228">
        <f>ROUND(Tableau14[[#This Row],[Prix_Unit_HT]],2)*Tableau14[[#This Row],[Qte_commande]]</f>
        <v>208.92000000000002</v>
      </c>
      <c r="P832" s="228">
        <f>ROUND(Tableau14[[#This Row],[Prix_Unit_TTC]],2)*Tableau14[[#This Row],[Qte_commande]]</f>
        <v>250.68</v>
      </c>
      <c r="Q832" s="224">
        <v>12</v>
      </c>
      <c r="R832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12.000000000000002</v>
      </c>
      <c r="U832" s="224"/>
      <c r="V832" s="224"/>
    </row>
    <row r="833" spans="1:22" ht="14.65" customHeight="1" x14ac:dyDescent="0.2">
      <c r="A833" s="225">
        <v>43203</v>
      </c>
      <c r="B833" s="224" t="s">
        <v>326</v>
      </c>
      <c r="C833" s="224" t="s">
        <v>198</v>
      </c>
      <c r="D833" s="224" t="s">
        <v>199</v>
      </c>
      <c r="E833" s="226"/>
      <c r="G833" s="224" t="s">
        <v>1</v>
      </c>
      <c r="H833" s="224" t="s">
        <v>289</v>
      </c>
      <c r="I833" s="224" t="s">
        <v>15</v>
      </c>
      <c r="J833" s="224">
        <v>70</v>
      </c>
      <c r="K833" s="227">
        <f t="array" ref="K833">IFERROR(INDEX([1]Grille_Tarifs_Modulable!$B$2:$B$204,MATCH(Tableau14[[#This Row],[Designation]]&amp;Tableau14[[#This Row],[CL]],[1]Grille_Tarifs_Modulable!$C$2:$C$204&amp;[1]Grille_Tarifs_Modulable!$F$2:$F$204,0)),0)</f>
        <v>4067700013859</v>
      </c>
      <c r="L833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12.532563499999998</v>
      </c>
      <c r="M833" s="228">
        <f>IF(Tableau14[[#This Row],[Prix_Unit_HT]]=0,0,Tableau14[[#This Row],[Prix_Unit_HT]]+(Tableau14[[#This Row],[Prix_Unit_HT]]*VLOOKUP(Tableau14[[#This Row],[EAN]],[1]Grille_Tarifs_Modulable!$B$10:$Q$204,16,FALSE)))</f>
        <v>15.039076199999998</v>
      </c>
      <c r="N833" s="224">
        <v>90</v>
      </c>
      <c r="O833" s="228">
        <f>ROUND(Tableau14[[#This Row],[Prix_Unit_HT]],2)*Tableau14[[#This Row],[Qte_commande]]</f>
        <v>1127.7</v>
      </c>
      <c r="P833" s="228">
        <f>ROUND(Tableau14[[#This Row],[Prix_Unit_TTC]],2)*Tableau14[[#This Row],[Qte_commande]]</f>
        <v>1353.6</v>
      </c>
      <c r="Q833" s="224">
        <v>90</v>
      </c>
      <c r="R833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90</v>
      </c>
      <c r="U833" s="224"/>
      <c r="V833" s="224"/>
    </row>
    <row r="834" spans="1:22" ht="14.65" customHeight="1" x14ac:dyDescent="0.2">
      <c r="A834" s="225">
        <v>43203</v>
      </c>
      <c r="B834" s="224" t="s">
        <v>674</v>
      </c>
      <c r="C834" s="224" t="s">
        <v>530</v>
      </c>
      <c r="D834" s="224" t="s">
        <v>531</v>
      </c>
      <c r="E834" s="226"/>
      <c r="G834" s="224" t="s">
        <v>1</v>
      </c>
      <c r="H834" s="224" t="s">
        <v>289</v>
      </c>
      <c r="I834" s="224" t="s">
        <v>15</v>
      </c>
      <c r="J834" s="224">
        <v>70</v>
      </c>
      <c r="K834" s="227">
        <f t="array" ref="K834">IFERROR(INDEX([1]Grille_Tarifs_Modulable!$B$2:$B$204,MATCH(Tableau14[[#This Row],[Designation]]&amp;Tableau14[[#This Row],[CL]],[1]Grille_Tarifs_Modulable!$C$2:$C$204&amp;[1]Grille_Tarifs_Modulable!$F$2:$F$204,0)),0)</f>
        <v>4067700013859</v>
      </c>
      <c r="L834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12.532563499999998</v>
      </c>
      <c r="M834" s="228">
        <f>IF(Tableau14[[#This Row],[Prix_Unit_HT]]=0,0,Tableau14[[#This Row],[Prix_Unit_HT]]+(Tableau14[[#This Row],[Prix_Unit_HT]]*VLOOKUP(Tableau14[[#This Row],[EAN]],[1]Grille_Tarifs_Modulable!$B$10:$Q$204,16,FALSE)))</f>
        <v>15.039076199999998</v>
      </c>
      <c r="N834" s="224">
        <v>150</v>
      </c>
      <c r="O834" s="228">
        <f>ROUND(Tableau14[[#This Row],[Prix_Unit_HT]],2)*Tableau14[[#This Row],[Qte_commande]]</f>
        <v>1879.5</v>
      </c>
      <c r="P834" s="228">
        <f>ROUND(Tableau14[[#This Row],[Prix_Unit_TTC]],2)*Tableau14[[#This Row],[Qte_commande]]</f>
        <v>2256</v>
      </c>
      <c r="Q834" s="224">
        <v>150</v>
      </c>
      <c r="R834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150</v>
      </c>
      <c r="U834" s="224"/>
      <c r="V834" s="224"/>
    </row>
    <row r="835" spans="1:22" ht="14.65" customHeight="1" x14ac:dyDescent="0.2">
      <c r="A835" s="225">
        <v>43203</v>
      </c>
      <c r="B835" s="224" t="s">
        <v>326</v>
      </c>
      <c r="C835" s="224" t="s">
        <v>198</v>
      </c>
      <c r="D835" s="224" t="s">
        <v>199</v>
      </c>
      <c r="E835" s="226"/>
      <c r="G835" s="224" t="s">
        <v>1</v>
      </c>
      <c r="H835" s="224" t="s">
        <v>289</v>
      </c>
      <c r="I835" s="224" t="s">
        <v>15</v>
      </c>
      <c r="J835" s="224">
        <v>100</v>
      </c>
      <c r="K835" s="227">
        <f t="array" ref="K835">IFERROR(INDEX([1]Grille_Tarifs_Modulable!$B$2:$B$204,MATCH(Tableau14[[#This Row],[Designation]]&amp;Tableau14[[#This Row],[CL]],[1]Grille_Tarifs_Modulable!$C$2:$C$204&amp;[1]Grille_Tarifs_Modulable!$F$2:$F$204,0)),0)</f>
        <v>4067700013842</v>
      </c>
      <c r="L835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17.100804999999998</v>
      </c>
      <c r="M835" s="228">
        <f>IF(Tableau14[[#This Row],[Prix_Unit_HT]]=0,0,Tableau14[[#This Row],[Prix_Unit_HT]]+(Tableau14[[#This Row],[Prix_Unit_HT]]*VLOOKUP(Tableau14[[#This Row],[EAN]],[1]Grille_Tarifs_Modulable!$B$10:$Q$204,16,FALSE)))</f>
        <v>20.520965999999998</v>
      </c>
      <c r="N835" s="224">
        <v>12</v>
      </c>
      <c r="O835" s="228">
        <f>ROUND(Tableau14[[#This Row],[Prix_Unit_HT]],2)*Tableau14[[#This Row],[Qte_commande]]</f>
        <v>205.20000000000002</v>
      </c>
      <c r="P835" s="228">
        <f>ROUND(Tableau14[[#This Row],[Prix_Unit_TTC]],2)*Tableau14[[#This Row],[Qte_commande]]</f>
        <v>246.24</v>
      </c>
      <c r="Q835" s="224">
        <v>17.14</v>
      </c>
      <c r="R835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17.142857142857142</v>
      </c>
      <c r="U835" s="224"/>
      <c r="V835" s="224"/>
    </row>
    <row r="836" spans="1:22" ht="14.65" customHeight="1" x14ac:dyDescent="0.2">
      <c r="A836" s="225">
        <v>43203</v>
      </c>
      <c r="B836" s="224" t="s">
        <v>326</v>
      </c>
      <c r="C836" s="224" t="s">
        <v>198</v>
      </c>
      <c r="D836" s="224" t="s">
        <v>199</v>
      </c>
      <c r="E836" s="226"/>
      <c r="G836" s="224" t="s">
        <v>1</v>
      </c>
      <c r="H836" s="224" t="s">
        <v>289</v>
      </c>
      <c r="I836" s="224" t="s">
        <v>15</v>
      </c>
      <c r="J836" s="224">
        <v>175</v>
      </c>
      <c r="K836" s="227">
        <f t="array" ref="K836">IFERROR(INDEX([1]Grille_Tarifs_Modulable!$B$2:$B$204,MATCH(Tableau14[[#This Row],[Designation]]&amp;Tableau14[[#This Row],[CL]],[1]Grille_Tarifs_Modulable!$C$2:$C$204&amp;[1]Grille_Tarifs_Modulable!$F$2:$F$204,0)),0)</f>
        <v>4067700013835</v>
      </c>
      <c r="L836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28.916408750000002</v>
      </c>
      <c r="M836" s="228">
        <f>IF(Tableau14[[#This Row],[Prix_Unit_HT]]=0,0,Tableau14[[#This Row],[Prix_Unit_HT]]+(Tableau14[[#This Row],[Prix_Unit_HT]]*VLOOKUP(Tableau14[[#This Row],[EAN]],[1]Grille_Tarifs_Modulable!$B$10:$Q$204,16,FALSE)))</f>
        <v>34.699690500000003</v>
      </c>
      <c r="N836" s="224">
        <v>12</v>
      </c>
      <c r="O836" s="228">
        <f>ROUND(Tableau14[[#This Row],[Prix_Unit_HT]],2)*Tableau14[[#This Row],[Qte_commande]]</f>
        <v>347.04</v>
      </c>
      <c r="P836" s="228">
        <f>ROUND(Tableau14[[#This Row],[Prix_Unit_TTC]],2)*Tableau14[[#This Row],[Qte_commande]]</f>
        <v>416.40000000000003</v>
      </c>
      <c r="Q836" s="224">
        <v>30</v>
      </c>
      <c r="R836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30.000000000000004</v>
      </c>
      <c r="U836" s="224"/>
      <c r="V836" s="224"/>
    </row>
    <row r="837" spans="1:22" ht="14.65" customHeight="1" x14ac:dyDescent="0.2">
      <c r="A837" s="225">
        <v>43207</v>
      </c>
      <c r="B837" s="224" t="s">
        <v>357</v>
      </c>
      <c r="C837" s="224" t="s">
        <v>265</v>
      </c>
      <c r="D837" s="224" t="s">
        <v>266</v>
      </c>
      <c r="E837" s="226"/>
      <c r="G837" s="224" t="s">
        <v>1</v>
      </c>
      <c r="H837" s="224" t="s">
        <v>196</v>
      </c>
      <c r="I837" s="224" t="s">
        <v>65</v>
      </c>
      <c r="J837" s="224">
        <v>20</v>
      </c>
      <c r="K837" s="227">
        <f t="array" ref="K837">IFERROR(INDEX([1]Grille_Tarifs_Modulable!$B$2:$B$204,MATCH(Tableau14[[#This Row],[Designation]]&amp;Tableau14[[#This Row],[CL]],[1]Grille_Tarifs_Modulable!$C$2:$C$204&amp;[1]Grille_Tarifs_Modulable!$F$2:$F$204,0)),0)</f>
        <v>4260310553863</v>
      </c>
      <c r="L837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0.81</v>
      </c>
      <c r="M837" s="228">
        <f>IF(Tableau14[[#This Row],[Prix_Unit_HT]]=0,0,Tableau14[[#This Row],[Prix_Unit_HT]]+(Tableau14[[#This Row],[Prix_Unit_HT]]*VLOOKUP(Tableau14[[#This Row],[EAN]],[1]Grille_Tarifs_Modulable!$B$10:$Q$204,16,FALSE)))</f>
        <v>0.85455000000000003</v>
      </c>
      <c r="N837" s="224">
        <v>48</v>
      </c>
      <c r="O837" s="228">
        <f>ROUND(Tableau14[[#This Row],[Prix_Unit_HT]],2)*Tableau14[[#This Row],[Qte_commande]]</f>
        <v>38.880000000000003</v>
      </c>
      <c r="P837" s="228">
        <f>ROUND(Tableau14[[#This Row],[Prix_Unit_TTC]],2)*Tableau14[[#This Row],[Qte_commande]]</f>
        <v>40.799999999999997</v>
      </c>
      <c r="Q837" s="224">
        <v>13.71</v>
      </c>
      <c r="R837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13.714285714285715</v>
      </c>
      <c r="U837" s="224"/>
      <c r="V837" s="224"/>
    </row>
    <row r="838" spans="1:22" ht="14.65" customHeight="1" x14ac:dyDescent="0.2">
      <c r="A838" s="225">
        <v>43207</v>
      </c>
      <c r="B838" s="224" t="s">
        <v>357</v>
      </c>
      <c r="C838" s="224" t="s">
        <v>265</v>
      </c>
      <c r="D838" s="224" t="s">
        <v>266</v>
      </c>
      <c r="E838" s="226"/>
      <c r="G838" s="224" t="s">
        <v>1</v>
      </c>
      <c r="H838" s="224" t="s">
        <v>196</v>
      </c>
      <c r="I838" s="224" t="s">
        <v>60</v>
      </c>
      <c r="J838" s="224">
        <v>20</v>
      </c>
      <c r="K838" s="227">
        <f t="array" ref="K838">IFERROR(INDEX([1]Grille_Tarifs_Modulable!$B$2:$B$204,MATCH(Tableau14[[#This Row],[Designation]]&amp;Tableau14[[#This Row],[CL]],[1]Grille_Tarifs_Modulable!$C$2:$C$204&amp;[1]Grille_Tarifs_Modulable!$F$2:$F$204,0)),0)</f>
        <v>4260310553832</v>
      </c>
      <c r="L838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0.81</v>
      </c>
      <c r="M838" s="228">
        <f>IF(Tableau14[[#This Row],[Prix_Unit_HT]]=0,0,Tableau14[[#This Row],[Prix_Unit_HT]]+(Tableau14[[#This Row],[Prix_Unit_HT]]*VLOOKUP(Tableau14[[#This Row],[EAN]],[1]Grille_Tarifs_Modulable!$B$10:$Q$204,16,FALSE)))</f>
        <v>0.85455000000000003</v>
      </c>
      <c r="N838" s="224">
        <v>48</v>
      </c>
      <c r="O838" s="228">
        <f>ROUND(Tableau14[[#This Row],[Prix_Unit_HT]],2)*Tableau14[[#This Row],[Qte_commande]]</f>
        <v>38.880000000000003</v>
      </c>
      <c r="P838" s="228">
        <f>ROUND(Tableau14[[#This Row],[Prix_Unit_TTC]],2)*Tableau14[[#This Row],[Qte_commande]]</f>
        <v>40.799999999999997</v>
      </c>
      <c r="Q838" s="224">
        <v>13.71</v>
      </c>
      <c r="R838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13.714285714285715</v>
      </c>
      <c r="U838" s="224"/>
      <c r="V838" s="224"/>
    </row>
    <row r="839" spans="1:22" ht="14.65" customHeight="1" x14ac:dyDescent="0.2">
      <c r="A839" s="225">
        <v>43207</v>
      </c>
      <c r="B839" s="224" t="s">
        <v>357</v>
      </c>
      <c r="C839" s="224" t="s">
        <v>265</v>
      </c>
      <c r="D839" s="224" t="s">
        <v>266</v>
      </c>
      <c r="E839" s="226"/>
      <c r="G839" s="224" t="s">
        <v>1</v>
      </c>
      <c r="H839" s="224" t="s">
        <v>289</v>
      </c>
      <c r="I839" s="224" t="s">
        <v>15</v>
      </c>
      <c r="J839" s="224">
        <v>70</v>
      </c>
      <c r="K839" s="227">
        <f t="array" ref="K839">IFERROR(INDEX([1]Grille_Tarifs_Modulable!$B$2:$B$204,MATCH(Tableau14[[#This Row],[Designation]]&amp;Tableau14[[#This Row],[CL]],[1]Grille_Tarifs_Modulable!$C$2:$C$204&amp;[1]Grille_Tarifs_Modulable!$F$2:$F$204,0)),0)</f>
        <v>4067700013859</v>
      </c>
      <c r="L839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12.532563499999998</v>
      </c>
      <c r="M839" s="228">
        <f>IF(Tableau14[[#This Row],[Prix_Unit_HT]]=0,0,Tableau14[[#This Row],[Prix_Unit_HT]]+(Tableau14[[#This Row],[Prix_Unit_HT]]*VLOOKUP(Tableau14[[#This Row],[EAN]],[1]Grille_Tarifs_Modulable!$B$10:$Q$204,16,FALSE)))</f>
        <v>15.039076199999998</v>
      </c>
      <c r="N839" s="224">
        <v>240</v>
      </c>
      <c r="O839" s="228">
        <f>ROUND(Tableau14[[#This Row],[Prix_Unit_HT]],2)*Tableau14[[#This Row],[Qte_commande]]</f>
        <v>3007.2</v>
      </c>
      <c r="P839" s="228">
        <f>ROUND(Tableau14[[#This Row],[Prix_Unit_TTC]],2)*Tableau14[[#This Row],[Qte_commande]]</f>
        <v>3609.6</v>
      </c>
      <c r="Q839" s="224">
        <v>240</v>
      </c>
      <c r="R839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240.00000000000003</v>
      </c>
      <c r="U839" s="224"/>
      <c r="V839" s="224"/>
    </row>
    <row r="840" spans="1:22" ht="14.65" customHeight="1" x14ac:dyDescent="0.2">
      <c r="A840" s="225">
        <v>43207</v>
      </c>
      <c r="B840" s="224" t="s">
        <v>357</v>
      </c>
      <c r="C840" s="224" t="s">
        <v>265</v>
      </c>
      <c r="D840" s="224" t="s">
        <v>266</v>
      </c>
      <c r="E840" s="226"/>
      <c r="G840" s="224" t="s">
        <v>1</v>
      </c>
      <c r="H840" s="224" t="s">
        <v>289</v>
      </c>
      <c r="I840" s="224" t="s">
        <v>44</v>
      </c>
      <c r="J840" s="224">
        <v>50</v>
      </c>
      <c r="K840" s="227">
        <f t="array" ref="K840">IFERROR(INDEX([1]Grille_Tarifs_Modulable!$B$2:$B$204,MATCH(Tableau14[[#This Row],[Designation]]&amp;Tableau14[[#This Row],[CL]],[1]Grille_Tarifs_Modulable!$C$2:$C$204&amp;[1]Grille_Tarifs_Modulable!$F$2:$F$204,0)),0)</f>
        <v>4260270192645</v>
      </c>
      <c r="L840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25.192506000000002</v>
      </c>
      <c r="M840" s="228">
        <f>IF(Tableau14[[#This Row],[Prix_Unit_HT]]=0,0,Tableau14[[#This Row],[Prix_Unit_HT]]+(Tableau14[[#This Row],[Prix_Unit_HT]]*VLOOKUP(Tableau14[[#This Row],[EAN]],[1]Grille_Tarifs_Modulable!$B$10:$Q$204,16,FALSE)))</f>
        <v>30.231007200000001</v>
      </c>
      <c r="N840" s="224">
        <v>6</v>
      </c>
      <c r="O840" s="228">
        <f>ROUND(Tableau14[[#This Row],[Prix_Unit_HT]],2)*Tableau14[[#This Row],[Qte_commande]]</f>
        <v>151.14000000000001</v>
      </c>
      <c r="P840" s="228">
        <f>ROUND(Tableau14[[#This Row],[Prix_Unit_TTC]],2)*Tableau14[[#This Row],[Qte_commande]]</f>
        <v>181.38</v>
      </c>
      <c r="Q840" s="224">
        <v>4.29</v>
      </c>
      <c r="R840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4.2857142857142856</v>
      </c>
      <c r="U840" s="224"/>
      <c r="V840" s="224"/>
    </row>
    <row r="841" spans="1:22" ht="14.65" customHeight="1" x14ac:dyDescent="0.2">
      <c r="A841" s="225">
        <v>43207</v>
      </c>
      <c r="B841" s="224" t="s">
        <v>357</v>
      </c>
      <c r="C841" s="224" t="s">
        <v>265</v>
      </c>
      <c r="D841" s="224" t="s">
        <v>266</v>
      </c>
      <c r="E841" s="226"/>
      <c r="G841" s="224" t="s">
        <v>1</v>
      </c>
      <c r="H841" s="224" t="s">
        <v>196</v>
      </c>
      <c r="I841" s="224" t="s">
        <v>59</v>
      </c>
      <c r="J841" s="224">
        <v>20</v>
      </c>
      <c r="K841" s="227">
        <f t="array" ref="K841">IFERROR(INDEX([1]Grille_Tarifs_Modulable!$B$2:$B$204,MATCH(Tableau14[[#This Row],[Designation]]&amp;Tableau14[[#This Row],[CL]],[1]Grille_Tarifs_Modulable!$C$2:$C$204&amp;[1]Grille_Tarifs_Modulable!$F$2:$F$204,0)),0)</f>
        <v>4260310553818</v>
      </c>
      <c r="L841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0.81</v>
      </c>
      <c r="M841" s="228">
        <f>IF(Tableau14[[#This Row],[Prix_Unit_HT]]=0,0,Tableau14[[#This Row],[Prix_Unit_HT]]+(Tableau14[[#This Row],[Prix_Unit_HT]]*VLOOKUP(Tableau14[[#This Row],[EAN]],[1]Grille_Tarifs_Modulable!$B$10:$Q$204,16,FALSE)))</f>
        <v>0.85455000000000003</v>
      </c>
      <c r="N841" s="224">
        <v>144</v>
      </c>
      <c r="O841" s="228">
        <f>ROUND(Tableau14[[#This Row],[Prix_Unit_HT]],2)*Tableau14[[#This Row],[Qte_commande]]</f>
        <v>116.64000000000001</v>
      </c>
      <c r="P841" s="228">
        <f>ROUND(Tableau14[[#This Row],[Prix_Unit_TTC]],2)*Tableau14[[#This Row],[Qte_commande]]</f>
        <v>122.39999999999999</v>
      </c>
      <c r="Q841" s="224">
        <v>41.14</v>
      </c>
      <c r="R841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41.142857142857146</v>
      </c>
      <c r="U841" s="224"/>
      <c r="V841" s="224"/>
    </row>
    <row r="842" spans="1:22" ht="14.65" customHeight="1" x14ac:dyDescent="0.2">
      <c r="A842" s="225">
        <v>43208</v>
      </c>
      <c r="B842" s="224" t="s">
        <v>327</v>
      </c>
      <c r="C842" s="224" t="s">
        <v>198</v>
      </c>
      <c r="D842" s="224" t="s">
        <v>199</v>
      </c>
      <c r="E842" s="226"/>
      <c r="G842" s="224" t="s">
        <v>1</v>
      </c>
      <c r="H842" s="224" t="s">
        <v>289</v>
      </c>
      <c r="I842" s="224" t="s">
        <v>22</v>
      </c>
      <c r="J842" s="224">
        <v>70</v>
      </c>
      <c r="K842" s="227">
        <f t="array" ref="K842">IFERROR(INDEX([1]Grille_Tarifs_Modulable!$B$2:$B$204,MATCH(Tableau14[[#This Row],[Designation]]&amp;Tableau14[[#This Row],[CL]],[1]Grille_Tarifs_Modulable!$C$2:$C$204&amp;[1]Grille_Tarifs_Modulable!$F$2:$F$204,0)),0)</f>
        <v>4055800060200</v>
      </c>
      <c r="L842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17.408644000000002</v>
      </c>
      <c r="M842" s="228">
        <f>IF(Tableau14[[#This Row],[Prix_Unit_HT]]=0,0,Tableau14[[#This Row],[Prix_Unit_HT]]+(Tableau14[[#This Row],[Prix_Unit_HT]]*VLOOKUP(Tableau14[[#This Row],[EAN]],[1]Grille_Tarifs_Modulable!$B$10:$Q$204,16,FALSE)))</f>
        <v>20.890372800000002</v>
      </c>
      <c r="N842" s="224">
        <v>18</v>
      </c>
      <c r="O842" s="228">
        <f>ROUND(Tableau14[[#This Row],[Prix_Unit_HT]],2)*Tableau14[[#This Row],[Qte_commande]]</f>
        <v>313.38</v>
      </c>
      <c r="P842" s="228">
        <f>ROUND(Tableau14[[#This Row],[Prix_Unit_TTC]],2)*Tableau14[[#This Row],[Qte_commande]]</f>
        <v>376.02</v>
      </c>
      <c r="Q842" s="224">
        <v>18</v>
      </c>
      <c r="R842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18</v>
      </c>
      <c r="U842" s="224"/>
      <c r="V842" s="224"/>
    </row>
    <row r="843" spans="1:22" ht="14.65" customHeight="1" x14ac:dyDescent="0.2">
      <c r="A843" s="225">
        <v>43208</v>
      </c>
      <c r="B843" s="224" t="s">
        <v>328</v>
      </c>
      <c r="C843" s="224" t="s">
        <v>198</v>
      </c>
      <c r="D843" s="224" t="s">
        <v>199</v>
      </c>
      <c r="E843" s="226"/>
      <c r="G843" s="224" t="s">
        <v>1</v>
      </c>
      <c r="H843" s="224" t="s">
        <v>289</v>
      </c>
      <c r="I843" s="224" t="s">
        <v>22</v>
      </c>
      <c r="J843" s="224">
        <v>70</v>
      </c>
      <c r="K843" s="227">
        <f t="array" ref="K843">IFERROR(INDEX([1]Grille_Tarifs_Modulable!$B$2:$B$204,MATCH(Tableau14[[#This Row],[Designation]]&amp;Tableau14[[#This Row],[CL]],[1]Grille_Tarifs_Modulable!$C$2:$C$204&amp;[1]Grille_Tarifs_Modulable!$F$2:$F$204,0)),0)</f>
        <v>4055800060200</v>
      </c>
      <c r="L843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17.408644000000002</v>
      </c>
      <c r="M843" s="228">
        <f>IF(Tableau14[[#This Row],[Prix_Unit_HT]]=0,0,Tableau14[[#This Row],[Prix_Unit_HT]]+(Tableau14[[#This Row],[Prix_Unit_HT]]*VLOOKUP(Tableau14[[#This Row],[EAN]],[1]Grille_Tarifs_Modulable!$B$10:$Q$204,16,FALSE)))</f>
        <v>20.890372800000002</v>
      </c>
      <c r="N843" s="224">
        <v>-12</v>
      </c>
      <c r="O843" s="228">
        <f>ROUND(Tableau14[[#This Row],[Prix_Unit_HT]],2)*Tableau14[[#This Row],[Qte_commande]]</f>
        <v>-208.92000000000002</v>
      </c>
      <c r="P843" s="228">
        <f>ROUND(Tableau14[[#This Row],[Prix_Unit_TTC]],2)*Tableau14[[#This Row],[Qte_commande]]</f>
        <v>-250.68</v>
      </c>
      <c r="Q843" s="224">
        <v>-12</v>
      </c>
      <c r="R843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-12.000000000000002</v>
      </c>
      <c r="U843" s="224"/>
      <c r="V843" s="224"/>
    </row>
    <row r="844" spans="1:22" ht="14.65" customHeight="1" x14ac:dyDescent="0.2">
      <c r="A844" s="225">
        <v>43208</v>
      </c>
      <c r="B844" s="224" t="s">
        <v>675</v>
      </c>
      <c r="C844" s="224" t="s">
        <v>639</v>
      </c>
      <c r="D844" s="224" t="s">
        <v>373</v>
      </c>
      <c r="E844" s="226"/>
      <c r="G844" s="224" t="s">
        <v>1</v>
      </c>
      <c r="H844" s="224" t="s">
        <v>289</v>
      </c>
      <c r="I844" s="224" t="s">
        <v>15</v>
      </c>
      <c r="J844" s="224">
        <v>70</v>
      </c>
      <c r="K844" s="227">
        <f t="array" ref="K844">IFERROR(INDEX([1]Grille_Tarifs_Modulable!$B$2:$B$204,MATCH(Tableau14[[#This Row],[Designation]]&amp;Tableau14[[#This Row],[CL]],[1]Grille_Tarifs_Modulable!$C$2:$C$204&amp;[1]Grille_Tarifs_Modulable!$F$2:$F$204,0)),0)</f>
        <v>4067700013859</v>
      </c>
      <c r="L844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12.532563499999998</v>
      </c>
      <c r="M844" s="228">
        <f>IF(Tableau14[[#This Row],[Prix_Unit_HT]]=0,0,Tableau14[[#This Row],[Prix_Unit_HT]]+(Tableau14[[#This Row],[Prix_Unit_HT]]*VLOOKUP(Tableau14[[#This Row],[EAN]],[1]Grille_Tarifs_Modulable!$B$10:$Q$204,16,FALSE)))</f>
        <v>15.039076199999998</v>
      </c>
      <c r="N844" s="224">
        <v>150</v>
      </c>
      <c r="O844" s="228">
        <f>ROUND(Tableau14[[#This Row],[Prix_Unit_HT]],2)*Tableau14[[#This Row],[Qte_commande]]</f>
        <v>1879.5</v>
      </c>
      <c r="P844" s="228">
        <f>ROUND(Tableau14[[#This Row],[Prix_Unit_TTC]],2)*Tableau14[[#This Row],[Qte_commande]]</f>
        <v>2256</v>
      </c>
      <c r="Q844" s="224">
        <v>150</v>
      </c>
      <c r="R844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150</v>
      </c>
      <c r="U844" s="224"/>
      <c r="V844" s="224"/>
    </row>
    <row r="845" spans="1:22" ht="14.65" customHeight="1" x14ac:dyDescent="0.2">
      <c r="A845" s="225">
        <v>43208</v>
      </c>
      <c r="B845" s="224" t="s">
        <v>328</v>
      </c>
      <c r="C845" s="224" t="s">
        <v>198</v>
      </c>
      <c r="D845" s="224" t="s">
        <v>199</v>
      </c>
      <c r="E845" s="226"/>
      <c r="G845" s="224" t="s">
        <v>1</v>
      </c>
      <c r="H845" s="224" t="s">
        <v>289</v>
      </c>
      <c r="I845" s="224" t="s">
        <v>15</v>
      </c>
      <c r="J845" s="224">
        <v>70</v>
      </c>
      <c r="K845" s="227">
        <f t="array" ref="K845">IFERROR(INDEX([1]Grille_Tarifs_Modulable!$B$2:$B$204,MATCH(Tableau14[[#This Row],[Designation]]&amp;Tableau14[[#This Row],[CL]],[1]Grille_Tarifs_Modulable!$C$2:$C$204&amp;[1]Grille_Tarifs_Modulable!$F$2:$F$204,0)),0)</f>
        <v>4067700013859</v>
      </c>
      <c r="L845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12.532563499999998</v>
      </c>
      <c r="M845" s="228">
        <f>IF(Tableau14[[#This Row],[Prix_Unit_HT]]=0,0,Tableau14[[#This Row],[Prix_Unit_HT]]+(Tableau14[[#This Row],[Prix_Unit_HT]]*VLOOKUP(Tableau14[[#This Row],[EAN]],[1]Grille_Tarifs_Modulable!$B$10:$Q$204,16,FALSE)))</f>
        <v>15.039076199999998</v>
      </c>
      <c r="N845" s="224">
        <v>-90</v>
      </c>
      <c r="O845" s="228">
        <f>ROUND(Tableau14[[#This Row],[Prix_Unit_HT]],2)*Tableau14[[#This Row],[Qte_commande]]</f>
        <v>-1127.7</v>
      </c>
      <c r="P845" s="228">
        <f>ROUND(Tableau14[[#This Row],[Prix_Unit_TTC]],2)*Tableau14[[#This Row],[Qte_commande]]</f>
        <v>-1353.6</v>
      </c>
      <c r="Q845" s="224">
        <v>-90</v>
      </c>
      <c r="R845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-90</v>
      </c>
      <c r="U845" s="224"/>
      <c r="V845" s="224"/>
    </row>
    <row r="846" spans="1:22" ht="14.65" customHeight="1" x14ac:dyDescent="0.2">
      <c r="A846" s="225">
        <v>43208</v>
      </c>
      <c r="B846" s="224" t="s">
        <v>328</v>
      </c>
      <c r="C846" s="224" t="s">
        <v>198</v>
      </c>
      <c r="D846" s="224" t="s">
        <v>199</v>
      </c>
      <c r="E846" s="226"/>
      <c r="G846" s="224" t="s">
        <v>1</v>
      </c>
      <c r="H846" s="224" t="s">
        <v>289</v>
      </c>
      <c r="I846" s="224" t="s">
        <v>15</v>
      </c>
      <c r="J846" s="224">
        <v>100</v>
      </c>
      <c r="K846" s="227">
        <f t="array" ref="K846">IFERROR(INDEX([1]Grille_Tarifs_Modulable!$B$2:$B$204,MATCH(Tableau14[[#This Row],[Designation]]&amp;Tableau14[[#This Row],[CL]],[1]Grille_Tarifs_Modulable!$C$2:$C$204&amp;[1]Grille_Tarifs_Modulable!$F$2:$F$204,0)),0)</f>
        <v>4067700013842</v>
      </c>
      <c r="L846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17.100804999999998</v>
      </c>
      <c r="M846" s="228">
        <f>IF(Tableau14[[#This Row],[Prix_Unit_HT]]=0,0,Tableau14[[#This Row],[Prix_Unit_HT]]+(Tableau14[[#This Row],[Prix_Unit_HT]]*VLOOKUP(Tableau14[[#This Row],[EAN]],[1]Grille_Tarifs_Modulable!$B$10:$Q$204,16,FALSE)))</f>
        <v>20.520965999999998</v>
      </c>
      <c r="N846" s="224">
        <v>-12</v>
      </c>
      <c r="O846" s="228">
        <f>ROUND(Tableau14[[#This Row],[Prix_Unit_HT]],2)*Tableau14[[#This Row],[Qte_commande]]</f>
        <v>-205.20000000000002</v>
      </c>
      <c r="P846" s="228">
        <f>ROUND(Tableau14[[#This Row],[Prix_Unit_TTC]],2)*Tableau14[[#This Row],[Qte_commande]]</f>
        <v>-246.24</v>
      </c>
      <c r="Q846" s="224">
        <v>-17.14</v>
      </c>
      <c r="R846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-17.142857142857142</v>
      </c>
      <c r="U846" s="224"/>
      <c r="V846" s="224"/>
    </row>
    <row r="847" spans="1:22" ht="14.65" customHeight="1" x14ac:dyDescent="0.2">
      <c r="A847" s="225">
        <v>43208</v>
      </c>
      <c r="B847" s="224" t="s">
        <v>327</v>
      </c>
      <c r="C847" s="224" t="s">
        <v>198</v>
      </c>
      <c r="D847" s="224" t="s">
        <v>199</v>
      </c>
      <c r="E847" s="226"/>
      <c r="G847" s="224" t="s">
        <v>1</v>
      </c>
      <c r="H847" s="224" t="s">
        <v>289</v>
      </c>
      <c r="I847" s="224" t="s">
        <v>15</v>
      </c>
      <c r="J847" s="224">
        <v>175</v>
      </c>
      <c r="K847" s="227">
        <f t="array" ref="K847">IFERROR(INDEX([1]Grille_Tarifs_Modulable!$B$2:$B$204,MATCH(Tableau14[[#This Row],[Designation]]&amp;Tableau14[[#This Row],[CL]],[1]Grille_Tarifs_Modulable!$C$2:$C$204&amp;[1]Grille_Tarifs_Modulable!$F$2:$F$204,0)),0)</f>
        <v>4067700013835</v>
      </c>
      <c r="L847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28.916408750000002</v>
      </c>
      <c r="M847" s="228">
        <f>IF(Tableau14[[#This Row],[Prix_Unit_HT]]=0,0,Tableau14[[#This Row],[Prix_Unit_HT]]+(Tableau14[[#This Row],[Prix_Unit_HT]]*VLOOKUP(Tableau14[[#This Row],[EAN]],[1]Grille_Tarifs_Modulable!$B$10:$Q$204,16,FALSE)))</f>
        <v>34.699690500000003</v>
      </c>
      <c r="N847" s="224">
        <v>12</v>
      </c>
      <c r="O847" s="228">
        <f>ROUND(Tableau14[[#This Row],[Prix_Unit_HT]],2)*Tableau14[[#This Row],[Qte_commande]]</f>
        <v>347.04</v>
      </c>
      <c r="P847" s="228">
        <f>ROUND(Tableau14[[#This Row],[Prix_Unit_TTC]],2)*Tableau14[[#This Row],[Qte_commande]]</f>
        <v>416.40000000000003</v>
      </c>
      <c r="Q847" s="224">
        <v>30</v>
      </c>
      <c r="R847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30.000000000000004</v>
      </c>
      <c r="U847" s="224"/>
      <c r="V847" s="224"/>
    </row>
    <row r="848" spans="1:22" ht="14.65" customHeight="1" x14ac:dyDescent="0.2">
      <c r="A848" s="225">
        <v>43208</v>
      </c>
      <c r="B848" s="224" t="s">
        <v>328</v>
      </c>
      <c r="C848" s="224" t="s">
        <v>198</v>
      </c>
      <c r="D848" s="224" t="s">
        <v>199</v>
      </c>
      <c r="E848" s="226"/>
      <c r="G848" s="224" t="s">
        <v>1</v>
      </c>
      <c r="H848" s="224" t="s">
        <v>289</v>
      </c>
      <c r="I848" s="224" t="s">
        <v>15</v>
      </c>
      <c r="J848" s="224">
        <v>175</v>
      </c>
      <c r="K848" s="227">
        <f t="array" ref="K848">IFERROR(INDEX([1]Grille_Tarifs_Modulable!$B$2:$B$204,MATCH(Tableau14[[#This Row],[Designation]]&amp;Tableau14[[#This Row],[CL]],[1]Grille_Tarifs_Modulable!$C$2:$C$204&amp;[1]Grille_Tarifs_Modulable!$F$2:$F$204,0)),0)</f>
        <v>4067700013835</v>
      </c>
      <c r="L848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28.916408750000002</v>
      </c>
      <c r="M848" s="228">
        <f>IF(Tableau14[[#This Row],[Prix_Unit_HT]]=0,0,Tableau14[[#This Row],[Prix_Unit_HT]]+(Tableau14[[#This Row],[Prix_Unit_HT]]*VLOOKUP(Tableau14[[#This Row],[EAN]],[1]Grille_Tarifs_Modulable!$B$10:$Q$204,16,FALSE)))</f>
        <v>34.699690500000003</v>
      </c>
      <c r="N848" s="224">
        <v>-12</v>
      </c>
      <c r="O848" s="228">
        <f>ROUND(Tableau14[[#This Row],[Prix_Unit_HT]],2)*Tableau14[[#This Row],[Qte_commande]]</f>
        <v>-347.04</v>
      </c>
      <c r="P848" s="228">
        <f>ROUND(Tableau14[[#This Row],[Prix_Unit_TTC]],2)*Tableau14[[#This Row],[Qte_commande]]</f>
        <v>-416.40000000000003</v>
      </c>
      <c r="Q848" s="224">
        <v>-30</v>
      </c>
      <c r="R848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-30.000000000000004</v>
      </c>
      <c r="U848" s="224"/>
      <c r="V848" s="224"/>
    </row>
    <row r="849" spans="1:22" ht="14.65" customHeight="1" x14ac:dyDescent="0.2">
      <c r="A849" s="225">
        <v>43208</v>
      </c>
      <c r="B849" s="224" t="s">
        <v>327</v>
      </c>
      <c r="C849" s="224" t="s">
        <v>198</v>
      </c>
      <c r="D849" s="224" t="s">
        <v>199</v>
      </c>
      <c r="E849" s="226"/>
      <c r="G849" s="224" t="s">
        <v>1</v>
      </c>
      <c r="H849" s="224" t="s">
        <v>196</v>
      </c>
      <c r="I849" s="224" t="s">
        <v>66</v>
      </c>
      <c r="J849" s="224">
        <v>50</v>
      </c>
      <c r="K849" s="227">
        <f t="array" ref="K849">IFERROR(INDEX([1]Grille_Tarifs_Modulable!$B$2:$B$204,MATCH(Tableau14[[#This Row],[Designation]]&amp;Tableau14[[#This Row],[CL]],[1]Grille_Tarifs_Modulable!$C$2:$C$204&amp;[1]Grille_Tarifs_Modulable!$F$2:$F$204,0)),0)</f>
        <v>4260310553382</v>
      </c>
      <c r="L849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</v>
      </c>
      <c r="M849" s="228">
        <f>IF(Tableau14[[#This Row],[Prix_Unit_HT]]=0,0,Tableau14[[#This Row],[Prix_Unit_HT]]+(Tableau14[[#This Row],[Prix_Unit_HT]]*VLOOKUP(Tableau14[[#This Row],[EAN]],[1]Grille_Tarifs_Modulable!$B$10:$Q$204,16,FALSE)))</f>
        <v>1.0549999999999999</v>
      </c>
      <c r="N849" s="224">
        <v>400</v>
      </c>
      <c r="O849" s="228">
        <f>ROUND(Tableau14[[#This Row],[Prix_Unit_HT]],2)*Tableau14[[#This Row],[Qte_commande]]</f>
        <v>400</v>
      </c>
      <c r="P849" s="228">
        <f>ROUND(Tableau14[[#This Row],[Prix_Unit_TTC]],2)*Tableau14[[#This Row],[Qte_commande]]</f>
        <v>424</v>
      </c>
      <c r="Q849" s="224">
        <v>285.70999999999998</v>
      </c>
      <c r="R849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285.71428571428572</v>
      </c>
      <c r="U849" s="224"/>
      <c r="V849" s="224"/>
    </row>
    <row r="850" spans="1:22" ht="14.65" customHeight="1" x14ac:dyDescent="0.2">
      <c r="A850" s="225">
        <v>43208</v>
      </c>
      <c r="B850" s="224" t="s">
        <v>327</v>
      </c>
      <c r="C850" s="224" t="s">
        <v>198</v>
      </c>
      <c r="D850" s="224" t="s">
        <v>199</v>
      </c>
      <c r="E850" s="226"/>
      <c r="G850" s="224" t="s">
        <v>1</v>
      </c>
      <c r="H850" s="224" t="s">
        <v>289</v>
      </c>
      <c r="I850" s="224" t="s">
        <v>42</v>
      </c>
      <c r="J850" s="224">
        <v>70</v>
      </c>
      <c r="K850" s="227">
        <f t="array" ref="K850">IFERROR(INDEX([1]Grille_Tarifs_Modulable!$B$2:$B$204,MATCH(Tableau14[[#This Row],[Designation]]&amp;Tableau14[[#This Row],[CL]],[1]Grille_Tarifs_Modulable!$C$2:$C$204&amp;[1]Grille_Tarifs_Modulable!$F$2:$F$204,0)),0)</f>
        <v>3257150688009</v>
      </c>
      <c r="L850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12.556915199999999</v>
      </c>
      <c r="M850" s="228">
        <f>IF(Tableau14[[#This Row],[Prix_Unit_HT]]=0,0,Tableau14[[#This Row],[Prix_Unit_HT]]+(Tableau14[[#This Row],[Prix_Unit_HT]]*VLOOKUP(Tableau14[[#This Row],[EAN]],[1]Grille_Tarifs_Modulable!$B$10:$Q$204,16,FALSE)))</f>
        <v>15.068298239999999</v>
      </c>
      <c r="N850" s="224">
        <v>12</v>
      </c>
      <c r="O850" s="228">
        <f>ROUND(Tableau14[[#This Row],[Prix_Unit_HT]],2)*Tableau14[[#This Row],[Qte_commande]]</f>
        <v>150.72</v>
      </c>
      <c r="P850" s="228">
        <f>ROUND(Tableau14[[#This Row],[Prix_Unit_TTC]],2)*Tableau14[[#This Row],[Qte_commande]]</f>
        <v>180.84</v>
      </c>
      <c r="Q850" s="224">
        <v>12</v>
      </c>
      <c r="R850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12.000000000000002</v>
      </c>
      <c r="U850" s="224"/>
      <c r="V850" s="224"/>
    </row>
    <row r="851" spans="1:22" ht="14.65" customHeight="1" x14ac:dyDescent="0.2">
      <c r="A851" s="225">
        <v>43208</v>
      </c>
      <c r="B851" s="224" t="s">
        <v>675</v>
      </c>
      <c r="C851" s="224" t="s">
        <v>639</v>
      </c>
      <c r="D851" s="224" t="s">
        <v>373</v>
      </c>
      <c r="E851" s="226"/>
      <c r="G851" s="224" t="s">
        <v>1</v>
      </c>
      <c r="H851" s="224" t="s">
        <v>289</v>
      </c>
      <c r="I851" s="224" t="s">
        <v>42</v>
      </c>
      <c r="J851" s="224">
        <v>70</v>
      </c>
      <c r="K851" s="227">
        <f t="array" ref="K851">IFERROR(INDEX([1]Grille_Tarifs_Modulable!$B$2:$B$204,MATCH(Tableau14[[#This Row],[Designation]]&amp;Tableau14[[#This Row],[CL]],[1]Grille_Tarifs_Modulable!$C$2:$C$204&amp;[1]Grille_Tarifs_Modulable!$F$2:$F$204,0)),0)</f>
        <v>3257150688009</v>
      </c>
      <c r="L851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12.556915199999999</v>
      </c>
      <c r="M851" s="228">
        <f>IF(Tableau14[[#This Row],[Prix_Unit_HT]]=0,0,Tableau14[[#This Row],[Prix_Unit_HT]]+(Tableau14[[#This Row],[Prix_Unit_HT]]*VLOOKUP(Tableau14[[#This Row],[EAN]],[1]Grille_Tarifs_Modulable!$B$10:$Q$204,16,FALSE)))</f>
        <v>15.068298239999999</v>
      </c>
      <c r="N851" s="224">
        <v>18</v>
      </c>
      <c r="O851" s="228">
        <f>ROUND(Tableau14[[#This Row],[Prix_Unit_HT]],2)*Tableau14[[#This Row],[Qte_commande]]</f>
        <v>226.08</v>
      </c>
      <c r="P851" s="228">
        <f>ROUND(Tableau14[[#This Row],[Prix_Unit_TTC]],2)*Tableau14[[#This Row],[Qte_commande]]</f>
        <v>271.26</v>
      </c>
      <c r="Q851" s="224">
        <v>18</v>
      </c>
      <c r="R851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18</v>
      </c>
      <c r="U851" s="224"/>
      <c r="V851" s="224"/>
    </row>
    <row r="852" spans="1:22" ht="14.65" customHeight="1" x14ac:dyDescent="0.2">
      <c r="A852" s="225">
        <v>43217</v>
      </c>
      <c r="B852" s="224" t="s">
        <v>1151</v>
      </c>
      <c r="C852" s="224" t="s">
        <v>1152</v>
      </c>
      <c r="D852" s="224" t="s">
        <v>302</v>
      </c>
      <c r="E852" s="226"/>
      <c r="G852" s="224" t="s">
        <v>13</v>
      </c>
      <c r="H852" s="224" t="s">
        <v>451</v>
      </c>
      <c r="I852" s="224" t="s">
        <v>69</v>
      </c>
      <c r="J852" s="227">
        <v>3</v>
      </c>
      <c r="K852" s="227">
        <f t="array" ref="K852">IFERROR(INDEX([1]Grille_Tarifs_Modulable!$B$2:$B$204,MATCH(Tableau14[[#This Row],[Designation]]&amp;Tableau14[[#This Row],[CL]],[1]Grille_Tarifs_Modulable!$C$2:$C$204&amp;[1]Grille_Tarifs_Modulable!$F$2:$F$204,0)),0)</f>
        <v>121</v>
      </c>
      <c r="L852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299</v>
      </c>
      <c r="M852" s="228">
        <f>IF(Tableau14[[#This Row],[Prix_Unit_HT]]=0,0,Tableau14[[#This Row],[Prix_Unit_HT]]+(Tableau14[[#This Row],[Prix_Unit_HT]]*VLOOKUP(Tableau14[[#This Row],[EAN]],[1]Grille_Tarifs_Modulable!$B$10:$Q$204,16,FALSE)))</f>
        <v>358.8</v>
      </c>
      <c r="N852" s="224">
        <v>1</v>
      </c>
      <c r="O852" s="228">
        <f>ROUND(Tableau14[[#This Row],[Prix_Unit_HT]],2)*Tableau14[[#This Row],[Qte_commande]]</f>
        <v>299</v>
      </c>
      <c r="P852" s="228">
        <f>ROUND(Tableau14[[#This Row],[Prix_Unit_TTC]],2)*Tableau14[[#This Row],[Qte_commande]]</f>
        <v>358.8</v>
      </c>
      <c r="Q852" s="224">
        <v>1</v>
      </c>
      <c r="R852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</v>
      </c>
      <c r="U852" s="224"/>
      <c r="V852" s="224"/>
    </row>
    <row r="853" spans="1:22" ht="14.65" customHeight="1" x14ac:dyDescent="0.2">
      <c r="A853" s="225">
        <v>43217</v>
      </c>
      <c r="B853" s="224" t="s">
        <v>1153</v>
      </c>
      <c r="C853" s="224" t="s">
        <v>1154</v>
      </c>
      <c r="D853" s="224" t="s">
        <v>1155</v>
      </c>
      <c r="E853" s="226"/>
      <c r="G853" s="224" t="s">
        <v>13</v>
      </c>
      <c r="H853" s="224" t="s">
        <v>451</v>
      </c>
      <c r="I853" s="224" t="s">
        <v>69</v>
      </c>
      <c r="J853" s="227">
        <v>3</v>
      </c>
      <c r="K853" s="227">
        <f t="array" ref="K853">IFERROR(INDEX([1]Grille_Tarifs_Modulable!$B$2:$B$204,MATCH(Tableau14[[#This Row],[Designation]]&amp;Tableau14[[#This Row],[CL]],[1]Grille_Tarifs_Modulable!$C$2:$C$204&amp;[1]Grille_Tarifs_Modulable!$F$2:$F$204,0)),0)</f>
        <v>121</v>
      </c>
      <c r="L853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299</v>
      </c>
      <c r="M853" s="228">
        <f>IF(Tableau14[[#This Row],[Prix_Unit_HT]]=0,0,Tableau14[[#This Row],[Prix_Unit_HT]]+(Tableau14[[#This Row],[Prix_Unit_HT]]*VLOOKUP(Tableau14[[#This Row],[EAN]],[1]Grille_Tarifs_Modulable!$B$10:$Q$204,16,FALSE)))</f>
        <v>358.8</v>
      </c>
      <c r="N853" s="224">
        <v>1</v>
      </c>
      <c r="O853" s="228">
        <f>ROUND(Tableau14[[#This Row],[Prix_Unit_HT]],2)*Tableau14[[#This Row],[Qte_commande]]</f>
        <v>299</v>
      </c>
      <c r="P853" s="228">
        <f>ROUND(Tableau14[[#This Row],[Prix_Unit_TTC]],2)*Tableau14[[#This Row],[Qte_commande]]</f>
        <v>358.8</v>
      </c>
      <c r="Q853" s="224">
        <v>1</v>
      </c>
      <c r="R853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</v>
      </c>
      <c r="U853" s="224"/>
      <c r="V853" s="224"/>
    </row>
    <row r="854" spans="1:22" ht="14.65" customHeight="1" x14ac:dyDescent="0.2">
      <c r="A854" s="225">
        <v>43217</v>
      </c>
      <c r="B854" s="224" t="s">
        <v>1156</v>
      </c>
      <c r="C854" s="224" t="s">
        <v>1157</v>
      </c>
      <c r="D854" s="224" t="s">
        <v>203</v>
      </c>
      <c r="E854" s="226"/>
      <c r="G854" s="224" t="s">
        <v>13</v>
      </c>
      <c r="H854" s="224" t="s">
        <v>451</v>
      </c>
      <c r="I854" s="224" t="s">
        <v>69</v>
      </c>
      <c r="J854" s="227">
        <v>3</v>
      </c>
      <c r="K854" s="227">
        <f t="array" ref="K854">IFERROR(INDEX([1]Grille_Tarifs_Modulable!$B$2:$B$204,MATCH(Tableau14[[#This Row],[Designation]]&amp;Tableau14[[#This Row],[CL]],[1]Grille_Tarifs_Modulable!$C$2:$C$204&amp;[1]Grille_Tarifs_Modulable!$F$2:$F$204,0)),0)</f>
        <v>121</v>
      </c>
      <c r="L854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299</v>
      </c>
      <c r="M854" s="228">
        <f>IF(Tableau14[[#This Row],[Prix_Unit_HT]]=0,0,Tableau14[[#This Row],[Prix_Unit_HT]]+(Tableau14[[#This Row],[Prix_Unit_HT]]*VLOOKUP(Tableau14[[#This Row],[EAN]],[1]Grille_Tarifs_Modulable!$B$10:$Q$204,16,FALSE)))</f>
        <v>358.8</v>
      </c>
      <c r="N854" s="224">
        <v>1</v>
      </c>
      <c r="O854" s="228">
        <f>ROUND(Tableau14[[#This Row],[Prix_Unit_HT]],2)*Tableau14[[#This Row],[Qte_commande]]</f>
        <v>299</v>
      </c>
      <c r="P854" s="228">
        <f>ROUND(Tableau14[[#This Row],[Prix_Unit_TTC]],2)*Tableau14[[#This Row],[Qte_commande]]</f>
        <v>358.8</v>
      </c>
      <c r="Q854" s="224">
        <v>1</v>
      </c>
      <c r="R854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</v>
      </c>
      <c r="U854" s="224"/>
      <c r="V854" s="224"/>
    </row>
    <row r="855" spans="1:22" ht="14.65" customHeight="1" x14ac:dyDescent="0.2">
      <c r="A855" s="225">
        <v>43217</v>
      </c>
      <c r="B855" s="224" t="s">
        <v>1158</v>
      </c>
      <c r="C855" s="224" t="s">
        <v>1159</v>
      </c>
      <c r="D855" s="224" t="s">
        <v>203</v>
      </c>
      <c r="E855" s="226"/>
      <c r="G855" s="224" t="s">
        <v>13</v>
      </c>
      <c r="H855" s="224" t="s">
        <v>451</v>
      </c>
      <c r="I855" s="224" t="s">
        <v>69</v>
      </c>
      <c r="J855" s="227">
        <v>3</v>
      </c>
      <c r="K855" s="227">
        <f t="array" ref="K855">IFERROR(INDEX([1]Grille_Tarifs_Modulable!$B$2:$B$204,MATCH(Tableau14[[#This Row],[Designation]]&amp;Tableau14[[#This Row],[CL]],[1]Grille_Tarifs_Modulable!$C$2:$C$204&amp;[1]Grille_Tarifs_Modulable!$F$2:$F$204,0)),0)</f>
        <v>121</v>
      </c>
      <c r="L855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299</v>
      </c>
      <c r="M855" s="228">
        <f>IF(Tableau14[[#This Row],[Prix_Unit_HT]]=0,0,Tableau14[[#This Row],[Prix_Unit_HT]]+(Tableau14[[#This Row],[Prix_Unit_HT]]*VLOOKUP(Tableau14[[#This Row],[EAN]],[1]Grille_Tarifs_Modulable!$B$10:$Q$204,16,FALSE)))</f>
        <v>358.8</v>
      </c>
      <c r="N855" s="224">
        <v>1</v>
      </c>
      <c r="O855" s="228">
        <f>ROUND(Tableau14[[#This Row],[Prix_Unit_HT]],2)*Tableau14[[#This Row],[Qte_commande]]</f>
        <v>299</v>
      </c>
      <c r="P855" s="228">
        <f>ROUND(Tableau14[[#This Row],[Prix_Unit_TTC]],2)*Tableau14[[#This Row],[Qte_commande]]</f>
        <v>358.8</v>
      </c>
      <c r="Q855" s="224">
        <v>1</v>
      </c>
      <c r="R855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</v>
      </c>
      <c r="U855" s="224"/>
      <c r="V855" s="224"/>
    </row>
    <row r="856" spans="1:22" ht="14.65" customHeight="1" x14ac:dyDescent="0.2">
      <c r="A856" s="225">
        <v>43217</v>
      </c>
      <c r="B856" s="224" t="s">
        <v>1160</v>
      </c>
      <c r="C856" s="224" t="s">
        <v>887</v>
      </c>
      <c r="D856" s="224" t="s">
        <v>887</v>
      </c>
      <c r="E856" s="226"/>
      <c r="G856" s="224" t="s">
        <v>13</v>
      </c>
      <c r="H856" s="224" t="s">
        <v>451</v>
      </c>
      <c r="I856" s="224" t="s">
        <v>69</v>
      </c>
      <c r="J856" s="227">
        <v>3</v>
      </c>
      <c r="K856" s="227">
        <f t="array" ref="K856">IFERROR(INDEX([1]Grille_Tarifs_Modulable!$B$2:$B$204,MATCH(Tableau14[[#This Row],[Designation]]&amp;Tableau14[[#This Row],[CL]],[1]Grille_Tarifs_Modulable!$C$2:$C$204&amp;[1]Grille_Tarifs_Modulable!$F$2:$F$204,0)),0)</f>
        <v>121</v>
      </c>
      <c r="L856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299</v>
      </c>
      <c r="M856" s="228">
        <f>IF(Tableau14[[#This Row],[Prix_Unit_HT]]=0,0,Tableau14[[#This Row],[Prix_Unit_HT]]+(Tableau14[[#This Row],[Prix_Unit_HT]]*VLOOKUP(Tableau14[[#This Row],[EAN]],[1]Grille_Tarifs_Modulable!$B$10:$Q$204,16,FALSE)))</f>
        <v>358.8</v>
      </c>
      <c r="N856" s="224">
        <v>1</v>
      </c>
      <c r="O856" s="228">
        <f>ROUND(Tableau14[[#This Row],[Prix_Unit_HT]],2)*Tableau14[[#This Row],[Qte_commande]]</f>
        <v>299</v>
      </c>
      <c r="P856" s="228">
        <f>ROUND(Tableau14[[#This Row],[Prix_Unit_TTC]],2)*Tableau14[[#This Row],[Qte_commande]]</f>
        <v>358.8</v>
      </c>
      <c r="Q856" s="224">
        <v>1</v>
      </c>
      <c r="R856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</v>
      </c>
      <c r="U856" s="224"/>
      <c r="V856" s="224"/>
    </row>
    <row r="857" spans="1:22" ht="14.65" customHeight="1" x14ac:dyDescent="0.2">
      <c r="A857" s="225">
        <v>43217</v>
      </c>
      <c r="B857" s="224" t="s">
        <v>1161</v>
      </c>
      <c r="C857" s="224" t="s">
        <v>1142</v>
      </c>
      <c r="D857" s="224" t="s">
        <v>1143</v>
      </c>
      <c r="E857" s="226"/>
      <c r="G857" s="224" t="s">
        <v>13</v>
      </c>
      <c r="H857" s="224" t="s">
        <v>451</v>
      </c>
      <c r="I857" s="224" t="s">
        <v>69</v>
      </c>
      <c r="J857" s="227">
        <v>3</v>
      </c>
      <c r="K857" s="227">
        <f t="array" ref="K857">IFERROR(INDEX([1]Grille_Tarifs_Modulable!$B$2:$B$204,MATCH(Tableau14[[#This Row],[Designation]]&amp;Tableau14[[#This Row],[CL]],[1]Grille_Tarifs_Modulable!$C$2:$C$204&amp;[1]Grille_Tarifs_Modulable!$F$2:$F$204,0)),0)</f>
        <v>121</v>
      </c>
      <c r="L857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299</v>
      </c>
      <c r="M857" s="228">
        <f>IF(Tableau14[[#This Row],[Prix_Unit_HT]]=0,0,Tableau14[[#This Row],[Prix_Unit_HT]]+(Tableau14[[#This Row],[Prix_Unit_HT]]*VLOOKUP(Tableau14[[#This Row],[EAN]],[1]Grille_Tarifs_Modulable!$B$10:$Q$204,16,FALSE)))</f>
        <v>358.8</v>
      </c>
      <c r="N857" s="224">
        <v>1</v>
      </c>
      <c r="O857" s="228">
        <f>ROUND(Tableau14[[#This Row],[Prix_Unit_HT]],2)*Tableau14[[#This Row],[Qte_commande]]</f>
        <v>299</v>
      </c>
      <c r="P857" s="228">
        <f>ROUND(Tableau14[[#This Row],[Prix_Unit_TTC]],2)*Tableau14[[#This Row],[Qte_commande]]</f>
        <v>358.8</v>
      </c>
      <c r="Q857" s="224">
        <v>1</v>
      </c>
      <c r="R857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</v>
      </c>
      <c r="U857" s="224"/>
      <c r="V857" s="224"/>
    </row>
    <row r="858" spans="1:22" ht="14.65" customHeight="1" x14ac:dyDescent="0.2">
      <c r="A858" s="225">
        <v>43220</v>
      </c>
      <c r="B858" s="224" t="s">
        <v>515</v>
      </c>
      <c r="C858" s="224" t="s">
        <v>516</v>
      </c>
      <c r="D858" s="224" t="s">
        <v>233</v>
      </c>
      <c r="E858" s="226"/>
      <c r="G858" s="224" t="s">
        <v>1</v>
      </c>
      <c r="H858" s="224" t="s">
        <v>289</v>
      </c>
      <c r="I858" s="224" t="s">
        <v>47</v>
      </c>
      <c r="J858" s="224">
        <v>70</v>
      </c>
      <c r="K858" s="227">
        <f t="array" ref="K858">IFERROR(INDEX([1]Grille_Tarifs_Modulable!$B$2:$B$204,MATCH(Tableau14[[#This Row],[Designation]]&amp;Tableau14[[#This Row],[CL]],[1]Grille_Tarifs_Modulable!$C$2:$C$204&amp;[1]Grille_Tarifs_Modulable!$F$2:$F$204,0)),0)</f>
        <v>3257150673005</v>
      </c>
      <c r="L858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20.158644000000002</v>
      </c>
      <c r="M858" s="228">
        <f>IF(Tableau14[[#This Row],[Prix_Unit_HT]]=0,0,Tableau14[[#This Row],[Prix_Unit_HT]]+(Tableau14[[#This Row],[Prix_Unit_HT]]*VLOOKUP(Tableau14[[#This Row],[EAN]],[1]Grille_Tarifs_Modulable!$B$10:$Q$204,16,FALSE)))</f>
        <v>24.190372800000002</v>
      </c>
      <c r="N858" s="224">
        <v>3</v>
      </c>
      <c r="O858" s="228">
        <f>ROUND(Tableau14[[#This Row],[Prix_Unit_HT]],2)*Tableau14[[#This Row],[Qte_commande]]</f>
        <v>60.480000000000004</v>
      </c>
      <c r="P858" s="228">
        <f>ROUND(Tableau14[[#This Row],[Prix_Unit_TTC]],2)*Tableau14[[#This Row],[Qte_commande]]</f>
        <v>72.570000000000007</v>
      </c>
      <c r="Q858" s="224">
        <v>3</v>
      </c>
      <c r="R858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3.0000000000000004</v>
      </c>
      <c r="U858" s="224"/>
      <c r="V858" s="224"/>
    </row>
    <row r="859" spans="1:22" ht="14.65" customHeight="1" x14ac:dyDescent="0.2">
      <c r="A859" s="225">
        <v>43220</v>
      </c>
      <c r="B859" s="224" t="s">
        <v>676</v>
      </c>
      <c r="C859" s="224" t="s">
        <v>530</v>
      </c>
      <c r="D859" s="224" t="s">
        <v>531</v>
      </c>
      <c r="E859" s="226"/>
      <c r="G859" s="224" t="s">
        <v>1</v>
      </c>
      <c r="H859" s="224" t="s">
        <v>289</v>
      </c>
      <c r="I859" s="224" t="s">
        <v>15</v>
      </c>
      <c r="J859" s="224">
        <v>70</v>
      </c>
      <c r="K859" s="227">
        <f t="array" ref="K859">IFERROR(INDEX([1]Grille_Tarifs_Modulable!$B$2:$B$204,MATCH(Tableau14[[#This Row],[Designation]]&amp;Tableau14[[#This Row],[CL]],[1]Grille_Tarifs_Modulable!$C$2:$C$204&amp;[1]Grille_Tarifs_Modulable!$F$2:$F$204,0)),0)</f>
        <v>4067700013859</v>
      </c>
      <c r="L859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12.532563499999998</v>
      </c>
      <c r="M859" s="228">
        <f>IF(Tableau14[[#This Row],[Prix_Unit_HT]]=0,0,Tableau14[[#This Row],[Prix_Unit_HT]]+(Tableau14[[#This Row],[Prix_Unit_HT]]*VLOOKUP(Tableau14[[#This Row],[EAN]],[1]Grille_Tarifs_Modulable!$B$10:$Q$204,16,FALSE)))</f>
        <v>15.039076199999998</v>
      </c>
      <c r="N859" s="224">
        <v>150</v>
      </c>
      <c r="O859" s="228">
        <f>ROUND(Tableau14[[#This Row],[Prix_Unit_HT]],2)*Tableau14[[#This Row],[Qte_commande]]</f>
        <v>1879.5</v>
      </c>
      <c r="P859" s="228">
        <f>ROUND(Tableau14[[#This Row],[Prix_Unit_TTC]],2)*Tableau14[[#This Row],[Qte_commande]]</f>
        <v>2256</v>
      </c>
      <c r="Q859" s="224">
        <v>150</v>
      </c>
      <c r="R859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150</v>
      </c>
      <c r="U859" s="224"/>
      <c r="V859" s="224"/>
    </row>
    <row r="860" spans="1:22" ht="14.65" customHeight="1" x14ac:dyDescent="0.2">
      <c r="A860" s="225">
        <v>43220</v>
      </c>
      <c r="B860" s="224" t="s">
        <v>677</v>
      </c>
      <c r="C860" s="224" t="s">
        <v>660</v>
      </c>
      <c r="D860" s="224" t="s">
        <v>209</v>
      </c>
      <c r="E860" s="226"/>
      <c r="G860" s="224" t="s">
        <v>1</v>
      </c>
      <c r="H860" s="224" t="s">
        <v>289</v>
      </c>
      <c r="I860" s="224" t="s">
        <v>15</v>
      </c>
      <c r="J860" s="224">
        <v>100</v>
      </c>
      <c r="K860" s="227">
        <f t="array" ref="K860">IFERROR(INDEX([1]Grille_Tarifs_Modulable!$B$2:$B$204,MATCH(Tableau14[[#This Row],[Designation]]&amp;Tableau14[[#This Row],[CL]],[1]Grille_Tarifs_Modulable!$C$2:$C$204&amp;[1]Grille_Tarifs_Modulable!$F$2:$F$204,0)),0)</f>
        <v>4067700013842</v>
      </c>
      <c r="L860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17.100804999999998</v>
      </c>
      <c r="M860" s="228">
        <f>IF(Tableau14[[#This Row],[Prix_Unit_HT]]=0,0,Tableau14[[#This Row],[Prix_Unit_HT]]+(Tableau14[[#This Row],[Prix_Unit_HT]]*VLOOKUP(Tableau14[[#This Row],[EAN]],[1]Grille_Tarifs_Modulable!$B$10:$Q$204,16,FALSE)))</f>
        <v>20.520965999999998</v>
      </c>
      <c r="N860" s="224">
        <v>12</v>
      </c>
      <c r="O860" s="228">
        <f>ROUND(Tableau14[[#This Row],[Prix_Unit_HT]],2)*Tableau14[[#This Row],[Qte_commande]]</f>
        <v>205.20000000000002</v>
      </c>
      <c r="P860" s="228">
        <f>ROUND(Tableau14[[#This Row],[Prix_Unit_TTC]],2)*Tableau14[[#This Row],[Qte_commande]]</f>
        <v>246.24</v>
      </c>
      <c r="Q860" s="224">
        <v>17.14</v>
      </c>
      <c r="R860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17.142857142857142</v>
      </c>
      <c r="U860" s="224"/>
      <c r="V860" s="224"/>
    </row>
    <row r="861" spans="1:22" ht="14.65" customHeight="1" x14ac:dyDescent="0.2">
      <c r="A861" s="225">
        <v>43220</v>
      </c>
      <c r="B861" s="224" t="s">
        <v>677</v>
      </c>
      <c r="C861" s="224" t="s">
        <v>660</v>
      </c>
      <c r="D861" s="224" t="s">
        <v>209</v>
      </c>
      <c r="E861" s="226"/>
      <c r="G861" s="224" t="s">
        <v>1</v>
      </c>
      <c r="H861" s="224" t="s">
        <v>289</v>
      </c>
      <c r="I861" s="224" t="s">
        <v>15</v>
      </c>
      <c r="J861" s="224">
        <v>175</v>
      </c>
      <c r="K861" s="227">
        <f t="array" ref="K861">IFERROR(INDEX([1]Grille_Tarifs_Modulable!$B$2:$B$204,MATCH(Tableau14[[#This Row],[Designation]]&amp;Tableau14[[#This Row],[CL]],[1]Grille_Tarifs_Modulable!$C$2:$C$204&amp;[1]Grille_Tarifs_Modulable!$F$2:$F$204,0)),0)</f>
        <v>4067700013835</v>
      </c>
      <c r="L861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28.916408750000002</v>
      </c>
      <c r="M861" s="228">
        <f>IF(Tableau14[[#This Row],[Prix_Unit_HT]]=0,0,Tableau14[[#This Row],[Prix_Unit_HT]]+(Tableau14[[#This Row],[Prix_Unit_HT]]*VLOOKUP(Tableau14[[#This Row],[EAN]],[1]Grille_Tarifs_Modulable!$B$10:$Q$204,16,FALSE)))</f>
        <v>34.699690500000003</v>
      </c>
      <c r="N861" s="224">
        <v>12</v>
      </c>
      <c r="O861" s="228">
        <f>ROUND(Tableau14[[#This Row],[Prix_Unit_HT]],2)*Tableau14[[#This Row],[Qte_commande]]</f>
        <v>347.04</v>
      </c>
      <c r="P861" s="228">
        <f>ROUND(Tableau14[[#This Row],[Prix_Unit_TTC]],2)*Tableau14[[#This Row],[Qte_commande]]</f>
        <v>416.40000000000003</v>
      </c>
      <c r="Q861" s="224">
        <v>30</v>
      </c>
      <c r="R861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30.000000000000004</v>
      </c>
      <c r="U861" s="224"/>
      <c r="V861" s="224"/>
    </row>
    <row r="862" spans="1:22" ht="14.65" customHeight="1" x14ac:dyDescent="0.2">
      <c r="A862" s="225">
        <v>43220</v>
      </c>
      <c r="B862" s="224" t="s">
        <v>515</v>
      </c>
      <c r="C862" s="224" t="s">
        <v>516</v>
      </c>
      <c r="D862" s="224" t="s">
        <v>233</v>
      </c>
      <c r="E862" s="226"/>
      <c r="G862" s="224" t="s">
        <v>1</v>
      </c>
      <c r="H862" s="224" t="s">
        <v>196</v>
      </c>
      <c r="I862" s="224" t="s">
        <v>66</v>
      </c>
      <c r="J862" s="224">
        <v>50</v>
      </c>
      <c r="K862" s="227">
        <f t="array" ref="K862">IFERROR(INDEX([1]Grille_Tarifs_Modulable!$B$2:$B$204,MATCH(Tableau14[[#This Row],[Designation]]&amp;Tableau14[[#This Row],[CL]],[1]Grille_Tarifs_Modulable!$C$2:$C$204&amp;[1]Grille_Tarifs_Modulable!$F$2:$F$204,0)),0)</f>
        <v>4260310553382</v>
      </c>
      <c r="L862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</v>
      </c>
      <c r="M862" s="228">
        <f>IF(Tableau14[[#This Row],[Prix_Unit_HT]]=0,0,Tableau14[[#This Row],[Prix_Unit_HT]]+(Tableau14[[#This Row],[Prix_Unit_HT]]*VLOOKUP(Tableau14[[#This Row],[EAN]],[1]Grille_Tarifs_Modulable!$B$10:$Q$204,16,FALSE)))</f>
        <v>1.0549999999999999</v>
      </c>
      <c r="N862" s="224">
        <v>20</v>
      </c>
      <c r="O862" s="228">
        <f>ROUND(Tableau14[[#This Row],[Prix_Unit_HT]],2)*Tableau14[[#This Row],[Qte_commande]]</f>
        <v>20</v>
      </c>
      <c r="P862" s="228">
        <f>ROUND(Tableau14[[#This Row],[Prix_Unit_TTC]],2)*Tableau14[[#This Row],[Qte_commande]]</f>
        <v>21.200000000000003</v>
      </c>
      <c r="Q862" s="224">
        <v>14.29</v>
      </c>
      <c r="R862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14.285714285714286</v>
      </c>
      <c r="U862" s="224"/>
      <c r="V862" s="224"/>
    </row>
    <row r="863" spans="1:22" ht="14.65" customHeight="1" x14ac:dyDescent="0.2">
      <c r="A863" s="225">
        <v>43220</v>
      </c>
      <c r="B863" s="224" t="s">
        <v>515</v>
      </c>
      <c r="C863" s="224" t="s">
        <v>516</v>
      </c>
      <c r="D863" s="224" t="s">
        <v>233</v>
      </c>
      <c r="E863" s="226"/>
      <c r="G863" s="224" t="s">
        <v>1</v>
      </c>
      <c r="H863" s="224" t="s">
        <v>289</v>
      </c>
      <c r="I863" s="224" t="s">
        <v>30</v>
      </c>
      <c r="J863" s="224">
        <v>70</v>
      </c>
      <c r="K863" s="227">
        <f t="array" ref="K863">IFERROR(INDEX([1]Grille_Tarifs_Modulable!$B$2:$B$204,MATCH(Tableau14[[#This Row],[Designation]]&amp;Tableau14[[#This Row],[CL]],[1]Grille_Tarifs_Modulable!$C$2:$C$204&amp;[1]Grille_Tarifs_Modulable!$F$2:$F$204,0)),0)</f>
        <v>3257150101904</v>
      </c>
      <c r="L863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16.346482999999999</v>
      </c>
      <c r="M863" s="228">
        <f>IF(Tableau14[[#This Row],[Prix_Unit_HT]]=0,0,Tableau14[[#This Row],[Prix_Unit_HT]]+(Tableau14[[#This Row],[Prix_Unit_HT]]*VLOOKUP(Tableau14[[#This Row],[EAN]],[1]Grille_Tarifs_Modulable!$B$10:$Q$204,16,FALSE)))</f>
        <v>19.6157796</v>
      </c>
      <c r="N863" s="224">
        <v>6</v>
      </c>
      <c r="O863" s="228">
        <f>ROUND(Tableau14[[#This Row],[Prix_Unit_HT]],2)*Tableau14[[#This Row],[Qte_commande]]</f>
        <v>98.100000000000009</v>
      </c>
      <c r="P863" s="228">
        <f>ROUND(Tableau14[[#This Row],[Prix_Unit_TTC]],2)*Tableau14[[#This Row],[Qte_commande]]</f>
        <v>117.72</v>
      </c>
      <c r="Q863" s="224">
        <v>6</v>
      </c>
      <c r="R863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6.0000000000000009</v>
      </c>
      <c r="U863" s="224"/>
      <c r="V863" s="224"/>
    </row>
    <row r="864" spans="1:22" ht="14.65" customHeight="1" x14ac:dyDescent="0.2">
      <c r="A864" s="225">
        <v>43220</v>
      </c>
      <c r="B864" s="224" t="s">
        <v>515</v>
      </c>
      <c r="C864" s="224" t="s">
        <v>516</v>
      </c>
      <c r="D864" s="224" t="s">
        <v>233</v>
      </c>
      <c r="E864" s="226"/>
      <c r="G864" s="224" t="s">
        <v>1</v>
      </c>
      <c r="H864" s="224" t="s">
        <v>289</v>
      </c>
      <c r="I864" s="224" t="s">
        <v>36</v>
      </c>
      <c r="J864" s="224">
        <v>70</v>
      </c>
      <c r="K864" s="227">
        <f t="array" ref="K864">IFERROR(INDEX([1]Grille_Tarifs_Modulable!$B$2:$B$204,MATCH(Tableau14[[#This Row],[Designation]]&amp;Tableau14[[#This Row],[CL]],[1]Grille_Tarifs_Modulable!$C$2:$C$204&amp;[1]Grille_Tarifs_Modulable!$F$2:$F$204,0)),0)</f>
        <v>3257150100792</v>
      </c>
      <c r="L864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71.40864400000001</v>
      </c>
      <c r="M864" s="228">
        <f>IF(Tableau14[[#This Row],[Prix_Unit_HT]]=0,0,Tableau14[[#This Row],[Prix_Unit_HT]]+(Tableau14[[#This Row],[Prix_Unit_HT]]*VLOOKUP(Tableau14[[#This Row],[EAN]],[1]Grille_Tarifs_Modulable!$B$10:$Q$204,16,FALSE)))</f>
        <v>85.690372800000006</v>
      </c>
      <c r="N864" s="224">
        <v>1</v>
      </c>
      <c r="O864" s="228">
        <f>ROUND(Tableau14[[#This Row],[Prix_Unit_HT]],2)*Tableau14[[#This Row],[Qte_commande]]</f>
        <v>71.41</v>
      </c>
      <c r="P864" s="228">
        <f>ROUND(Tableau14[[#This Row],[Prix_Unit_TTC]],2)*Tableau14[[#This Row],[Qte_commande]]</f>
        <v>85.69</v>
      </c>
      <c r="Q864" s="224">
        <v>1</v>
      </c>
      <c r="R864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</v>
      </c>
      <c r="U864" s="224"/>
      <c r="V864" s="224"/>
    </row>
    <row r="865" spans="1:22" ht="14.65" customHeight="1" x14ac:dyDescent="0.2">
      <c r="A865" s="225">
        <v>43220</v>
      </c>
      <c r="B865" s="224" t="s">
        <v>515</v>
      </c>
      <c r="C865" s="224" t="s">
        <v>516</v>
      </c>
      <c r="D865" s="224" t="s">
        <v>233</v>
      </c>
      <c r="E865" s="226"/>
      <c r="G865" s="224" t="s">
        <v>1</v>
      </c>
      <c r="H865" s="224" t="s">
        <v>289</v>
      </c>
      <c r="I865" s="224" t="s">
        <v>31</v>
      </c>
      <c r="J865" s="224">
        <v>70</v>
      </c>
      <c r="K865" s="227">
        <f t="array" ref="K865">IFERROR(INDEX([1]Grille_Tarifs_Modulable!$B$2:$B$204,MATCH(Tableau14[[#This Row],[Designation]]&amp;Tableau14[[#This Row],[CL]],[1]Grille_Tarifs_Modulable!$C$2:$C$204&amp;[1]Grille_Tarifs_Modulable!$F$2:$F$204,0)),0)</f>
        <v>3257150102017</v>
      </c>
      <c r="L865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14.694322</v>
      </c>
      <c r="M865" s="228">
        <f>IF(Tableau14[[#This Row],[Prix_Unit_HT]]=0,0,Tableau14[[#This Row],[Prix_Unit_HT]]+(Tableau14[[#This Row],[Prix_Unit_HT]]*VLOOKUP(Tableau14[[#This Row],[EAN]],[1]Grille_Tarifs_Modulable!$B$10:$Q$204,16,FALSE)))</f>
        <v>17.6331864</v>
      </c>
      <c r="N865" s="224">
        <v>6</v>
      </c>
      <c r="O865" s="228">
        <f>ROUND(Tableau14[[#This Row],[Prix_Unit_HT]],2)*Tableau14[[#This Row],[Qte_commande]]</f>
        <v>88.14</v>
      </c>
      <c r="P865" s="228">
        <f>ROUND(Tableau14[[#This Row],[Prix_Unit_TTC]],2)*Tableau14[[#This Row],[Qte_commande]]</f>
        <v>105.78</v>
      </c>
      <c r="Q865" s="224">
        <v>6</v>
      </c>
      <c r="R865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6.0000000000000009</v>
      </c>
      <c r="U865" s="224"/>
      <c r="V865" s="224"/>
    </row>
    <row r="866" spans="1:22" ht="14.65" customHeight="1" x14ac:dyDescent="0.2">
      <c r="A866" s="225">
        <v>43220</v>
      </c>
      <c r="B866" s="224" t="s">
        <v>907</v>
      </c>
      <c r="C866" s="224" t="s">
        <v>378</v>
      </c>
      <c r="D866" s="224" t="s">
        <v>180</v>
      </c>
      <c r="E866" s="226"/>
      <c r="G866" s="224" t="s">
        <v>13</v>
      </c>
      <c r="H866" s="224" t="s">
        <v>289</v>
      </c>
      <c r="I866" s="224" t="s">
        <v>44</v>
      </c>
      <c r="J866" s="224">
        <v>50</v>
      </c>
      <c r="K866" s="227">
        <f t="array" ref="K866">IFERROR(INDEX([1]Grille_Tarifs_Modulable!$B$2:$B$204,MATCH(Tableau14[[#This Row],[Designation]]&amp;Tableau14[[#This Row],[CL]],[1]Grille_Tarifs_Modulable!$C$2:$C$204&amp;[1]Grille_Tarifs_Modulable!$F$2:$F$204,0)),0)</f>
        <v>4260270192645</v>
      </c>
      <c r="L866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28.052506000000001</v>
      </c>
      <c r="M866" s="228">
        <f>IF(Tableau14[[#This Row],[Prix_Unit_HT]]=0,0,Tableau14[[#This Row],[Prix_Unit_HT]]+(Tableau14[[#This Row],[Prix_Unit_HT]]*VLOOKUP(Tableau14[[#This Row],[EAN]],[1]Grille_Tarifs_Modulable!$B$10:$Q$204,16,FALSE)))</f>
        <v>33.663007200000003</v>
      </c>
      <c r="N866" s="224">
        <v>12</v>
      </c>
      <c r="O866" s="228">
        <f>ROUND(Tableau14[[#This Row],[Prix_Unit_HT]],2)*Tableau14[[#This Row],[Qte_commande]]</f>
        <v>336.6</v>
      </c>
      <c r="P866" s="228">
        <f>ROUND(Tableau14[[#This Row],[Prix_Unit_TTC]],2)*Tableau14[[#This Row],[Qte_commande]]</f>
        <v>403.91999999999996</v>
      </c>
      <c r="Q866" s="224">
        <v>8.57</v>
      </c>
      <c r="R866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8.5714285714285712</v>
      </c>
      <c r="U866" s="224"/>
      <c r="V866" s="224"/>
    </row>
    <row r="867" spans="1:22" ht="14.65" customHeight="1" x14ac:dyDescent="0.2">
      <c r="A867" s="225">
        <v>43220</v>
      </c>
      <c r="B867" s="224" t="s">
        <v>515</v>
      </c>
      <c r="C867" s="224" t="s">
        <v>516</v>
      </c>
      <c r="D867" s="224" t="s">
        <v>233</v>
      </c>
      <c r="E867" s="226"/>
      <c r="G867" s="224" t="s">
        <v>1</v>
      </c>
      <c r="H867" s="224" t="s">
        <v>289</v>
      </c>
      <c r="I867" s="224" t="s">
        <v>44</v>
      </c>
      <c r="J867" s="224">
        <v>50</v>
      </c>
      <c r="K867" s="227">
        <f t="array" ref="K867">IFERROR(INDEX([1]Grille_Tarifs_Modulable!$B$2:$B$204,MATCH(Tableau14[[#This Row],[Designation]]&amp;Tableau14[[#This Row],[CL]],[1]Grille_Tarifs_Modulable!$C$2:$C$204&amp;[1]Grille_Tarifs_Modulable!$F$2:$F$204,0)),0)</f>
        <v>4260270192645</v>
      </c>
      <c r="L867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25.192506000000002</v>
      </c>
      <c r="M867" s="228">
        <f>IF(Tableau14[[#This Row],[Prix_Unit_HT]]=0,0,Tableau14[[#This Row],[Prix_Unit_HT]]+(Tableau14[[#This Row],[Prix_Unit_HT]]*VLOOKUP(Tableau14[[#This Row],[EAN]],[1]Grille_Tarifs_Modulable!$B$10:$Q$204,16,FALSE)))</f>
        <v>30.231007200000001</v>
      </c>
      <c r="N867" s="224">
        <v>3</v>
      </c>
      <c r="O867" s="228">
        <f>ROUND(Tableau14[[#This Row],[Prix_Unit_HT]],2)*Tableau14[[#This Row],[Qte_commande]]</f>
        <v>75.570000000000007</v>
      </c>
      <c r="P867" s="228">
        <f>ROUND(Tableau14[[#This Row],[Prix_Unit_TTC]],2)*Tableau14[[#This Row],[Qte_commande]]</f>
        <v>90.69</v>
      </c>
      <c r="Q867" s="224">
        <v>2.14</v>
      </c>
      <c r="R867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2.1428571428571428</v>
      </c>
      <c r="U867" s="224"/>
      <c r="V867" s="224"/>
    </row>
    <row r="868" spans="1:22" ht="14.65" customHeight="1" x14ac:dyDescent="0.2">
      <c r="A868" s="225">
        <v>43220</v>
      </c>
      <c r="B868" s="224" t="s">
        <v>677</v>
      </c>
      <c r="C868" s="224" t="s">
        <v>660</v>
      </c>
      <c r="D868" s="224" t="s">
        <v>209</v>
      </c>
      <c r="E868" s="226"/>
      <c r="G868" s="224" t="s">
        <v>1</v>
      </c>
      <c r="H868" s="224" t="s">
        <v>289</v>
      </c>
      <c r="I868" s="224" t="s">
        <v>24</v>
      </c>
      <c r="J868" s="224">
        <v>70</v>
      </c>
      <c r="K868" s="227">
        <f t="array" ref="K868">IFERROR(INDEX([1]Grille_Tarifs_Modulable!$B$2:$B$204,MATCH(Tableau14[[#This Row],[Designation]]&amp;Tableau14[[#This Row],[CL]],[1]Grille_Tarifs_Modulable!$C$2:$C$204&amp;[1]Grille_Tarifs_Modulable!$F$2:$F$204,0)),0)</f>
        <v>8500000917008</v>
      </c>
      <c r="L868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11.028211800000001</v>
      </c>
      <c r="M868" s="228">
        <f>IF(Tableau14[[#This Row],[Prix_Unit_HT]]=0,0,Tableau14[[#This Row],[Prix_Unit_HT]]+(Tableau14[[#This Row],[Prix_Unit_HT]]*VLOOKUP(Tableau14[[#This Row],[EAN]],[1]Grille_Tarifs_Modulable!$B$10:$Q$204,16,FALSE)))</f>
        <v>13.233854160000002</v>
      </c>
      <c r="N868" s="224">
        <v>12</v>
      </c>
      <c r="O868" s="228">
        <f>ROUND(Tableau14[[#This Row],[Prix_Unit_HT]],2)*Tableau14[[#This Row],[Qte_commande]]</f>
        <v>132.35999999999999</v>
      </c>
      <c r="P868" s="228">
        <f>ROUND(Tableau14[[#This Row],[Prix_Unit_TTC]],2)*Tableau14[[#This Row],[Qte_commande]]</f>
        <v>158.76</v>
      </c>
      <c r="Q868" s="224">
        <v>12</v>
      </c>
      <c r="R868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12.000000000000002</v>
      </c>
      <c r="U868" s="224"/>
      <c r="V868" s="224"/>
    </row>
    <row r="869" spans="1:22" ht="14.65" customHeight="1" x14ac:dyDescent="0.2">
      <c r="A869" s="225">
        <v>43220</v>
      </c>
      <c r="B869" s="224" t="s">
        <v>515</v>
      </c>
      <c r="C869" s="224" t="s">
        <v>516</v>
      </c>
      <c r="D869" s="224" t="s">
        <v>233</v>
      </c>
      <c r="E869" s="226"/>
      <c r="G869" s="224" t="s">
        <v>1</v>
      </c>
      <c r="H869" s="224" t="s">
        <v>196</v>
      </c>
      <c r="I869" s="224" t="s">
        <v>59</v>
      </c>
      <c r="J869" s="224">
        <v>20</v>
      </c>
      <c r="K869" s="227">
        <f t="array" ref="K869">IFERROR(INDEX([1]Grille_Tarifs_Modulable!$B$2:$B$204,MATCH(Tableau14[[#This Row],[Designation]]&amp;Tableau14[[#This Row],[CL]],[1]Grille_Tarifs_Modulable!$C$2:$C$204&amp;[1]Grille_Tarifs_Modulable!$F$2:$F$204,0)),0)</f>
        <v>4260310553818</v>
      </c>
      <c r="L869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0.81</v>
      </c>
      <c r="M869" s="228">
        <f>IF(Tableau14[[#This Row],[Prix_Unit_HT]]=0,0,Tableau14[[#This Row],[Prix_Unit_HT]]+(Tableau14[[#This Row],[Prix_Unit_HT]]*VLOOKUP(Tableau14[[#This Row],[EAN]],[1]Grille_Tarifs_Modulable!$B$10:$Q$204,16,FALSE)))</f>
        <v>0.85455000000000003</v>
      </c>
      <c r="N869" s="224">
        <v>24</v>
      </c>
      <c r="O869" s="228">
        <f>ROUND(Tableau14[[#This Row],[Prix_Unit_HT]],2)*Tableau14[[#This Row],[Qte_commande]]</f>
        <v>19.440000000000001</v>
      </c>
      <c r="P869" s="228">
        <f>ROUND(Tableau14[[#This Row],[Prix_Unit_TTC]],2)*Tableau14[[#This Row],[Qte_commande]]</f>
        <v>20.399999999999999</v>
      </c>
      <c r="Q869" s="224">
        <v>6.86</v>
      </c>
      <c r="R869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6.8571428571428577</v>
      </c>
      <c r="U869" s="224"/>
      <c r="V869" s="224"/>
    </row>
    <row r="870" spans="1:22" ht="14.65" customHeight="1" x14ac:dyDescent="0.2">
      <c r="A870" s="225">
        <v>43222</v>
      </c>
      <c r="B870" s="224" t="s">
        <v>678</v>
      </c>
      <c r="C870" s="224" t="s">
        <v>542</v>
      </c>
      <c r="D870" s="224" t="s">
        <v>209</v>
      </c>
      <c r="E870" s="226"/>
      <c r="G870" s="224" t="s">
        <v>1</v>
      </c>
      <c r="H870" s="224" t="s">
        <v>289</v>
      </c>
      <c r="I870" s="224" t="s">
        <v>15</v>
      </c>
      <c r="J870" s="224">
        <v>175</v>
      </c>
      <c r="K870" s="227">
        <f t="array" ref="K870">IFERROR(INDEX([1]Grille_Tarifs_Modulable!$B$2:$B$204,MATCH(Tableau14[[#This Row],[Designation]]&amp;Tableau14[[#This Row],[CL]],[1]Grille_Tarifs_Modulable!$C$2:$C$204&amp;[1]Grille_Tarifs_Modulable!$F$2:$F$204,0)),0)</f>
        <v>4067700013835</v>
      </c>
      <c r="L870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28.916408750000002</v>
      </c>
      <c r="M870" s="228">
        <f>IF(Tableau14[[#This Row],[Prix_Unit_HT]]=0,0,Tableau14[[#This Row],[Prix_Unit_HT]]+(Tableau14[[#This Row],[Prix_Unit_HT]]*VLOOKUP(Tableau14[[#This Row],[EAN]],[1]Grille_Tarifs_Modulable!$B$10:$Q$204,16,FALSE)))</f>
        <v>34.699690500000003</v>
      </c>
      <c r="N870" s="224">
        <v>12</v>
      </c>
      <c r="O870" s="228">
        <f>ROUND(Tableau14[[#This Row],[Prix_Unit_HT]],2)*Tableau14[[#This Row],[Qte_commande]]</f>
        <v>347.04</v>
      </c>
      <c r="P870" s="228">
        <f>ROUND(Tableau14[[#This Row],[Prix_Unit_TTC]],2)*Tableau14[[#This Row],[Qte_commande]]</f>
        <v>416.40000000000003</v>
      </c>
      <c r="Q870" s="224">
        <v>30</v>
      </c>
      <c r="R870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30.000000000000004</v>
      </c>
      <c r="U870" s="224"/>
      <c r="V870" s="224"/>
    </row>
    <row r="871" spans="1:22" ht="14.65" customHeight="1" x14ac:dyDescent="0.2">
      <c r="A871" s="225">
        <v>43222</v>
      </c>
      <c r="B871" s="224" t="s">
        <v>678</v>
      </c>
      <c r="C871" s="224" t="s">
        <v>542</v>
      </c>
      <c r="D871" s="224" t="s">
        <v>209</v>
      </c>
      <c r="E871" s="226"/>
      <c r="G871" s="224" t="s">
        <v>1</v>
      </c>
      <c r="H871" s="224" t="s">
        <v>289</v>
      </c>
      <c r="I871" s="224" t="s">
        <v>15</v>
      </c>
      <c r="J871" s="224">
        <v>175</v>
      </c>
      <c r="K871" s="227">
        <f t="array" ref="K871">IFERROR(INDEX([1]Grille_Tarifs_Modulable!$B$2:$B$204,MATCH(Tableau14[[#This Row],[Designation]]&amp;Tableau14[[#This Row],[CL]],[1]Grille_Tarifs_Modulable!$C$2:$C$204&amp;[1]Grille_Tarifs_Modulable!$F$2:$F$204,0)),0)</f>
        <v>4067700013835</v>
      </c>
      <c r="L871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28.916408750000002</v>
      </c>
      <c r="M871" s="228">
        <f>IF(Tableau14[[#This Row],[Prix_Unit_HT]]=0,0,Tableau14[[#This Row],[Prix_Unit_HT]]+(Tableau14[[#This Row],[Prix_Unit_HT]]*VLOOKUP(Tableau14[[#This Row],[EAN]],[1]Grille_Tarifs_Modulable!$B$10:$Q$204,16,FALSE)))</f>
        <v>34.699690500000003</v>
      </c>
      <c r="N871" s="224">
        <v>6</v>
      </c>
      <c r="O871" s="228">
        <f>ROUND(Tableau14[[#This Row],[Prix_Unit_HT]],2)*Tableau14[[#This Row],[Qte_commande]]</f>
        <v>173.52</v>
      </c>
      <c r="P871" s="228">
        <f>ROUND(Tableau14[[#This Row],[Prix_Unit_TTC]],2)*Tableau14[[#This Row],[Qte_commande]]</f>
        <v>208.20000000000002</v>
      </c>
      <c r="Q871" s="224">
        <v>15</v>
      </c>
      <c r="R871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15.000000000000002</v>
      </c>
      <c r="U871" s="224"/>
      <c r="V871" s="224"/>
    </row>
    <row r="872" spans="1:22" ht="14.65" customHeight="1" x14ac:dyDescent="0.2">
      <c r="A872" s="225">
        <v>43222</v>
      </c>
      <c r="B872" s="224" t="s">
        <v>678</v>
      </c>
      <c r="C872" s="224" t="s">
        <v>542</v>
      </c>
      <c r="D872" s="224" t="s">
        <v>209</v>
      </c>
      <c r="E872" s="226"/>
      <c r="G872" s="224" t="s">
        <v>1</v>
      </c>
      <c r="H872" s="224" t="s">
        <v>289</v>
      </c>
      <c r="I872" s="224" t="s">
        <v>25</v>
      </c>
      <c r="J872" s="224">
        <v>70</v>
      </c>
      <c r="K872" s="227">
        <f t="array" ref="K872">IFERROR(INDEX([1]Grille_Tarifs_Modulable!$B$2:$B$204,MATCH(Tableau14[[#This Row],[Designation]]&amp;Tableau14[[#This Row],[CL]],[1]Grille_Tarifs_Modulable!$C$2:$C$204&amp;[1]Grille_Tarifs_Modulable!$F$2:$F$204,0)),0)</f>
        <v>8500000917015</v>
      </c>
      <c r="L872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11.8982118</v>
      </c>
      <c r="M872" s="228">
        <f>IF(Tableau14[[#This Row],[Prix_Unit_HT]]=0,0,Tableau14[[#This Row],[Prix_Unit_HT]]+(Tableau14[[#This Row],[Prix_Unit_HT]]*VLOOKUP(Tableau14[[#This Row],[EAN]],[1]Grille_Tarifs_Modulable!$B$10:$Q$204,16,FALSE)))</f>
        <v>14.27785416</v>
      </c>
      <c r="N872" s="224">
        <v>6</v>
      </c>
      <c r="O872" s="228">
        <f>ROUND(Tableau14[[#This Row],[Prix_Unit_HT]],2)*Tableau14[[#This Row],[Qte_commande]]</f>
        <v>71.400000000000006</v>
      </c>
      <c r="P872" s="228">
        <f>ROUND(Tableau14[[#This Row],[Prix_Unit_TTC]],2)*Tableau14[[#This Row],[Qte_commande]]</f>
        <v>85.679999999999993</v>
      </c>
      <c r="Q872" s="224">
        <v>6</v>
      </c>
      <c r="R872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6.0000000000000009</v>
      </c>
      <c r="U872" s="224"/>
      <c r="V872" s="224"/>
    </row>
    <row r="873" spans="1:22" ht="14.65" customHeight="1" x14ac:dyDescent="0.2">
      <c r="A873" s="225">
        <v>43222</v>
      </c>
      <c r="B873" s="224" t="s">
        <v>678</v>
      </c>
      <c r="C873" s="224" t="s">
        <v>542</v>
      </c>
      <c r="D873" s="224" t="s">
        <v>209</v>
      </c>
      <c r="E873" s="226"/>
      <c r="G873" s="224" t="s">
        <v>13</v>
      </c>
      <c r="H873" s="224" t="s">
        <v>289</v>
      </c>
      <c r="I873" s="224" t="s">
        <v>931</v>
      </c>
      <c r="J873" s="224">
        <v>100</v>
      </c>
      <c r="K873" s="227">
        <f t="array" ref="K873">IFERROR(INDEX([1]Grille_Tarifs_Modulable!$B$2:$B$204,MATCH(Tableau14[[#This Row],[Designation]]&amp;Tableau14[[#This Row],[CL]],[1]Grille_Tarifs_Modulable!$C$2:$C$204&amp;[1]Grille_Tarifs_Modulable!$F$2:$F$204,0)),0)</f>
        <v>0</v>
      </c>
      <c r="L873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</v>
      </c>
      <c r="M873" s="228">
        <f>IF(Tableau14[[#This Row],[Prix_Unit_HT]]=0,0,Tableau14[[#This Row],[Prix_Unit_HT]]+(Tableau14[[#This Row],[Prix_Unit_HT]]*VLOOKUP(Tableau14[[#This Row],[EAN]],[1]Grille_Tarifs_Modulable!$B$10:$Q$204,16,FALSE)))</f>
        <v>0</v>
      </c>
      <c r="N873" s="224">
        <v>36</v>
      </c>
      <c r="O873" s="228">
        <f>ROUND(Tableau14[[#This Row],[Prix_Unit_HT]],2)*Tableau14[[#This Row],[Qte_commande]]</f>
        <v>0</v>
      </c>
      <c r="P873" s="228">
        <f>ROUND(Tableau14[[#This Row],[Prix_Unit_TTC]],2)*Tableau14[[#This Row],[Qte_commande]]</f>
        <v>0</v>
      </c>
      <c r="Q873" s="224">
        <v>51.43</v>
      </c>
      <c r="R873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51.428571428571431</v>
      </c>
      <c r="U873" s="224"/>
      <c r="V873" s="224"/>
    </row>
    <row r="874" spans="1:22" ht="14.65" customHeight="1" x14ac:dyDescent="0.2">
      <c r="A874" s="225">
        <v>43223</v>
      </c>
      <c r="B874" s="224" t="s">
        <v>946</v>
      </c>
      <c r="C874" s="224" t="s">
        <v>942</v>
      </c>
      <c r="D874" s="224" t="s">
        <v>943</v>
      </c>
      <c r="E874" s="226"/>
      <c r="G874" s="224" t="s">
        <v>1</v>
      </c>
      <c r="H874" s="224" t="s">
        <v>289</v>
      </c>
      <c r="I874" s="224" t="s">
        <v>42</v>
      </c>
      <c r="J874" s="224">
        <v>70</v>
      </c>
      <c r="K874" s="227">
        <f t="array" ref="K874">IFERROR(INDEX([1]Grille_Tarifs_Modulable!$B$2:$B$204,MATCH(Tableau14[[#This Row],[Designation]]&amp;Tableau14[[#This Row],[CL]],[1]Grille_Tarifs_Modulable!$C$2:$C$204&amp;[1]Grille_Tarifs_Modulable!$F$2:$F$204,0)),0)</f>
        <v>3257150688009</v>
      </c>
      <c r="L874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12.556915199999999</v>
      </c>
      <c r="M874" s="228">
        <f>IF(Tableau14[[#This Row],[Prix_Unit_HT]]=0,0,Tableau14[[#This Row],[Prix_Unit_HT]]+(Tableau14[[#This Row],[Prix_Unit_HT]]*VLOOKUP(Tableau14[[#This Row],[EAN]],[1]Grille_Tarifs_Modulable!$B$10:$Q$204,16,FALSE)))</f>
        <v>15.068298239999999</v>
      </c>
      <c r="N874" s="224">
        <v>12</v>
      </c>
      <c r="O874" s="228">
        <f>ROUND(Tableau14[[#This Row],[Prix_Unit_HT]],2)*Tableau14[[#This Row],[Qte_commande]]</f>
        <v>150.72</v>
      </c>
      <c r="P874" s="228">
        <f>ROUND(Tableau14[[#This Row],[Prix_Unit_TTC]],2)*Tableau14[[#This Row],[Qte_commande]]</f>
        <v>180.84</v>
      </c>
      <c r="Q874" s="224">
        <v>12</v>
      </c>
      <c r="R874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12.000000000000002</v>
      </c>
      <c r="U874" s="224"/>
      <c r="V874" s="224"/>
    </row>
    <row r="875" spans="1:22" ht="14.65" customHeight="1" x14ac:dyDescent="0.2">
      <c r="A875" s="225">
        <v>43224</v>
      </c>
      <c r="B875" s="224" t="s">
        <v>374</v>
      </c>
      <c r="C875" s="224" t="s">
        <v>375</v>
      </c>
      <c r="D875" s="224" t="s">
        <v>376</v>
      </c>
      <c r="E875" s="226"/>
      <c r="G875" s="224" t="s">
        <v>1</v>
      </c>
      <c r="H875" s="224" t="s">
        <v>289</v>
      </c>
      <c r="I875" s="224" t="s">
        <v>35</v>
      </c>
      <c r="J875" s="224">
        <v>70</v>
      </c>
      <c r="K875" s="227">
        <f t="array" ref="K875">IFERROR(INDEX([1]Grille_Tarifs_Modulable!$B$2:$B$204,MATCH(Tableau14[[#This Row],[Designation]]&amp;Tableau14[[#This Row],[CL]],[1]Grille_Tarifs_Modulable!$C$2:$C$204&amp;[1]Grille_Tarifs_Modulable!$F$2:$F$204,0)),0)</f>
        <v>3257150107012</v>
      </c>
      <c r="L875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29.828643999999997</v>
      </c>
      <c r="M875" s="228">
        <f>IF(Tableau14[[#This Row],[Prix_Unit_HT]]=0,0,Tableau14[[#This Row],[Prix_Unit_HT]]+(Tableau14[[#This Row],[Prix_Unit_HT]]*VLOOKUP(Tableau14[[#This Row],[EAN]],[1]Grille_Tarifs_Modulable!$B$10:$Q$204,16,FALSE)))</f>
        <v>35.794372799999998</v>
      </c>
      <c r="N875" s="224">
        <v>24</v>
      </c>
      <c r="O875" s="228">
        <f>ROUND(Tableau14[[#This Row],[Prix_Unit_HT]],2)*Tableau14[[#This Row],[Qte_commande]]</f>
        <v>715.92</v>
      </c>
      <c r="P875" s="228">
        <f>ROUND(Tableau14[[#This Row],[Prix_Unit_TTC]],2)*Tableau14[[#This Row],[Qte_commande]]</f>
        <v>858.96</v>
      </c>
      <c r="Q875" s="224">
        <v>24</v>
      </c>
      <c r="R875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24.000000000000004</v>
      </c>
      <c r="U875" s="224"/>
      <c r="V875" s="224"/>
    </row>
    <row r="876" spans="1:22" ht="14.65" customHeight="1" x14ac:dyDescent="0.2">
      <c r="A876" s="225">
        <v>43224</v>
      </c>
      <c r="B876" s="224" t="s">
        <v>374</v>
      </c>
      <c r="C876" s="224" t="s">
        <v>375</v>
      </c>
      <c r="D876" s="224" t="s">
        <v>376</v>
      </c>
      <c r="E876" s="226"/>
      <c r="G876" s="224" t="s">
        <v>1</v>
      </c>
      <c r="H876" s="224" t="s">
        <v>289</v>
      </c>
      <c r="I876" s="224" t="s">
        <v>15</v>
      </c>
      <c r="J876" s="224">
        <v>100</v>
      </c>
      <c r="K876" s="227">
        <f t="array" ref="K876">IFERROR(INDEX([1]Grille_Tarifs_Modulable!$B$2:$B$204,MATCH(Tableau14[[#This Row],[Designation]]&amp;Tableau14[[#This Row],[CL]],[1]Grille_Tarifs_Modulable!$C$2:$C$204&amp;[1]Grille_Tarifs_Modulable!$F$2:$F$204,0)),0)</f>
        <v>4067700013842</v>
      </c>
      <c r="L876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17.100804999999998</v>
      </c>
      <c r="M876" s="228">
        <f>IF(Tableau14[[#This Row],[Prix_Unit_HT]]=0,0,Tableau14[[#This Row],[Prix_Unit_HT]]+(Tableau14[[#This Row],[Prix_Unit_HT]]*VLOOKUP(Tableau14[[#This Row],[EAN]],[1]Grille_Tarifs_Modulable!$B$10:$Q$204,16,FALSE)))</f>
        <v>20.520965999999998</v>
      </c>
      <c r="N876" s="224">
        <v>96</v>
      </c>
      <c r="O876" s="228">
        <f>ROUND(Tableau14[[#This Row],[Prix_Unit_HT]],2)*Tableau14[[#This Row],[Qte_commande]]</f>
        <v>1641.6000000000001</v>
      </c>
      <c r="P876" s="228">
        <f>ROUND(Tableau14[[#This Row],[Prix_Unit_TTC]],2)*Tableau14[[#This Row],[Qte_commande]]</f>
        <v>1969.92</v>
      </c>
      <c r="Q876" s="224">
        <v>137.13999999999999</v>
      </c>
      <c r="R876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137.14285714285714</v>
      </c>
      <c r="U876" s="224"/>
      <c r="V876" s="224"/>
    </row>
    <row r="877" spans="1:22" ht="14.65" customHeight="1" x14ac:dyDescent="0.2">
      <c r="A877" s="225">
        <v>43224</v>
      </c>
      <c r="B877" s="224" t="s">
        <v>374</v>
      </c>
      <c r="C877" s="224" t="s">
        <v>375</v>
      </c>
      <c r="D877" s="224" t="s">
        <v>376</v>
      </c>
      <c r="E877" s="226"/>
      <c r="G877" s="224" t="s">
        <v>1</v>
      </c>
      <c r="H877" s="224" t="s">
        <v>289</v>
      </c>
      <c r="I877" s="224" t="s">
        <v>15</v>
      </c>
      <c r="J877" s="224">
        <v>175</v>
      </c>
      <c r="K877" s="227">
        <f t="array" ref="K877">IFERROR(INDEX([1]Grille_Tarifs_Modulable!$B$2:$B$204,MATCH(Tableau14[[#This Row],[Designation]]&amp;Tableau14[[#This Row],[CL]],[1]Grille_Tarifs_Modulable!$C$2:$C$204&amp;[1]Grille_Tarifs_Modulable!$F$2:$F$204,0)),0)</f>
        <v>4067700013835</v>
      </c>
      <c r="L877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28.916408750000002</v>
      </c>
      <c r="M877" s="228">
        <f>IF(Tableau14[[#This Row],[Prix_Unit_HT]]=0,0,Tableau14[[#This Row],[Prix_Unit_HT]]+(Tableau14[[#This Row],[Prix_Unit_HT]]*VLOOKUP(Tableau14[[#This Row],[EAN]],[1]Grille_Tarifs_Modulable!$B$10:$Q$204,16,FALSE)))</f>
        <v>34.699690500000003</v>
      </c>
      <c r="N877" s="224">
        <v>30</v>
      </c>
      <c r="O877" s="228">
        <f>ROUND(Tableau14[[#This Row],[Prix_Unit_HT]],2)*Tableau14[[#This Row],[Qte_commande]]</f>
        <v>867.6</v>
      </c>
      <c r="P877" s="228">
        <f>ROUND(Tableau14[[#This Row],[Prix_Unit_TTC]],2)*Tableau14[[#This Row],[Qte_commande]]</f>
        <v>1041</v>
      </c>
      <c r="Q877" s="224">
        <v>75</v>
      </c>
      <c r="R877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75</v>
      </c>
      <c r="U877" s="224"/>
      <c r="V877" s="224"/>
    </row>
    <row r="878" spans="1:22" ht="14.65" customHeight="1" x14ac:dyDescent="0.2">
      <c r="A878" s="225">
        <v>43224</v>
      </c>
      <c r="B878" s="224" t="s">
        <v>374</v>
      </c>
      <c r="C878" s="224" t="s">
        <v>375</v>
      </c>
      <c r="D878" s="224" t="s">
        <v>376</v>
      </c>
      <c r="E878" s="226"/>
      <c r="G878" s="224" t="s">
        <v>1</v>
      </c>
      <c r="H878" s="224" t="s">
        <v>289</v>
      </c>
      <c r="I878" s="224" t="s">
        <v>30</v>
      </c>
      <c r="J878" s="224">
        <v>70</v>
      </c>
      <c r="K878" s="227">
        <f t="array" ref="K878">IFERROR(INDEX([1]Grille_Tarifs_Modulable!$B$2:$B$204,MATCH(Tableau14[[#This Row],[Designation]]&amp;Tableau14[[#This Row],[CL]],[1]Grille_Tarifs_Modulable!$C$2:$C$204&amp;[1]Grille_Tarifs_Modulable!$F$2:$F$204,0)),0)</f>
        <v>3257150101904</v>
      </c>
      <c r="L878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16.346482999999999</v>
      </c>
      <c r="M878" s="228">
        <f>IF(Tableau14[[#This Row],[Prix_Unit_HT]]=0,0,Tableau14[[#This Row],[Prix_Unit_HT]]+(Tableau14[[#This Row],[Prix_Unit_HT]]*VLOOKUP(Tableau14[[#This Row],[EAN]],[1]Grille_Tarifs_Modulable!$B$10:$Q$204,16,FALSE)))</f>
        <v>19.6157796</v>
      </c>
      <c r="N878" s="224">
        <v>12</v>
      </c>
      <c r="O878" s="228">
        <f>ROUND(Tableau14[[#This Row],[Prix_Unit_HT]],2)*Tableau14[[#This Row],[Qte_commande]]</f>
        <v>196.20000000000002</v>
      </c>
      <c r="P878" s="228">
        <f>ROUND(Tableau14[[#This Row],[Prix_Unit_TTC]],2)*Tableau14[[#This Row],[Qte_commande]]</f>
        <v>235.44</v>
      </c>
      <c r="Q878" s="224">
        <v>12</v>
      </c>
      <c r="R878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12.000000000000002</v>
      </c>
      <c r="U878" s="224"/>
      <c r="V878" s="224"/>
    </row>
    <row r="879" spans="1:22" ht="14.65" customHeight="1" x14ac:dyDescent="0.2">
      <c r="A879" s="225">
        <v>43224</v>
      </c>
      <c r="B879" s="224" t="s">
        <v>374</v>
      </c>
      <c r="C879" s="224" t="s">
        <v>375</v>
      </c>
      <c r="D879" s="224" t="s">
        <v>376</v>
      </c>
      <c r="E879" s="226"/>
      <c r="G879" s="224" t="s">
        <v>1</v>
      </c>
      <c r="H879" s="224" t="s">
        <v>289</v>
      </c>
      <c r="I879" s="224" t="s">
        <v>32</v>
      </c>
      <c r="J879" s="224">
        <v>70</v>
      </c>
      <c r="K879" s="227">
        <f t="array" ref="K879">IFERROR(INDEX([1]Grille_Tarifs_Modulable!$B$2:$B$204,MATCH(Tableau14[[#This Row],[Designation]]&amp;Tableau14[[#This Row],[CL]],[1]Grille_Tarifs_Modulable!$C$2:$C$204&amp;[1]Grille_Tarifs_Modulable!$F$2:$F$204,0)),0)</f>
        <v>3257150100228</v>
      </c>
      <c r="L879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19.998643999999999</v>
      </c>
      <c r="M879" s="228">
        <f>IF(Tableau14[[#This Row],[Prix_Unit_HT]]=0,0,Tableau14[[#This Row],[Prix_Unit_HT]]+(Tableau14[[#This Row],[Prix_Unit_HT]]*VLOOKUP(Tableau14[[#This Row],[EAN]],[1]Grille_Tarifs_Modulable!$B$10:$Q$204,16,FALSE)))</f>
        <v>23.998372799999999</v>
      </c>
      <c r="N879" s="224">
        <v>12</v>
      </c>
      <c r="O879" s="228">
        <f>ROUND(Tableau14[[#This Row],[Prix_Unit_HT]],2)*Tableau14[[#This Row],[Qte_commande]]</f>
        <v>240</v>
      </c>
      <c r="P879" s="228">
        <f>ROUND(Tableau14[[#This Row],[Prix_Unit_TTC]],2)*Tableau14[[#This Row],[Qte_commande]]</f>
        <v>288</v>
      </c>
      <c r="Q879" s="224">
        <v>12</v>
      </c>
      <c r="R879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12.000000000000002</v>
      </c>
      <c r="U879" s="224"/>
      <c r="V879" s="224"/>
    </row>
    <row r="880" spans="1:22" ht="14.65" customHeight="1" x14ac:dyDescent="0.2">
      <c r="A880" s="225">
        <v>43224</v>
      </c>
      <c r="B880" s="224" t="s">
        <v>374</v>
      </c>
      <c r="C880" s="224" t="s">
        <v>375</v>
      </c>
      <c r="D880" s="224" t="s">
        <v>376</v>
      </c>
      <c r="E880" s="226"/>
      <c r="G880" s="224" t="s">
        <v>1</v>
      </c>
      <c r="H880" s="224" t="s">
        <v>289</v>
      </c>
      <c r="I880" s="224" t="s">
        <v>36</v>
      </c>
      <c r="J880" s="224">
        <v>70</v>
      </c>
      <c r="K880" s="227">
        <f t="array" ref="K880">IFERROR(INDEX([1]Grille_Tarifs_Modulable!$B$2:$B$204,MATCH(Tableau14[[#This Row],[Designation]]&amp;Tableau14[[#This Row],[CL]],[1]Grille_Tarifs_Modulable!$C$2:$C$204&amp;[1]Grille_Tarifs_Modulable!$F$2:$F$204,0)),0)</f>
        <v>3257150100792</v>
      </c>
      <c r="L880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71.40864400000001</v>
      </c>
      <c r="M880" s="228">
        <f>IF(Tableau14[[#This Row],[Prix_Unit_HT]]=0,0,Tableau14[[#This Row],[Prix_Unit_HT]]+(Tableau14[[#This Row],[Prix_Unit_HT]]*VLOOKUP(Tableau14[[#This Row],[EAN]],[1]Grille_Tarifs_Modulable!$B$10:$Q$204,16,FALSE)))</f>
        <v>85.690372800000006</v>
      </c>
      <c r="N880" s="224">
        <v>6</v>
      </c>
      <c r="O880" s="228">
        <f>ROUND(Tableau14[[#This Row],[Prix_Unit_HT]],2)*Tableau14[[#This Row],[Qte_commande]]</f>
        <v>428.46</v>
      </c>
      <c r="P880" s="228">
        <f>ROUND(Tableau14[[#This Row],[Prix_Unit_TTC]],2)*Tableau14[[#This Row],[Qte_commande]]</f>
        <v>514.14</v>
      </c>
      <c r="Q880" s="224">
        <v>6</v>
      </c>
      <c r="R880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6.0000000000000009</v>
      </c>
      <c r="U880" s="224"/>
      <c r="V880" s="224"/>
    </row>
    <row r="881" spans="1:22" ht="14.65" customHeight="1" x14ac:dyDescent="0.2">
      <c r="A881" s="225">
        <v>43224</v>
      </c>
      <c r="B881" s="224" t="s">
        <v>374</v>
      </c>
      <c r="C881" s="224" t="s">
        <v>375</v>
      </c>
      <c r="D881" s="224" t="s">
        <v>376</v>
      </c>
      <c r="E881" s="226"/>
      <c r="G881" s="224" t="s">
        <v>1</v>
      </c>
      <c r="H881" s="224" t="s">
        <v>289</v>
      </c>
      <c r="I881" s="224" t="s">
        <v>31</v>
      </c>
      <c r="J881" s="224">
        <v>70</v>
      </c>
      <c r="K881" s="227">
        <f t="array" ref="K881">IFERROR(INDEX([1]Grille_Tarifs_Modulable!$B$2:$B$204,MATCH(Tableau14[[#This Row],[Designation]]&amp;Tableau14[[#This Row],[CL]],[1]Grille_Tarifs_Modulable!$C$2:$C$204&amp;[1]Grille_Tarifs_Modulable!$F$2:$F$204,0)),0)</f>
        <v>3257150102017</v>
      </c>
      <c r="L881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14.694322</v>
      </c>
      <c r="M881" s="228">
        <f>IF(Tableau14[[#This Row],[Prix_Unit_HT]]=0,0,Tableau14[[#This Row],[Prix_Unit_HT]]+(Tableau14[[#This Row],[Prix_Unit_HT]]*VLOOKUP(Tableau14[[#This Row],[EAN]],[1]Grille_Tarifs_Modulable!$B$10:$Q$204,16,FALSE)))</f>
        <v>17.6331864</v>
      </c>
      <c r="N881" s="224">
        <v>12</v>
      </c>
      <c r="O881" s="228">
        <f>ROUND(Tableau14[[#This Row],[Prix_Unit_HT]],2)*Tableau14[[#This Row],[Qte_commande]]</f>
        <v>176.28</v>
      </c>
      <c r="P881" s="228">
        <f>ROUND(Tableau14[[#This Row],[Prix_Unit_TTC]],2)*Tableau14[[#This Row],[Qte_commande]]</f>
        <v>211.56</v>
      </c>
      <c r="Q881" s="224">
        <v>12</v>
      </c>
      <c r="R881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12.000000000000002</v>
      </c>
      <c r="U881" s="224"/>
      <c r="V881" s="224"/>
    </row>
    <row r="882" spans="1:22" ht="14.65" customHeight="1" x14ac:dyDescent="0.2">
      <c r="A882" s="225">
        <v>43224</v>
      </c>
      <c r="B882" s="224" t="s">
        <v>374</v>
      </c>
      <c r="C882" s="224" t="s">
        <v>375</v>
      </c>
      <c r="D882" s="224" t="s">
        <v>376</v>
      </c>
      <c r="E882" s="226"/>
      <c r="G882" s="224" t="s">
        <v>1</v>
      </c>
      <c r="H882" s="224" t="s">
        <v>289</v>
      </c>
      <c r="I882" s="224" t="s">
        <v>44</v>
      </c>
      <c r="J882" s="224">
        <v>50</v>
      </c>
      <c r="K882" s="227">
        <f t="array" ref="K882">IFERROR(INDEX([1]Grille_Tarifs_Modulable!$B$2:$B$204,MATCH(Tableau14[[#This Row],[Designation]]&amp;Tableau14[[#This Row],[CL]],[1]Grille_Tarifs_Modulable!$C$2:$C$204&amp;[1]Grille_Tarifs_Modulable!$F$2:$F$204,0)),0)</f>
        <v>4260270192645</v>
      </c>
      <c r="L882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25.192506000000002</v>
      </c>
      <c r="M882" s="228">
        <f>IF(Tableau14[[#This Row],[Prix_Unit_HT]]=0,0,Tableau14[[#This Row],[Prix_Unit_HT]]+(Tableau14[[#This Row],[Prix_Unit_HT]]*VLOOKUP(Tableau14[[#This Row],[EAN]],[1]Grille_Tarifs_Modulable!$B$10:$Q$204,16,FALSE)))</f>
        <v>30.231007200000001</v>
      </c>
      <c r="N882" s="224">
        <v>18</v>
      </c>
      <c r="O882" s="228">
        <f>ROUND(Tableau14[[#This Row],[Prix_Unit_HT]],2)*Tableau14[[#This Row],[Qte_commande]]</f>
        <v>453.42</v>
      </c>
      <c r="P882" s="228">
        <f>ROUND(Tableau14[[#This Row],[Prix_Unit_TTC]],2)*Tableau14[[#This Row],[Qte_commande]]</f>
        <v>544.14</v>
      </c>
      <c r="Q882" s="224">
        <v>12.86</v>
      </c>
      <c r="R882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12.857142857142858</v>
      </c>
      <c r="U882" s="224"/>
      <c r="V882" s="224"/>
    </row>
    <row r="883" spans="1:22" ht="14.65" customHeight="1" x14ac:dyDescent="0.2">
      <c r="A883" s="225">
        <v>43234</v>
      </c>
      <c r="B883" s="224" t="s">
        <v>235</v>
      </c>
      <c r="C883" s="224" t="s">
        <v>198</v>
      </c>
      <c r="D883" s="224" t="s">
        <v>199</v>
      </c>
      <c r="E883" s="226"/>
      <c r="G883" s="224" t="s">
        <v>1</v>
      </c>
      <c r="H883" s="224" t="s">
        <v>196</v>
      </c>
      <c r="I883" s="224" t="s">
        <v>62</v>
      </c>
      <c r="J883" s="224">
        <v>20</v>
      </c>
      <c r="K883" s="227">
        <f t="array" ref="K883">IFERROR(INDEX([1]Grille_Tarifs_Modulable!$B$2:$B$204,MATCH(Tableau14[[#This Row],[Designation]]&amp;Tableau14[[#This Row],[CL]],[1]Grille_Tarifs_Modulable!$C$2:$C$204&amp;[1]Grille_Tarifs_Modulable!$F$2:$F$204,0)),0)</f>
        <v>4260310550305</v>
      </c>
      <c r="L883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0.81</v>
      </c>
      <c r="M883" s="228">
        <f>IF(Tableau14[[#This Row],[Prix_Unit_HT]]=0,0,Tableau14[[#This Row],[Prix_Unit_HT]]+(Tableau14[[#This Row],[Prix_Unit_HT]]*VLOOKUP(Tableau14[[#This Row],[EAN]],[1]Grille_Tarifs_Modulable!$B$10:$Q$204,16,FALSE)))</f>
        <v>0.85455000000000003</v>
      </c>
      <c r="N883" s="224">
        <v>144</v>
      </c>
      <c r="O883" s="228">
        <f>ROUND(Tableau14[[#This Row],[Prix_Unit_HT]],2)*Tableau14[[#This Row],[Qte_commande]]</f>
        <v>116.64000000000001</v>
      </c>
      <c r="P883" s="228">
        <f>ROUND(Tableau14[[#This Row],[Prix_Unit_TTC]],2)*Tableau14[[#This Row],[Qte_commande]]</f>
        <v>122.39999999999999</v>
      </c>
      <c r="Q883" s="224">
        <v>41.14</v>
      </c>
      <c r="R883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41.142857142857146</v>
      </c>
      <c r="U883" s="224"/>
      <c r="V883" s="224"/>
    </row>
    <row r="884" spans="1:22" ht="14.65" customHeight="1" x14ac:dyDescent="0.2">
      <c r="A884" s="225">
        <v>43234</v>
      </c>
      <c r="B884" s="224" t="s">
        <v>679</v>
      </c>
      <c r="C884" s="224" t="s">
        <v>639</v>
      </c>
      <c r="D884" s="224" t="s">
        <v>373</v>
      </c>
      <c r="E884" s="226"/>
      <c r="G884" s="224" t="s">
        <v>1</v>
      </c>
      <c r="H884" s="224" t="s">
        <v>289</v>
      </c>
      <c r="I884" s="224" t="s">
        <v>15</v>
      </c>
      <c r="J884" s="224">
        <v>70</v>
      </c>
      <c r="K884" s="227">
        <f t="array" ref="K884">IFERROR(INDEX([1]Grille_Tarifs_Modulable!$B$2:$B$204,MATCH(Tableau14[[#This Row],[Designation]]&amp;Tableau14[[#This Row],[CL]],[1]Grille_Tarifs_Modulable!$C$2:$C$204&amp;[1]Grille_Tarifs_Modulable!$F$2:$F$204,0)),0)</f>
        <v>4067700013859</v>
      </c>
      <c r="L884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12.532563499999998</v>
      </c>
      <c r="M884" s="228">
        <f>IF(Tableau14[[#This Row],[Prix_Unit_HT]]=0,0,Tableau14[[#This Row],[Prix_Unit_HT]]+(Tableau14[[#This Row],[Prix_Unit_HT]]*VLOOKUP(Tableau14[[#This Row],[EAN]],[1]Grille_Tarifs_Modulable!$B$10:$Q$204,16,FALSE)))</f>
        <v>15.039076199999998</v>
      </c>
      <c r="N884" s="224">
        <v>150</v>
      </c>
      <c r="O884" s="228">
        <f>ROUND(Tableau14[[#This Row],[Prix_Unit_HT]],2)*Tableau14[[#This Row],[Qte_commande]]</f>
        <v>1879.5</v>
      </c>
      <c r="P884" s="228">
        <f>ROUND(Tableau14[[#This Row],[Prix_Unit_TTC]],2)*Tableau14[[#This Row],[Qte_commande]]</f>
        <v>2256</v>
      </c>
      <c r="Q884" s="224">
        <v>150</v>
      </c>
      <c r="R884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150</v>
      </c>
      <c r="U884" s="224"/>
      <c r="V884" s="224"/>
    </row>
    <row r="885" spans="1:22" ht="14.65" customHeight="1" x14ac:dyDescent="0.2">
      <c r="A885" s="225">
        <v>43234</v>
      </c>
      <c r="B885" s="224" t="s">
        <v>235</v>
      </c>
      <c r="C885" s="224" t="s">
        <v>198</v>
      </c>
      <c r="D885" s="224" t="s">
        <v>199</v>
      </c>
      <c r="E885" s="226"/>
      <c r="G885" s="224" t="s">
        <v>1</v>
      </c>
      <c r="H885" s="224" t="s">
        <v>196</v>
      </c>
      <c r="I885" s="224" t="s">
        <v>66</v>
      </c>
      <c r="J885" s="224">
        <v>50</v>
      </c>
      <c r="K885" s="227">
        <f t="array" ref="K885">IFERROR(INDEX([1]Grille_Tarifs_Modulable!$B$2:$B$204,MATCH(Tableau14[[#This Row],[Designation]]&amp;Tableau14[[#This Row],[CL]],[1]Grille_Tarifs_Modulable!$C$2:$C$204&amp;[1]Grille_Tarifs_Modulable!$F$2:$F$204,0)),0)</f>
        <v>4260310553382</v>
      </c>
      <c r="L885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</v>
      </c>
      <c r="M885" s="228">
        <f>IF(Tableau14[[#This Row],[Prix_Unit_HT]]=0,0,Tableau14[[#This Row],[Prix_Unit_HT]]+(Tableau14[[#This Row],[Prix_Unit_HT]]*VLOOKUP(Tableau14[[#This Row],[EAN]],[1]Grille_Tarifs_Modulable!$B$10:$Q$204,16,FALSE)))</f>
        <v>1.0549999999999999</v>
      </c>
      <c r="N885" s="224">
        <v>800</v>
      </c>
      <c r="O885" s="228">
        <f>ROUND(Tableau14[[#This Row],[Prix_Unit_HT]],2)*Tableau14[[#This Row],[Qte_commande]]</f>
        <v>800</v>
      </c>
      <c r="P885" s="228">
        <f>ROUND(Tableau14[[#This Row],[Prix_Unit_TTC]],2)*Tableau14[[#This Row],[Qte_commande]]</f>
        <v>848</v>
      </c>
      <c r="Q885" s="224">
        <v>571.42999999999995</v>
      </c>
      <c r="R885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571.42857142857144</v>
      </c>
      <c r="U885" s="224"/>
      <c r="V885" s="224"/>
    </row>
    <row r="886" spans="1:22" ht="14.65" customHeight="1" x14ac:dyDescent="0.2">
      <c r="A886" s="225">
        <v>43234</v>
      </c>
      <c r="B886" s="224" t="s">
        <v>235</v>
      </c>
      <c r="C886" s="224" t="s">
        <v>198</v>
      </c>
      <c r="D886" s="224" t="s">
        <v>199</v>
      </c>
      <c r="E886" s="226"/>
      <c r="G886" s="224" t="s">
        <v>1</v>
      </c>
      <c r="H886" s="224" t="s">
        <v>196</v>
      </c>
      <c r="I886" s="224" t="s">
        <v>66</v>
      </c>
      <c r="J886" s="224">
        <v>50</v>
      </c>
      <c r="K886" s="227">
        <f t="array" ref="K886">IFERROR(INDEX([1]Grille_Tarifs_Modulable!$B$2:$B$204,MATCH(Tableau14[[#This Row],[Designation]]&amp;Tableau14[[#This Row],[CL]],[1]Grille_Tarifs_Modulable!$C$2:$C$204&amp;[1]Grille_Tarifs_Modulable!$F$2:$F$204,0)),0)</f>
        <v>4260310553382</v>
      </c>
      <c r="L886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</v>
      </c>
      <c r="M886" s="228">
        <f>IF(Tableau14[[#This Row],[Prix_Unit_HT]]=0,0,Tableau14[[#This Row],[Prix_Unit_HT]]+(Tableau14[[#This Row],[Prix_Unit_HT]]*VLOOKUP(Tableau14[[#This Row],[EAN]],[1]Grille_Tarifs_Modulable!$B$10:$Q$204,16,FALSE)))</f>
        <v>1.0549999999999999</v>
      </c>
      <c r="N886" s="224">
        <v>80</v>
      </c>
      <c r="O886" s="228">
        <f>ROUND(Tableau14[[#This Row],[Prix_Unit_HT]],2)*Tableau14[[#This Row],[Qte_commande]]</f>
        <v>80</v>
      </c>
      <c r="P886" s="228">
        <f>ROUND(Tableau14[[#This Row],[Prix_Unit_TTC]],2)*Tableau14[[#This Row],[Qte_commande]]</f>
        <v>84.800000000000011</v>
      </c>
      <c r="Q886" s="224">
        <v>57.14</v>
      </c>
      <c r="R886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57.142857142857146</v>
      </c>
      <c r="U886" s="224"/>
      <c r="V886" s="224"/>
    </row>
    <row r="887" spans="1:22" ht="14.65" customHeight="1" x14ac:dyDescent="0.2">
      <c r="A887" s="225">
        <v>43234</v>
      </c>
      <c r="B887" s="224" t="s">
        <v>235</v>
      </c>
      <c r="C887" s="224" t="s">
        <v>198</v>
      </c>
      <c r="D887" s="224" t="s">
        <v>199</v>
      </c>
      <c r="E887" s="226"/>
      <c r="G887" s="224" t="s">
        <v>1</v>
      </c>
      <c r="H887" s="224" t="s">
        <v>289</v>
      </c>
      <c r="I887" s="224" t="s">
        <v>42</v>
      </c>
      <c r="J887" s="224">
        <v>70</v>
      </c>
      <c r="K887" s="227">
        <f t="array" ref="K887">IFERROR(INDEX([1]Grille_Tarifs_Modulable!$B$2:$B$204,MATCH(Tableau14[[#This Row],[Designation]]&amp;Tableau14[[#This Row],[CL]],[1]Grille_Tarifs_Modulable!$C$2:$C$204&amp;[1]Grille_Tarifs_Modulable!$F$2:$F$204,0)),0)</f>
        <v>3257150688009</v>
      </c>
      <c r="L887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12.556915199999999</v>
      </c>
      <c r="M887" s="228">
        <f>IF(Tableau14[[#This Row],[Prix_Unit_HT]]=0,0,Tableau14[[#This Row],[Prix_Unit_HT]]+(Tableau14[[#This Row],[Prix_Unit_HT]]*VLOOKUP(Tableau14[[#This Row],[EAN]],[1]Grille_Tarifs_Modulable!$B$10:$Q$204,16,FALSE)))</f>
        <v>15.068298239999999</v>
      </c>
      <c r="N887" s="224">
        <v>36</v>
      </c>
      <c r="O887" s="228">
        <f>ROUND(Tableau14[[#This Row],[Prix_Unit_HT]],2)*Tableau14[[#This Row],[Qte_commande]]</f>
        <v>452.16</v>
      </c>
      <c r="P887" s="228">
        <f>ROUND(Tableau14[[#This Row],[Prix_Unit_TTC]],2)*Tableau14[[#This Row],[Qte_commande]]</f>
        <v>542.52</v>
      </c>
      <c r="Q887" s="224">
        <v>36</v>
      </c>
      <c r="R887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36</v>
      </c>
      <c r="U887" s="224"/>
      <c r="V887" s="224"/>
    </row>
    <row r="888" spans="1:22" ht="14.65" customHeight="1" x14ac:dyDescent="0.2">
      <c r="A888" s="225">
        <v>43234</v>
      </c>
      <c r="B888" s="224" t="s">
        <v>679</v>
      </c>
      <c r="C888" s="224" t="s">
        <v>639</v>
      </c>
      <c r="D888" s="224" t="s">
        <v>373</v>
      </c>
      <c r="E888" s="226"/>
      <c r="G888" s="224" t="s">
        <v>1</v>
      </c>
      <c r="H888" s="224" t="s">
        <v>289</v>
      </c>
      <c r="I888" s="224" t="s">
        <v>42</v>
      </c>
      <c r="J888" s="224">
        <v>70</v>
      </c>
      <c r="K888" s="227">
        <f t="array" ref="K888">IFERROR(INDEX([1]Grille_Tarifs_Modulable!$B$2:$B$204,MATCH(Tableau14[[#This Row],[Designation]]&amp;Tableau14[[#This Row],[CL]],[1]Grille_Tarifs_Modulable!$C$2:$C$204&amp;[1]Grille_Tarifs_Modulable!$F$2:$F$204,0)),0)</f>
        <v>3257150688009</v>
      </c>
      <c r="L888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12.556915199999999</v>
      </c>
      <c r="M888" s="228">
        <f>IF(Tableau14[[#This Row],[Prix_Unit_HT]]=0,0,Tableau14[[#This Row],[Prix_Unit_HT]]+(Tableau14[[#This Row],[Prix_Unit_HT]]*VLOOKUP(Tableau14[[#This Row],[EAN]],[1]Grille_Tarifs_Modulable!$B$10:$Q$204,16,FALSE)))</f>
        <v>15.068298239999999</v>
      </c>
      <c r="N888" s="224">
        <v>30</v>
      </c>
      <c r="O888" s="228">
        <f>ROUND(Tableau14[[#This Row],[Prix_Unit_HT]],2)*Tableau14[[#This Row],[Qte_commande]]</f>
        <v>376.8</v>
      </c>
      <c r="P888" s="228">
        <f>ROUND(Tableau14[[#This Row],[Prix_Unit_TTC]],2)*Tableau14[[#This Row],[Qte_commande]]</f>
        <v>452.1</v>
      </c>
      <c r="Q888" s="224">
        <v>30</v>
      </c>
      <c r="R888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30.000000000000004</v>
      </c>
      <c r="U888" s="224"/>
      <c r="V888" s="224"/>
    </row>
    <row r="889" spans="1:22" ht="14.65" customHeight="1" x14ac:dyDescent="0.2">
      <c r="A889" s="225">
        <v>43237</v>
      </c>
      <c r="B889" s="224" t="s">
        <v>680</v>
      </c>
      <c r="C889" s="224" t="s">
        <v>211</v>
      </c>
      <c r="D889" s="224" t="s">
        <v>212</v>
      </c>
      <c r="E889" s="226"/>
      <c r="G889" s="224" t="s">
        <v>1</v>
      </c>
      <c r="H889" s="224" t="s">
        <v>289</v>
      </c>
      <c r="I889" s="224" t="s">
        <v>15</v>
      </c>
      <c r="J889" s="224">
        <v>100</v>
      </c>
      <c r="K889" s="227">
        <f t="array" ref="K889">IFERROR(INDEX([1]Grille_Tarifs_Modulable!$B$2:$B$204,MATCH(Tableau14[[#This Row],[Designation]]&amp;Tableau14[[#This Row],[CL]],[1]Grille_Tarifs_Modulable!$C$2:$C$204&amp;[1]Grille_Tarifs_Modulable!$F$2:$F$204,0)),0)</f>
        <v>4067700013842</v>
      </c>
      <c r="L889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17.100804999999998</v>
      </c>
      <c r="M889" s="228">
        <f>IF(Tableau14[[#This Row],[Prix_Unit_HT]]=0,0,Tableau14[[#This Row],[Prix_Unit_HT]]+(Tableau14[[#This Row],[Prix_Unit_HT]]*VLOOKUP(Tableau14[[#This Row],[EAN]],[1]Grille_Tarifs_Modulable!$B$10:$Q$204,16,FALSE)))</f>
        <v>20.520965999999998</v>
      </c>
      <c r="N889" s="224">
        <v>222</v>
      </c>
      <c r="O889" s="228">
        <f>ROUND(Tableau14[[#This Row],[Prix_Unit_HT]],2)*Tableau14[[#This Row],[Qte_commande]]</f>
        <v>3796.2000000000003</v>
      </c>
      <c r="P889" s="228">
        <f>ROUND(Tableau14[[#This Row],[Prix_Unit_TTC]],2)*Tableau14[[#This Row],[Qte_commande]]</f>
        <v>4555.4399999999996</v>
      </c>
      <c r="Q889" s="224">
        <v>317.14</v>
      </c>
      <c r="R889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317.14285714285717</v>
      </c>
      <c r="U889" s="224"/>
      <c r="V889" s="224"/>
    </row>
    <row r="890" spans="1:22" ht="14.65" customHeight="1" x14ac:dyDescent="0.2">
      <c r="A890" s="225">
        <v>43237</v>
      </c>
      <c r="B890" s="224" t="s">
        <v>681</v>
      </c>
      <c r="C890" s="224" t="s">
        <v>682</v>
      </c>
      <c r="D890" s="224" t="s">
        <v>683</v>
      </c>
      <c r="E890" s="226"/>
      <c r="G890" s="224" t="s">
        <v>13</v>
      </c>
      <c r="H890" s="224" t="s">
        <v>289</v>
      </c>
      <c r="I890" s="224" t="s">
        <v>15</v>
      </c>
      <c r="J890" s="224">
        <v>175</v>
      </c>
      <c r="K890" s="227">
        <f t="array" ref="K890">IFERROR(INDEX([1]Grille_Tarifs_Modulable!$B$2:$B$204,MATCH(Tableau14[[#This Row],[Designation]]&amp;Tableau14[[#This Row],[CL]],[1]Grille_Tarifs_Modulable!$C$2:$C$204&amp;[1]Grille_Tarifs_Modulable!$F$2:$F$204,0)),0)</f>
        <v>4067700013835</v>
      </c>
      <c r="L890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32.266408749999997</v>
      </c>
      <c r="M890" s="228">
        <f>IF(Tableau14[[#This Row],[Prix_Unit_HT]]=0,0,Tableau14[[#This Row],[Prix_Unit_HT]]+(Tableau14[[#This Row],[Prix_Unit_HT]]*VLOOKUP(Tableau14[[#This Row],[EAN]],[1]Grille_Tarifs_Modulable!$B$10:$Q$204,16,FALSE)))</f>
        <v>38.719690499999999</v>
      </c>
      <c r="N890" s="224">
        <v>84</v>
      </c>
      <c r="O890" s="228">
        <f>ROUND(Tableau14[[#This Row],[Prix_Unit_HT]],2)*Tableau14[[#This Row],[Qte_commande]]</f>
        <v>2710.6800000000003</v>
      </c>
      <c r="P890" s="228">
        <f>ROUND(Tableau14[[#This Row],[Prix_Unit_TTC]],2)*Tableau14[[#This Row],[Qte_commande]]</f>
        <v>3252.48</v>
      </c>
      <c r="Q890" s="224">
        <v>210</v>
      </c>
      <c r="R890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210</v>
      </c>
      <c r="U890" s="224"/>
      <c r="V890" s="224"/>
    </row>
    <row r="891" spans="1:22" ht="14.65" customHeight="1" x14ac:dyDescent="0.2">
      <c r="A891" s="225">
        <v>43237</v>
      </c>
      <c r="B891" s="224" t="s">
        <v>680</v>
      </c>
      <c r="C891" s="224" t="s">
        <v>211</v>
      </c>
      <c r="D891" s="224" t="s">
        <v>212</v>
      </c>
      <c r="E891" s="226"/>
      <c r="G891" s="224" t="s">
        <v>1</v>
      </c>
      <c r="H891" s="224" t="s">
        <v>289</v>
      </c>
      <c r="I891" s="224" t="s">
        <v>30</v>
      </c>
      <c r="J891" s="224">
        <v>70</v>
      </c>
      <c r="K891" s="227">
        <f t="array" ref="K891">IFERROR(INDEX([1]Grille_Tarifs_Modulable!$B$2:$B$204,MATCH(Tableau14[[#This Row],[Designation]]&amp;Tableau14[[#This Row],[CL]],[1]Grille_Tarifs_Modulable!$C$2:$C$204&amp;[1]Grille_Tarifs_Modulable!$F$2:$F$204,0)),0)</f>
        <v>3257150101904</v>
      </c>
      <c r="L891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16.346482999999999</v>
      </c>
      <c r="M891" s="228">
        <f>IF(Tableau14[[#This Row],[Prix_Unit_HT]]=0,0,Tableau14[[#This Row],[Prix_Unit_HT]]+(Tableau14[[#This Row],[Prix_Unit_HT]]*VLOOKUP(Tableau14[[#This Row],[EAN]],[1]Grille_Tarifs_Modulable!$B$10:$Q$204,16,FALSE)))</f>
        <v>19.6157796</v>
      </c>
      <c r="N891" s="224">
        <v>6</v>
      </c>
      <c r="O891" s="228">
        <f>ROUND(Tableau14[[#This Row],[Prix_Unit_HT]],2)*Tableau14[[#This Row],[Qte_commande]]</f>
        <v>98.100000000000009</v>
      </c>
      <c r="P891" s="228">
        <f>ROUND(Tableau14[[#This Row],[Prix_Unit_TTC]],2)*Tableau14[[#This Row],[Qte_commande]]</f>
        <v>117.72</v>
      </c>
      <c r="Q891" s="224">
        <v>6</v>
      </c>
      <c r="R891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6.0000000000000009</v>
      </c>
      <c r="U891" s="224"/>
      <c r="V891" s="224"/>
    </row>
    <row r="892" spans="1:22" ht="14.65" customHeight="1" x14ac:dyDescent="0.2">
      <c r="A892" s="225">
        <v>43237</v>
      </c>
      <c r="B892" s="224" t="s">
        <v>848</v>
      </c>
      <c r="C892" s="224" t="s">
        <v>372</v>
      </c>
      <c r="D892" s="224" t="s">
        <v>373</v>
      </c>
      <c r="E892" s="226"/>
      <c r="G892" s="224" t="s">
        <v>1</v>
      </c>
      <c r="H892" s="224" t="s">
        <v>289</v>
      </c>
      <c r="I892" s="224" t="s">
        <v>30</v>
      </c>
      <c r="J892" s="224">
        <v>70</v>
      </c>
      <c r="K892" s="227">
        <f t="array" ref="K892">IFERROR(INDEX([1]Grille_Tarifs_Modulable!$B$2:$B$204,MATCH(Tableau14[[#This Row],[Designation]]&amp;Tableau14[[#This Row],[CL]],[1]Grille_Tarifs_Modulable!$C$2:$C$204&amp;[1]Grille_Tarifs_Modulable!$F$2:$F$204,0)),0)</f>
        <v>3257150101904</v>
      </c>
      <c r="L892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16.346482999999999</v>
      </c>
      <c r="M892" s="228">
        <f>IF(Tableau14[[#This Row],[Prix_Unit_HT]]=0,0,Tableau14[[#This Row],[Prix_Unit_HT]]+(Tableau14[[#This Row],[Prix_Unit_HT]]*VLOOKUP(Tableau14[[#This Row],[EAN]],[1]Grille_Tarifs_Modulable!$B$10:$Q$204,16,FALSE)))</f>
        <v>19.6157796</v>
      </c>
      <c r="N892" s="224">
        <v>12</v>
      </c>
      <c r="O892" s="228">
        <f>ROUND(Tableau14[[#This Row],[Prix_Unit_HT]],2)*Tableau14[[#This Row],[Qte_commande]]</f>
        <v>196.20000000000002</v>
      </c>
      <c r="P892" s="228">
        <f>ROUND(Tableau14[[#This Row],[Prix_Unit_TTC]],2)*Tableau14[[#This Row],[Qte_commande]]</f>
        <v>235.44</v>
      </c>
      <c r="Q892" s="224">
        <v>12</v>
      </c>
      <c r="R892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12.000000000000002</v>
      </c>
      <c r="U892" s="224"/>
      <c r="V892" s="224"/>
    </row>
    <row r="893" spans="1:22" ht="14.65" customHeight="1" x14ac:dyDescent="0.2">
      <c r="A893" s="225">
        <v>43237</v>
      </c>
      <c r="B893" s="224" t="s">
        <v>680</v>
      </c>
      <c r="C893" s="224" t="s">
        <v>211</v>
      </c>
      <c r="D893" s="224" t="s">
        <v>212</v>
      </c>
      <c r="E893" s="226"/>
      <c r="G893" s="224" t="s">
        <v>1</v>
      </c>
      <c r="H893" s="224" t="s">
        <v>289</v>
      </c>
      <c r="I893" s="224" t="s">
        <v>36</v>
      </c>
      <c r="J893" s="224">
        <v>70</v>
      </c>
      <c r="K893" s="227">
        <f t="array" ref="K893">IFERROR(INDEX([1]Grille_Tarifs_Modulable!$B$2:$B$204,MATCH(Tableau14[[#This Row],[Designation]]&amp;Tableau14[[#This Row],[CL]],[1]Grille_Tarifs_Modulable!$C$2:$C$204&amp;[1]Grille_Tarifs_Modulable!$F$2:$F$204,0)),0)</f>
        <v>3257150100792</v>
      </c>
      <c r="L893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71.40864400000001</v>
      </c>
      <c r="M893" s="228">
        <f>IF(Tableau14[[#This Row],[Prix_Unit_HT]]=0,0,Tableau14[[#This Row],[Prix_Unit_HT]]+(Tableau14[[#This Row],[Prix_Unit_HT]]*VLOOKUP(Tableau14[[#This Row],[EAN]],[1]Grille_Tarifs_Modulable!$B$10:$Q$204,16,FALSE)))</f>
        <v>85.690372800000006</v>
      </c>
      <c r="N893" s="224">
        <v>1</v>
      </c>
      <c r="O893" s="228">
        <f>ROUND(Tableau14[[#This Row],[Prix_Unit_HT]],2)*Tableau14[[#This Row],[Qte_commande]]</f>
        <v>71.41</v>
      </c>
      <c r="P893" s="228">
        <f>ROUND(Tableau14[[#This Row],[Prix_Unit_TTC]],2)*Tableau14[[#This Row],[Qte_commande]]</f>
        <v>85.69</v>
      </c>
      <c r="Q893" s="224">
        <v>1</v>
      </c>
      <c r="R893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</v>
      </c>
      <c r="U893" s="224"/>
      <c r="V893" s="224"/>
    </row>
    <row r="894" spans="1:22" ht="14.65" customHeight="1" x14ac:dyDescent="0.2">
      <c r="A894" s="225">
        <v>43237</v>
      </c>
      <c r="B894" s="224" t="s">
        <v>680</v>
      </c>
      <c r="C894" s="224" t="s">
        <v>211</v>
      </c>
      <c r="D894" s="224" t="s">
        <v>212</v>
      </c>
      <c r="E894" s="226"/>
      <c r="G894" s="224" t="s">
        <v>1</v>
      </c>
      <c r="H894" s="224" t="s">
        <v>289</v>
      </c>
      <c r="I894" s="224" t="s">
        <v>31</v>
      </c>
      <c r="J894" s="224">
        <v>70</v>
      </c>
      <c r="K894" s="227">
        <f t="array" ref="K894">IFERROR(INDEX([1]Grille_Tarifs_Modulable!$B$2:$B$204,MATCH(Tableau14[[#This Row],[Designation]]&amp;Tableau14[[#This Row],[CL]],[1]Grille_Tarifs_Modulable!$C$2:$C$204&amp;[1]Grille_Tarifs_Modulable!$F$2:$F$204,0)),0)</f>
        <v>3257150102017</v>
      </c>
      <c r="L894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14.694322</v>
      </c>
      <c r="M894" s="228">
        <f>IF(Tableau14[[#This Row],[Prix_Unit_HT]]=0,0,Tableau14[[#This Row],[Prix_Unit_HT]]+(Tableau14[[#This Row],[Prix_Unit_HT]]*VLOOKUP(Tableau14[[#This Row],[EAN]],[1]Grille_Tarifs_Modulable!$B$10:$Q$204,16,FALSE)))</f>
        <v>17.6331864</v>
      </c>
      <c r="N894" s="224">
        <v>6</v>
      </c>
      <c r="O894" s="228">
        <f>ROUND(Tableau14[[#This Row],[Prix_Unit_HT]],2)*Tableau14[[#This Row],[Qte_commande]]</f>
        <v>88.14</v>
      </c>
      <c r="P894" s="228">
        <f>ROUND(Tableau14[[#This Row],[Prix_Unit_TTC]],2)*Tableau14[[#This Row],[Qte_commande]]</f>
        <v>105.78</v>
      </c>
      <c r="Q894" s="224">
        <v>6</v>
      </c>
      <c r="R894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6.0000000000000009</v>
      </c>
      <c r="U894" s="224"/>
      <c r="V894" s="224"/>
    </row>
    <row r="895" spans="1:22" ht="14.65" customHeight="1" x14ac:dyDescent="0.2">
      <c r="A895" s="225">
        <v>43237</v>
      </c>
      <c r="B895" s="224" t="s">
        <v>681</v>
      </c>
      <c r="C895" s="224" t="s">
        <v>682</v>
      </c>
      <c r="D895" s="224" t="s">
        <v>683</v>
      </c>
      <c r="E895" s="226"/>
      <c r="G895" s="224" t="s">
        <v>13</v>
      </c>
      <c r="H895" s="224" t="s">
        <v>289</v>
      </c>
      <c r="I895" s="224" t="s">
        <v>31</v>
      </c>
      <c r="J895" s="224">
        <v>70</v>
      </c>
      <c r="K895" s="227">
        <f t="array" ref="K895">IFERROR(INDEX([1]Grille_Tarifs_Modulable!$B$2:$B$204,MATCH(Tableau14[[#This Row],[Designation]]&amp;Tableau14[[#This Row],[CL]],[1]Grille_Tarifs_Modulable!$C$2:$C$204&amp;[1]Grille_Tarifs_Modulable!$F$2:$F$204,0)),0)</f>
        <v>3257150102017</v>
      </c>
      <c r="L895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16.854322</v>
      </c>
      <c r="M895" s="228">
        <f>IF(Tableau14[[#This Row],[Prix_Unit_HT]]=0,0,Tableau14[[#This Row],[Prix_Unit_HT]]+(Tableau14[[#This Row],[Prix_Unit_HT]]*VLOOKUP(Tableau14[[#This Row],[EAN]],[1]Grille_Tarifs_Modulable!$B$10:$Q$204,16,FALSE)))</f>
        <v>20.225186399999998</v>
      </c>
      <c r="N895" s="224">
        <v>12</v>
      </c>
      <c r="O895" s="228">
        <f>ROUND(Tableau14[[#This Row],[Prix_Unit_HT]],2)*Tableau14[[#This Row],[Qte_commande]]</f>
        <v>202.20000000000002</v>
      </c>
      <c r="P895" s="228">
        <f>ROUND(Tableau14[[#This Row],[Prix_Unit_TTC]],2)*Tableau14[[#This Row],[Qte_commande]]</f>
        <v>242.76</v>
      </c>
      <c r="Q895" s="224">
        <v>12</v>
      </c>
      <c r="R895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12.000000000000002</v>
      </c>
      <c r="U895" s="224"/>
      <c r="V895" s="224"/>
    </row>
    <row r="896" spans="1:22" ht="14.65" customHeight="1" x14ac:dyDescent="0.2">
      <c r="A896" s="225">
        <v>43237</v>
      </c>
      <c r="B896" s="224" t="s">
        <v>680</v>
      </c>
      <c r="C896" s="224" t="s">
        <v>211</v>
      </c>
      <c r="D896" s="224" t="s">
        <v>212</v>
      </c>
      <c r="E896" s="226"/>
      <c r="G896" s="224" t="s">
        <v>13</v>
      </c>
      <c r="H896" s="224" t="s">
        <v>289</v>
      </c>
      <c r="I896" s="224" t="s">
        <v>52</v>
      </c>
      <c r="J896" s="224">
        <v>75</v>
      </c>
      <c r="K896" s="227">
        <f t="array" ref="K896">IFERROR(INDEX([1]Grille_Tarifs_Modulable!$B$2:$B$204,MATCH(Tableau14[[#This Row],[Designation]]&amp;Tableau14[[#This Row],[CL]],[1]Grille_Tarifs_Modulable!$C$2:$C$204&amp;[1]Grille_Tarifs_Modulable!$F$2:$F$204,0)),0)</f>
        <v>7503011641413</v>
      </c>
      <c r="L896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26.257707249999999</v>
      </c>
      <c r="M896" s="228">
        <f>IF(Tableau14[[#This Row],[Prix_Unit_HT]]=0,0,Tableau14[[#This Row],[Prix_Unit_HT]]+(Tableau14[[#This Row],[Prix_Unit_HT]]*VLOOKUP(Tableau14[[#This Row],[EAN]],[1]Grille_Tarifs_Modulable!$B$10:$Q$204,16,FALSE)))</f>
        <v>31.509248700000001</v>
      </c>
      <c r="N896" s="224">
        <v>6</v>
      </c>
      <c r="O896" s="228">
        <f>ROUND(Tableau14[[#This Row],[Prix_Unit_HT]],2)*Tableau14[[#This Row],[Qte_commande]]</f>
        <v>157.56</v>
      </c>
      <c r="P896" s="228">
        <f>ROUND(Tableau14[[#This Row],[Prix_Unit_TTC]],2)*Tableau14[[#This Row],[Qte_commande]]</f>
        <v>189.06</v>
      </c>
      <c r="Q896" s="224">
        <v>6</v>
      </c>
      <c r="R896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6.4285714285714288</v>
      </c>
      <c r="U896" s="224"/>
      <c r="V896" s="224"/>
    </row>
    <row r="897" spans="1:22" ht="14.65" customHeight="1" x14ac:dyDescent="0.2">
      <c r="A897" s="225">
        <v>43238</v>
      </c>
      <c r="B897" s="224" t="s">
        <v>684</v>
      </c>
      <c r="C897" s="224" t="s">
        <v>518</v>
      </c>
      <c r="D897" s="224" t="s">
        <v>209</v>
      </c>
      <c r="E897" s="226"/>
      <c r="G897" s="224" t="s">
        <v>13</v>
      </c>
      <c r="H897" s="224" t="s">
        <v>289</v>
      </c>
      <c r="I897" s="224" t="s">
        <v>15</v>
      </c>
      <c r="J897" s="224">
        <v>175</v>
      </c>
      <c r="K897" s="227">
        <f t="array" ref="K897">IFERROR(INDEX([1]Grille_Tarifs_Modulable!$B$2:$B$204,MATCH(Tableau14[[#This Row],[Designation]]&amp;Tableau14[[#This Row],[CL]],[1]Grille_Tarifs_Modulable!$C$2:$C$204&amp;[1]Grille_Tarifs_Modulable!$F$2:$F$204,0)),0)</f>
        <v>4067700013835</v>
      </c>
      <c r="L897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32.266408749999997</v>
      </c>
      <c r="M897" s="228">
        <f>IF(Tableau14[[#This Row],[Prix_Unit_HT]]=0,0,Tableau14[[#This Row],[Prix_Unit_HT]]+(Tableau14[[#This Row],[Prix_Unit_HT]]*VLOOKUP(Tableau14[[#This Row],[EAN]],[1]Grille_Tarifs_Modulable!$B$10:$Q$204,16,FALSE)))</f>
        <v>38.719690499999999</v>
      </c>
      <c r="N897" s="224">
        <v>6</v>
      </c>
      <c r="O897" s="228">
        <f>ROUND(Tableau14[[#This Row],[Prix_Unit_HT]],2)*Tableau14[[#This Row],[Qte_commande]]</f>
        <v>193.62</v>
      </c>
      <c r="P897" s="228">
        <f>ROUND(Tableau14[[#This Row],[Prix_Unit_TTC]],2)*Tableau14[[#This Row],[Qte_commande]]</f>
        <v>232.32</v>
      </c>
      <c r="Q897" s="224">
        <v>15</v>
      </c>
      <c r="R897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15.000000000000002</v>
      </c>
      <c r="U897" s="224"/>
      <c r="V897" s="224"/>
    </row>
    <row r="898" spans="1:22" ht="14.65" customHeight="1" x14ac:dyDescent="0.2">
      <c r="A898" s="225">
        <v>43238</v>
      </c>
      <c r="B898" s="224" t="s">
        <v>684</v>
      </c>
      <c r="C898" s="224" t="s">
        <v>518</v>
      </c>
      <c r="D898" s="224" t="s">
        <v>209</v>
      </c>
      <c r="E898" s="226"/>
      <c r="G898" s="224" t="s">
        <v>13</v>
      </c>
      <c r="H898" s="224" t="s">
        <v>289</v>
      </c>
      <c r="I898" s="224" t="s">
        <v>31</v>
      </c>
      <c r="J898" s="224">
        <v>70</v>
      </c>
      <c r="K898" s="227">
        <f t="array" ref="K898">IFERROR(INDEX([1]Grille_Tarifs_Modulable!$B$2:$B$204,MATCH(Tableau14[[#This Row],[Designation]]&amp;Tableau14[[#This Row],[CL]],[1]Grille_Tarifs_Modulable!$C$2:$C$204&amp;[1]Grille_Tarifs_Modulable!$F$2:$F$204,0)),0)</f>
        <v>3257150102017</v>
      </c>
      <c r="L898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16.854322</v>
      </c>
      <c r="M898" s="228">
        <f>IF(Tableau14[[#This Row],[Prix_Unit_HT]]=0,0,Tableau14[[#This Row],[Prix_Unit_HT]]+(Tableau14[[#This Row],[Prix_Unit_HT]]*VLOOKUP(Tableau14[[#This Row],[EAN]],[1]Grille_Tarifs_Modulable!$B$10:$Q$204,16,FALSE)))</f>
        <v>20.225186399999998</v>
      </c>
      <c r="N898" s="224">
        <v>6</v>
      </c>
      <c r="O898" s="228">
        <f>ROUND(Tableau14[[#This Row],[Prix_Unit_HT]],2)*Tableau14[[#This Row],[Qte_commande]]</f>
        <v>101.10000000000001</v>
      </c>
      <c r="P898" s="228">
        <f>ROUND(Tableau14[[#This Row],[Prix_Unit_TTC]],2)*Tableau14[[#This Row],[Qte_commande]]</f>
        <v>121.38</v>
      </c>
      <c r="Q898" s="224">
        <v>6</v>
      </c>
      <c r="R898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6.0000000000000009</v>
      </c>
      <c r="U898" s="224"/>
      <c r="V898" s="224"/>
    </row>
    <row r="899" spans="1:22" ht="14.65" customHeight="1" x14ac:dyDescent="0.2">
      <c r="A899" s="225">
        <v>43238</v>
      </c>
      <c r="B899" s="224" t="s">
        <v>684</v>
      </c>
      <c r="C899" s="224" t="s">
        <v>518</v>
      </c>
      <c r="D899" s="224" t="s">
        <v>209</v>
      </c>
      <c r="E899" s="226"/>
      <c r="G899" s="224" t="s">
        <v>13</v>
      </c>
      <c r="H899" s="224" t="s">
        <v>289</v>
      </c>
      <c r="I899" s="224" t="s">
        <v>44</v>
      </c>
      <c r="J899" s="224">
        <v>50</v>
      </c>
      <c r="K899" s="227">
        <f t="array" ref="K899">IFERROR(INDEX([1]Grille_Tarifs_Modulable!$B$2:$B$204,MATCH(Tableau14[[#This Row],[Designation]]&amp;Tableau14[[#This Row],[CL]],[1]Grille_Tarifs_Modulable!$C$2:$C$204&amp;[1]Grille_Tarifs_Modulable!$F$2:$F$204,0)),0)</f>
        <v>4260270192645</v>
      </c>
      <c r="L899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28.052506000000001</v>
      </c>
      <c r="M899" s="228">
        <f>IF(Tableau14[[#This Row],[Prix_Unit_HT]]=0,0,Tableau14[[#This Row],[Prix_Unit_HT]]+(Tableau14[[#This Row],[Prix_Unit_HT]]*VLOOKUP(Tableau14[[#This Row],[EAN]],[1]Grille_Tarifs_Modulable!$B$10:$Q$204,16,FALSE)))</f>
        <v>33.663007200000003</v>
      </c>
      <c r="N899" s="224">
        <v>6</v>
      </c>
      <c r="O899" s="228">
        <f>ROUND(Tableau14[[#This Row],[Prix_Unit_HT]],2)*Tableau14[[#This Row],[Qte_commande]]</f>
        <v>168.3</v>
      </c>
      <c r="P899" s="228">
        <f>ROUND(Tableau14[[#This Row],[Prix_Unit_TTC]],2)*Tableau14[[#This Row],[Qte_commande]]</f>
        <v>201.95999999999998</v>
      </c>
      <c r="Q899" s="224">
        <v>4.29</v>
      </c>
      <c r="R899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4.2857142857142856</v>
      </c>
      <c r="U899" s="224"/>
      <c r="V899" s="224"/>
    </row>
    <row r="900" spans="1:22" ht="14.65" customHeight="1" x14ac:dyDescent="0.2">
      <c r="A900" s="225">
        <v>43242</v>
      </c>
      <c r="B900" s="224" t="s">
        <v>685</v>
      </c>
      <c r="C900" s="224" t="s">
        <v>686</v>
      </c>
      <c r="D900" s="224" t="s">
        <v>687</v>
      </c>
      <c r="E900" s="226"/>
      <c r="G900" s="224" t="s">
        <v>1</v>
      </c>
      <c r="H900" s="224" t="s">
        <v>289</v>
      </c>
      <c r="I900" s="224" t="s">
        <v>15</v>
      </c>
      <c r="J900" s="224">
        <v>100</v>
      </c>
      <c r="K900" s="227">
        <f t="array" ref="K900">IFERROR(INDEX([1]Grille_Tarifs_Modulable!$B$2:$B$204,MATCH(Tableau14[[#This Row],[Designation]]&amp;Tableau14[[#This Row],[CL]],[1]Grille_Tarifs_Modulable!$C$2:$C$204&amp;[1]Grille_Tarifs_Modulable!$F$2:$F$204,0)),0)</f>
        <v>4067700013842</v>
      </c>
      <c r="L900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17.100804999999998</v>
      </c>
      <c r="M900" s="228">
        <f>IF(Tableau14[[#This Row],[Prix_Unit_HT]]=0,0,Tableau14[[#This Row],[Prix_Unit_HT]]+(Tableau14[[#This Row],[Prix_Unit_HT]]*VLOOKUP(Tableau14[[#This Row],[EAN]],[1]Grille_Tarifs_Modulable!$B$10:$Q$204,16,FALSE)))</f>
        <v>20.520965999999998</v>
      </c>
      <c r="N900" s="224">
        <v>48</v>
      </c>
      <c r="O900" s="228">
        <f>ROUND(Tableau14[[#This Row],[Prix_Unit_HT]],2)*Tableau14[[#This Row],[Qte_commande]]</f>
        <v>820.80000000000007</v>
      </c>
      <c r="P900" s="228">
        <f>ROUND(Tableau14[[#This Row],[Prix_Unit_TTC]],2)*Tableau14[[#This Row],[Qte_commande]]</f>
        <v>984.96</v>
      </c>
      <c r="Q900" s="224">
        <v>68.569999999999993</v>
      </c>
      <c r="R900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68.571428571428569</v>
      </c>
      <c r="U900" s="224"/>
      <c r="V900" s="224"/>
    </row>
    <row r="901" spans="1:22" ht="14.65" customHeight="1" x14ac:dyDescent="0.2">
      <c r="A901" s="225">
        <v>43242</v>
      </c>
      <c r="B901" s="224" t="s">
        <v>685</v>
      </c>
      <c r="C901" s="224" t="s">
        <v>686</v>
      </c>
      <c r="D901" s="224" t="s">
        <v>687</v>
      </c>
      <c r="E901" s="226"/>
      <c r="G901" s="224" t="s">
        <v>1</v>
      </c>
      <c r="H901" s="224" t="s">
        <v>289</v>
      </c>
      <c r="I901" s="224" t="s">
        <v>15</v>
      </c>
      <c r="J901" s="224">
        <v>175</v>
      </c>
      <c r="K901" s="227">
        <f t="array" ref="K901">IFERROR(INDEX([1]Grille_Tarifs_Modulable!$B$2:$B$204,MATCH(Tableau14[[#This Row],[Designation]]&amp;Tableau14[[#This Row],[CL]],[1]Grille_Tarifs_Modulable!$C$2:$C$204&amp;[1]Grille_Tarifs_Modulable!$F$2:$F$204,0)),0)</f>
        <v>4067700013835</v>
      </c>
      <c r="L901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28.916408750000002</v>
      </c>
      <c r="M901" s="228">
        <f>IF(Tableau14[[#This Row],[Prix_Unit_HT]]=0,0,Tableau14[[#This Row],[Prix_Unit_HT]]+(Tableau14[[#This Row],[Prix_Unit_HT]]*VLOOKUP(Tableau14[[#This Row],[EAN]],[1]Grille_Tarifs_Modulable!$B$10:$Q$204,16,FALSE)))</f>
        <v>34.699690500000003</v>
      </c>
      <c r="N901" s="224">
        <v>12</v>
      </c>
      <c r="O901" s="228">
        <f>ROUND(Tableau14[[#This Row],[Prix_Unit_HT]],2)*Tableau14[[#This Row],[Qte_commande]]</f>
        <v>347.04</v>
      </c>
      <c r="P901" s="228">
        <f>ROUND(Tableau14[[#This Row],[Prix_Unit_TTC]],2)*Tableau14[[#This Row],[Qte_commande]]</f>
        <v>416.40000000000003</v>
      </c>
      <c r="Q901" s="224">
        <v>30</v>
      </c>
      <c r="R901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30.000000000000004</v>
      </c>
      <c r="U901" s="224"/>
      <c r="V901" s="224"/>
    </row>
    <row r="902" spans="1:22" ht="14.65" customHeight="1" x14ac:dyDescent="0.2">
      <c r="A902" s="225">
        <v>43242</v>
      </c>
      <c r="B902" s="224" t="s">
        <v>685</v>
      </c>
      <c r="C902" s="224" t="s">
        <v>686</v>
      </c>
      <c r="D902" s="224" t="s">
        <v>687</v>
      </c>
      <c r="E902" s="226"/>
      <c r="G902" s="224" t="s">
        <v>1</v>
      </c>
      <c r="H902" s="224" t="s">
        <v>289</v>
      </c>
      <c r="I902" s="224" t="s">
        <v>30</v>
      </c>
      <c r="J902" s="224">
        <v>70</v>
      </c>
      <c r="K902" s="227">
        <f t="array" ref="K902">IFERROR(INDEX([1]Grille_Tarifs_Modulable!$B$2:$B$204,MATCH(Tableau14[[#This Row],[Designation]]&amp;Tableau14[[#This Row],[CL]],[1]Grille_Tarifs_Modulable!$C$2:$C$204&amp;[1]Grille_Tarifs_Modulable!$F$2:$F$204,0)),0)</f>
        <v>3257150101904</v>
      </c>
      <c r="L902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16.346482999999999</v>
      </c>
      <c r="M902" s="228">
        <f>IF(Tableau14[[#This Row],[Prix_Unit_HT]]=0,0,Tableau14[[#This Row],[Prix_Unit_HT]]+(Tableau14[[#This Row],[Prix_Unit_HT]]*VLOOKUP(Tableau14[[#This Row],[EAN]],[1]Grille_Tarifs_Modulable!$B$10:$Q$204,16,FALSE)))</f>
        <v>19.6157796</v>
      </c>
      <c r="N902" s="224">
        <v>6</v>
      </c>
      <c r="O902" s="228">
        <f>ROUND(Tableau14[[#This Row],[Prix_Unit_HT]],2)*Tableau14[[#This Row],[Qte_commande]]</f>
        <v>98.100000000000009</v>
      </c>
      <c r="P902" s="228">
        <f>ROUND(Tableau14[[#This Row],[Prix_Unit_TTC]],2)*Tableau14[[#This Row],[Qte_commande]]</f>
        <v>117.72</v>
      </c>
      <c r="Q902" s="224">
        <v>6</v>
      </c>
      <c r="R902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6.0000000000000009</v>
      </c>
      <c r="U902" s="224"/>
      <c r="V902" s="224"/>
    </row>
    <row r="903" spans="1:22" ht="14.65" customHeight="1" x14ac:dyDescent="0.2">
      <c r="A903" s="225">
        <v>43242</v>
      </c>
      <c r="B903" s="224" t="s">
        <v>685</v>
      </c>
      <c r="C903" s="224" t="s">
        <v>686</v>
      </c>
      <c r="D903" s="224" t="s">
        <v>687</v>
      </c>
      <c r="E903" s="226"/>
      <c r="G903" s="224" t="s">
        <v>1</v>
      </c>
      <c r="H903" s="224" t="s">
        <v>289</v>
      </c>
      <c r="I903" s="224" t="s">
        <v>31</v>
      </c>
      <c r="J903" s="224">
        <v>70</v>
      </c>
      <c r="K903" s="227">
        <f t="array" ref="K903">IFERROR(INDEX([1]Grille_Tarifs_Modulable!$B$2:$B$204,MATCH(Tableau14[[#This Row],[Designation]]&amp;Tableau14[[#This Row],[CL]],[1]Grille_Tarifs_Modulable!$C$2:$C$204&amp;[1]Grille_Tarifs_Modulable!$F$2:$F$204,0)),0)</f>
        <v>3257150102017</v>
      </c>
      <c r="L903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14.694322</v>
      </c>
      <c r="M903" s="228">
        <f>IF(Tableau14[[#This Row],[Prix_Unit_HT]]=0,0,Tableau14[[#This Row],[Prix_Unit_HT]]+(Tableau14[[#This Row],[Prix_Unit_HT]]*VLOOKUP(Tableau14[[#This Row],[EAN]],[1]Grille_Tarifs_Modulable!$B$10:$Q$204,16,FALSE)))</f>
        <v>17.6331864</v>
      </c>
      <c r="N903" s="224">
        <v>6</v>
      </c>
      <c r="O903" s="228">
        <f>ROUND(Tableau14[[#This Row],[Prix_Unit_HT]],2)*Tableau14[[#This Row],[Qte_commande]]</f>
        <v>88.14</v>
      </c>
      <c r="P903" s="228">
        <f>ROUND(Tableau14[[#This Row],[Prix_Unit_TTC]],2)*Tableau14[[#This Row],[Qte_commande]]</f>
        <v>105.78</v>
      </c>
      <c r="Q903" s="224">
        <v>6</v>
      </c>
      <c r="R903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6.0000000000000009</v>
      </c>
      <c r="U903" s="224"/>
      <c r="V903" s="224"/>
    </row>
    <row r="904" spans="1:22" ht="14.65" customHeight="1" x14ac:dyDescent="0.2">
      <c r="A904" s="225">
        <v>43243</v>
      </c>
      <c r="B904" s="224" t="s">
        <v>688</v>
      </c>
      <c r="C904" s="224" t="s">
        <v>530</v>
      </c>
      <c r="D904" s="224" t="s">
        <v>531</v>
      </c>
      <c r="E904" s="226"/>
      <c r="G904" s="224" t="s">
        <v>1</v>
      </c>
      <c r="H904" s="224" t="s">
        <v>289</v>
      </c>
      <c r="I904" s="224" t="s">
        <v>15</v>
      </c>
      <c r="J904" s="224">
        <v>70</v>
      </c>
      <c r="K904" s="227">
        <f t="array" ref="K904">IFERROR(INDEX([1]Grille_Tarifs_Modulable!$B$2:$B$204,MATCH(Tableau14[[#This Row],[Designation]]&amp;Tableau14[[#This Row],[CL]],[1]Grille_Tarifs_Modulable!$C$2:$C$204&amp;[1]Grille_Tarifs_Modulable!$F$2:$F$204,0)),0)</f>
        <v>4067700013859</v>
      </c>
      <c r="L904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12.532563499999998</v>
      </c>
      <c r="M904" s="228">
        <f>IF(Tableau14[[#This Row],[Prix_Unit_HT]]=0,0,Tableau14[[#This Row],[Prix_Unit_HT]]+(Tableau14[[#This Row],[Prix_Unit_HT]]*VLOOKUP(Tableau14[[#This Row],[EAN]],[1]Grille_Tarifs_Modulable!$B$10:$Q$204,16,FALSE)))</f>
        <v>15.039076199999998</v>
      </c>
      <c r="N904" s="224">
        <v>150</v>
      </c>
      <c r="O904" s="228">
        <f>ROUND(Tableau14[[#This Row],[Prix_Unit_HT]],2)*Tableau14[[#This Row],[Qte_commande]]</f>
        <v>1879.5</v>
      </c>
      <c r="P904" s="228">
        <f>ROUND(Tableau14[[#This Row],[Prix_Unit_TTC]],2)*Tableau14[[#This Row],[Qte_commande]]</f>
        <v>2256</v>
      </c>
      <c r="Q904" s="224">
        <v>150</v>
      </c>
      <c r="R904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150</v>
      </c>
      <c r="U904" s="224"/>
      <c r="V904" s="224"/>
    </row>
    <row r="905" spans="1:22" ht="14.65" customHeight="1" x14ac:dyDescent="0.2">
      <c r="A905" s="225">
        <v>43245</v>
      </c>
      <c r="B905" s="224" t="s">
        <v>689</v>
      </c>
      <c r="C905" s="224" t="s">
        <v>159</v>
      </c>
      <c r="D905" s="224" t="s">
        <v>209</v>
      </c>
      <c r="E905" s="226"/>
      <c r="G905" s="224" t="s">
        <v>1</v>
      </c>
      <c r="H905" s="224" t="s">
        <v>289</v>
      </c>
      <c r="I905" s="224" t="s">
        <v>15</v>
      </c>
      <c r="J905" s="224">
        <v>100</v>
      </c>
      <c r="K905" s="227">
        <f t="array" ref="K905">IFERROR(INDEX([1]Grille_Tarifs_Modulable!$B$2:$B$204,MATCH(Tableau14[[#This Row],[Designation]]&amp;Tableau14[[#This Row],[CL]],[1]Grille_Tarifs_Modulable!$C$2:$C$204&amp;[1]Grille_Tarifs_Modulable!$F$2:$F$204,0)),0)</f>
        <v>4067700013842</v>
      </c>
      <c r="L905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17.100804999999998</v>
      </c>
      <c r="M905" s="228">
        <f>IF(Tableau14[[#This Row],[Prix_Unit_HT]]=0,0,Tableau14[[#This Row],[Prix_Unit_HT]]+(Tableau14[[#This Row],[Prix_Unit_HT]]*VLOOKUP(Tableau14[[#This Row],[EAN]],[1]Grille_Tarifs_Modulable!$B$10:$Q$204,16,FALSE)))</f>
        <v>20.520965999999998</v>
      </c>
      <c r="N905" s="224">
        <v>12</v>
      </c>
      <c r="O905" s="228">
        <f>ROUND(Tableau14[[#This Row],[Prix_Unit_HT]],2)*Tableau14[[#This Row],[Qte_commande]]</f>
        <v>205.20000000000002</v>
      </c>
      <c r="P905" s="228">
        <f>ROUND(Tableau14[[#This Row],[Prix_Unit_TTC]],2)*Tableau14[[#This Row],[Qte_commande]]</f>
        <v>246.24</v>
      </c>
      <c r="Q905" s="224">
        <v>17.14</v>
      </c>
      <c r="R905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17.142857142857142</v>
      </c>
      <c r="U905" s="224"/>
      <c r="V905" s="224"/>
    </row>
    <row r="906" spans="1:22" ht="14.65" customHeight="1" x14ac:dyDescent="0.2">
      <c r="A906" s="225">
        <v>43245</v>
      </c>
      <c r="B906" s="224" t="s">
        <v>689</v>
      </c>
      <c r="C906" s="224" t="s">
        <v>159</v>
      </c>
      <c r="D906" s="224" t="s">
        <v>209</v>
      </c>
      <c r="E906" s="226"/>
      <c r="G906" s="224" t="s">
        <v>1</v>
      </c>
      <c r="H906" s="224" t="s">
        <v>289</v>
      </c>
      <c r="I906" s="224" t="s">
        <v>25</v>
      </c>
      <c r="J906" s="224">
        <v>100</v>
      </c>
      <c r="K906" s="227">
        <f t="array" ref="K906">IFERROR(INDEX([1]Grille_Tarifs_Modulable!$B$2:$B$204,MATCH(Tableau14[[#This Row],[Designation]]&amp;Tableau14[[#This Row],[CL]],[1]Grille_Tarifs_Modulable!$C$2:$C$204&amp;[1]Grille_Tarifs_Modulable!$F$2:$F$204,0)),0)</f>
        <v>3257150410167</v>
      </c>
      <c r="L906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15.778874</v>
      </c>
      <c r="M906" s="228">
        <f>IF(Tableau14[[#This Row],[Prix_Unit_HT]]=0,0,Tableau14[[#This Row],[Prix_Unit_HT]]+(Tableau14[[#This Row],[Prix_Unit_HT]]*VLOOKUP(Tableau14[[#This Row],[EAN]],[1]Grille_Tarifs_Modulable!$B$10:$Q$204,16,FALSE)))</f>
        <v>18.934648800000002</v>
      </c>
      <c r="N906" s="224">
        <v>48</v>
      </c>
      <c r="O906" s="228">
        <f>ROUND(Tableau14[[#This Row],[Prix_Unit_HT]],2)*Tableau14[[#This Row],[Qte_commande]]</f>
        <v>757.43999999999994</v>
      </c>
      <c r="P906" s="228">
        <f>ROUND(Tableau14[[#This Row],[Prix_Unit_TTC]],2)*Tableau14[[#This Row],[Qte_commande]]</f>
        <v>908.64</v>
      </c>
      <c r="Q906" s="224">
        <v>68.569999999999993</v>
      </c>
      <c r="R906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68.571428571428569</v>
      </c>
      <c r="U906" s="224"/>
      <c r="V906" s="224"/>
    </row>
    <row r="907" spans="1:22" ht="14.65" customHeight="1" x14ac:dyDescent="0.2">
      <c r="A907" s="225">
        <v>43249</v>
      </c>
      <c r="B907" s="224" t="s">
        <v>1162</v>
      </c>
      <c r="C907" s="224" t="s">
        <v>495</v>
      </c>
      <c r="D907" s="224" t="s">
        <v>203</v>
      </c>
      <c r="E907" s="226"/>
      <c r="G907" s="224" t="s">
        <v>13</v>
      </c>
      <c r="H907" s="224" t="s">
        <v>451</v>
      </c>
      <c r="I907" s="224" t="s">
        <v>69</v>
      </c>
      <c r="J907" s="227">
        <v>3</v>
      </c>
      <c r="K907" s="227">
        <f t="array" ref="K907">IFERROR(INDEX([1]Grille_Tarifs_Modulable!$B$2:$B$204,MATCH(Tableau14[[#This Row],[Designation]]&amp;Tableau14[[#This Row],[CL]],[1]Grille_Tarifs_Modulable!$C$2:$C$204&amp;[1]Grille_Tarifs_Modulable!$F$2:$F$204,0)),0)</f>
        <v>121</v>
      </c>
      <c r="L907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299</v>
      </c>
      <c r="M907" s="228">
        <f>IF(Tableau14[[#This Row],[Prix_Unit_HT]]=0,0,Tableau14[[#This Row],[Prix_Unit_HT]]+(Tableau14[[#This Row],[Prix_Unit_HT]]*VLOOKUP(Tableau14[[#This Row],[EAN]],[1]Grille_Tarifs_Modulable!$B$10:$Q$204,16,FALSE)))</f>
        <v>358.8</v>
      </c>
      <c r="N907" s="224">
        <v>1</v>
      </c>
      <c r="O907" s="228">
        <f>ROUND(Tableau14[[#This Row],[Prix_Unit_HT]],2)*Tableau14[[#This Row],[Qte_commande]]</f>
        <v>299</v>
      </c>
      <c r="P907" s="228">
        <f>ROUND(Tableau14[[#This Row],[Prix_Unit_TTC]],2)*Tableau14[[#This Row],[Qte_commande]]</f>
        <v>358.8</v>
      </c>
      <c r="Q907" s="224">
        <v>1</v>
      </c>
      <c r="R907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</v>
      </c>
      <c r="U907" s="224"/>
      <c r="V907" s="224"/>
    </row>
    <row r="908" spans="1:22" ht="14.65" customHeight="1" x14ac:dyDescent="0.2">
      <c r="A908" s="225">
        <v>43250</v>
      </c>
      <c r="B908" s="224" t="s">
        <v>236</v>
      </c>
      <c r="C908" s="224" t="s">
        <v>214</v>
      </c>
      <c r="D908" s="224" t="s">
        <v>215</v>
      </c>
      <c r="E908" s="226"/>
      <c r="G908" s="224" t="s">
        <v>1</v>
      </c>
      <c r="H908" s="224" t="s">
        <v>196</v>
      </c>
      <c r="I908" s="224" t="s">
        <v>62</v>
      </c>
      <c r="J908" s="224">
        <v>20</v>
      </c>
      <c r="K908" s="227">
        <f t="array" ref="K908">IFERROR(INDEX([1]Grille_Tarifs_Modulable!$B$2:$B$204,MATCH(Tableau14[[#This Row],[Designation]]&amp;Tableau14[[#This Row],[CL]],[1]Grille_Tarifs_Modulable!$C$2:$C$204&amp;[1]Grille_Tarifs_Modulable!$F$2:$F$204,0)),0)</f>
        <v>4260310550305</v>
      </c>
      <c r="L908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0.81</v>
      </c>
      <c r="M908" s="228">
        <f>IF(Tableau14[[#This Row],[Prix_Unit_HT]]=0,0,Tableau14[[#This Row],[Prix_Unit_HT]]+(Tableau14[[#This Row],[Prix_Unit_HT]]*VLOOKUP(Tableau14[[#This Row],[EAN]],[1]Grille_Tarifs_Modulable!$B$10:$Q$204,16,FALSE)))</f>
        <v>0.85455000000000003</v>
      </c>
      <c r="N908" s="224">
        <v>144</v>
      </c>
      <c r="O908" s="228">
        <f>ROUND(Tableau14[[#This Row],[Prix_Unit_HT]],2)*Tableau14[[#This Row],[Qte_commande]]</f>
        <v>116.64000000000001</v>
      </c>
      <c r="P908" s="228">
        <f>ROUND(Tableau14[[#This Row],[Prix_Unit_TTC]],2)*Tableau14[[#This Row],[Qte_commande]]</f>
        <v>122.39999999999999</v>
      </c>
      <c r="Q908" s="224">
        <v>41.14</v>
      </c>
      <c r="R908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41.142857142857146</v>
      </c>
      <c r="U908" s="224"/>
      <c r="V908" s="224"/>
    </row>
    <row r="909" spans="1:22" ht="14.65" customHeight="1" x14ac:dyDescent="0.2">
      <c r="A909" s="225">
        <v>43250</v>
      </c>
      <c r="B909" s="224" t="s">
        <v>236</v>
      </c>
      <c r="C909" s="224" t="s">
        <v>214</v>
      </c>
      <c r="D909" s="224" t="s">
        <v>215</v>
      </c>
      <c r="E909" s="226"/>
      <c r="G909" s="224" t="s">
        <v>1</v>
      </c>
      <c r="H909" s="224" t="s">
        <v>196</v>
      </c>
      <c r="I909" s="224" t="s">
        <v>63</v>
      </c>
      <c r="J909" s="224">
        <v>20</v>
      </c>
      <c r="K909" s="227">
        <f t="array" ref="K909">IFERROR(INDEX([1]Grille_Tarifs_Modulable!$B$2:$B$204,MATCH(Tableau14[[#This Row],[Designation]]&amp;Tableau14[[#This Row],[CL]],[1]Grille_Tarifs_Modulable!$C$2:$C$204&amp;[1]Grille_Tarifs_Modulable!$F$2:$F$204,0)),0)</f>
        <v>4260310552941</v>
      </c>
      <c r="L909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0.81</v>
      </c>
      <c r="M909" s="228">
        <f>IF(Tableau14[[#This Row],[Prix_Unit_HT]]=0,0,Tableau14[[#This Row],[Prix_Unit_HT]]+(Tableau14[[#This Row],[Prix_Unit_HT]]*VLOOKUP(Tableau14[[#This Row],[EAN]],[1]Grille_Tarifs_Modulable!$B$10:$Q$204,16,FALSE)))</f>
        <v>0.85455000000000003</v>
      </c>
      <c r="N909" s="224">
        <v>72</v>
      </c>
      <c r="O909" s="228">
        <f>ROUND(Tableau14[[#This Row],[Prix_Unit_HT]],2)*Tableau14[[#This Row],[Qte_commande]]</f>
        <v>58.320000000000007</v>
      </c>
      <c r="P909" s="228">
        <f>ROUND(Tableau14[[#This Row],[Prix_Unit_TTC]],2)*Tableau14[[#This Row],[Qte_commande]]</f>
        <v>61.199999999999996</v>
      </c>
      <c r="Q909" s="224">
        <v>20.57</v>
      </c>
      <c r="R909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20.571428571428573</v>
      </c>
      <c r="U909" s="224"/>
      <c r="V909" s="224"/>
    </row>
    <row r="910" spans="1:22" ht="14.65" customHeight="1" x14ac:dyDescent="0.2">
      <c r="A910" s="225">
        <v>43250</v>
      </c>
      <c r="B910" s="224" t="s">
        <v>236</v>
      </c>
      <c r="C910" s="224" t="s">
        <v>214</v>
      </c>
      <c r="D910" s="224" t="s">
        <v>215</v>
      </c>
      <c r="E910" s="226"/>
      <c r="G910" s="224" t="s">
        <v>1</v>
      </c>
      <c r="H910" s="224" t="s">
        <v>196</v>
      </c>
      <c r="I910" s="224" t="s">
        <v>60</v>
      </c>
      <c r="J910" s="224">
        <v>20</v>
      </c>
      <c r="K910" s="227">
        <f t="array" ref="K910">IFERROR(INDEX([1]Grille_Tarifs_Modulable!$B$2:$B$204,MATCH(Tableau14[[#This Row],[Designation]]&amp;Tableau14[[#This Row],[CL]],[1]Grille_Tarifs_Modulable!$C$2:$C$204&amp;[1]Grille_Tarifs_Modulable!$F$2:$F$204,0)),0)</f>
        <v>4260310553832</v>
      </c>
      <c r="L910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0.81</v>
      </c>
      <c r="M910" s="228">
        <f>IF(Tableau14[[#This Row],[Prix_Unit_HT]]=0,0,Tableau14[[#This Row],[Prix_Unit_HT]]+(Tableau14[[#This Row],[Prix_Unit_HT]]*VLOOKUP(Tableau14[[#This Row],[EAN]],[1]Grille_Tarifs_Modulable!$B$10:$Q$204,16,FALSE)))</f>
        <v>0.85455000000000003</v>
      </c>
      <c r="N910" s="224">
        <v>48</v>
      </c>
      <c r="O910" s="228">
        <f>ROUND(Tableau14[[#This Row],[Prix_Unit_HT]],2)*Tableau14[[#This Row],[Qte_commande]]</f>
        <v>38.880000000000003</v>
      </c>
      <c r="P910" s="228">
        <f>ROUND(Tableau14[[#This Row],[Prix_Unit_TTC]],2)*Tableau14[[#This Row],[Qte_commande]]</f>
        <v>40.799999999999997</v>
      </c>
      <c r="Q910" s="224">
        <v>13.71</v>
      </c>
      <c r="R910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13.714285714285715</v>
      </c>
      <c r="U910" s="224"/>
      <c r="V910" s="224"/>
    </row>
    <row r="911" spans="1:22" ht="14.65" customHeight="1" x14ac:dyDescent="0.2">
      <c r="A911" s="225">
        <v>43250</v>
      </c>
      <c r="B911" s="224" t="s">
        <v>236</v>
      </c>
      <c r="C911" s="224" t="s">
        <v>214</v>
      </c>
      <c r="D911" s="224" t="s">
        <v>215</v>
      </c>
      <c r="E911" s="226"/>
      <c r="G911" s="224" t="s">
        <v>1</v>
      </c>
      <c r="H911" s="224" t="s">
        <v>289</v>
      </c>
      <c r="I911" s="224" t="s">
        <v>20</v>
      </c>
      <c r="J911" s="224">
        <v>70</v>
      </c>
      <c r="K911" s="227">
        <f t="array" ref="K911">IFERROR(INDEX([1]Grille_Tarifs_Modulable!$B$2:$B$204,MATCH(Tableau14[[#This Row],[Designation]]&amp;Tableau14[[#This Row],[CL]],[1]Grille_Tarifs_Modulable!$C$2:$C$204&amp;[1]Grille_Tarifs_Modulable!$F$2:$F$204,0)),0)</f>
        <v>8017450002104</v>
      </c>
      <c r="L911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14.266482999999999</v>
      </c>
      <c r="M911" s="228">
        <f>IF(Tableau14[[#This Row],[Prix_Unit_HT]]=0,0,Tableau14[[#This Row],[Prix_Unit_HT]]+(Tableau14[[#This Row],[Prix_Unit_HT]]*VLOOKUP(Tableau14[[#This Row],[EAN]],[1]Grille_Tarifs_Modulable!$B$10:$Q$204,16,FALSE)))</f>
        <v>17.119779600000001</v>
      </c>
      <c r="N911" s="224">
        <v>12</v>
      </c>
      <c r="O911" s="228">
        <f>ROUND(Tableau14[[#This Row],[Prix_Unit_HT]],2)*Tableau14[[#This Row],[Qte_commande]]</f>
        <v>171.24</v>
      </c>
      <c r="P911" s="228">
        <f>ROUND(Tableau14[[#This Row],[Prix_Unit_TTC]],2)*Tableau14[[#This Row],[Qte_commande]]</f>
        <v>205.44</v>
      </c>
      <c r="Q911" s="224">
        <v>12</v>
      </c>
      <c r="R911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12.000000000000002</v>
      </c>
      <c r="U911" s="224"/>
      <c r="V911" s="224"/>
    </row>
    <row r="912" spans="1:22" ht="14.65" customHeight="1" x14ac:dyDescent="0.2">
      <c r="A912" s="225">
        <v>43250</v>
      </c>
      <c r="B912" s="224" t="s">
        <v>236</v>
      </c>
      <c r="C912" s="224" t="s">
        <v>214</v>
      </c>
      <c r="D912" s="224" t="s">
        <v>215</v>
      </c>
      <c r="E912" s="226"/>
      <c r="G912" s="224" t="s">
        <v>1</v>
      </c>
      <c r="H912" s="224" t="s">
        <v>196</v>
      </c>
      <c r="I912" s="224" t="s">
        <v>66</v>
      </c>
      <c r="J912" s="224">
        <v>50</v>
      </c>
      <c r="K912" s="227">
        <f t="array" ref="K912">IFERROR(INDEX([1]Grille_Tarifs_Modulable!$B$2:$B$204,MATCH(Tableau14[[#This Row],[Designation]]&amp;Tableau14[[#This Row],[CL]],[1]Grille_Tarifs_Modulable!$C$2:$C$204&amp;[1]Grille_Tarifs_Modulable!$F$2:$F$204,0)),0)</f>
        <v>4260310553382</v>
      </c>
      <c r="L912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</v>
      </c>
      <c r="M912" s="228">
        <f>IF(Tableau14[[#This Row],[Prix_Unit_HT]]=0,0,Tableau14[[#This Row],[Prix_Unit_HT]]+(Tableau14[[#This Row],[Prix_Unit_HT]]*VLOOKUP(Tableau14[[#This Row],[EAN]],[1]Grille_Tarifs_Modulable!$B$10:$Q$204,16,FALSE)))</f>
        <v>1.0549999999999999</v>
      </c>
      <c r="N912" s="224">
        <v>80</v>
      </c>
      <c r="O912" s="228">
        <f>ROUND(Tableau14[[#This Row],[Prix_Unit_HT]],2)*Tableau14[[#This Row],[Qte_commande]]</f>
        <v>80</v>
      </c>
      <c r="P912" s="228">
        <f>ROUND(Tableau14[[#This Row],[Prix_Unit_TTC]],2)*Tableau14[[#This Row],[Qte_commande]]</f>
        <v>84.800000000000011</v>
      </c>
      <c r="Q912" s="224">
        <v>57.14</v>
      </c>
      <c r="R912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57.142857142857146</v>
      </c>
      <c r="U912" s="224"/>
      <c r="V912" s="224"/>
    </row>
    <row r="913" spans="1:22" ht="14.65" customHeight="1" x14ac:dyDescent="0.2">
      <c r="A913" s="225">
        <v>43250</v>
      </c>
      <c r="B913" s="224" t="s">
        <v>236</v>
      </c>
      <c r="C913" s="224" t="s">
        <v>214</v>
      </c>
      <c r="D913" s="224" t="s">
        <v>215</v>
      </c>
      <c r="E913" s="226"/>
      <c r="G913" s="224" t="s">
        <v>1</v>
      </c>
      <c r="H913" s="224" t="s">
        <v>196</v>
      </c>
      <c r="I913" s="224" t="s">
        <v>64</v>
      </c>
      <c r="J913" s="224">
        <v>20</v>
      </c>
      <c r="K913" s="227">
        <f t="array" ref="K913">IFERROR(INDEX([1]Grille_Tarifs_Modulable!$B$2:$B$204,MATCH(Tableau14[[#This Row],[Designation]]&amp;Tableau14[[#This Row],[CL]],[1]Grille_Tarifs_Modulable!$C$2:$C$204&amp;[1]Grille_Tarifs_Modulable!$F$2:$F$204,0)),0)</f>
        <v>4260310553849</v>
      </c>
      <c r="L913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0.81</v>
      </c>
      <c r="M913" s="228">
        <f>IF(Tableau14[[#This Row],[Prix_Unit_HT]]=0,0,Tableau14[[#This Row],[Prix_Unit_HT]]+(Tableau14[[#This Row],[Prix_Unit_HT]]*VLOOKUP(Tableau14[[#This Row],[EAN]],[1]Grille_Tarifs_Modulable!$B$10:$Q$204,16,FALSE)))</f>
        <v>0.85455000000000003</v>
      </c>
      <c r="N913" s="224">
        <v>48</v>
      </c>
      <c r="O913" s="228">
        <f>ROUND(Tableau14[[#This Row],[Prix_Unit_HT]],2)*Tableau14[[#This Row],[Qte_commande]]</f>
        <v>38.880000000000003</v>
      </c>
      <c r="P913" s="228">
        <f>ROUND(Tableau14[[#This Row],[Prix_Unit_TTC]],2)*Tableau14[[#This Row],[Qte_commande]]</f>
        <v>40.799999999999997</v>
      </c>
      <c r="Q913" s="224">
        <v>13.71</v>
      </c>
      <c r="R913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13.714285714285715</v>
      </c>
      <c r="U913" s="224"/>
      <c r="V913" s="224"/>
    </row>
    <row r="914" spans="1:22" ht="14.65" customHeight="1" x14ac:dyDescent="0.2">
      <c r="A914" s="225">
        <v>43250</v>
      </c>
      <c r="B914" s="224" t="s">
        <v>236</v>
      </c>
      <c r="C914" s="224" t="s">
        <v>214</v>
      </c>
      <c r="D914" s="224" t="s">
        <v>215</v>
      </c>
      <c r="E914" s="226"/>
      <c r="G914" s="224" t="s">
        <v>1</v>
      </c>
      <c r="H914" s="224" t="s">
        <v>196</v>
      </c>
      <c r="I914" s="224" t="s">
        <v>59</v>
      </c>
      <c r="J914" s="224">
        <v>20</v>
      </c>
      <c r="K914" s="227">
        <f t="array" ref="K914">IFERROR(INDEX([1]Grille_Tarifs_Modulable!$B$2:$B$204,MATCH(Tableau14[[#This Row],[Designation]]&amp;Tableau14[[#This Row],[CL]],[1]Grille_Tarifs_Modulable!$C$2:$C$204&amp;[1]Grille_Tarifs_Modulable!$F$2:$F$204,0)),0)</f>
        <v>4260310553818</v>
      </c>
      <c r="L914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0.81</v>
      </c>
      <c r="M914" s="228">
        <f>IF(Tableau14[[#This Row],[Prix_Unit_HT]]=0,0,Tableau14[[#This Row],[Prix_Unit_HT]]+(Tableau14[[#This Row],[Prix_Unit_HT]]*VLOOKUP(Tableau14[[#This Row],[EAN]],[1]Grille_Tarifs_Modulable!$B$10:$Q$204,16,FALSE)))</f>
        <v>0.85455000000000003</v>
      </c>
      <c r="N914" s="224">
        <v>96</v>
      </c>
      <c r="O914" s="228">
        <f>ROUND(Tableau14[[#This Row],[Prix_Unit_HT]],2)*Tableau14[[#This Row],[Qte_commande]]</f>
        <v>77.760000000000005</v>
      </c>
      <c r="P914" s="228">
        <f>ROUND(Tableau14[[#This Row],[Prix_Unit_TTC]],2)*Tableau14[[#This Row],[Qte_commande]]</f>
        <v>81.599999999999994</v>
      </c>
      <c r="Q914" s="224">
        <v>27.43</v>
      </c>
      <c r="R914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27.428571428571431</v>
      </c>
      <c r="U914" s="224"/>
      <c r="V914" s="224"/>
    </row>
    <row r="915" spans="1:22" ht="14.65" customHeight="1" x14ac:dyDescent="0.2">
      <c r="A915" s="225">
        <v>43251</v>
      </c>
      <c r="B915" s="224" t="s">
        <v>959</v>
      </c>
      <c r="C915" s="224" t="s">
        <v>198</v>
      </c>
      <c r="D915" s="224" t="s">
        <v>199</v>
      </c>
      <c r="E915" s="226"/>
      <c r="G915" s="224" t="s">
        <v>1</v>
      </c>
      <c r="H915" s="224" t="s">
        <v>196</v>
      </c>
      <c r="I915" s="224" t="s">
        <v>64</v>
      </c>
      <c r="J915" s="224">
        <v>20</v>
      </c>
      <c r="K915" s="227">
        <f t="array" ref="K915">IFERROR(INDEX([1]Grille_Tarifs_Modulable!$B$2:$B$204,MATCH(Tableau14[[#This Row],[Designation]]&amp;Tableau14[[#This Row],[CL]],[1]Grille_Tarifs_Modulable!$C$2:$C$204&amp;[1]Grille_Tarifs_Modulable!$F$2:$F$204,0)),0)</f>
        <v>4260310553849</v>
      </c>
      <c r="L915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0.81</v>
      </c>
      <c r="M915" s="228">
        <f>IF(Tableau14[[#This Row],[Prix_Unit_HT]]=0,0,Tableau14[[#This Row],[Prix_Unit_HT]]+(Tableau14[[#This Row],[Prix_Unit_HT]]*VLOOKUP(Tableau14[[#This Row],[EAN]],[1]Grille_Tarifs_Modulable!$B$10:$Q$204,16,FALSE)))</f>
        <v>0.85455000000000003</v>
      </c>
      <c r="N915" s="224">
        <v>480</v>
      </c>
      <c r="O915" s="228">
        <f>ROUND(Tableau14[[#This Row],[Prix_Unit_HT]],2)*Tableau14[[#This Row],[Qte_commande]]</f>
        <v>388.8</v>
      </c>
      <c r="P915" s="228">
        <f>ROUND(Tableau14[[#This Row],[Prix_Unit_TTC]],2)*Tableau14[[#This Row],[Qte_commande]]</f>
        <v>408</v>
      </c>
      <c r="Q915" s="224">
        <v>137.13999999999999</v>
      </c>
      <c r="R915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137.14285714285714</v>
      </c>
      <c r="U915" s="224"/>
      <c r="V915" s="224"/>
    </row>
    <row r="916" spans="1:22" ht="14.65" customHeight="1" x14ac:dyDescent="0.2">
      <c r="A916" s="225">
        <v>43256</v>
      </c>
      <c r="B916" s="224" t="s">
        <v>690</v>
      </c>
      <c r="C916" s="224" t="s">
        <v>639</v>
      </c>
      <c r="D916" s="224" t="s">
        <v>373</v>
      </c>
      <c r="E916" s="226"/>
      <c r="G916" s="224" t="s">
        <v>1</v>
      </c>
      <c r="H916" s="224" t="s">
        <v>289</v>
      </c>
      <c r="I916" s="224" t="s">
        <v>15</v>
      </c>
      <c r="J916" s="224">
        <v>70</v>
      </c>
      <c r="K916" s="227">
        <f t="array" ref="K916">IFERROR(INDEX([1]Grille_Tarifs_Modulable!$B$2:$B$204,MATCH(Tableau14[[#This Row],[Designation]]&amp;Tableau14[[#This Row],[CL]],[1]Grille_Tarifs_Modulable!$C$2:$C$204&amp;[1]Grille_Tarifs_Modulable!$F$2:$F$204,0)),0)</f>
        <v>4067700013859</v>
      </c>
      <c r="L916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12.532563499999998</v>
      </c>
      <c r="M916" s="228">
        <f>IF(Tableau14[[#This Row],[Prix_Unit_HT]]=0,0,Tableau14[[#This Row],[Prix_Unit_HT]]+(Tableau14[[#This Row],[Prix_Unit_HT]]*VLOOKUP(Tableau14[[#This Row],[EAN]],[1]Grille_Tarifs_Modulable!$B$10:$Q$204,16,FALSE)))</f>
        <v>15.039076199999998</v>
      </c>
      <c r="N916" s="224">
        <v>108</v>
      </c>
      <c r="O916" s="228">
        <f>ROUND(Tableau14[[#This Row],[Prix_Unit_HT]],2)*Tableau14[[#This Row],[Qte_commande]]</f>
        <v>1353.24</v>
      </c>
      <c r="P916" s="228">
        <f>ROUND(Tableau14[[#This Row],[Prix_Unit_TTC]],2)*Tableau14[[#This Row],[Qte_commande]]</f>
        <v>1624.32</v>
      </c>
      <c r="Q916" s="224">
        <v>108</v>
      </c>
      <c r="R916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108</v>
      </c>
      <c r="U916" s="224"/>
      <c r="V916" s="224"/>
    </row>
    <row r="917" spans="1:22" ht="14.65" customHeight="1" x14ac:dyDescent="0.2">
      <c r="A917" s="225">
        <v>43256</v>
      </c>
      <c r="B917" s="224" t="s">
        <v>690</v>
      </c>
      <c r="C917" s="224" t="s">
        <v>639</v>
      </c>
      <c r="D917" s="224" t="s">
        <v>373</v>
      </c>
      <c r="E917" s="226"/>
      <c r="G917" s="224" t="s">
        <v>1</v>
      </c>
      <c r="H917" s="224" t="s">
        <v>289</v>
      </c>
      <c r="I917" s="224" t="s">
        <v>15</v>
      </c>
      <c r="J917" s="224">
        <v>70</v>
      </c>
      <c r="K917" s="227">
        <f t="array" ref="K917">IFERROR(INDEX([1]Grille_Tarifs_Modulable!$B$2:$B$204,MATCH(Tableau14[[#This Row],[Designation]]&amp;Tableau14[[#This Row],[CL]],[1]Grille_Tarifs_Modulable!$C$2:$C$204&amp;[1]Grille_Tarifs_Modulable!$F$2:$F$204,0)),0)</f>
        <v>4067700013859</v>
      </c>
      <c r="L917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12.532563499999998</v>
      </c>
      <c r="M917" s="228">
        <f>IF(Tableau14[[#This Row],[Prix_Unit_HT]]=0,0,Tableau14[[#This Row],[Prix_Unit_HT]]+(Tableau14[[#This Row],[Prix_Unit_HT]]*VLOOKUP(Tableau14[[#This Row],[EAN]],[1]Grille_Tarifs_Modulable!$B$10:$Q$204,16,FALSE)))</f>
        <v>15.039076199999998</v>
      </c>
      <c r="N917" s="224">
        <v>42</v>
      </c>
      <c r="O917" s="228">
        <f>ROUND(Tableau14[[#This Row],[Prix_Unit_HT]],2)*Tableau14[[#This Row],[Qte_commande]]</f>
        <v>526.26</v>
      </c>
      <c r="P917" s="228">
        <f>ROUND(Tableau14[[#This Row],[Prix_Unit_TTC]],2)*Tableau14[[#This Row],[Qte_commande]]</f>
        <v>631.67999999999995</v>
      </c>
      <c r="Q917" s="224">
        <v>42</v>
      </c>
      <c r="R917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42</v>
      </c>
      <c r="U917" s="224"/>
      <c r="V917" s="224"/>
    </row>
    <row r="918" spans="1:22" ht="14.65" customHeight="1" x14ac:dyDescent="0.2">
      <c r="A918" s="225">
        <v>43256</v>
      </c>
      <c r="B918" s="224" t="s">
        <v>690</v>
      </c>
      <c r="C918" s="224" t="s">
        <v>639</v>
      </c>
      <c r="D918" s="224" t="s">
        <v>373</v>
      </c>
      <c r="E918" s="226"/>
      <c r="G918" s="224" t="s">
        <v>1</v>
      </c>
      <c r="H918" s="224" t="s">
        <v>289</v>
      </c>
      <c r="I918" s="224" t="s">
        <v>42</v>
      </c>
      <c r="J918" s="224">
        <v>70</v>
      </c>
      <c r="K918" s="227">
        <f t="array" ref="K918">IFERROR(INDEX([1]Grille_Tarifs_Modulable!$B$2:$B$204,MATCH(Tableau14[[#This Row],[Designation]]&amp;Tableau14[[#This Row],[CL]],[1]Grille_Tarifs_Modulable!$C$2:$C$204&amp;[1]Grille_Tarifs_Modulable!$F$2:$F$204,0)),0)</f>
        <v>3257150688009</v>
      </c>
      <c r="L918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12.556915199999999</v>
      </c>
      <c r="M918" s="228">
        <f>IF(Tableau14[[#This Row],[Prix_Unit_HT]]=0,0,Tableau14[[#This Row],[Prix_Unit_HT]]+(Tableau14[[#This Row],[Prix_Unit_HT]]*VLOOKUP(Tableau14[[#This Row],[EAN]],[1]Grille_Tarifs_Modulable!$B$10:$Q$204,16,FALSE)))</f>
        <v>15.068298239999999</v>
      </c>
      <c r="N918" s="224">
        <v>36</v>
      </c>
      <c r="O918" s="228">
        <f>ROUND(Tableau14[[#This Row],[Prix_Unit_HT]],2)*Tableau14[[#This Row],[Qte_commande]]</f>
        <v>452.16</v>
      </c>
      <c r="P918" s="228">
        <f>ROUND(Tableau14[[#This Row],[Prix_Unit_TTC]],2)*Tableau14[[#This Row],[Qte_commande]]</f>
        <v>542.52</v>
      </c>
      <c r="Q918" s="224">
        <v>36</v>
      </c>
      <c r="R918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36</v>
      </c>
      <c r="U918" s="224"/>
      <c r="V918" s="224"/>
    </row>
    <row r="919" spans="1:22" ht="14.65" customHeight="1" x14ac:dyDescent="0.2">
      <c r="A919" s="225">
        <v>43258</v>
      </c>
      <c r="B919" s="224" t="s">
        <v>271</v>
      </c>
      <c r="C919" s="224" t="s">
        <v>272</v>
      </c>
      <c r="D919" s="224" t="s">
        <v>180</v>
      </c>
      <c r="E919" s="226"/>
      <c r="G919" s="224" t="s">
        <v>1</v>
      </c>
      <c r="H919" s="224" t="s">
        <v>196</v>
      </c>
      <c r="I919" s="224" t="s">
        <v>63</v>
      </c>
      <c r="J919" s="224">
        <v>20</v>
      </c>
      <c r="K919" s="227">
        <f t="array" ref="K919">IFERROR(INDEX([1]Grille_Tarifs_Modulable!$B$2:$B$204,MATCH(Tableau14[[#This Row],[Designation]]&amp;Tableau14[[#This Row],[CL]],[1]Grille_Tarifs_Modulable!$C$2:$C$204&amp;[1]Grille_Tarifs_Modulable!$F$2:$F$204,0)),0)</f>
        <v>4260310552941</v>
      </c>
      <c r="L919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0.81</v>
      </c>
      <c r="M919" s="228">
        <f>IF(Tableau14[[#This Row],[Prix_Unit_HT]]=0,0,Tableau14[[#This Row],[Prix_Unit_HT]]+(Tableau14[[#This Row],[Prix_Unit_HT]]*VLOOKUP(Tableau14[[#This Row],[EAN]],[1]Grille_Tarifs_Modulable!$B$10:$Q$204,16,FALSE)))</f>
        <v>0.85455000000000003</v>
      </c>
      <c r="N919" s="224">
        <v>24</v>
      </c>
      <c r="O919" s="228">
        <f>ROUND(Tableau14[[#This Row],[Prix_Unit_HT]],2)*Tableau14[[#This Row],[Qte_commande]]</f>
        <v>19.440000000000001</v>
      </c>
      <c r="P919" s="228">
        <f>ROUND(Tableau14[[#This Row],[Prix_Unit_TTC]],2)*Tableau14[[#This Row],[Qte_commande]]</f>
        <v>20.399999999999999</v>
      </c>
      <c r="Q919" s="224">
        <v>6.86</v>
      </c>
      <c r="R919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6.8571428571428577</v>
      </c>
      <c r="U919" s="224"/>
      <c r="V919" s="224"/>
    </row>
    <row r="920" spans="1:22" ht="14.65" customHeight="1" x14ac:dyDescent="0.2">
      <c r="A920" s="225">
        <v>43258</v>
      </c>
      <c r="B920" s="224" t="s">
        <v>329</v>
      </c>
      <c r="C920" s="224" t="s">
        <v>165</v>
      </c>
      <c r="D920" s="224" t="s">
        <v>330</v>
      </c>
      <c r="E920" s="226"/>
      <c r="G920" s="224" t="s">
        <v>13</v>
      </c>
      <c r="H920" s="224" t="s">
        <v>289</v>
      </c>
      <c r="I920" s="224" t="s">
        <v>22</v>
      </c>
      <c r="J920" s="224">
        <v>70</v>
      </c>
      <c r="K920" s="227">
        <f t="array" ref="K920">IFERROR(INDEX([1]Grille_Tarifs_Modulable!$B$2:$B$204,MATCH(Tableau14[[#This Row],[Designation]]&amp;Tableau14[[#This Row],[CL]],[1]Grille_Tarifs_Modulable!$C$2:$C$204&amp;[1]Grille_Tarifs_Modulable!$F$2:$F$204,0)),0)</f>
        <v>4055800060200</v>
      </c>
      <c r="L920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18.588644000000002</v>
      </c>
      <c r="M920" s="228">
        <f>IF(Tableau14[[#This Row],[Prix_Unit_HT]]=0,0,Tableau14[[#This Row],[Prix_Unit_HT]]+(Tableau14[[#This Row],[Prix_Unit_HT]]*VLOOKUP(Tableau14[[#This Row],[EAN]],[1]Grille_Tarifs_Modulable!$B$10:$Q$204,16,FALSE)))</f>
        <v>22.306372800000002</v>
      </c>
      <c r="N920" s="224">
        <v>6</v>
      </c>
      <c r="O920" s="228">
        <f>ROUND(Tableau14[[#This Row],[Prix_Unit_HT]],2)*Tableau14[[#This Row],[Qte_commande]]</f>
        <v>111.53999999999999</v>
      </c>
      <c r="P920" s="228">
        <f>ROUND(Tableau14[[#This Row],[Prix_Unit_TTC]],2)*Tableau14[[#This Row],[Qte_commande]]</f>
        <v>133.85999999999999</v>
      </c>
      <c r="Q920" s="224">
        <v>6</v>
      </c>
      <c r="R920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6.0000000000000009</v>
      </c>
      <c r="U920" s="224"/>
      <c r="V920" s="224"/>
    </row>
    <row r="921" spans="1:22" ht="14.65" customHeight="1" x14ac:dyDescent="0.2">
      <c r="A921" s="225">
        <v>43258</v>
      </c>
      <c r="B921" s="224" t="s">
        <v>329</v>
      </c>
      <c r="C921" s="224" t="s">
        <v>165</v>
      </c>
      <c r="D921" s="224" t="s">
        <v>330</v>
      </c>
      <c r="E921" s="226"/>
      <c r="G921" s="224" t="s">
        <v>13</v>
      </c>
      <c r="H921" s="224" t="s">
        <v>196</v>
      </c>
      <c r="I921" s="224" t="s">
        <v>65</v>
      </c>
      <c r="J921" s="224">
        <v>20</v>
      </c>
      <c r="K921" s="227">
        <f t="array" ref="K921">IFERROR(INDEX([1]Grille_Tarifs_Modulable!$B$2:$B$204,MATCH(Tableau14[[#This Row],[Designation]]&amp;Tableau14[[#This Row],[CL]],[1]Grille_Tarifs_Modulable!$C$2:$C$204&amp;[1]Grille_Tarifs_Modulable!$F$2:$F$204,0)),0)</f>
        <v>4260310553863</v>
      </c>
      <c r="L921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0.89</v>
      </c>
      <c r="M921" s="228">
        <f>IF(Tableau14[[#This Row],[Prix_Unit_HT]]=0,0,Tableau14[[#This Row],[Prix_Unit_HT]]+(Tableau14[[#This Row],[Prix_Unit_HT]]*VLOOKUP(Tableau14[[#This Row],[EAN]],[1]Grille_Tarifs_Modulable!$B$10:$Q$204,16,FALSE)))</f>
        <v>0.93895000000000006</v>
      </c>
      <c r="N921" s="224">
        <v>24</v>
      </c>
      <c r="O921" s="228">
        <f>ROUND(Tableau14[[#This Row],[Prix_Unit_HT]],2)*Tableau14[[#This Row],[Qte_commande]]</f>
        <v>21.36</v>
      </c>
      <c r="P921" s="228">
        <f>ROUND(Tableau14[[#This Row],[Prix_Unit_TTC]],2)*Tableau14[[#This Row],[Qte_commande]]</f>
        <v>22.56</v>
      </c>
      <c r="Q921" s="224">
        <v>6.86</v>
      </c>
      <c r="R921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6.8571428571428577</v>
      </c>
      <c r="U921" s="224"/>
      <c r="V921" s="224"/>
    </row>
    <row r="922" spans="1:22" ht="14.65" customHeight="1" x14ac:dyDescent="0.2">
      <c r="A922" s="225">
        <v>43258</v>
      </c>
      <c r="B922" s="224" t="s">
        <v>271</v>
      </c>
      <c r="C922" s="224" t="s">
        <v>272</v>
      </c>
      <c r="D922" s="224" t="s">
        <v>180</v>
      </c>
      <c r="E922" s="226"/>
      <c r="G922" s="224" t="s">
        <v>1</v>
      </c>
      <c r="H922" s="224" t="s">
        <v>289</v>
      </c>
      <c r="I922" s="224" t="s">
        <v>35</v>
      </c>
      <c r="J922" s="224">
        <v>70</v>
      </c>
      <c r="K922" s="227">
        <f t="array" ref="K922">IFERROR(INDEX([1]Grille_Tarifs_Modulable!$B$2:$B$204,MATCH(Tableau14[[#This Row],[Designation]]&amp;Tableau14[[#This Row],[CL]],[1]Grille_Tarifs_Modulable!$C$2:$C$204&amp;[1]Grille_Tarifs_Modulable!$F$2:$F$204,0)),0)</f>
        <v>3257150107012</v>
      </c>
      <c r="L922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29.828643999999997</v>
      </c>
      <c r="M922" s="228">
        <f>IF(Tableau14[[#This Row],[Prix_Unit_HT]]=0,0,Tableau14[[#This Row],[Prix_Unit_HT]]+(Tableau14[[#This Row],[Prix_Unit_HT]]*VLOOKUP(Tableau14[[#This Row],[EAN]],[1]Grille_Tarifs_Modulable!$B$10:$Q$204,16,FALSE)))</f>
        <v>35.794372799999998</v>
      </c>
      <c r="N922" s="224">
        <v>6</v>
      </c>
      <c r="O922" s="228">
        <f>ROUND(Tableau14[[#This Row],[Prix_Unit_HT]],2)*Tableau14[[#This Row],[Qte_commande]]</f>
        <v>178.98</v>
      </c>
      <c r="P922" s="228">
        <f>ROUND(Tableau14[[#This Row],[Prix_Unit_TTC]],2)*Tableau14[[#This Row],[Qte_commande]]</f>
        <v>214.74</v>
      </c>
      <c r="Q922" s="224">
        <v>6</v>
      </c>
      <c r="R922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6.0000000000000009</v>
      </c>
      <c r="U922" s="224"/>
      <c r="V922" s="224"/>
    </row>
    <row r="923" spans="1:22" ht="14.65" customHeight="1" x14ac:dyDescent="0.2">
      <c r="A923" s="225">
        <v>43258</v>
      </c>
      <c r="B923" s="224" t="s">
        <v>271</v>
      </c>
      <c r="C923" s="224" t="s">
        <v>272</v>
      </c>
      <c r="D923" s="224" t="s">
        <v>180</v>
      </c>
      <c r="E923" s="226"/>
      <c r="G923" s="224" t="s">
        <v>1</v>
      </c>
      <c r="H923" s="224" t="s">
        <v>289</v>
      </c>
      <c r="I923" s="224" t="s">
        <v>47</v>
      </c>
      <c r="J923" s="224">
        <v>70</v>
      </c>
      <c r="K923" s="227">
        <f t="array" ref="K923">IFERROR(INDEX([1]Grille_Tarifs_Modulable!$B$2:$B$204,MATCH(Tableau14[[#This Row],[Designation]]&amp;Tableau14[[#This Row],[CL]],[1]Grille_Tarifs_Modulable!$C$2:$C$204&amp;[1]Grille_Tarifs_Modulable!$F$2:$F$204,0)),0)</f>
        <v>3257150673005</v>
      </c>
      <c r="L923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20.158644000000002</v>
      </c>
      <c r="M923" s="228">
        <f>IF(Tableau14[[#This Row],[Prix_Unit_HT]]=0,0,Tableau14[[#This Row],[Prix_Unit_HT]]+(Tableau14[[#This Row],[Prix_Unit_HT]]*VLOOKUP(Tableau14[[#This Row],[EAN]],[1]Grille_Tarifs_Modulable!$B$10:$Q$204,16,FALSE)))</f>
        <v>24.190372800000002</v>
      </c>
      <c r="N923" s="224">
        <v>6</v>
      </c>
      <c r="O923" s="228">
        <f>ROUND(Tableau14[[#This Row],[Prix_Unit_HT]],2)*Tableau14[[#This Row],[Qte_commande]]</f>
        <v>120.96000000000001</v>
      </c>
      <c r="P923" s="228">
        <f>ROUND(Tableau14[[#This Row],[Prix_Unit_TTC]],2)*Tableau14[[#This Row],[Qte_commande]]</f>
        <v>145.14000000000001</v>
      </c>
      <c r="Q923" s="224">
        <v>6</v>
      </c>
      <c r="R923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6.0000000000000009</v>
      </c>
      <c r="U923" s="224"/>
      <c r="V923" s="224"/>
    </row>
    <row r="924" spans="1:22" ht="14.65" customHeight="1" x14ac:dyDescent="0.2">
      <c r="A924" s="225">
        <v>43258</v>
      </c>
      <c r="B924" s="224" t="s">
        <v>271</v>
      </c>
      <c r="C924" s="224" t="s">
        <v>272</v>
      </c>
      <c r="D924" s="224" t="s">
        <v>180</v>
      </c>
      <c r="E924" s="226"/>
      <c r="G924" s="224" t="s">
        <v>1</v>
      </c>
      <c r="H924" s="224" t="s">
        <v>289</v>
      </c>
      <c r="I924" s="224" t="s">
        <v>15</v>
      </c>
      <c r="J924" s="224">
        <v>70</v>
      </c>
      <c r="K924" s="227">
        <f t="array" ref="K924">IFERROR(INDEX([1]Grille_Tarifs_Modulable!$B$2:$B$204,MATCH(Tableau14[[#This Row],[Designation]]&amp;Tableau14[[#This Row],[CL]],[1]Grille_Tarifs_Modulable!$C$2:$C$204&amp;[1]Grille_Tarifs_Modulable!$F$2:$F$204,0)),0)</f>
        <v>4067700013859</v>
      </c>
      <c r="L924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12.532563499999998</v>
      </c>
      <c r="M924" s="228">
        <f>IF(Tableau14[[#This Row],[Prix_Unit_HT]]=0,0,Tableau14[[#This Row],[Prix_Unit_HT]]+(Tableau14[[#This Row],[Prix_Unit_HT]]*VLOOKUP(Tableau14[[#This Row],[EAN]],[1]Grille_Tarifs_Modulable!$B$10:$Q$204,16,FALSE)))</f>
        <v>15.039076199999998</v>
      </c>
      <c r="N924" s="224">
        <v>48</v>
      </c>
      <c r="O924" s="228">
        <f>ROUND(Tableau14[[#This Row],[Prix_Unit_HT]],2)*Tableau14[[#This Row],[Qte_commande]]</f>
        <v>601.43999999999994</v>
      </c>
      <c r="P924" s="228">
        <f>ROUND(Tableau14[[#This Row],[Prix_Unit_TTC]],2)*Tableau14[[#This Row],[Qte_commande]]</f>
        <v>721.92</v>
      </c>
      <c r="Q924" s="224">
        <v>48</v>
      </c>
      <c r="R924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48.000000000000007</v>
      </c>
      <c r="U924" s="224"/>
      <c r="V924" s="224"/>
    </row>
    <row r="925" spans="1:22" ht="14.65" customHeight="1" x14ac:dyDescent="0.2">
      <c r="A925" s="225">
        <v>43258</v>
      </c>
      <c r="B925" s="224" t="s">
        <v>824</v>
      </c>
      <c r="C925" s="224" t="s">
        <v>464</v>
      </c>
      <c r="D925" s="224" t="s">
        <v>180</v>
      </c>
      <c r="E925" s="226"/>
      <c r="G925" s="224" t="s">
        <v>13</v>
      </c>
      <c r="H925" s="224" t="s">
        <v>196</v>
      </c>
      <c r="I925" s="224" t="s">
        <v>66</v>
      </c>
      <c r="J925" s="224">
        <v>50</v>
      </c>
      <c r="K925" s="227">
        <f t="array" ref="K925">IFERROR(INDEX([1]Grille_Tarifs_Modulable!$B$2:$B$204,MATCH(Tableau14[[#This Row],[Designation]]&amp;Tableau14[[#This Row],[CL]],[1]Grille_Tarifs_Modulable!$C$2:$C$204&amp;[1]Grille_Tarifs_Modulable!$F$2:$F$204,0)),0)</f>
        <v>4260310553382</v>
      </c>
      <c r="L925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1.1000000000000001</v>
      </c>
      <c r="M925" s="228">
        <f>IF(Tableau14[[#This Row],[Prix_Unit_HT]]=0,0,Tableau14[[#This Row],[Prix_Unit_HT]]+(Tableau14[[#This Row],[Prix_Unit_HT]]*VLOOKUP(Tableau14[[#This Row],[EAN]],[1]Grille_Tarifs_Modulable!$B$10:$Q$204,16,FALSE)))</f>
        <v>1.1605000000000001</v>
      </c>
      <c r="N925" s="224">
        <v>100</v>
      </c>
      <c r="O925" s="228">
        <f>ROUND(Tableau14[[#This Row],[Prix_Unit_HT]],2)*Tableau14[[#This Row],[Qte_commande]]</f>
        <v>110.00000000000001</v>
      </c>
      <c r="P925" s="228">
        <f>ROUND(Tableau14[[#This Row],[Prix_Unit_TTC]],2)*Tableau14[[#This Row],[Qte_commande]]</f>
        <v>115.99999999999999</v>
      </c>
      <c r="Q925" s="224">
        <v>71.430000000000007</v>
      </c>
      <c r="R925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71.428571428571431</v>
      </c>
      <c r="U925" s="224"/>
      <c r="V925" s="224"/>
    </row>
    <row r="926" spans="1:22" ht="14.65" customHeight="1" x14ac:dyDescent="0.2">
      <c r="A926" s="225">
        <v>43258</v>
      </c>
      <c r="B926" s="224" t="s">
        <v>329</v>
      </c>
      <c r="C926" s="224" t="s">
        <v>165</v>
      </c>
      <c r="D926" s="224" t="s">
        <v>330</v>
      </c>
      <c r="E926" s="226"/>
      <c r="G926" s="224" t="s">
        <v>13</v>
      </c>
      <c r="H926" s="224" t="s">
        <v>289</v>
      </c>
      <c r="I926" s="224" t="s">
        <v>30</v>
      </c>
      <c r="J926" s="224">
        <v>70</v>
      </c>
      <c r="K926" s="227">
        <f t="array" ref="K926">IFERROR(INDEX([1]Grille_Tarifs_Modulable!$B$2:$B$204,MATCH(Tableau14[[#This Row],[Designation]]&amp;Tableau14[[#This Row],[CL]],[1]Grille_Tarifs_Modulable!$C$2:$C$204&amp;[1]Grille_Tarifs_Modulable!$F$2:$F$204,0)),0)</f>
        <v>3257150101904</v>
      </c>
      <c r="L926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18.506483000000003</v>
      </c>
      <c r="M926" s="228">
        <f>IF(Tableau14[[#This Row],[Prix_Unit_HT]]=0,0,Tableau14[[#This Row],[Prix_Unit_HT]]+(Tableau14[[#This Row],[Prix_Unit_HT]]*VLOOKUP(Tableau14[[#This Row],[EAN]],[1]Grille_Tarifs_Modulable!$B$10:$Q$204,16,FALSE)))</f>
        <v>22.207779600000002</v>
      </c>
      <c r="N926" s="224">
        <v>6</v>
      </c>
      <c r="O926" s="228">
        <f>ROUND(Tableau14[[#This Row],[Prix_Unit_HT]],2)*Tableau14[[#This Row],[Qte_commande]]</f>
        <v>111.06</v>
      </c>
      <c r="P926" s="228">
        <f>ROUND(Tableau14[[#This Row],[Prix_Unit_TTC]],2)*Tableau14[[#This Row],[Qte_commande]]</f>
        <v>133.26</v>
      </c>
      <c r="Q926" s="224">
        <v>6</v>
      </c>
      <c r="R926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6.0000000000000009</v>
      </c>
      <c r="U926" s="224"/>
      <c r="V926" s="224"/>
    </row>
    <row r="927" spans="1:22" ht="14.65" customHeight="1" x14ac:dyDescent="0.2">
      <c r="A927" s="225">
        <v>43258</v>
      </c>
      <c r="B927" s="224" t="s">
        <v>271</v>
      </c>
      <c r="C927" s="224" t="s">
        <v>272</v>
      </c>
      <c r="D927" s="224" t="s">
        <v>180</v>
      </c>
      <c r="E927" s="226"/>
      <c r="G927" s="224" t="s">
        <v>1</v>
      </c>
      <c r="H927" s="224" t="s">
        <v>289</v>
      </c>
      <c r="I927" s="224" t="s">
        <v>30</v>
      </c>
      <c r="J927" s="224">
        <v>70</v>
      </c>
      <c r="K927" s="227">
        <f t="array" ref="K927">IFERROR(INDEX([1]Grille_Tarifs_Modulable!$B$2:$B$204,MATCH(Tableau14[[#This Row],[Designation]]&amp;Tableau14[[#This Row],[CL]],[1]Grille_Tarifs_Modulable!$C$2:$C$204&amp;[1]Grille_Tarifs_Modulable!$F$2:$F$204,0)),0)</f>
        <v>3257150101904</v>
      </c>
      <c r="L927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16.346482999999999</v>
      </c>
      <c r="M927" s="228">
        <f>IF(Tableau14[[#This Row],[Prix_Unit_HT]]=0,0,Tableau14[[#This Row],[Prix_Unit_HT]]+(Tableau14[[#This Row],[Prix_Unit_HT]]*VLOOKUP(Tableau14[[#This Row],[EAN]],[1]Grille_Tarifs_Modulable!$B$10:$Q$204,16,FALSE)))</f>
        <v>19.6157796</v>
      </c>
      <c r="N927" s="224">
        <v>6</v>
      </c>
      <c r="O927" s="228">
        <f>ROUND(Tableau14[[#This Row],[Prix_Unit_HT]],2)*Tableau14[[#This Row],[Qte_commande]]</f>
        <v>98.100000000000009</v>
      </c>
      <c r="P927" s="228">
        <f>ROUND(Tableau14[[#This Row],[Prix_Unit_TTC]],2)*Tableau14[[#This Row],[Qte_commande]]</f>
        <v>117.72</v>
      </c>
      <c r="Q927" s="224">
        <v>6</v>
      </c>
      <c r="R927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6.0000000000000009</v>
      </c>
      <c r="U927" s="224"/>
      <c r="V927" s="224"/>
    </row>
    <row r="928" spans="1:22" ht="14.65" customHeight="1" x14ac:dyDescent="0.2">
      <c r="A928" s="225">
        <v>43258</v>
      </c>
      <c r="B928" s="224" t="s">
        <v>849</v>
      </c>
      <c r="C928" s="224" t="s">
        <v>850</v>
      </c>
      <c r="D928" s="224" t="s">
        <v>209</v>
      </c>
      <c r="E928" s="226"/>
      <c r="G928" s="224" t="s">
        <v>1</v>
      </c>
      <c r="H928" s="224" t="s">
        <v>289</v>
      </c>
      <c r="I928" s="224" t="s">
        <v>30</v>
      </c>
      <c r="J928" s="224">
        <v>70</v>
      </c>
      <c r="K928" s="227">
        <f t="array" ref="K928">IFERROR(INDEX([1]Grille_Tarifs_Modulable!$B$2:$B$204,MATCH(Tableau14[[#This Row],[Designation]]&amp;Tableau14[[#This Row],[CL]],[1]Grille_Tarifs_Modulable!$C$2:$C$204&amp;[1]Grille_Tarifs_Modulable!$F$2:$F$204,0)),0)</f>
        <v>3257150101904</v>
      </c>
      <c r="L928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16.346482999999999</v>
      </c>
      <c r="M928" s="228">
        <f>IF(Tableau14[[#This Row],[Prix_Unit_HT]]=0,0,Tableau14[[#This Row],[Prix_Unit_HT]]+(Tableau14[[#This Row],[Prix_Unit_HT]]*VLOOKUP(Tableau14[[#This Row],[EAN]],[1]Grille_Tarifs_Modulable!$B$10:$Q$204,16,FALSE)))</f>
        <v>19.6157796</v>
      </c>
      <c r="N928" s="224">
        <v>6</v>
      </c>
      <c r="O928" s="228">
        <f>ROUND(Tableau14[[#This Row],[Prix_Unit_HT]],2)*Tableau14[[#This Row],[Qte_commande]]</f>
        <v>98.100000000000009</v>
      </c>
      <c r="P928" s="228">
        <f>ROUND(Tableau14[[#This Row],[Prix_Unit_TTC]],2)*Tableau14[[#This Row],[Qte_commande]]</f>
        <v>117.72</v>
      </c>
      <c r="Q928" s="224">
        <v>6</v>
      </c>
      <c r="R928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6.0000000000000009</v>
      </c>
      <c r="U928" s="224"/>
      <c r="V928" s="224"/>
    </row>
    <row r="929" spans="1:22" ht="14.65" customHeight="1" x14ac:dyDescent="0.2">
      <c r="A929" s="225">
        <v>43258</v>
      </c>
      <c r="B929" s="224" t="s">
        <v>271</v>
      </c>
      <c r="C929" s="224" t="s">
        <v>272</v>
      </c>
      <c r="D929" s="224" t="s">
        <v>180</v>
      </c>
      <c r="E929" s="226"/>
      <c r="G929" s="224" t="s">
        <v>1</v>
      </c>
      <c r="H929" s="224" t="s">
        <v>289</v>
      </c>
      <c r="I929" s="224" t="s">
        <v>32</v>
      </c>
      <c r="J929" s="224">
        <v>70</v>
      </c>
      <c r="K929" s="227">
        <f t="array" ref="K929">IFERROR(INDEX([1]Grille_Tarifs_Modulable!$B$2:$B$204,MATCH(Tableau14[[#This Row],[Designation]]&amp;Tableau14[[#This Row],[CL]],[1]Grille_Tarifs_Modulable!$C$2:$C$204&amp;[1]Grille_Tarifs_Modulable!$F$2:$F$204,0)),0)</f>
        <v>3257150100228</v>
      </c>
      <c r="L929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19.998643999999999</v>
      </c>
      <c r="M929" s="228">
        <f>IF(Tableau14[[#This Row],[Prix_Unit_HT]]=0,0,Tableau14[[#This Row],[Prix_Unit_HT]]+(Tableau14[[#This Row],[Prix_Unit_HT]]*VLOOKUP(Tableau14[[#This Row],[EAN]],[1]Grille_Tarifs_Modulable!$B$10:$Q$204,16,FALSE)))</f>
        <v>23.998372799999999</v>
      </c>
      <c r="N929" s="224">
        <v>6</v>
      </c>
      <c r="O929" s="228">
        <f>ROUND(Tableau14[[#This Row],[Prix_Unit_HT]],2)*Tableau14[[#This Row],[Qte_commande]]</f>
        <v>120</v>
      </c>
      <c r="P929" s="228">
        <f>ROUND(Tableau14[[#This Row],[Prix_Unit_TTC]],2)*Tableau14[[#This Row],[Qte_commande]]</f>
        <v>144</v>
      </c>
      <c r="Q929" s="224">
        <v>6</v>
      </c>
      <c r="R929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6.0000000000000009</v>
      </c>
      <c r="U929" s="224"/>
      <c r="V929" s="224"/>
    </row>
    <row r="930" spans="1:22" ht="14.65" customHeight="1" x14ac:dyDescent="0.2">
      <c r="A930" s="225">
        <v>43258</v>
      </c>
      <c r="B930" s="224" t="s">
        <v>329</v>
      </c>
      <c r="C930" s="224" t="s">
        <v>165</v>
      </c>
      <c r="D930" s="224" t="s">
        <v>330</v>
      </c>
      <c r="E930" s="226"/>
      <c r="G930" s="224" t="s">
        <v>13</v>
      </c>
      <c r="H930" s="224" t="s">
        <v>289</v>
      </c>
      <c r="I930" s="224" t="s">
        <v>31</v>
      </c>
      <c r="J930" s="224">
        <v>70</v>
      </c>
      <c r="K930" s="227">
        <f t="array" ref="K930">IFERROR(INDEX([1]Grille_Tarifs_Modulable!$B$2:$B$204,MATCH(Tableau14[[#This Row],[Designation]]&amp;Tableau14[[#This Row],[CL]],[1]Grille_Tarifs_Modulable!$C$2:$C$204&amp;[1]Grille_Tarifs_Modulable!$F$2:$F$204,0)),0)</f>
        <v>3257150102017</v>
      </c>
      <c r="L930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16.854322</v>
      </c>
      <c r="M930" s="228">
        <f>IF(Tableau14[[#This Row],[Prix_Unit_HT]]=0,0,Tableau14[[#This Row],[Prix_Unit_HT]]+(Tableau14[[#This Row],[Prix_Unit_HT]]*VLOOKUP(Tableau14[[#This Row],[EAN]],[1]Grille_Tarifs_Modulable!$B$10:$Q$204,16,FALSE)))</f>
        <v>20.225186399999998</v>
      </c>
      <c r="N930" s="224">
        <v>6</v>
      </c>
      <c r="O930" s="228">
        <f>ROUND(Tableau14[[#This Row],[Prix_Unit_HT]],2)*Tableau14[[#This Row],[Qte_commande]]</f>
        <v>101.10000000000001</v>
      </c>
      <c r="P930" s="228">
        <f>ROUND(Tableau14[[#This Row],[Prix_Unit_TTC]],2)*Tableau14[[#This Row],[Qte_commande]]</f>
        <v>121.38</v>
      </c>
      <c r="Q930" s="224">
        <v>6</v>
      </c>
      <c r="R930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6.0000000000000009</v>
      </c>
      <c r="U930" s="224"/>
      <c r="V930" s="224"/>
    </row>
    <row r="931" spans="1:22" ht="14.65" customHeight="1" x14ac:dyDescent="0.2">
      <c r="A931" s="225">
        <v>43258</v>
      </c>
      <c r="B931" s="224" t="s">
        <v>889</v>
      </c>
      <c r="C931" s="224" t="s">
        <v>272</v>
      </c>
      <c r="D931" s="224" t="s">
        <v>180</v>
      </c>
      <c r="E931" s="226"/>
      <c r="G931" s="224" t="s">
        <v>1</v>
      </c>
      <c r="H931" s="224" t="s">
        <v>289</v>
      </c>
      <c r="I931" s="224" t="s">
        <v>31</v>
      </c>
      <c r="J931" s="224">
        <v>70</v>
      </c>
      <c r="K931" s="227">
        <f t="array" ref="K931">IFERROR(INDEX([1]Grille_Tarifs_Modulable!$B$2:$B$204,MATCH(Tableau14[[#This Row],[Designation]]&amp;Tableau14[[#This Row],[CL]],[1]Grille_Tarifs_Modulable!$C$2:$C$204&amp;[1]Grille_Tarifs_Modulable!$F$2:$F$204,0)),0)</f>
        <v>3257150102017</v>
      </c>
      <c r="L931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14.694322</v>
      </c>
      <c r="M931" s="228">
        <f>IF(Tableau14[[#This Row],[Prix_Unit_HT]]=0,0,Tableau14[[#This Row],[Prix_Unit_HT]]+(Tableau14[[#This Row],[Prix_Unit_HT]]*VLOOKUP(Tableau14[[#This Row],[EAN]],[1]Grille_Tarifs_Modulable!$B$10:$Q$204,16,FALSE)))</f>
        <v>17.6331864</v>
      </c>
      <c r="N931" s="224">
        <v>6</v>
      </c>
      <c r="O931" s="228">
        <f>ROUND(Tableau14[[#This Row],[Prix_Unit_HT]],2)*Tableau14[[#This Row],[Qte_commande]]</f>
        <v>88.14</v>
      </c>
      <c r="P931" s="228">
        <f>ROUND(Tableau14[[#This Row],[Prix_Unit_TTC]],2)*Tableau14[[#This Row],[Qte_commande]]</f>
        <v>105.78</v>
      </c>
      <c r="Q931" s="224">
        <v>6</v>
      </c>
      <c r="R931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6.0000000000000009</v>
      </c>
      <c r="U931" s="224"/>
      <c r="V931" s="224"/>
    </row>
    <row r="932" spans="1:22" ht="14.65" customHeight="1" x14ac:dyDescent="0.2">
      <c r="A932" s="225">
        <v>43258</v>
      </c>
      <c r="B932" s="224" t="s">
        <v>329</v>
      </c>
      <c r="C932" s="224" t="s">
        <v>165</v>
      </c>
      <c r="D932" s="224" t="s">
        <v>330</v>
      </c>
      <c r="E932" s="226"/>
      <c r="G932" s="224" t="s">
        <v>13</v>
      </c>
      <c r="H932" s="224" t="s">
        <v>289</v>
      </c>
      <c r="I932" s="224" t="s">
        <v>44</v>
      </c>
      <c r="J932" s="224">
        <v>50</v>
      </c>
      <c r="K932" s="227">
        <f t="array" ref="K932">IFERROR(INDEX([1]Grille_Tarifs_Modulable!$B$2:$B$204,MATCH(Tableau14[[#This Row],[Designation]]&amp;Tableau14[[#This Row],[CL]],[1]Grille_Tarifs_Modulable!$C$2:$C$204&amp;[1]Grille_Tarifs_Modulable!$F$2:$F$204,0)),0)</f>
        <v>4260270192645</v>
      </c>
      <c r="L932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28.052506000000001</v>
      </c>
      <c r="M932" s="228">
        <f>IF(Tableau14[[#This Row],[Prix_Unit_HT]]=0,0,Tableau14[[#This Row],[Prix_Unit_HT]]+(Tableau14[[#This Row],[Prix_Unit_HT]]*VLOOKUP(Tableau14[[#This Row],[EAN]],[1]Grille_Tarifs_Modulable!$B$10:$Q$204,16,FALSE)))</f>
        <v>33.663007200000003</v>
      </c>
      <c r="N932" s="224">
        <v>3</v>
      </c>
      <c r="O932" s="228">
        <f>ROUND(Tableau14[[#This Row],[Prix_Unit_HT]],2)*Tableau14[[#This Row],[Qte_commande]]</f>
        <v>84.15</v>
      </c>
      <c r="P932" s="228">
        <f>ROUND(Tableau14[[#This Row],[Prix_Unit_TTC]],2)*Tableau14[[#This Row],[Qte_commande]]</f>
        <v>100.97999999999999</v>
      </c>
      <c r="Q932" s="224">
        <v>2.14</v>
      </c>
      <c r="R932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2.1428571428571428</v>
      </c>
      <c r="U932" s="224"/>
      <c r="V932" s="224"/>
    </row>
    <row r="933" spans="1:22" ht="14.65" customHeight="1" x14ac:dyDescent="0.2">
      <c r="A933" s="225">
        <v>43258</v>
      </c>
      <c r="B933" s="224" t="s">
        <v>329</v>
      </c>
      <c r="C933" s="224" t="s">
        <v>165</v>
      </c>
      <c r="D933" s="224" t="s">
        <v>330</v>
      </c>
      <c r="E933" s="226"/>
      <c r="G933" s="224" t="s">
        <v>13</v>
      </c>
      <c r="H933" s="224" t="s">
        <v>289</v>
      </c>
      <c r="I933" s="224" t="s">
        <v>18</v>
      </c>
      <c r="J933" s="224">
        <v>70</v>
      </c>
      <c r="K933" s="227">
        <f t="array" ref="K933">IFERROR(INDEX([1]Grille_Tarifs_Modulable!$B$2:$B$204,MATCH(Tableau14[[#This Row],[Designation]]&amp;Tableau14[[#This Row],[CL]],[1]Grille_Tarifs_Modulable!$C$2:$C$204&amp;[1]Grille_Tarifs_Modulable!$F$2:$F$204,0)),0)</f>
        <v>8002095736606</v>
      </c>
      <c r="L933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15.747779600000001</v>
      </c>
      <c r="M933" s="228">
        <f>IF(Tableau14[[#This Row],[Prix_Unit_HT]]=0,0,Tableau14[[#This Row],[Prix_Unit_HT]]+(Tableau14[[#This Row],[Prix_Unit_HT]]*VLOOKUP(Tableau14[[#This Row],[EAN]],[1]Grille_Tarifs_Modulable!$B$10:$Q$204,16,FALSE)))</f>
        <v>18.897335520000002</v>
      </c>
      <c r="N933" s="224">
        <v>6</v>
      </c>
      <c r="O933" s="228">
        <f>ROUND(Tableau14[[#This Row],[Prix_Unit_HT]],2)*Tableau14[[#This Row],[Qte_commande]]</f>
        <v>94.5</v>
      </c>
      <c r="P933" s="228">
        <f>ROUND(Tableau14[[#This Row],[Prix_Unit_TTC]],2)*Tableau14[[#This Row],[Qte_commande]]</f>
        <v>113.39999999999999</v>
      </c>
      <c r="Q933" s="224">
        <v>6</v>
      </c>
      <c r="R933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6.0000000000000009</v>
      </c>
      <c r="U933" s="224"/>
      <c r="V933" s="224"/>
    </row>
    <row r="934" spans="1:22" ht="14.65" customHeight="1" x14ac:dyDescent="0.2">
      <c r="A934" s="225">
        <v>43258</v>
      </c>
      <c r="B934" s="224" t="s">
        <v>271</v>
      </c>
      <c r="C934" s="224" t="s">
        <v>272</v>
      </c>
      <c r="D934" s="224" t="s">
        <v>180</v>
      </c>
      <c r="E934" s="226"/>
      <c r="G934" s="224" t="s">
        <v>1</v>
      </c>
      <c r="H934" s="224" t="s">
        <v>289</v>
      </c>
      <c r="I934" s="224" t="s">
        <v>18</v>
      </c>
      <c r="J934" s="224">
        <v>70</v>
      </c>
      <c r="K934" s="227">
        <f t="array" ref="K934">IFERROR(INDEX([1]Grille_Tarifs_Modulable!$B$2:$B$204,MATCH(Tableau14[[#This Row],[Designation]]&amp;Tableau14[[#This Row],[CL]],[1]Grille_Tarifs_Modulable!$C$2:$C$204&amp;[1]Grille_Tarifs_Modulable!$F$2:$F$204,0)),0)</f>
        <v>8002095736606</v>
      </c>
      <c r="L934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15.747779600000001</v>
      </c>
      <c r="M934" s="228">
        <f>IF(Tableau14[[#This Row],[Prix_Unit_HT]]=0,0,Tableau14[[#This Row],[Prix_Unit_HT]]+(Tableau14[[#This Row],[Prix_Unit_HT]]*VLOOKUP(Tableau14[[#This Row],[EAN]],[1]Grille_Tarifs_Modulable!$B$10:$Q$204,16,FALSE)))</f>
        <v>18.897335520000002</v>
      </c>
      <c r="N934" s="224">
        <v>6</v>
      </c>
      <c r="O934" s="228">
        <f>ROUND(Tableau14[[#This Row],[Prix_Unit_HT]],2)*Tableau14[[#This Row],[Qte_commande]]</f>
        <v>94.5</v>
      </c>
      <c r="P934" s="228">
        <f>ROUND(Tableau14[[#This Row],[Prix_Unit_TTC]],2)*Tableau14[[#This Row],[Qte_commande]]</f>
        <v>113.39999999999999</v>
      </c>
      <c r="Q934" s="224">
        <v>6</v>
      </c>
      <c r="R934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6.0000000000000009</v>
      </c>
      <c r="U934" s="224"/>
      <c r="V934" s="224"/>
    </row>
    <row r="935" spans="1:22" ht="14.65" customHeight="1" x14ac:dyDescent="0.2">
      <c r="A935" s="225">
        <v>43258</v>
      </c>
      <c r="B935" s="224" t="s">
        <v>329</v>
      </c>
      <c r="C935" s="224" t="s">
        <v>165</v>
      </c>
      <c r="D935" s="224" t="s">
        <v>330</v>
      </c>
      <c r="E935" s="226"/>
      <c r="G935" s="224" t="s">
        <v>13</v>
      </c>
      <c r="H935" s="224" t="s">
        <v>196</v>
      </c>
      <c r="I935" s="224" t="s">
        <v>64</v>
      </c>
      <c r="J935" s="224">
        <v>20</v>
      </c>
      <c r="K935" s="227">
        <f t="array" ref="K935">IFERROR(INDEX([1]Grille_Tarifs_Modulable!$B$2:$B$204,MATCH(Tableau14[[#This Row],[Designation]]&amp;Tableau14[[#This Row],[CL]],[1]Grille_Tarifs_Modulable!$C$2:$C$204&amp;[1]Grille_Tarifs_Modulable!$F$2:$F$204,0)),0)</f>
        <v>4260310553849</v>
      </c>
      <c r="L935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0.89</v>
      </c>
      <c r="M935" s="228">
        <f>IF(Tableau14[[#This Row],[Prix_Unit_HT]]=0,0,Tableau14[[#This Row],[Prix_Unit_HT]]+(Tableau14[[#This Row],[Prix_Unit_HT]]*VLOOKUP(Tableau14[[#This Row],[EAN]],[1]Grille_Tarifs_Modulable!$B$10:$Q$204,16,FALSE)))</f>
        <v>0.93895000000000006</v>
      </c>
      <c r="N935" s="224">
        <v>24</v>
      </c>
      <c r="O935" s="228">
        <f>ROUND(Tableau14[[#This Row],[Prix_Unit_HT]],2)*Tableau14[[#This Row],[Qte_commande]]</f>
        <v>21.36</v>
      </c>
      <c r="P935" s="228">
        <f>ROUND(Tableau14[[#This Row],[Prix_Unit_TTC]],2)*Tableau14[[#This Row],[Qte_commande]]</f>
        <v>22.56</v>
      </c>
      <c r="Q935" s="224">
        <v>6.86</v>
      </c>
      <c r="R935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6.8571428571428577</v>
      </c>
      <c r="U935" s="224"/>
      <c r="V935" s="224"/>
    </row>
    <row r="936" spans="1:22" ht="14.65" customHeight="1" x14ac:dyDescent="0.2">
      <c r="A936" s="225">
        <v>43258</v>
      </c>
      <c r="B936" s="224" t="s">
        <v>271</v>
      </c>
      <c r="C936" s="224" t="s">
        <v>272</v>
      </c>
      <c r="D936" s="224" t="s">
        <v>180</v>
      </c>
      <c r="E936" s="226"/>
      <c r="G936" s="224" t="s">
        <v>1</v>
      </c>
      <c r="H936" s="224" t="s">
        <v>196</v>
      </c>
      <c r="I936" s="224" t="s">
        <v>64</v>
      </c>
      <c r="J936" s="224">
        <v>20</v>
      </c>
      <c r="K936" s="227">
        <f t="array" ref="K936">IFERROR(INDEX([1]Grille_Tarifs_Modulable!$B$2:$B$204,MATCH(Tableau14[[#This Row],[Designation]]&amp;Tableau14[[#This Row],[CL]],[1]Grille_Tarifs_Modulable!$C$2:$C$204&amp;[1]Grille_Tarifs_Modulable!$F$2:$F$204,0)),0)</f>
        <v>4260310553849</v>
      </c>
      <c r="L936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0.81</v>
      </c>
      <c r="M936" s="228">
        <f>IF(Tableau14[[#This Row],[Prix_Unit_HT]]=0,0,Tableau14[[#This Row],[Prix_Unit_HT]]+(Tableau14[[#This Row],[Prix_Unit_HT]]*VLOOKUP(Tableau14[[#This Row],[EAN]],[1]Grille_Tarifs_Modulable!$B$10:$Q$204,16,FALSE)))</f>
        <v>0.85455000000000003</v>
      </c>
      <c r="N936" s="224">
        <v>48</v>
      </c>
      <c r="O936" s="228">
        <f>ROUND(Tableau14[[#This Row],[Prix_Unit_HT]],2)*Tableau14[[#This Row],[Qte_commande]]</f>
        <v>38.880000000000003</v>
      </c>
      <c r="P936" s="228">
        <f>ROUND(Tableau14[[#This Row],[Prix_Unit_TTC]],2)*Tableau14[[#This Row],[Qte_commande]]</f>
        <v>40.799999999999997</v>
      </c>
      <c r="Q936" s="224">
        <v>13.71</v>
      </c>
      <c r="R936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13.714285714285715</v>
      </c>
      <c r="U936" s="224"/>
      <c r="V936" s="224"/>
    </row>
    <row r="937" spans="1:22" ht="14.65" customHeight="1" x14ac:dyDescent="0.2">
      <c r="A937" s="225">
        <v>43258</v>
      </c>
      <c r="B937" s="224" t="s">
        <v>1346</v>
      </c>
      <c r="C937" s="224" t="s">
        <v>211</v>
      </c>
      <c r="D937" s="224" t="s">
        <v>212</v>
      </c>
      <c r="E937" s="226"/>
      <c r="G937" s="224" t="s">
        <v>1</v>
      </c>
      <c r="H937" s="224" t="s">
        <v>196</v>
      </c>
      <c r="I937" s="224" t="s">
        <v>59</v>
      </c>
      <c r="J937" s="224">
        <v>20</v>
      </c>
      <c r="K937" s="227">
        <f t="array" ref="K937">IFERROR(INDEX([1]Grille_Tarifs_Modulable!$B$2:$B$204,MATCH(Tableau14[[#This Row],[Designation]]&amp;Tableau14[[#This Row],[CL]],[1]Grille_Tarifs_Modulable!$C$2:$C$204&amp;[1]Grille_Tarifs_Modulable!$F$2:$F$204,0)),0)</f>
        <v>4260310553818</v>
      </c>
      <c r="L937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0.81</v>
      </c>
      <c r="M937" s="228">
        <f>IF(Tableau14[[#This Row],[Prix_Unit_HT]]=0,0,Tableau14[[#This Row],[Prix_Unit_HT]]+(Tableau14[[#This Row],[Prix_Unit_HT]]*VLOOKUP(Tableau14[[#This Row],[EAN]],[1]Grille_Tarifs_Modulable!$B$10:$Q$204,16,FALSE)))</f>
        <v>0.85455000000000003</v>
      </c>
      <c r="N937" s="224">
        <v>240</v>
      </c>
      <c r="O937" s="228">
        <f>ROUND(Tableau14[[#This Row],[Prix_Unit_HT]],2)*Tableau14[[#This Row],[Qte_commande]]</f>
        <v>194.4</v>
      </c>
      <c r="P937" s="228">
        <f>ROUND(Tableau14[[#This Row],[Prix_Unit_TTC]],2)*Tableau14[[#This Row],[Qte_commande]]</f>
        <v>204</v>
      </c>
      <c r="Q937" s="224">
        <v>68.569999999999993</v>
      </c>
      <c r="R937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68.571428571428569</v>
      </c>
      <c r="U937" s="224"/>
      <c r="V937" s="224"/>
    </row>
    <row r="938" spans="1:22" ht="14.65" customHeight="1" x14ac:dyDescent="0.2">
      <c r="A938" s="225">
        <v>43258</v>
      </c>
      <c r="B938" s="224" t="s">
        <v>329</v>
      </c>
      <c r="C938" s="224" t="s">
        <v>165</v>
      </c>
      <c r="D938" s="224" t="s">
        <v>330</v>
      </c>
      <c r="E938" s="226"/>
      <c r="G938" s="224" t="s">
        <v>13</v>
      </c>
      <c r="H938" s="224" t="s">
        <v>196</v>
      </c>
      <c r="I938" s="224" t="s">
        <v>59</v>
      </c>
      <c r="J938" s="224">
        <v>20</v>
      </c>
      <c r="K938" s="227">
        <f t="array" ref="K938">IFERROR(INDEX([1]Grille_Tarifs_Modulable!$B$2:$B$204,MATCH(Tableau14[[#This Row],[Designation]]&amp;Tableau14[[#This Row],[CL]],[1]Grille_Tarifs_Modulable!$C$2:$C$204&amp;[1]Grille_Tarifs_Modulable!$F$2:$F$204,0)),0)</f>
        <v>4260310553818</v>
      </c>
      <c r="L938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0.89</v>
      </c>
      <c r="M938" s="228">
        <f>IF(Tableau14[[#This Row],[Prix_Unit_HT]]=0,0,Tableau14[[#This Row],[Prix_Unit_HT]]+(Tableau14[[#This Row],[Prix_Unit_HT]]*VLOOKUP(Tableau14[[#This Row],[EAN]],[1]Grille_Tarifs_Modulable!$B$10:$Q$204,16,FALSE)))</f>
        <v>0.93895000000000006</v>
      </c>
      <c r="N938" s="224">
        <v>24</v>
      </c>
      <c r="O938" s="228">
        <f>ROUND(Tableau14[[#This Row],[Prix_Unit_HT]],2)*Tableau14[[#This Row],[Qte_commande]]</f>
        <v>21.36</v>
      </c>
      <c r="P938" s="228">
        <f>ROUND(Tableau14[[#This Row],[Prix_Unit_TTC]],2)*Tableau14[[#This Row],[Qte_commande]]</f>
        <v>22.56</v>
      </c>
      <c r="Q938" s="224">
        <v>6.86</v>
      </c>
      <c r="R938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6.8571428571428577</v>
      </c>
      <c r="U938" s="224"/>
      <c r="V938" s="224"/>
    </row>
    <row r="939" spans="1:22" ht="14.65" customHeight="1" x14ac:dyDescent="0.2">
      <c r="A939" s="225">
        <v>43258</v>
      </c>
      <c r="B939" s="224" t="s">
        <v>271</v>
      </c>
      <c r="C939" s="224" t="s">
        <v>272</v>
      </c>
      <c r="D939" s="224" t="s">
        <v>180</v>
      </c>
      <c r="E939" s="226"/>
      <c r="G939" s="224" t="s">
        <v>1</v>
      </c>
      <c r="H939" s="224" t="s">
        <v>196</v>
      </c>
      <c r="I939" s="224" t="s">
        <v>59</v>
      </c>
      <c r="J939" s="224">
        <v>20</v>
      </c>
      <c r="K939" s="227">
        <f t="array" ref="K939">IFERROR(INDEX([1]Grille_Tarifs_Modulable!$B$2:$B$204,MATCH(Tableau14[[#This Row],[Designation]]&amp;Tableau14[[#This Row],[CL]],[1]Grille_Tarifs_Modulable!$C$2:$C$204&amp;[1]Grille_Tarifs_Modulable!$F$2:$F$204,0)),0)</f>
        <v>4260310553818</v>
      </c>
      <c r="L939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0.81</v>
      </c>
      <c r="M939" s="228">
        <f>IF(Tableau14[[#This Row],[Prix_Unit_HT]]=0,0,Tableau14[[#This Row],[Prix_Unit_HT]]+(Tableau14[[#This Row],[Prix_Unit_HT]]*VLOOKUP(Tableau14[[#This Row],[EAN]],[1]Grille_Tarifs_Modulable!$B$10:$Q$204,16,FALSE)))</f>
        <v>0.85455000000000003</v>
      </c>
      <c r="N939" s="224">
        <v>48</v>
      </c>
      <c r="O939" s="228">
        <f>ROUND(Tableau14[[#This Row],[Prix_Unit_HT]],2)*Tableau14[[#This Row],[Qte_commande]]</f>
        <v>38.880000000000003</v>
      </c>
      <c r="P939" s="228">
        <f>ROUND(Tableau14[[#This Row],[Prix_Unit_TTC]],2)*Tableau14[[#This Row],[Qte_commande]]</f>
        <v>40.799999999999997</v>
      </c>
      <c r="Q939" s="224">
        <v>13.71</v>
      </c>
      <c r="R939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13.714285714285715</v>
      </c>
      <c r="U939" s="224"/>
      <c r="V939" s="224"/>
    </row>
    <row r="940" spans="1:22" ht="14.65" customHeight="1" x14ac:dyDescent="0.2">
      <c r="A940" s="225">
        <v>43258</v>
      </c>
      <c r="B940" s="224" t="s">
        <v>1356</v>
      </c>
      <c r="C940" s="224" t="s">
        <v>502</v>
      </c>
      <c r="D940" s="224" t="s">
        <v>503</v>
      </c>
      <c r="E940" s="226"/>
      <c r="G940" s="224" t="s">
        <v>13</v>
      </c>
      <c r="H940" s="224" t="s">
        <v>289</v>
      </c>
      <c r="I940" s="224" t="s">
        <v>1355</v>
      </c>
      <c r="J940" s="224">
        <v>70</v>
      </c>
      <c r="K940" s="227">
        <f t="array" ref="K940">IFERROR(INDEX([1]Grille_Tarifs_Modulable!$B$2:$B$204,MATCH(Tableau14[[#This Row],[Designation]]&amp;Tableau14[[#This Row],[CL]],[1]Grille_Tarifs_Modulable!$C$2:$C$204&amp;[1]Grille_Tarifs_Modulable!$F$2:$F$204,0)),0)</f>
        <v>0</v>
      </c>
      <c r="L940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</v>
      </c>
      <c r="M940" s="228">
        <f>IF(Tableau14[[#This Row],[Prix_Unit_HT]]=0,0,Tableau14[[#This Row],[Prix_Unit_HT]]+(Tableau14[[#This Row],[Prix_Unit_HT]]*VLOOKUP(Tableau14[[#This Row],[EAN]],[1]Grille_Tarifs_Modulable!$B$10:$Q$204,16,FALSE)))</f>
        <v>0</v>
      </c>
      <c r="N940" s="224">
        <v>24</v>
      </c>
      <c r="O940" s="228">
        <f>ROUND(Tableau14[[#This Row],[Prix_Unit_HT]],2)*Tableau14[[#This Row],[Qte_commande]]</f>
        <v>0</v>
      </c>
      <c r="P940" s="228">
        <f>ROUND(Tableau14[[#This Row],[Prix_Unit_TTC]],2)*Tableau14[[#This Row],[Qte_commande]]</f>
        <v>0</v>
      </c>
      <c r="Q940" s="224">
        <v>24</v>
      </c>
      <c r="R940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24.000000000000004</v>
      </c>
      <c r="U940" s="224"/>
      <c r="V940" s="224"/>
    </row>
    <row r="941" spans="1:22" ht="14.65" customHeight="1" x14ac:dyDescent="0.2">
      <c r="A941" s="225">
        <v>43258</v>
      </c>
      <c r="B941" s="224" t="s">
        <v>1356</v>
      </c>
      <c r="C941" s="224" t="s">
        <v>502</v>
      </c>
      <c r="D941" s="224" t="s">
        <v>503</v>
      </c>
      <c r="E941" s="226"/>
      <c r="G941" s="224" t="s">
        <v>13</v>
      </c>
      <c r="H941" s="224" t="s">
        <v>289</v>
      </c>
      <c r="I941" s="224" t="s">
        <v>1358</v>
      </c>
      <c r="J941" s="224">
        <v>100</v>
      </c>
      <c r="K941" s="227">
        <f t="array" ref="K941">IFERROR(INDEX([1]Grille_Tarifs_Modulable!$B$2:$B$204,MATCH(Tableau14[[#This Row],[Designation]]&amp;Tableau14[[#This Row],[CL]],[1]Grille_Tarifs_Modulable!$C$2:$C$204&amp;[1]Grille_Tarifs_Modulable!$F$2:$F$204,0)),0)</f>
        <v>0</v>
      </c>
      <c r="L941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</v>
      </c>
      <c r="M941" s="228">
        <f>IF(Tableau14[[#This Row],[Prix_Unit_HT]]=0,0,Tableau14[[#This Row],[Prix_Unit_HT]]+(Tableau14[[#This Row],[Prix_Unit_HT]]*VLOOKUP(Tableau14[[#This Row],[EAN]],[1]Grille_Tarifs_Modulable!$B$10:$Q$204,16,FALSE)))</f>
        <v>0</v>
      </c>
      <c r="N941" s="224">
        <v>12</v>
      </c>
      <c r="O941" s="228">
        <f>ROUND(Tableau14[[#This Row],[Prix_Unit_HT]],2)*Tableau14[[#This Row],[Qte_commande]]</f>
        <v>0</v>
      </c>
      <c r="P941" s="228">
        <f>ROUND(Tableau14[[#This Row],[Prix_Unit_TTC]],2)*Tableau14[[#This Row],[Qte_commande]]</f>
        <v>0</v>
      </c>
      <c r="Q941" s="224">
        <v>17.14</v>
      </c>
      <c r="R941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17.142857142857142</v>
      </c>
      <c r="U941" s="224"/>
      <c r="V941" s="224"/>
    </row>
    <row r="942" spans="1:22" ht="14.65" customHeight="1" x14ac:dyDescent="0.2">
      <c r="A942" s="225">
        <v>43262</v>
      </c>
      <c r="B942" s="224" t="s">
        <v>377</v>
      </c>
      <c r="C942" s="224" t="s">
        <v>378</v>
      </c>
      <c r="D942" s="224" t="s">
        <v>228</v>
      </c>
      <c r="E942" s="226"/>
      <c r="G942" s="224" t="s">
        <v>1</v>
      </c>
      <c r="H942" s="224" t="s">
        <v>289</v>
      </c>
      <c r="I942" s="224" t="s">
        <v>35</v>
      </c>
      <c r="J942" s="224">
        <v>70</v>
      </c>
      <c r="K942" s="227">
        <f t="array" ref="K942">IFERROR(INDEX([1]Grille_Tarifs_Modulable!$B$2:$B$204,MATCH(Tableau14[[#This Row],[Designation]]&amp;Tableau14[[#This Row],[CL]],[1]Grille_Tarifs_Modulable!$C$2:$C$204&amp;[1]Grille_Tarifs_Modulable!$F$2:$F$204,0)),0)</f>
        <v>3257150107012</v>
      </c>
      <c r="L942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29.828643999999997</v>
      </c>
      <c r="M942" s="228">
        <f>IF(Tableau14[[#This Row],[Prix_Unit_HT]]=0,0,Tableau14[[#This Row],[Prix_Unit_HT]]+(Tableau14[[#This Row],[Prix_Unit_HT]]*VLOOKUP(Tableau14[[#This Row],[EAN]],[1]Grille_Tarifs_Modulable!$B$10:$Q$204,16,FALSE)))</f>
        <v>35.794372799999998</v>
      </c>
      <c r="N942" s="224">
        <v>18</v>
      </c>
      <c r="O942" s="228">
        <f>ROUND(Tableau14[[#This Row],[Prix_Unit_HT]],2)*Tableau14[[#This Row],[Qte_commande]]</f>
        <v>536.93999999999994</v>
      </c>
      <c r="P942" s="228">
        <f>ROUND(Tableau14[[#This Row],[Prix_Unit_TTC]],2)*Tableau14[[#This Row],[Qte_commande]]</f>
        <v>644.22</v>
      </c>
      <c r="Q942" s="224">
        <v>18</v>
      </c>
      <c r="R942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18</v>
      </c>
      <c r="U942" s="224"/>
      <c r="V942" s="224"/>
    </row>
    <row r="943" spans="1:22" ht="14.65" customHeight="1" x14ac:dyDescent="0.2">
      <c r="A943" s="225">
        <v>43262</v>
      </c>
      <c r="B943" s="224" t="s">
        <v>377</v>
      </c>
      <c r="C943" s="224" t="s">
        <v>378</v>
      </c>
      <c r="D943" s="224" t="s">
        <v>228</v>
      </c>
      <c r="E943" s="226"/>
      <c r="G943" s="224" t="s">
        <v>1</v>
      </c>
      <c r="H943" s="224" t="s">
        <v>289</v>
      </c>
      <c r="I943" s="224" t="s">
        <v>30</v>
      </c>
      <c r="J943" s="224">
        <v>70</v>
      </c>
      <c r="K943" s="227">
        <f t="array" ref="K943">IFERROR(INDEX([1]Grille_Tarifs_Modulable!$B$2:$B$204,MATCH(Tableau14[[#This Row],[Designation]]&amp;Tableau14[[#This Row],[CL]],[1]Grille_Tarifs_Modulable!$C$2:$C$204&amp;[1]Grille_Tarifs_Modulable!$F$2:$F$204,0)),0)</f>
        <v>3257150101904</v>
      </c>
      <c r="L943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16.346482999999999</v>
      </c>
      <c r="M943" s="228">
        <f>IF(Tableau14[[#This Row],[Prix_Unit_HT]]=0,0,Tableau14[[#This Row],[Prix_Unit_HT]]+(Tableau14[[#This Row],[Prix_Unit_HT]]*VLOOKUP(Tableau14[[#This Row],[EAN]],[1]Grille_Tarifs_Modulable!$B$10:$Q$204,16,FALSE)))</f>
        <v>19.6157796</v>
      </c>
      <c r="N943" s="224">
        <v>30</v>
      </c>
      <c r="O943" s="228">
        <f>ROUND(Tableau14[[#This Row],[Prix_Unit_HT]],2)*Tableau14[[#This Row],[Qte_commande]]</f>
        <v>490.50000000000006</v>
      </c>
      <c r="P943" s="228">
        <f>ROUND(Tableau14[[#This Row],[Prix_Unit_TTC]],2)*Tableau14[[#This Row],[Qte_commande]]</f>
        <v>588.6</v>
      </c>
      <c r="Q943" s="224">
        <v>30</v>
      </c>
      <c r="R943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30.000000000000004</v>
      </c>
      <c r="U943" s="224"/>
      <c r="V943" s="224"/>
    </row>
    <row r="944" spans="1:22" ht="14.65" customHeight="1" x14ac:dyDescent="0.2">
      <c r="A944" s="225">
        <v>43262</v>
      </c>
      <c r="B944" s="224" t="s">
        <v>851</v>
      </c>
      <c r="C944" s="224" t="s">
        <v>852</v>
      </c>
      <c r="D944" s="224" t="s">
        <v>195</v>
      </c>
      <c r="E944" s="226"/>
      <c r="G944" s="224" t="s">
        <v>13</v>
      </c>
      <c r="H944" s="224" t="s">
        <v>289</v>
      </c>
      <c r="I944" s="224" t="s">
        <v>30</v>
      </c>
      <c r="J944" s="224">
        <v>70</v>
      </c>
      <c r="K944" s="227">
        <f t="array" ref="K944">IFERROR(INDEX([1]Grille_Tarifs_Modulable!$B$2:$B$204,MATCH(Tableau14[[#This Row],[Designation]]&amp;Tableau14[[#This Row],[CL]],[1]Grille_Tarifs_Modulable!$C$2:$C$204&amp;[1]Grille_Tarifs_Modulable!$F$2:$F$204,0)),0)</f>
        <v>3257150101904</v>
      </c>
      <c r="L944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18.506483000000003</v>
      </c>
      <c r="M944" s="228">
        <f>IF(Tableau14[[#This Row],[Prix_Unit_HT]]=0,0,Tableau14[[#This Row],[Prix_Unit_HT]]+(Tableau14[[#This Row],[Prix_Unit_HT]]*VLOOKUP(Tableau14[[#This Row],[EAN]],[1]Grille_Tarifs_Modulable!$B$10:$Q$204,16,FALSE)))</f>
        <v>22.207779600000002</v>
      </c>
      <c r="N944" s="224">
        <v>6</v>
      </c>
      <c r="O944" s="228">
        <f>ROUND(Tableau14[[#This Row],[Prix_Unit_HT]],2)*Tableau14[[#This Row],[Qte_commande]]</f>
        <v>111.06</v>
      </c>
      <c r="P944" s="228">
        <f>ROUND(Tableau14[[#This Row],[Prix_Unit_TTC]],2)*Tableau14[[#This Row],[Qte_commande]]</f>
        <v>133.26</v>
      </c>
      <c r="Q944" s="224">
        <v>6</v>
      </c>
      <c r="R944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6.0000000000000009</v>
      </c>
      <c r="U944" s="224"/>
      <c r="V944" s="224"/>
    </row>
    <row r="945" spans="1:22" ht="14.65" customHeight="1" x14ac:dyDescent="0.2">
      <c r="A945" s="225">
        <v>43262</v>
      </c>
      <c r="B945" s="224" t="s">
        <v>851</v>
      </c>
      <c r="C945" s="224" t="s">
        <v>852</v>
      </c>
      <c r="D945" s="224" t="s">
        <v>195</v>
      </c>
      <c r="E945" s="226"/>
      <c r="G945" s="224" t="s">
        <v>13</v>
      </c>
      <c r="H945" s="224" t="s">
        <v>289</v>
      </c>
      <c r="I945" s="224" t="s">
        <v>31</v>
      </c>
      <c r="J945" s="224">
        <v>70</v>
      </c>
      <c r="K945" s="227">
        <f t="array" ref="K945">IFERROR(INDEX([1]Grille_Tarifs_Modulable!$B$2:$B$204,MATCH(Tableau14[[#This Row],[Designation]]&amp;Tableau14[[#This Row],[CL]],[1]Grille_Tarifs_Modulable!$C$2:$C$204&amp;[1]Grille_Tarifs_Modulable!$F$2:$F$204,0)),0)</f>
        <v>3257150102017</v>
      </c>
      <c r="L945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16.854322</v>
      </c>
      <c r="M945" s="228">
        <f>IF(Tableau14[[#This Row],[Prix_Unit_HT]]=0,0,Tableau14[[#This Row],[Prix_Unit_HT]]+(Tableau14[[#This Row],[Prix_Unit_HT]]*VLOOKUP(Tableau14[[#This Row],[EAN]],[1]Grille_Tarifs_Modulable!$B$10:$Q$204,16,FALSE)))</f>
        <v>20.225186399999998</v>
      </c>
      <c r="N945" s="224">
        <v>6</v>
      </c>
      <c r="O945" s="228">
        <f>ROUND(Tableau14[[#This Row],[Prix_Unit_HT]],2)*Tableau14[[#This Row],[Qte_commande]]</f>
        <v>101.10000000000001</v>
      </c>
      <c r="P945" s="228">
        <f>ROUND(Tableau14[[#This Row],[Prix_Unit_TTC]],2)*Tableau14[[#This Row],[Qte_commande]]</f>
        <v>121.38</v>
      </c>
      <c r="Q945" s="224">
        <v>6</v>
      </c>
      <c r="R945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6.0000000000000009</v>
      </c>
      <c r="U945" s="224"/>
      <c r="V945" s="224"/>
    </row>
    <row r="946" spans="1:22" ht="14.65" customHeight="1" x14ac:dyDescent="0.2">
      <c r="A946" s="225">
        <v>43262</v>
      </c>
      <c r="B946" s="224" t="s">
        <v>377</v>
      </c>
      <c r="C946" s="224" t="s">
        <v>378</v>
      </c>
      <c r="D946" s="224" t="s">
        <v>228</v>
      </c>
      <c r="E946" s="226"/>
      <c r="G946" s="224" t="s">
        <v>1</v>
      </c>
      <c r="H946" s="224" t="s">
        <v>289</v>
      </c>
      <c r="I946" s="224" t="s">
        <v>31</v>
      </c>
      <c r="J946" s="224">
        <v>70</v>
      </c>
      <c r="K946" s="227">
        <f t="array" ref="K946">IFERROR(INDEX([1]Grille_Tarifs_Modulable!$B$2:$B$204,MATCH(Tableau14[[#This Row],[Designation]]&amp;Tableau14[[#This Row],[CL]],[1]Grille_Tarifs_Modulable!$C$2:$C$204&amp;[1]Grille_Tarifs_Modulable!$F$2:$F$204,0)),0)</f>
        <v>3257150102017</v>
      </c>
      <c r="L946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14.694322</v>
      </c>
      <c r="M946" s="228">
        <f>IF(Tableau14[[#This Row],[Prix_Unit_HT]]=0,0,Tableau14[[#This Row],[Prix_Unit_HT]]+(Tableau14[[#This Row],[Prix_Unit_HT]]*VLOOKUP(Tableau14[[#This Row],[EAN]],[1]Grille_Tarifs_Modulable!$B$10:$Q$204,16,FALSE)))</f>
        <v>17.6331864</v>
      </c>
      <c r="N946" s="224">
        <v>30</v>
      </c>
      <c r="O946" s="228">
        <f>ROUND(Tableau14[[#This Row],[Prix_Unit_HT]],2)*Tableau14[[#This Row],[Qte_commande]]</f>
        <v>440.7</v>
      </c>
      <c r="P946" s="228">
        <f>ROUND(Tableau14[[#This Row],[Prix_Unit_TTC]],2)*Tableau14[[#This Row],[Qte_commande]]</f>
        <v>528.9</v>
      </c>
      <c r="Q946" s="224">
        <v>30</v>
      </c>
      <c r="R946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30.000000000000004</v>
      </c>
      <c r="U946" s="224"/>
      <c r="V946" s="224"/>
    </row>
    <row r="947" spans="1:22" ht="14.65" customHeight="1" x14ac:dyDescent="0.2">
      <c r="A947" s="225">
        <v>43262</v>
      </c>
      <c r="B947" s="224" t="s">
        <v>377</v>
      </c>
      <c r="C947" s="224" t="s">
        <v>378</v>
      </c>
      <c r="D947" s="224" t="s">
        <v>228</v>
      </c>
      <c r="E947" s="226"/>
      <c r="G947" s="224" t="s">
        <v>13</v>
      </c>
      <c r="H947" s="224" t="s">
        <v>289</v>
      </c>
      <c r="I947" s="224" t="s">
        <v>52</v>
      </c>
      <c r="J947" s="224">
        <v>75</v>
      </c>
      <c r="K947" s="227">
        <f t="array" ref="K947">IFERROR(INDEX([1]Grille_Tarifs_Modulable!$B$2:$B$204,MATCH(Tableau14[[#This Row],[Designation]]&amp;Tableau14[[#This Row],[CL]],[1]Grille_Tarifs_Modulable!$C$2:$C$204&amp;[1]Grille_Tarifs_Modulable!$F$2:$F$204,0)),0)</f>
        <v>7503011641413</v>
      </c>
      <c r="L947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26.257707249999999</v>
      </c>
      <c r="M947" s="228">
        <f>IF(Tableau14[[#This Row],[Prix_Unit_HT]]=0,0,Tableau14[[#This Row],[Prix_Unit_HT]]+(Tableau14[[#This Row],[Prix_Unit_HT]]*VLOOKUP(Tableau14[[#This Row],[EAN]],[1]Grille_Tarifs_Modulable!$B$10:$Q$204,16,FALSE)))</f>
        <v>31.509248700000001</v>
      </c>
      <c r="N947" s="224">
        <v>12</v>
      </c>
      <c r="O947" s="228">
        <f>ROUND(Tableau14[[#This Row],[Prix_Unit_HT]],2)*Tableau14[[#This Row],[Qte_commande]]</f>
        <v>315.12</v>
      </c>
      <c r="P947" s="228">
        <f>ROUND(Tableau14[[#This Row],[Prix_Unit_TTC]],2)*Tableau14[[#This Row],[Qte_commande]]</f>
        <v>378.12</v>
      </c>
      <c r="Q947" s="224">
        <v>12</v>
      </c>
      <c r="R947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12.857142857142858</v>
      </c>
      <c r="U947" s="224"/>
      <c r="V947" s="224"/>
    </row>
    <row r="948" spans="1:22" ht="14.65" customHeight="1" x14ac:dyDescent="0.2">
      <c r="A948" s="225">
        <v>43262</v>
      </c>
      <c r="B948" s="224" t="s">
        <v>377</v>
      </c>
      <c r="C948" s="224" t="s">
        <v>378</v>
      </c>
      <c r="D948" s="224" t="s">
        <v>228</v>
      </c>
      <c r="E948" s="226"/>
      <c r="G948" s="224" t="s">
        <v>1</v>
      </c>
      <c r="H948" s="224" t="s">
        <v>289</v>
      </c>
      <c r="I948" s="224" t="s">
        <v>44</v>
      </c>
      <c r="J948" s="224">
        <v>50</v>
      </c>
      <c r="K948" s="227">
        <f t="array" ref="K948">IFERROR(INDEX([1]Grille_Tarifs_Modulable!$B$2:$B$204,MATCH(Tableau14[[#This Row],[Designation]]&amp;Tableau14[[#This Row],[CL]],[1]Grille_Tarifs_Modulable!$C$2:$C$204&amp;[1]Grille_Tarifs_Modulable!$F$2:$F$204,0)),0)</f>
        <v>4260270192645</v>
      </c>
      <c r="L948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25.192506000000002</v>
      </c>
      <c r="M948" s="228">
        <f>IF(Tableau14[[#This Row],[Prix_Unit_HT]]=0,0,Tableau14[[#This Row],[Prix_Unit_HT]]+(Tableau14[[#This Row],[Prix_Unit_HT]]*VLOOKUP(Tableau14[[#This Row],[EAN]],[1]Grille_Tarifs_Modulable!$B$10:$Q$204,16,FALSE)))</f>
        <v>30.231007200000001</v>
      </c>
      <c r="N948" s="224">
        <v>18</v>
      </c>
      <c r="O948" s="228">
        <f>ROUND(Tableau14[[#This Row],[Prix_Unit_HT]],2)*Tableau14[[#This Row],[Qte_commande]]</f>
        <v>453.42</v>
      </c>
      <c r="P948" s="228">
        <f>ROUND(Tableau14[[#This Row],[Prix_Unit_TTC]],2)*Tableau14[[#This Row],[Qte_commande]]</f>
        <v>544.14</v>
      </c>
      <c r="Q948" s="224">
        <v>12.86</v>
      </c>
      <c r="R948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12.857142857142858</v>
      </c>
      <c r="U948" s="224"/>
      <c r="V948" s="224"/>
    </row>
    <row r="949" spans="1:22" ht="14.65" customHeight="1" x14ac:dyDescent="0.2">
      <c r="A949" s="225">
        <v>43263</v>
      </c>
      <c r="B949" s="224" t="s">
        <v>691</v>
      </c>
      <c r="C949" s="224" t="s">
        <v>194</v>
      </c>
      <c r="D949" s="224" t="s">
        <v>641</v>
      </c>
      <c r="E949" s="226"/>
      <c r="G949" s="224" t="s">
        <v>1</v>
      </c>
      <c r="H949" s="224" t="s">
        <v>289</v>
      </c>
      <c r="I949" s="224" t="s">
        <v>15</v>
      </c>
      <c r="J949" s="224">
        <v>175</v>
      </c>
      <c r="K949" s="227">
        <f t="array" ref="K949">IFERROR(INDEX([1]Grille_Tarifs_Modulable!$B$2:$B$204,MATCH(Tableau14[[#This Row],[Designation]]&amp;Tableau14[[#This Row],[CL]],[1]Grille_Tarifs_Modulable!$C$2:$C$204&amp;[1]Grille_Tarifs_Modulable!$F$2:$F$204,0)),0)</f>
        <v>4067700013835</v>
      </c>
      <c r="L949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28.916408750000002</v>
      </c>
      <c r="M949" s="228">
        <f>IF(Tableau14[[#This Row],[Prix_Unit_HT]]=0,0,Tableau14[[#This Row],[Prix_Unit_HT]]+(Tableau14[[#This Row],[Prix_Unit_HT]]*VLOOKUP(Tableau14[[#This Row],[EAN]],[1]Grille_Tarifs_Modulable!$B$10:$Q$204,16,FALSE)))</f>
        <v>34.699690500000003</v>
      </c>
      <c r="N949" s="224">
        <v>60</v>
      </c>
      <c r="O949" s="228">
        <f>ROUND(Tableau14[[#This Row],[Prix_Unit_HT]],2)*Tableau14[[#This Row],[Qte_commande]]</f>
        <v>1735.2</v>
      </c>
      <c r="P949" s="228">
        <f>ROUND(Tableau14[[#This Row],[Prix_Unit_TTC]],2)*Tableau14[[#This Row],[Qte_commande]]</f>
        <v>2082</v>
      </c>
      <c r="Q949" s="224">
        <v>150</v>
      </c>
      <c r="R949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150</v>
      </c>
      <c r="U949" s="224"/>
      <c r="V949" s="224"/>
    </row>
    <row r="950" spans="1:22" ht="14.65" customHeight="1" x14ac:dyDescent="0.2">
      <c r="A950" s="225">
        <v>43264</v>
      </c>
      <c r="B950" s="224" t="s">
        <v>237</v>
      </c>
      <c r="C950" s="224" t="s">
        <v>198</v>
      </c>
      <c r="D950" s="224" t="s">
        <v>199</v>
      </c>
      <c r="E950" s="226"/>
      <c r="G950" s="224" t="s">
        <v>1</v>
      </c>
      <c r="H950" s="224" t="s">
        <v>196</v>
      </c>
      <c r="I950" s="224" t="s">
        <v>62</v>
      </c>
      <c r="J950" s="224">
        <v>20</v>
      </c>
      <c r="K950" s="227">
        <f t="array" ref="K950">IFERROR(INDEX([1]Grille_Tarifs_Modulable!$B$2:$B$204,MATCH(Tableau14[[#This Row],[Designation]]&amp;Tableau14[[#This Row],[CL]],[1]Grille_Tarifs_Modulable!$C$2:$C$204&amp;[1]Grille_Tarifs_Modulable!$F$2:$F$204,0)),0)</f>
        <v>4260310550305</v>
      </c>
      <c r="L950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0.81</v>
      </c>
      <c r="M950" s="228">
        <f>IF(Tableau14[[#This Row],[Prix_Unit_HT]]=0,0,Tableau14[[#This Row],[Prix_Unit_HT]]+(Tableau14[[#This Row],[Prix_Unit_HT]]*VLOOKUP(Tableau14[[#This Row],[EAN]],[1]Grille_Tarifs_Modulable!$B$10:$Q$204,16,FALSE)))</f>
        <v>0.85455000000000003</v>
      </c>
      <c r="N950" s="224">
        <v>240</v>
      </c>
      <c r="O950" s="228">
        <f>ROUND(Tableau14[[#This Row],[Prix_Unit_HT]],2)*Tableau14[[#This Row],[Qte_commande]]</f>
        <v>194.4</v>
      </c>
      <c r="P950" s="228">
        <f>ROUND(Tableau14[[#This Row],[Prix_Unit_TTC]],2)*Tableau14[[#This Row],[Qte_commande]]</f>
        <v>204</v>
      </c>
      <c r="Q950" s="224">
        <v>68.569999999999993</v>
      </c>
      <c r="R950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68.571428571428569</v>
      </c>
      <c r="U950" s="224"/>
      <c r="V950" s="224"/>
    </row>
    <row r="951" spans="1:22" ht="14.65" customHeight="1" x14ac:dyDescent="0.2">
      <c r="A951" s="225">
        <v>43264</v>
      </c>
      <c r="B951" s="224" t="s">
        <v>237</v>
      </c>
      <c r="C951" s="224" t="s">
        <v>198</v>
      </c>
      <c r="D951" s="224" t="s">
        <v>199</v>
      </c>
      <c r="E951" s="226"/>
      <c r="G951" s="224" t="s">
        <v>1</v>
      </c>
      <c r="H951" s="224" t="s">
        <v>196</v>
      </c>
      <c r="I951" s="224" t="s">
        <v>62</v>
      </c>
      <c r="J951" s="224">
        <v>20</v>
      </c>
      <c r="K951" s="227">
        <f t="array" ref="K951">IFERROR(INDEX([1]Grille_Tarifs_Modulable!$B$2:$B$204,MATCH(Tableau14[[#This Row],[Designation]]&amp;Tableau14[[#This Row],[CL]],[1]Grille_Tarifs_Modulable!$C$2:$C$204&amp;[1]Grille_Tarifs_Modulable!$F$2:$F$204,0)),0)</f>
        <v>4260310550305</v>
      </c>
      <c r="L951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0.81</v>
      </c>
      <c r="M951" s="228">
        <f>IF(Tableau14[[#This Row],[Prix_Unit_HT]]=0,0,Tableau14[[#This Row],[Prix_Unit_HT]]+(Tableau14[[#This Row],[Prix_Unit_HT]]*VLOOKUP(Tableau14[[#This Row],[EAN]],[1]Grille_Tarifs_Modulable!$B$10:$Q$204,16,FALSE)))</f>
        <v>0.85455000000000003</v>
      </c>
      <c r="N951" s="224">
        <v>24</v>
      </c>
      <c r="O951" s="228">
        <f>ROUND(Tableau14[[#This Row],[Prix_Unit_HT]],2)*Tableau14[[#This Row],[Qte_commande]]</f>
        <v>19.440000000000001</v>
      </c>
      <c r="P951" s="228">
        <f>ROUND(Tableau14[[#This Row],[Prix_Unit_TTC]],2)*Tableau14[[#This Row],[Qte_commande]]</f>
        <v>20.399999999999999</v>
      </c>
      <c r="Q951" s="224">
        <v>6.86</v>
      </c>
      <c r="R951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6.8571428571428577</v>
      </c>
      <c r="U951" s="224"/>
      <c r="V951" s="224"/>
    </row>
    <row r="952" spans="1:22" ht="14.65" customHeight="1" x14ac:dyDescent="0.2">
      <c r="A952" s="225">
        <v>43264</v>
      </c>
      <c r="B952" s="224" t="s">
        <v>237</v>
      </c>
      <c r="C952" s="224" t="s">
        <v>198</v>
      </c>
      <c r="D952" s="224" t="s">
        <v>199</v>
      </c>
      <c r="E952" s="226"/>
      <c r="G952" s="224" t="s">
        <v>1</v>
      </c>
      <c r="H952" s="224" t="s">
        <v>196</v>
      </c>
      <c r="I952" s="224" t="s">
        <v>66</v>
      </c>
      <c r="J952" s="224">
        <v>50</v>
      </c>
      <c r="K952" s="227">
        <f t="array" ref="K952">IFERROR(INDEX([1]Grille_Tarifs_Modulable!$B$2:$B$204,MATCH(Tableau14[[#This Row],[Designation]]&amp;Tableau14[[#This Row],[CL]],[1]Grille_Tarifs_Modulable!$C$2:$C$204&amp;[1]Grille_Tarifs_Modulable!$F$2:$F$204,0)),0)</f>
        <v>4260310553382</v>
      </c>
      <c r="L952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</v>
      </c>
      <c r="M952" s="228">
        <f>IF(Tableau14[[#This Row],[Prix_Unit_HT]]=0,0,Tableau14[[#This Row],[Prix_Unit_HT]]+(Tableau14[[#This Row],[Prix_Unit_HT]]*VLOOKUP(Tableau14[[#This Row],[EAN]],[1]Grille_Tarifs_Modulable!$B$10:$Q$204,16,FALSE)))</f>
        <v>1.0549999999999999</v>
      </c>
      <c r="N952" s="224">
        <v>220</v>
      </c>
      <c r="O952" s="228">
        <f>ROUND(Tableau14[[#This Row],[Prix_Unit_HT]],2)*Tableau14[[#This Row],[Qte_commande]]</f>
        <v>220</v>
      </c>
      <c r="P952" s="228">
        <f>ROUND(Tableau14[[#This Row],[Prix_Unit_TTC]],2)*Tableau14[[#This Row],[Qte_commande]]</f>
        <v>233.20000000000002</v>
      </c>
      <c r="Q952" s="224">
        <v>157.13999999999999</v>
      </c>
      <c r="R952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157.14285714285714</v>
      </c>
      <c r="U952" s="224"/>
      <c r="V952" s="224"/>
    </row>
    <row r="953" spans="1:22" ht="14.65" customHeight="1" x14ac:dyDescent="0.2">
      <c r="A953" s="225">
        <v>43264</v>
      </c>
      <c r="B953" s="224" t="s">
        <v>237</v>
      </c>
      <c r="C953" s="224" t="s">
        <v>198</v>
      </c>
      <c r="D953" s="224" t="s">
        <v>199</v>
      </c>
      <c r="E953" s="226"/>
      <c r="G953" s="224" t="s">
        <v>1</v>
      </c>
      <c r="H953" s="224" t="s">
        <v>196</v>
      </c>
      <c r="I953" s="224" t="s">
        <v>66</v>
      </c>
      <c r="J953" s="224">
        <v>50</v>
      </c>
      <c r="K953" s="227">
        <f t="array" ref="K953">IFERROR(INDEX([1]Grille_Tarifs_Modulable!$B$2:$B$204,MATCH(Tableau14[[#This Row],[Designation]]&amp;Tableau14[[#This Row],[CL]],[1]Grille_Tarifs_Modulable!$C$2:$C$204&amp;[1]Grille_Tarifs_Modulable!$F$2:$F$204,0)),0)</f>
        <v>4260310553382</v>
      </c>
      <c r="L953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</v>
      </c>
      <c r="M953" s="228">
        <f>IF(Tableau14[[#This Row],[Prix_Unit_HT]]=0,0,Tableau14[[#This Row],[Prix_Unit_HT]]+(Tableau14[[#This Row],[Prix_Unit_HT]]*VLOOKUP(Tableau14[[#This Row],[EAN]],[1]Grille_Tarifs_Modulable!$B$10:$Q$204,16,FALSE)))</f>
        <v>1.0549999999999999</v>
      </c>
      <c r="N953" s="224">
        <v>20</v>
      </c>
      <c r="O953" s="228">
        <f>ROUND(Tableau14[[#This Row],[Prix_Unit_HT]],2)*Tableau14[[#This Row],[Qte_commande]]</f>
        <v>20</v>
      </c>
      <c r="P953" s="228">
        <f>ROUND(Tableau14[[#This Row],[Prix_Unit_TTC]],2)*Tableau14[[#This Row],[Qte_commande]]</f>
        <v>21.200000000000003</v>
      </c>
      <c r="Q953" s="224">
        <v>14.29</v>
      </c>
      <c r="R953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14.285714285714286</v>
      </c>
      <c r="U953" s="224"/>
      <c r="V953" s="224"/>
    </row>
    <row r="954" spans="1:22" ht="14.65" customHeight="1" x14ac:dyDescent="0.2">
      <c r="A954" s="225">
        <v>43266</v>
      </c>
      <c r="B954" s="224" t="s">
        <v>238</v>
      </c>
      <c r="C954" s="224" t="s">
        <v>232</v>
      </c>
      <c r="D954" s="224" t="s">
        <v>233</v>
      </c>
      <c r="E954" s="226"/>
      <c r="G954" s="224" t="s">
        <v>1</v>
      </c>
      <c r="H954" s="224" t="s">
        <v>196</v>
      </c>
      <c r="I954" s="224" t="s">
        <v>62</v>
      </c>
      <c r="J954" s="224">
        <v>20</v>
      </c>
      <c r="K954" s="227">
        <f t="array" ref="K954">IFERROR(INDEX([1]Grille_Tarifs_Modulable!$B$2:$B$204,MATCH(Tableau14[[#This Row],[Designation]]&amp;Tableau14[[#This Row],[CL]],[1]Grille_Tarifs_Modulable!$C$2:$C$204&amp;[1]Grille_Tarifs_Modulable!$F$2:$F$204,0)),0)</f>
        <v>4260310550305</v>
      </c>
      <c r="L954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0.81</v>
      </c>
      <c r="M954" s="228">
        <f>IF(Tableau14[[#This Row],[Prix_Unit_HT]]=0,0,Tableau14[[#This Row],[Prix_Unit_HT]]+(Tableau14[[#This Row],[Prix_Unit_HT]]*VLOOKUP(Tableau14[[#This Row],[EAN]],[1]Grille_Tarifs_Modulable!$B$10:$Q$204,16,FALSE)))</f>
        <v>0.85455000000000003</v>
      </c>
      <c r="N954" s="224">
        <v>48</v>
      </c>
      <c r="O954" s="228">
        <f>ROUND(Tableau14[[#This Row],[Prix_Unit_HT]],2)*Tableau14[[#This Row],[Qte_commande]]</f>
        <v>38.880000000000003</v>
      </c>
      <c r="P954" s="228">
        <f>ROUND(Tableau14[[#This Row],[Prix_Unit_TTC]],2)*Tableau14[[#This Row],[Qte_commande]]</f>
        <v>40.799999999999997</v>
      </c>
      <c r="Q954" s="224">
        <v>13.71</v>
      </c>
      <c r="R954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13.714285714285715</v>
      </c>
      <c r="U954" s="224"/>
      <c r="V954" s="224"/>
    </row>
    <row r="955" spans="1:22" ht="14.65" customHeight="1" x14ac:dyDescent="0.2">
      <c r="A955" s="225">
        <v>43266</v>
      </c>
      <c r="B955" s="224" t="s">
        <v>239</v>
      </c>
      <c r="C955" s="224" t="s">
        <v>240</v>
      </c>
      <c r="D955" s="224" t="s">
        <v>241</v>
      </c>
      <c r="E955" s="226"/>
      <c r="G955" s="224" t="s">
        <v>13</v>
      </c>
      <c r="H955" s="224" t="s">
        <v>196</v>
      </c>
      <c r="I955" s="224" t="s">
        <v>62</v>
      </c>
      <c r="J955" s="224">
        <v>20</v>
      </c>
      <c r="K955" s="227">
        <f t="array" ref="K955">IFERROR(INDEX([1]Grille_Tarifs_Modulable!$B$2:$B$204,MATCH(Tableau14[[#This Row],[Designation]]&amp;Tableau14[[#This Row],[CL]],[1]Grille_Tarifs_Modulable!$C$2:$C$204&amp;[1]Grille_Tarifs_Modulable!$F$2:$F$204,0)),0)</f>
        <v>4260310550305</v>
      </c>
      <c r="L955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0.89</v>
      </c>
      <c r="M955" s="228">
        <f>IF(Tableau14[[#This Row],[Prix_Unit_HT]]=0,0,Tableau14[[#This Row],[Prix_Unit_HT]]+(Tableau14[[#This Row],[Prix_Unit_HT]]*VLOOKUP(Tableau14[[#This Row],[EAN]],[1]Grille_Tarifs_Modulable!$B$10:$Q$204,16,FALSE)))</f>
        <v>0.93895000000000006</v>
      </c>
      <c r="N955" s="224">
        <v>24</v>
      </c>
      <c r="O955" s="228">
        <f>ROUND(Tableau14[[#This Row],[Prix_Unit_HT]],2)*Tableau14[[#This Row],[Qte_commande]]</f>
        <v>21.36</v>
      </c>
      <c r="P955" s="228">
        <f>ROUND(Tableau14[[#This Row],[Prix_Unit_TTC]],2)*Tableau14[[#This Row],[Qte_commande]]</f>
        <v>22.56</v>
      </c>
      <c r="Q955" s="224">
        <v>6.86</v>
      </c>
      <c r="R955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6.8571428571428577</v>
      </c>
      <c r="U955" s="224"/>
      <c r="V955" s="224"/>
    </row>
    <row r="956" spans="1:22" ht="14.65" customHeight="1" x14ac:dyDescent="0.2">
      <c r="A956" s="225">
        <v>43266</v>
      </c>
      <c r="B956" s="224" t="s">
        <v>239</v>
      </c>
      <c r="C956" s="224" t="s">
        <v>240</v>
      </c>
      <c r="D956" s="224" t="s">
        <v>241</v>
      </c>
      <c r="E956" s="226"/>
      <c r="G956" s="224" t="s">
        <v>13</v>
      </c>
      <c r="H956" s="224" t="s">
        <v>196</v>
      </c>
      <c r="I956" s="224" t="s">
        <v>65</v>
      </c>
      <c r="J956" s="224">
        <v>20</v>
      </c>
      <c r="K956" s="227">
        <f t="array" ref="K956">IFERROR(INDEX([1]Grille_Tarifs_Modulable!$B$2:$B$204,MATCH(Tableau14[[#This Row],[Designation]]&amp;Tableau14[[#This Row],[CL]],[1]Grille_Tarifs_Modulable!$C$2:$C$204&amp;[1]Grille_Tarifs_Modulable!$F$2:$F$204,0)),0)</f>
        <v>4260310553863</v>
      </c>
      <c r="L956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0.89</v>
      </c>
      <c r="M956" s="228">
        <f>IF(Tableau14[[#This Row],[Prix_Unit_HT]]=0,0,Tableau14[[#This Row],[Prix_Unit_HT]]+(Tableau14[[#This Row],[Prix_Unit_HT]]*VLOOKUP(Tableau14[[#This Row],[EAN]],[1]Grille_Tarifs_Modulable!$B$10:$Q$204,16,FALSE)))</f>
        <v>0.93895000000000006</v>
      </c>
      <c r="N956" s="224">
        <v>24</v>
      </c>
      <c r="O956" s="228">
        <f>ROUND(Tableau14[[#This Row],[Prix_Unit_HT]],2)*Tableau14[[#This Row],[Qte_commande]]</f>
        <v>21.36</v>
      </c>
      <c r="P956" s="228">
        <f>ROUND(Tableau14[[#This Row],[Prix_Unit_TTC]],2)*Tableau14[[#This Row],[Qte_commande]]</f>
        <v>22.56</v>
      </c>
      <c r="Q956" s="224">
        <v>6.86</v>
      </c>
      <c r="R956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6.8571428571428577</v>
      </c>
      <c r="U956" s="224"/>
      <c r="V956" s="224"/>
    </row>
    <row r="957" spans="1:22" ht="14.65" customHeight="1" x14ac:dyDescent="0.2">
      <c r="A957" s="225">
        <v>43266</v>
      </c>
      <c r="B957" s="224" t="s">
        <v>238</v>
      </c>
      <c r="C957" s="224" t="s">
        <v>232</v>
      </c>
      <c r="D957" s="224" t="s">
        <v>233</v>
      </c>
      <c r="E957" s="226"/>
      <c r="G957" s="224" t="s">
        <v>1</v>
      </c>
      <c r="H957" s="224" t="s">
        <v>289</v>
      </c>
      <c r="I957" s="224" t="s">
        <v>15</v>
      </c>
      <c r="J957" s="224">
        <v>175</v>
      </c>
      <c r="K957" s="227">
        <f t="array" ref="K957">IFERROR(INDEX([1]Grille_Tarifs_Modulable!$B$2:$B$204,MATCH(Tableau14[[#This Row],[Designation]]&amp;Tableau14[[#This Row],[CL]],[1]Grille_Tarifs_Modulable!$C$2:$C$204&amp;[1]Grille_Tarifs_Modulable!$F$2:$F$204,0)),0)</f>
        <v>4067700013835</v>
      </c>
      <c r="L957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28.916408750000002</v>
      </c>
      <c r="M957" s="228">
        <f>IF(Tableau14[[#This Row],[Prix_Unit_HT]]=0,0,Tableau14[[#This Row],[Prix_Unit_HT]]+(Tableau14[[#This Row],[Prix_Unit_HT]]*VLOOKUP(Tableau14[[#This Row],[EAN]],[1]Grille_Tarifs_Modulable!$B$10:$Q$204,16,FALSE)))</f>
        <v>34.699690500000003</v>
      </c>
      <c r="N957" s="224">
        <v>48</v>
      </c>
      <c r="O957" s="228">
        <f>ROUND(Tableau14[[#This Row],[Prix_Unit_HT]],2)*Tableau14[[#This Row],[Qte_commande]]</f>
        <v>1388.16</v>
      </c>
      <c r="P957" s="228">
        <f>ROUND(Tableau14[[#This Row],[Prix_Unit_TTC]],2)*Tableau14[[#This Row],[Qte_commande]]</f>
        <v>1665.6000000000001</v>
      </c>
      <c r="Q957" s="224">
        <v>120</v>
      </c>
      <c r="R957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120.00000000000001</v>
      </c>
      <c r="U957" s="224"/>
      <c r="V957" s="224"/>
    </row>
    <row r="958" spans="1:22" ht="14.65" customHeight="1" x14ac:dyDescent="0.2">
      <c r="A958" s="225">
        <v>43266</v>
      </c>
      <c r="B958" s="224" t="s">
        <v>239</v>
      </c>
      <c r="C958" s="224" t="s">
        <v>240</v>
      </c>
      <c r="D958" s="224" t="s">
        <v>241</v>
      </c>
      <c r="E958" s="226"/>
      <c r="G958" s="224" t="s">
        <v>13</v>
      </c>
      <c r="H958" s="224" t="s">
        <v>289</v>
      </c>
      <c r="I958" s="224" t="s">
        <v>31</v>
      </c>
      <c r="J958" s="224">
        <v>70</v>
      </c>
      <c r="K958" s="227">
        <f t="array" ref="K958">IFERROR(INDEX([1]Grille_Tarifs_Modulable!$B$2:$B$204,MATCH(Tableau14[[#This Row],[Designation]]&amp;Tableau14[[#This Row],[CL]],[1]Grille_Tarifs_Modulable!$C$2:$C$204&amp;[1]Grille_Tarifs_Modulable!$F$2:$F$204,0)),0)</f>
        <v>3257150102017</v>
      </c>
      <c r="L958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16.854322</v>
      </c>
      <c r="M958" s="228">
        <f>IF(Tableau14[[#This Row],[Prix_Unit_HT]]=0,0,Tableau14[[#This Row],[Prix_Unit_HT]]+(Tableau14[[#This Row],[Prix_Unit_HT]]*VLOOKUP(Tableau14[[#This Row],[EAN]],[1]Grille_Tarifs_Modulable!$B$10:$Q$204,16,FALSE)))</f>
        <v>20.225186399999998</v>
      </c>
      <c r="N958" s="224">
        <v>6</v>
      </c>
      <c r="O958" s="228">
        <f>ROUND(Tableau14[[#This Row],[Prix_Unit_HT]],2)*Tableau14[[#This Row],[Qte_commande]]</f>
        <v>101.10000000000001</v>
      </c>
      <c r="P958" s="228">
        <f>ROUND(Tableau14[[#This Row],[Prix_Unit_TTC]],2)*Tableau14[[#This Row],[Qte_commande]]</f>
        <v>121.38</v>
      </c>
      <c r="Q958" s="224">
        <v>6</v>
      </c>
      <c r="R958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6.0000000000000009</v>
      </c>
      <c r="U958" s="224"/>
      <c r="V958" s="224"/>
    </row>
    <row r="959" spans="1:22" ht="14.65" customHeight="1" x14ac:dyDescent="0.2">
      <c r="A959" s="225">
        <v>43266</v>
      </c>
      <c r="B959" s="224" t="s">
        <v>890</v>
      </c>
      <c r="C959" s="224" t="s">
        <v>301</v>
      </c>
      <c r="D959" s="224" t="s">
        <v>302</v>
      </c>
      <c r="E959" s="226"/>
      <c r="G959" s="224" t="s">
        <v>1</v>
      </c>
      <c r="H959" s="224" t="s">
        <v>289</v>
      </c>
      <c r="I959" s="224" t="s">
        <v>31</v>
      </c>
      <c r="J959" s="224">
        <v>70</v>
      </c>
      <c r="K959" s="227">
        <f t="array" ref="K959">IFERROR(INDEX([1]Grille_Tarifs_Modulable!$B$2:$B$204,MATCH(Tableau14[[#This Row],[Designation]]&amp;Tableau14[[#This Row],[CL]],[1]Grille_Tarifs_Modulable!$C$2:$C$204&amp;[1]Grille_Tarifs_Modulable!$F$2:$F$204,0)),0)</f>
        <v>3257150102017</v>
      </c>
      <c r="L959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14.694322</v>
      </c>
      <c r="M959" s="228">
        <f>IF(Tableau14[[#This Row],[Prix_Unit_HT]]=0,0,Tableau14[[#This Row],[Prix_Unit_HT]]+(Tableau14[[#This Row],[Prix_Unit_HT]]*VLOOKUP(Tableau14[[#This Row],[EAN]],[1]Grille_Tarifs_Modulable!$B$10:$Q$204,16,FALSE)))</f>
        <v>17.6331864</v>
      </c>
      <c r="N959" s="224">
        <v>6</v>
      </c>
      <c r="O959" s="228">
        <f>ROUND(Tableau14[[#This Row],[Prix_Unit_HT]],2)*Tableau14[[#This Row],[Qte_commande]]</f>
        <v>88.14</v>
      </c>
      <c r="P959" s="228">
        <f>ROUND(Tableau14[[#This Row],[Prix_Unit_TTC]],2)*Tableau14[[#This Row],[Qte_commande]]</f>
        <v>105.78</v>
      </c>
      <c r="Q959" s="224">
        <v>6</v>
      </c>
      <c r="R959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6.0000000000000009</v>
      </c>
      <c r="U959" s="224"/>
      <c r="V959" s="224"/>
    </row>
    <row r="960" spans="1:22" ht="14.65" customHeight="1" x14ac:dyDescent="0.2">
      <c r="A960" s="225">
        <v>43266</v>
      </c>
      <c r="B960" s="224" t="s">
        <v>239</v>
      </c>
      <c r="C960" s="224" t="s">
        <v>240</v>
      </c>
      <c r="D960" s="224" t="s">
        <v>241</v>
      </c>
      <c r="E960" s="226"/>
      <c r="G960" s="224" t="s">
        <v>13</v>
      </c>
      <c r="H960" s="224" t="s">
        <v>289</v>
      </c>
      <c r="I960" s="224" t="s">
        <v>44</v>
      </c>
      <c r="J960" s="224">
        <v>50</v>
      </c>
      <c r="K960" s="227">
        <f t="array" ref="K960">IFERROR(INDEX([1]Grille_Tarifs_Modulable!$B$2:$B$204,MATCH(Tableau14[[#This Row],[Designation]]&amp;Tableau14[[#This Row],[CL]],[1]Grille_Tarifs_Modulable!$C$2:$C$204&amp;[1]Grille_Tarifs_Modulable!$F$2:$F$204,0)),0)</f>
        <v>4260270192645</v>
      </c>
      <c r="L960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28.052506000000001</v>
      </c>
      <c r="M960" s="228">
        <f>IF(Tableau14[[#This Row],[Prix_Unit_HT]]=0,0,Tableau14[[#This Row],[Prix_Unit_HT]]+(Tableau14[[#This Row],[Prix_Unit_HT]]*VLOOKUP(Tableau14[[#This Row],[EAN]],[1]Grille_Tarifs_Modulable!$B$10:$Q$204,16,FALSE)))</f>
        <v>33.663007200000003</v>
      </c>
      <c r="N960" s="224">
        <v>2</v>
      </c>
      <c r="O960" s="228">
        <f>ROUND(Tableau14[[#This Row],[Prix_Unit_HT]],2)*Tableau14[[#This Row],[Qte_commande]]</f>
        <v>56.1</v>
      </c>
      <c r="P960" s="228">
        <f>ROUND(Tableau14[[#This Row],[Prix_Unit_TTC]],2)*Tableau14[[#This Row],[Qte_commande]]</f>
        <v>67.319999999999993</v>
      </c>
      <c r="Q960" s="224">
        <v>1.43</v>
      </c>
      <c r="R960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1.4285714285714286</v>
      </c>
      <c r="U960" s="224"/>
      <c r="V960" s="224"/>
    </row>
    <row r="961" spans="1:22" ht="14.65" customHeight="1" x14ac:dyDescent="0.2">
      <c r="A961" s="225">
        <v>43266</v>
      </c>
      <c r="B961" s="224" t="s">
        <v>890</v>
      </c>
      <c r="C961" s="224" t="s">
        <v>301</v>
      </c>
      <c r="D961" s="224" t="s">
        <v>302</v>
      </c>
      <c r="E961" s="226"/>
      <c r="G961" s="224" t="s">
        <v>1</v>
      </c>
      <c r="H961" s="224" t="s">
        <v>289</v>
      </c>
      <c r="I961" s="224" t="s">
        <v>25</v>
      </c>
      <c r="J961" s="224">
        <v>100</v>
      </c>
      <c r="K961" s="227">
        <f t="array" ref="K961">IFERROR(INDEX([1]Grille_Tarifs_Modulable!$B$2:$B$204,MATCH(Tableau14[[#This Row],[Designation]]&amp;Tableau14[[#This Row],[CL]],[1]Grille_Tarifs_Modulable!$C$2:$C$204&amp;[1]Grille_Tarifs_Modulable!$F$2:$F$204,0)),0)</f>
        <v>3257150410167</v>
      </c>
      <c r="L961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15.778874</v>
      </c>
      <c r="M961" s="228">
        <f>IF(Tableau14[[#This Row],[Prix_Unit_HT]]=0,0,Tableau14[[#This Row],[Prix_Unit_HT]]+(Tableau14[[#This Row],[Prix_Unit_HT]]*VLOOKUP(Tableau14[[#This Row],[EAN]],[1]Grille_Tarifs_Modulable!$B$10:$Q$204,16,FALSE)))</f>
        <v>18.934648800000002</v>
      </c>
      <c r="N961" s="224">
        <v>90</v>
      </c>
      <c r="O961" s="228">
        <f>ROUND(Tableau14[[#This Row],[Prix_Unit_HT]],2)*Tableau14[[#This Row],[Qte_commande]]</f>
        <v>1420.2</v>
      </c>
      <c r="P961" s="228">
        <f>ROUND(Tableau14[[#This Row],[Prix_Unit_TTC]],2)*Tableau14[[#This Row],[Qte_commande]]</f>
        <v>1703.7</v>
      </c>
      <c r="Q961" s="224">
        <v>128.57</v>
      </c>
      <c r="R961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128.57142857142858</v>
      </c>
      <c r="U961" s="224"/>
      <c r="V961" s="224"/>
    </row>
    <row r="962" spans="1:22" ht="14.65" customHeight="1" x14ac:dyDescent="0.2">
      <c r="A962" s="225">
        <v>43266</v>
      </c>
      <c r="B962" s="224" t="s">
        <v>238</v>
      </c>
      <c r="C962" s="224" t="s">
        <v>232</v>
      </c>
      <c r="D962" s="224" t="s">
        <v>233</v>
      </c>
      <c r="E962" s="226"/>
      <c r="G962" s="224" t="s">
        <v>1</v>
      </c>
      <c r="H962" s="224" t="s">
        <v>196</v>
      </c>
      <c r="I962" s="224" t="s">
        <v>64</v>
      </c>
      <c r="J962" s="224">
        <v>20</v>
      </c>
      <c r="K962" s="227">
        <f t="array" ref="K962">IFERROR(INDEX([1]Grille_Tarifs_Modulable!$B$2:$B$204,MATCH(Tableau14[[#This Row],[Designation]]&amp;Tableau14[[#This Row],[CL]],[1]Grille_Tarifs_Modulable!$C$2:$C$204&amp;[1]Grille_Tarifs_Modulable!$F$2:$F$204,0)),0)</f>
        <v>4260310553849</v>
      </c>
      <c r="L962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0.81</v>
      </c>
      <c r="M962" s="228">
        <f>IF(Tableau14[[#This Row],[Prix_Unit_HT]]=0,0,Tableau14[[#This Row],[Prix_Unit_HT]]+(Tableau14[[#This Row],[Prix_Unit_HT]]*VLOOKUP(Tableau14[[#This Row],[EAN]],[1]Grille_Tarifs_Modulable!$B$10:$Q$204,16,FALSE)))</f>
        <v>0.85455000000000003</v>
      </c>
      <c r="N962" s="224">
        <v>144</v>
      </c>
      <c r="O962" s="228">
        <f>ROUND(Tableau14[[#This Row],[Prix_Unit_HT]],2)*Tableau14[[#This Row],[Qte_commande]]</f>
        <v>116.64000000000001</v>
      </c>
      <c r="P962" s="228">
        <f>ROUND(Tableau14[[#This Row],[Prix_Unit_TTC]],2)*Tableau14[[#This Row],[Qte_commande]]</f>
        <v>122.39999999999999</v>
      </c>
      <c r="Q962" s="224">
        <v>41.14</v>
      </c>
      <c r="R962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41.142857142857146</v>
      </c>
      <c r="U962" s="224"/>
      <c r="V962" s="224"/>
    </row>
    <row r="963" spans="1:22" ht="14.65" customHeight="1" x14ac:dyDescent="0.2">
      <c r="A963" s="225">
        <v>43266</v>
      </c>
      <c r="B963" s="224" t="s">
        <v>239</v>
      </c>
      <c r="C963" s="224" t="s">
        <v>240</v>
      </c>
      <c r="D963" s="224" t="s">
        <v>241</v>
      </c>
      <c r="E963" s="226"/>
      <c r="G963" s="224" t="s">
        <v>13</v>
      </c>
      <c r="H963" s="224" t="s">
        <v>196</v>
      </c>
      <c r="I963" s="224" t="s">
        <v>64</v>
      </c>
      <c r="J963" s="224">
        <v>20</v>
      </c>
      <c r="K963" s="227">
        <f t="array" ref="K963">IFERROR(INDEX([1]Grille_Tarifs_Modulable!$B$2:$B$204,MATCH(Tableau14[[#This Row],[Designation]]&amp;Tableau14[[#This Row],[CL]],[1]Grille_Tarifs_Modulable!$C$2:$C$204&amp;[1]Grille_Tarifs_Modulable!$F$2:$F$204,0)),0)</f>
        <v>4260310553849</v>
      </c>
      <c r="L963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0.89</v>
      </c>
      <c r="M963" s="228">
        <f>IF(Tableau14[[#This Row],[Prix_Unit_HT]]=0,0,Tableau14[[#This Row],[Prix_Unit_HT]]+(Tableau14[[#This Row],[Prix_Unit_HT]]*VLOOKUP(Tableau14[[#This Row],[EAN]],[1]Grille_Tarifs_Modulable!$B$10:$Q$204,16,FALSE)))</f>
        <v>0.93895000000000006</v>
      </c>
      <c r="N963" s="224">
        <v>24</v>
      </c>
      <c r="O963" s="228">
        <f>ROUND(Tableau14[[#This Row],[Prix_Unit_HT]],2)*Tableau14[[#This Row],[Qte_commande]]</f>
        <v>21.36</v>
      </c>
      <c r="P963" s="228">
        <f>ROUND(Tableau14[[#This Row],[Prix_Unit_TTC]],2)*Tableau14[[#This Row],[Qte_commande]]</f>
        <v>22.56</v>
      </c>
      <c r="Q963" s="224">
        <v>6.86</v>
      </c>
      <c r="R963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6.8571428571428577</v>
      </c>
      <c r="U963" s="224"/>
      <c r="V963" s="224"/>
    </row>
    <row r="964" spans="1:22" ht="14.65" customHeight="1" x14ac:dyDescent="0.2">
      <c r="A964" s="225">
        <v>43266</v>
      </c>
      <c r="B964" s="224" t="s">
        <v>1163</v>
      </c>
      <c r="C964" s="224" t="s">
        <v>1164</v>
      </c>
      <c r="D964" s="224" t="s">
        <v>1165</v>
      </c>
      <c r="E964" s="226"/>
      <c r="G964" s="224" t="s">
        <v>13</v>
      </c>
      <c r="H964" s="224" t="s">
        <v>451</v>
      </c>
      <c r="I964" s="224" t="s">
        <v>69</v>
      </c>
      <c r="J964" s="227">
        <v>3</v>
      </c>
      <c r="K964" s="227">
        <f t="array" ref="K964">IFERROR(INDEX([1]Grille_Tarifs_Modulable!$B$2:$B$204,MATCH(Tableau14[[#This Row],[Designation]]&amp;Tableau14[[#This Row],[CL]],[1]Grille_Tarifs_Modulable!$C$2:$C$204&amp;[1]Grille_Tarifs_Modulable!$F$2:$F$204,0)),0)</f>
        <v>121</v>
      </c>
      <c r="L964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299</v>
      </c>
      <c r="M964" s="228">
        <f>IF(Tableau14[[#This Row],[Prix_Unit_HT]]=0,0,Tableau14[[#This Row],[Prix_Unit_HT]]+(Tableau14[[#This Row],[Prix_Unit_HT]]*VLOOKUP(Tableau14[[#This Row],[EAN]],[1]Grille_Tarifs_Modulable!$B$10:$Q$204,16,FALSE)))</f>
        <v>358.8</v>
      </c>
      <c r="N964" s="224">
        <v>1</v>
      </c>
      <c r="O964" s="228">
        <f>ROUND(Tableau14[[#This Row],[Prix_Unit_HT]],2)*Tableau14[[#This Row],[Qte_commande]]</f>
        <v>299</v>
      </c>
      <c r="P964" s="228">
        <f>ROUND(Tableau14[[#This Row],[Prix_Unit_TTC]],2)*Tableau14[[#This Row],[Qte_commande]]</f>
        <v>358.8</v>
      </c>
      <c r="Q964" s="224">
        <v>1</v>
      </c>
      <c r="R964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</v>
      </c>
      <c r="U964" s="224"/>
      <c r="V964" s="224"/>
    </row>
    <row r="965" spans="1:22" ht="14.65" customHeight="1" x14ac:dyDescent="0.2">
      <c r="A965" s="225">
        <v>43266</v>
      </c>
      <c r="B965" s="224" t="s">
        <v>1166</v>
      </c>
      <c r="C965" s="224" t="s">
        <v>1167</v>
      </c>
      <c r="D965" s="224" t="s">
        <v>1168</v>
      </c>
      <c r="E965" s="226"/>
      <c r="G965" s="224" t="s">
        <v>13</v>
      </c>
      <c r="H965" s="224" t="s">
        <v>451</v>
      </c>
      <c r="I965" s="224" t="s">
        <v>69</v>
      </c>
      <c r="J965" s="227">
        <v>3</v>
      </c>
      <c r="K965" s="227">
        <f t="array" ref="K965">IFERROR(INDEX([1]Grille_Tarifs_Modulable!$B$2:$B$204,MATCH(Tableau14[[#This Row],[Designation]]&amp;Tableau14[[#This Row],[CL]],[1]Grille_Tarifs_Modulable!$C$2:$C$204&amp;[1]Grille_Tarifs_Modulable!$F$2:$F$204,0)),0)</f>
        <v>121</v>
      </c>
      <c r="L965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299</v>
      </c>
      <c r="M965" s="228">
        <f>IF(Tableau14[[#This Row],[Prix_Unit_HT]]=0,0,Tableau14[[#This Row],[Prix_Unit_HT]]+(Tableau14[[#This Row],[Prix_Unit_HT]]*VLOOKUP(Tableau14[[#This Row],[EAN]],[1]Grille_Tarifs_Modulable!$B$10:$Q$204,16,FALSE)))</f>
        <v>358.8</v>
      </c>
      <c r="N965" s="224">
        <v>1</v>
      </c>
      <c r="O965" s="228">
        <f>ROUND(Tableau14[[#This Row],[Prix_Unit_HT]],2)*Tableau14[[#This Row],[Qte_commande]]</f>
        <v>299</v>
      </c>
      <c r="P965" s="228">
        <f>ROUND(Tableau14[[#This Row],[Prix_Unit_TTC]],2)*Tableau14[[#This Row],[Qte_commande]]</f>
        <v>358.8</v>
      </c>
      <c r="Q965" s="224">
        <v>1</v>
      </c>
      <c r="R965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</v>
      </c>
      <c r="U965" s="224"/>
      <c r="V965" s="224"/>
    </row>
    <row r="966" spans="1:22" ht="14.65" customHeight="1" x14ac:dyDescent="0.2">
      <c r="A966" s="225">
        <v>43266</v>
      </c>
      <c r="B966" s="224" t="s">
        <v>1169</v>
      </c>
      <c r="C966" s="224" t="s">
        <v>160</v>
      </c>
      <c r="D966" s="224" t="s">
        <v>330</v>
      </c>
      <c r="E966" s="226"/>
      <c r="G966" s="224" t="s">
        <v>13</v>
      </c>
      <c r="H966" s="224" t="s">
        <v>451</v>
      </c>
      <c r="I966" s="224" t="s">
        <v>69</v>
      </c>
      <c r="J966" s="227">
        <v>3</v>
      </c>
      <c r="K966" s="227">
        <f t="array" ref="K966">IFERROR(INDEX([1]Grille_Tarifs_Modulable!$B$2:$B$204,MATCH(Tableau14[[#This Row],[Designation]]&amp;Tableau14[[#This Row],[CL]],[1]Grille_Tarifs_Modulable!$C$2:$C$204&amp;[1]Grille_Tarifs_Modulable!$F$2:$F$204,0)),0)</f>
        <v>121</v>
      </c>
      <c r="L966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299</v>
      </c>
      <c r="M966" s="228">
        <f>IF(Tableau14[[#This Row],[Prix_Unit_HT]]=0,0,Tableau14[[#This Row],[Prix_Unit_HT]]+(Tableau14[[#This Row],[Prix_Unit_HT]]*VLOOKUP(Tableau14[[#This Row],[EAN]],[1]Grille_Tarifs_Modulable!$B$10:$Q$204,16,FALSE)))</f>
        <v>358.8</v>
      </c>
      <c r="N966" s="224">
        <v>1</v>
      </c>
      <c r="O966" s="228">
        <f>ROUND(Tableau14[[#This Row],[Prix_Unit_HT]],2)*Tableau14[[#This Row],[Qte_commande]]</f>
        <v>299</v>
      </c>
      <c r="P966" s="228">
        <f>ROUND(Tableau14[[#This Row],[Prix_Unit_TTC]],2)*Tableau14[[#This Row],[Qte_commande]]</f>
        <v>358.8</v>
      </c>
      <c r="Q966" s="224">
        <v>1</v>
      </c>
      <c r="R966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</v>
      </c>
      <c r="U966" s="224"/>
      <c r="V966" s="224"/>
    </row>
    <row r="967" spans="1:22" ht="14.65" customHeight="1" x14ac:dyDescent="0.2">
      <c r="A967" s="225">
        <v>43266</v>
      </c>
      <c r="B967" s="224" t="s">
        <v>1170</v>
      </c>
      <c r="C967" s="224" t="s">
        <v>165</v>
      </c>
      <c r="D967" s="224" t="s">
        <v>330</v>
      </c>
      <c r="E967" s="226"/>
      <c r="G967" s="224" t="s">
        <v>13</v>
      </c>
      <c r="H967" s="224" t="s">
        <v>451</v>
      </c>
      <c r="I967" s="224" t="s">
        <v>69</v>
      </c>
      <c r="J967" s="227">
        <v>3</v>
      </c>
      <c r="K967" s="227">
        <f t="array" ref="K967">IFERROR(INDEX([1]Grille_Tarifs_Modulable!$B$2:$B$204,MATCH(Tableau14[[#This Row],[Designation]]&amp;Tableau14[[#This Row],[CL]],[1]Grille_Tarifs_Modulable!$C$2:$C$204&amp;[1]Grille_Tarifs_Modulable!$F$2:$F$204,0)),0)</f>
        <v>121</v>
      </c>
      <c r="L967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299</v>
      </c>
      <c r="M967" s="228">
        <f>IF(Tableau14[[#This Row],[Prix_Unit_HT]]=0,0,Tableau14[[#This Row],[Prix_Unit_HT]]+(Tableau14[[#This Row],[Prix_Unit_HT]]*VLOOKUP(Tableau14[[#This Row],[EAN]],[1]Grille_Tarifs_Modulable!$B$10:$Q$204,16,FALSE)))</f>
        <v>358.8</v>
      </c>
      <c r="N967" s="224">
        <v>5</v>
      </c>
      <c r="O967" s="228">
        <f>ROUND(Tableau14[[#This Row],[Prix_Unit_HT]],2)*Tableau14[[#This Row],[Qte_commande]]</f>
        <v>1495</v>
      </c>
      <c r="P967" s="228">
        <f>ROUND(Tableau14[[#This Row],[Prix_Unit_TTC]],2)*Tableau14[[#This Row],[Qte_commande]]</f>
        <v>1794</v>
      </c>
      <c r="Q967" s="224">
        <v>5</v>
      </c>
      <c r="R967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5</v>
      </c>
      <c r="U967" s="224"/>
      <c r="V967" s="224"/>
    </row>
    <row r="968" spans="1:22" ht="14.65" customHeight="1" x14ac:dyDescent="0.2">
      <c r="A968" s="225">
        <v>43266</v>
      </c>
      <c r="B968" s="224" t="s">
        <v>1171</v>
      </c>
      <c r="C968" s="224" t="s">
        <v>1142</v>
      </c>
      <c r="D968" s="224" t="s">
        <v>1143</v>
      </c>
      <c r="E968" s="226"/>
      <c r="G968" s="224" t="s">
        <v>13</v>
      </c>
      <c r="H968" s="224" t="s">
        <v>451</v>
      </c>
      <c r="I968" s="224" t="s">
        <v>69</v>
      </c>
      <c r="J968" s="227">
        <v>3</v>
      </c>
      <c r="K968" s="227">
        <f t="array" ref="K968">IFERROR(INDEX([1]Grille_Tarifs_Modulable!$B$2:$B$204,MATCH(Tableau14[[#This Row],[Designation]]&amp;Tableau14[[#This Row],[CL]],[1]Grille_Tarifs_Modulable!$C$2:$C$204&amp;[1]Grille_Tarifs_Modulable!$F$2:$F$204,0)),0)</f>
        <v>121</v>
      </c>
      <c r="L968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299</v>
      </c>
      <c r="M968" s="228">
        <f>IF(Tableau14[[#This Row],[Prix_Unit_HT]]=0,0,Tableau14[[#This Row],[Prix_Unit_HT]]+(Tableau14[[#This Row],[Prix_Unit_HT]]*VLOOKUP(Tableau14[[#This Row],[EAN]],[1]Grille_Tarifs_Modulable!$B$10:$Q$204,16,FALSE)))</f>
        <v>358.8</v>
      </c>
      <c r="N968" s="224">
        <v>0</v>
      </c>
      <c r="O968" s="228">
        <f>ROUND(Tableau14[[#This Row],[Prix_Unit_HT]],2)*Tableau14[[#This Row],[Qte_commande]]</f>
        <v>0</v>
      </c>
      <c r="P968" s="228">
        <f>ROUND(Tableau14[[#This Row],[Prix_Unit_TTC]],2)*Tableau14[[#This Row],[Qte_commande]]</f>
        <v>0</v>
      </c>
      <c r="Q968" s="224">
        <v>0</v>
      </c>
      <c r="R968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0</v>
      </c>
      <c r="U968" s="224"/>
      <c r="V968" s="224"/>
    </row>
    <row r="969" spans="1:22" ht="14.65" customHeight="1" x14ac:dyDescent="0.2">
      <c r="A969" s="225">
        <v>43266</v>
      </c>
      <c r="B969" s="224" t="s">
        <v>238</v>
      </c>
      <c r="C969" s="224" t="s">
        <v>232</v>
      </c>
      <c r="D969" s="224" t="s">
        <v>233</v>
      </c>
      <c r="E969" s="226"/>
      <c r="G969" s="224" t="s">
        <v>1</v>
      </c>
      <c r="H969" s="224" t="s">
        <v>196</v>
      </c>
      <c r="I969" s="224" t="s">
        <v>59</v>
      </c>
      <c r="J969" s="224">
        <v>20</v>
      </c>
      <c r="K969" s="227">
        <f t="array" ref="K969">IFERROR(INDEX([1]Grille_Tarifs_Modulable!$B$2:$B$204,MATCH(Tableau14[[#This Row],[Designation]]&amp;Tableau14[[#This Row],[CL]],[1]Grille_Tarifs_Modulable!$C$2:$C$204&amp;[1]Grille_Tarifs_Modulable!$F$2:$F$204,0)),0)</f>
        <v>4260310553818</v>
      </c>
      <c r="L969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0.81</v>
      </c>
      <c r="M969" s="228">
        <f>IF(Tableau14[[#This Row],[Prix_Unit_HT]]=0,0,Tableau14[[#This Row],[Prix_Unit_HT]]+(Tableau14[[#This Row],[Prix_Unit_HT]]*VLOOKUP(Tableau14[[#This Row],[EAN]],[1]Grille_Tarifs_Modulable!$B$10:$Q$204,16,FALSE)))</f>
        <v>0.85455000000000003</v>
      </c>
      <c r="N969" s="224">
        <v>192</v>
      </c>
      <c r="O969" s="228">
        <f>ROUND(Tableau14[[#This Row],[Prix_Unit_HT]],2)*Tableau14[[#This Row],[Qte_commande]]</f>
        <v>155.52000000000001</v>
      </c>
      <c r="P969" s="228">
        <f>ROUND(Tableau14[[#This Row],[Prix_Unit_TTC]],2)*Tableau14[[#This Row],[Qte_commande]]</f>
        <v>163.19999999999999</v>
      </c>
      <c r="Q969" s="224">
        <v>54.86</v>
      </c>
      <c r="R969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54.857142857142861</v>
      </c>
      <c r="U969" s="224"/>
      <c r="V969" s="224"/>
    </row>
    <row r="970" spans="1:22" ht="14.65" customHeight="1" x14ac:dyDescent="0.2">
      <c r="A970" s="225">
        <v>43271</v>
      </c>
      <c r="B970" s="224" t="s">
        <v>692</v>
      </c>
      <c r="C970" s="224" t="s">
        <v>308</v>
      </c>
      <c r="D970" s="224" t="s">
        <v>309</v>
      </c>
      <c r="E970" s="226"/>
      <c r="G970" s="224" t="s">
        <v>1</v>
      </c>
      <c r="H970" s="224" t="s">
        <v>289</v>
      </c>
      <c r="I970" s="224" t="s">
        <v>15</v>
      </c>
      <c r="J970" s="224">
        <v>100</v>
      </c>
      <c r="K970" s="227">
        <f t="array" ref="K970">IFERROR(INDEX([1]Grille_Tarifs_Modulable!$B$2:$B$204,MATCH(Tableau14[[#This Row],[Designation]]&amp;Tableau14[[#This Row],[CL]],[1]Grille_Tarifs_Modulable!$C$2:$C$204&amp;[1]Grille_Tarifs_Modulable!$F$2:$F$204,0)),0)</f>
        <v>4067700013842</v>
      </c>
      <c r="L970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17.100804999999998</v>
      </c>
      <c r="M970" s="228">
        <f>IF(Tableau14[[#This Row],[Prix_Unit_HT]]=0,0,Tableau14[[#This Row],[Prix_Unit_HT]]+(Tableau14[[#This Row],[Prix_Unit_HT]]*VLOOKUP(Tableau14[[#This Row],[EAN]],[1]Grille_Tarifs_Modulable!$B$10:$Q$204,16,FALSE)))</f>
        <v>20.520965999999998</v>
      </c>
      <c r="N970" s="224">
        <v>240</v>
      </c>
      <c r="O970" s="228">
        <f>ROUND(Tableau14[[#This Row],[Prix_Unit_HT]],2)*Tableau14[[#This Row],[Qte_commande]]</f>
        <v>4104</v>
      </c>
      <c r="P970" s="228">
        <f>ROUND(Tableau14[[#This Row],[Prix_Unit_TTC]],2)*Tableau14[[#This Row],[Qte_commande]]</f>
        <v>4924.8</v>
      </c>
      <c r="Q970" s="224">
        <v>342.86</v>
      </c>
      <c r="R970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342.85714285714289</v>
      </c>
      <c r="U970" s="224"/>
      <c r="V970" s="224"/>
    </row>
    <row r="971" spans="1:22" ht="14.65" customHeight="1" x14ac:dyDescent="0.2">
      <c r="A971" s="225">
        <v>43272</v>
      </c>
      <c r="B971" s="224" t="s">
        <v>1172</v>
      </c>
      <c r="C971" s="224" t="s">
        <v>1077</v>
      </c>
      <c r="D971" s="224" t="s">
        <v>1078</v>
      </c>
      <c r="E971" s="226"/>
      <c r="G971" s="224" t="s">
        <v>13</v>
      </c>
      <c r="H971" s="224" t="s">
        <v>451</v>
      </c>
      <c r="I971" s="224" t="s">
        <v>69</v>
      </c>
      <c r="J971" s="227">
        <v>3</v>
      </c>
      <c r="K971" s="227">
        <f t="array" ref="K971">IFERROR(INDEX([1]Grille_Tarifs_Modulable!$B$2:$B$204,MATCH(Tableau14[[#This Row],[Designation]]&amp;Tableau14[[#This Row],[CL]],[1]Grille_Tarifs_Modulable!$C$2:$C$204&amp;[1]Grille_Tarifs_Modulable!$F$2:$F$204,0)),0)</f>
        <v>121</v>
      </c>
      <c r="L971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299</v>
      </c>
      <c r="M971" s="228">
        <f>IF(Tableau14[[#This Row],[Prix_Unit_HT]]=0,0,Tableau14[[#This Row],[Prix_Unit_HT]]+(Tableau14[[#This Row],[Prix_Unit_HT]]*VLOOKUP(Tableau14[[#This Row],[EAN]],[1]Grille_Tarifs_Modulable!$B$10:$Q$204,16,FALSE)))</f>
        <v>358.8</v>
      </c>
      <c r="N971" s="224">
        <v>5</v>
      </c>
      <c r="O971" s="228">
        <f>ROUND(Tableau14[[#This Row],[Prix_Unit_HT]],2)*Tableau14[[#This Row],[Qte_commande]]</f>
        <v>1495</v>
      </c>
      <c r="P971" s="228">
        <f>ROUND(Tableau14[[#This Row],[Prix_Unit_TTC]],2)*Tableau14[[#This Row],[Qte_commande]]</f>
        <v>1794</v>
      </c>
      <c r="Q971" s="224">
        <v>5</v>
      </c>
      <c r="R971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5</v>
      </c>
      <c r="U971" s="224"/>
      <c r="V971" s="224"/>
    </row>
    <row r="972" spans="1:22" ht="14.65" customHeight="1" x14ac:dyDescent="0.2">
      <c r="A972" s="225">
        <v>43272</v>
      </c>
      <c r="B972" s="224" t="s">
        <v>1173</v>
      </c>
      <c r="C972" s="224" t="s">
        <v>164</v>
      </c>
      <c r="D972" s="224" t="s">
        <v>233</v>
      </c>
      <c r="E972" s="226"/>
      <c r="G972" s="224" t="s">
        <v>13</v>
      </c>
      <c r="H972" s="224" t="s">
        <v>451</v>
      </c>
      <c r="I972" s="224" t="s">
        <v>69</v>
      </c>
      <c r="J972" s="227">
        <v>3</v>
      </c>
      <c r="K972" s="227">
        <f t="array" ref="K972">IFERROR(INDEX([1]Grille_Tarifs_Modulable!$B$2:$B$204,MATCH(Tableau14[[#This Row],[Designation]]&amp;Tableau14[[#This Row],[CL]],[1]Grille_Tarifs_Modulable!$C$2:$C$204&amp;[1]Grille_Tarifs_Modulable!$F$2:$F$204,0)),0)</f>
        <v>121</v>
      </c>
      <c r="L972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299</v>
      </c>
      <c r="M972" s="228">
        <f>IF(Tableau14[[#This Row],[Prix_Unit_HT]]=0,0,Tableau14[[#This Row],[Prix_Unit_HT]]+(Tableau14[[#This Row],[Prix_Unit_HT]]*VLOOKUP(Tableau14[[#This Row],[EAN]],[1]Grille_Tarifs_Modulable!$B$10:$Q$204,16,FALSE)))</f>
        <v>358.8</v>
      </c>
      <c r="N972" s="224">
        <v>5</v>
      </c>
      <c r="O972" s="228">
        <f>ROUND(Tableau14[[#This Row],[Prix_Unit_HT]],2)*Tableau14[[#This Row],[Qte_commande]]</f>
        <v>1495</v>
      </c>
      <c r="P972" s="228">
        <f>ROUND(Tableau14[[#This Row],[Prix_Unit_TTC]],2)*Tableau14[[#This Row],[Qte_commande]]</f>
        <v>1794</v>
      </c>
      <c r="Q972" s="224">
        <v>5</v>
      </c>
      <c r="R972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5</v>
      </c>
      <c r="U972" s="224"/>
      <c r="V972" s="224"/>
    </row>
    <row r="973" spans="1:22" ht="14.65" customHeight="1" x14ac:dyDescent="0.2">
      <c r="A973" s="225">
        <v>43272</v>
      </c>
      <c r="B973" s="224" t="s">
        <v>1174</v>
      </c>
      <c r="C973" s="224" t="s">
        <v>1175</v>
      </c>
      <c r="D973" s="224" t="s">
        <v>1176</v>
      </c>
      <c r="E973" s="226"/>
      <c r="G973" s="224" t="s">
        <v>13</v>
      </c>
      <c r="H973" s="224" t="s">
        <v>451</v>
      </c>
      <c r="I973" s="224" t="s">
        <v>69</v>
      </c>
      <c r="J973" s="227">
        <v>3</v>
      </c>
      <c r="K973" s="227">
        <f t="array" ref="K973">IFERROR(INDEX([1]Grille_Tarifs_Modulable!$B$2:$B$204,MATCH(Tableau14[[#This Row],[Designation]]&amp;Tableau14[[#This Row],[CL]],[1]Grille_Tarifs_Modulable!$C$2:$C$204&amp;[1]Grille_Tarifs_Modulable!$F$2:$F$204,0)),0)</f>
        <v>121</v>
      </c>
      <c r="L973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299</v>
      </c>
      <c r="M973" s="228">
        <f>IF(Tableau14[[#This Row],[Prix_Unit_HT]]=0,0,Tableau14[[#This Row],[Prix_Unit_HT]]+(Tableau14[[#This Row],[Prix_Unit_HT]]*VLOOKUP(Tableau14[[#This Row],[EAN]],[1]Grille_Tarifs_Modulable!$B$10:$Q$204,16,FALSE)))</f>
        <v>358.8</v>
      </c>
      <c r="N973" s="224">
        <v>2</v>
      </c>
      <c r="O973" s="228">
        <f>ROUND(Tableau14[[#This Row],[Prix_Unit_HT]],2)*Tableau14[[#This Row],[Qte_commande]]</f>
        <v>598</v>
      </c>
      <c r="P973" s="228">
        <f>ROUND(Tableau14[[#This Row],[Prix_Unit_TTC]],2)*Tableau14[[#This Row],[Qte_commande]]</f>
        <v>717.6</v>
      </c>
      <c r="Q973" s="224">
        <v>2</v>
      </c>
      <c r="R973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2</v>
      </c>
      <c r="U973" s="224"/>
      <c r="V973" s="224"/>
    </row>
    <row r="974" spans="1:22" ht="14.65" customHeight="1" x14ac:dyDescent="0.2">
      <c r="A974" s="225">
        <v>43272</v>
      </c>
      <c r="B974" s="224" t="s">
        <v>1177</v>
      </c>
      <c r="C974" s="224" t="s">
        <v>272</v>
      </c>
      <c r="D974" s="224" t="s">
        <v>180</v>
      </c>
      <c r="E974" s="226"/>
      <c r="G974" s="224" t="s">
        <v>13</v>
      </c>
      <c r="H974" s="224" t="s">
        <v>451</v>
      </c>
      <c r="I974" s="224" t="s">
        <v>69</v>
      </c>
      <c r="J974" s="227">
        <v>3</v>
      </c>
      <c r="K974" s="227">
        <f t="array" ref="K974">IFERROR(INDEX([1]Grille_Tarifs_Modulable!$B$2:$B$204,MATCH(Tableau14[[#This Row],[Designation]]&amp;Tableau14[[#This Row],[CL]],[1]Grille_Tarifs_Modulable!$C$2:$C$204&amp;[1]Grille_Tarifs_Modulable!$F$2:$F$204,0)),0)</f>
        <v>121</v>
      </c>
      <c r="L974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299</v>
      </c>
      <c r="M974" s="228">
        <f>IF(Tableau14[[#This Row],[Prix_Unit_HT]]=0,0,Tableau14[[#This Row],[Prix_Unit_HT]]+(Tableau14[[#This Row],[Prix_Unit_HT]]*VLOOKUP(Tableau14[[#This Row],[EAN]],[1]Grille_Tarifs_Modulable!$B$10:$Q$204,16,FALSE)))</f>
        <v>358.8</v>
      </c>
      <c r="N974" s="224">
        <v>2</v>
      </c>
      <c r="O974" s="228">
        <f>ROUND(Tableau14[[#This Row],[Prix_Unit_HT]],2)*Tableau14[[#This Row],[Qte_commande]]</f>
        <v>598</v>
      </c>
      <c r="P974" s="228">
        <f>ROUND(Tableau14[[#This Row],[Prix_Unit_TTC]],2)*Tableau14[[#This Row],[Qte_commande]]</f>
        <v>717.6</v>
      </c>
      <c r="Q974" s="224">
        <v>2</v>
      </c>
      <c r="R974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2</v>
      </c>
      <c r="U974" s="224"/>
      <c r="V974" s="224"/>
    </row>
    <row r="975" spans="1:22" ht="14.65" customHeight="1" x14ac:dyDescent="0.2">
      <c r="A975" s="225">
        <v>43272</v>
      </c>
      <c r="B975" s="224" t="s">
        <v>1178</v>
      </c>
      <c r="C975" s="224" t="s">
        <v>1179</v>
      </c>
      <c r="D975" s="224" t="s">
        <v>180</v>
      </c>
      <c r="E975" s="226"/>
      <c r="G975" s="224" t="s">
        <v>13</v>
      </c>
      <c r="H975" s="224" t="s">
        <v>451</v>
      </c>
      <c r="I975" s="224" t="s">
        <v>69</v>
      </c>
      <c r="J975" s="227">
        <v>3</v>
      </c>
      <c r="K975" s="227">
        <f t="array" ref="K975">IFERROR(INDEX([1]Grille_Tarifs_Modulable!$B$2:$B$204,MATCH(Tableau14[[#This Row],[Designation]]&amp;Tableau14[[#This Row],[CL]],[1]Grille_Tarifs_Modulable!$C$2:$C$204&amp;[1]Grille_Tarifs_Modulable!$F$2:$F$204,0)),0)</f>
        <v>121</v>
      </c>
      <c r="L975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299</v>
      </c>
      <c r="M975" s="228">
        <f>IF(Tableau14[[#This Row],[Prix_Unit_HT]]=0,0,Tableau14[[#This Row],[Prix_Unit_HT]]+(Tableau14[[#This Row],[Prix_Unit_HT]]*VLOOKUP(Tableau14[[#This Row],[EAN]],[1]Grille_Tarifs_Modulable!$B$10:$Q$204,16,FALSE)))</f>
        <v>358.8</v>
      </c>
      <c r="N975" s="224">
        <v>2</v>
      </c>
      <c r="O975" s="228">
        <f>ROUND(Tableau14[[#This Row],[Prix_Unit_HT]],2)*Tableau14[[#This Row],[Qte_commande]]</f>
        <v>598</v>
      </c>
      <c r="P975" s="228">
        <f>ROUND(Tableau14[[#This Row],[Prix_Unit_TTC]],2)*Tableau14[[#This Row],[Qte_commande]]</f>
        <v>717.6</v>
      </c>
      <c r="Q975" s="224">
        <v>2</v>
      </c>
      <c r="R975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2</v>
      </c>
      <c r="U975" s="224"/>
      <c r="V975" s="224"/>
    </row>
    <row r="976" spans="1:22" ht="14.65" customHeight="1" x14ac:dyDescent="0.2">
      <c r="A976" s="225">
        <v>43272</v>
      </c>
      <c r="B976" s="224" t="s">
        <v>1180</v>
      </c>
      <c r="C976" s="224" t="s">
        <v>1181</v>
      </c>
      <c r="D976" s="224" t="s">
        <v>343</v>
      </c>
      <c r="E976" s="226"/>
      <c r="G976" s="224" t="s">
        <v>13</v>
      </c>
      <c r="H976" s="224" t="s">
        <v>451</v>
      </c>
      <c r="I976" s="224" t="s">
        <v>69</v>
      </c>
      <c r="J976" s="227">
        <v>3</v>
      </c>
      <c r="K976" s="227">
        <f t="array" ref="K976">IFERROR(INDEX([1]Grille_Tarifs_Modulable!$B$2:$B$204,MATCH(Tableau14[[#This Row],[Designation]]&amp;Tableau14[[#This Row],[CL]],[1]Grille_Tarifs_Modulable!$C$2:$C$204&amp;[1]Grille_Tarifs_Modulable!$F$2:$F$204,0)),0)</f>
        <v>121</v>
      </c>
      <c r="L976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299</v>
      </c>
      <c r="M976" s="228">
        <f>IF(Tableau14[[#This Row],[Prix_Unit_HT]]=0,0,Tableau14[[#This Row],[Prix_Unit_HT]]+(Tableau14[[#This Row],[Prix_Unit_HT]]*VLOOKUP(Tableau14[[#This Row],[EAN]],[1]Grille_Tarifs_Modulable!$B$10:$Q$204,16,FALSE)))</f>
        <v>358.8</v>
      </c>
      <c r="N976" s="224">
        <v>2</v>
      </c>
      <c r="O976" s="228">
        <f>ROUND(Tableau14[[#This Row],[Prix_Unit_HT]],2)*Tableau14[[#This Row],[Qte_commande]]</f>
        <v>598</v>
      </c>
      <c r="P976" s="228">
        <f>ROUND(Tableau14[[#This Row],[Prix_Unit_TTC]],2)*Tableau14[[#This Row],[Qte_commande]]</f>
        <v>717.6</v>
      </c>
      <c r="Q976" s="224">
        <v>2</v>
      </c>
      <c r="R976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2</v>
      </c>
      <c r="U976" s="224"/>
      <c r="V976" s="224"/>
    </row>
    <row r="977" spans="1:22" ht="14.65" customHeight="1" x14ac:dyDescent="0.2">
      <c r="A977" s="225">
        <v>43272</v>
      </c>
      <c r="B977" s="224" t="s">
        <v>1182</v>
      </c>
      <c r="C977" s="224" t="s">
        <v>1157</v>
      </c>
      <c r="D977" s="224" t="s">
        <v>203</v>
      </c>
      <c r="E977" s="226"/>
      <c r="G977" s="224" t="s">
        <v>13</v>
      </c>
      <c r="H977" s="224" t="s">
        <v>451</v>
      </c>
      <c r="I977" s="224" t="s">
        <v>69</v>
      </c>
      <c r="J977" s="227">
        <v>3</v>
      </c>
      <c r="K977" s="227">
        <f t="array" ref="K977">IFERROR(INDEX([1]Grille_Tarifs_Modulable!$B$2:$B$204,MATCH(Tableau14[[#This Row],[Designation]]&amp;Tableau14[[#This Row],[CL]],[1]Grille_Tarifs_Modulable!$C$2:$C$204&amp;[1]Grille_Tarifs_Modulable!$F$2:$F$204,0)),0)</f>
        <v>121</v>
      </c>
      <c r="L977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299</v>
      </c>
      <c r="M977" s="228">
        <f>IF(Tableau14[[#This Row],[Prix_Unit_HT]]=0,0,Tableau14[[#This Row],[Prix_Unit_HT]]+(Tableau14[[#This Row],[Prix_Unit_HT]]*VLOOKUP(Tableau14[[#This Row],[EAN]],[1]Grille_Tarifs_Modulable!$B$10:$Q$204,16,FALSE)))</f>
        <v>358.8</v>
      </c>
      <c r="N977" s="224">
        <v>1</v>
      </c>
      <c r="O977" s="228">
        <f>ROUND(Tableau14[[#This Row],[Prix_Unit_HT]],2)*Tableau14[[#This Row],[Qte_commande]]</f>
        <v>299</v>
      </c>
      <c r="P977" s="228">
        <f>ROUND(Tableau14[[#This Row],[Prix_Unit_TTC]],2)*Tableau14[[#This Row],[Qte_commande]]</f>
        <v>358.8</v>
      </c>
      <c r="Q977" s="224">
        <v>1</v>
      </c>
      <c r="R977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</v>
      </c>
      <c r="U977" s="224"/>
      <c r="V977" s="224"/>
    </row>
    <row r="978" spans="1:22" ht="14.65" customHeight="1" x14ac:dyDescent="0.2">
      <c r="A978" s="225">
        <v>43278</v>
      </c>
      <c r="B978" s="224" t="s">
        <v>693</v>
      </c>
      <c r="C978" s="224" t="s">
        <v>530</v>
      </c>
      <c r="D978" s="224" t="s">
        <v>531</v>
      </c>
      <c r="E978" s="226"/>
      <c r="G978" s="224" t="s">
        <v>1</v>
      </c>
      <c r="H978" s="224" t="s">
        <v>289</v>
      </c>
      <c r="I978" s="224" t="s">
        <v>15</v>
      </c>
      <c r="J978" s="224">
        <v>70</v>
      </c>
      <c r="K978" s="227">
        <f t="array" ref="K978">IFERROR(INDEX([1]Grille_Tarifs_Modulable!$B$2:$B$204,MATCH(Tableau14[[#This Row],[Designation]]&amp;Tableau14[[#This Row],[CL]],[1]Grille_Tarifs_Modulable!$C$2:$C$204&amp;[1]Grille_Tarifs_Modulable!$F$2:$F$204,0)),0)</f>
        <v>4067700013859</v>
      </c>
      <c r="L978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12.532563499999998</v>
      </c>
      <c r="M978" s="228">
        <f>IF(Tableau14[[#This Row],[Prix_Unit_HT]]=0,0,Tableau14[[#This Row],[Prix_Unit_HT]]+(Tableau14[[#This Row],[Prix_Unit_HT]]*VLOOKUP(Tableau14[[#This Row],[EAN]],[1]Grille_Tarifs_Modulable!$B$10:$Q$204,16,FALSE)))</f>
        <v>15.039076199999998</v>
      </c>
      <c r="N978" s="224">
        <v>150</v>
      </c>
      <c r="O978" s="228">
        <f>ROUND(Tableau14[[#This Row],[Prix_Unit_HT]],2)*Tableau14[[#This Row],[Qte_commande]]</f>
        <v>1879.5</v>
      </c>
      <c r="P978" s="228">
        <f>ROUND(Tableau14[[#This Row],[Prix_Unit_TTC]],2)*Tableau14[[#This Row],[Qte_commande]]</f>
        <v>2256</v>
      </c>
      <c r="Q978" s="224">
        <v>150</v>
      </c>
      <c r="R978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150</v>
      </c>
      <c r="U978" s="224"/>
      <c r="V978" s="224"/>
    </row>
    <row r="979" spans="1:22" ht="14.65" customHeight="1" x14ac:dyDescent="0.2">
      <c r="A979" s="225">
        <v>43278</v>
      </c>
      <c r="B979" s="224" t="s">
        <v>1183</v>
      </c>
      <c r="C979" s="224" t="s">
        <v>175</v>
      </c>
      <c r="D979" s="224" t="s">
        <v>469</v>
      </c>
      <c r="E979" s="226"/>
      <c r="G979" s="224" t="s">
        <v>13</v>
      </c>
      <c r="H979" s="224" t="s">
        <v>451</v>
      </c>
      <c r="I979" s="224" t="s">
        <v>69</v>
      </c>
      <c r="J979" s="227">
        <v>3</v>
      </c>
      <c r="K979" s="227">
        <f t="array" ref="K979">IFERROR(INDEX([1]Grille_Tarifs_Modulable!$B$2:$B$204,MATCH(Tableau14[[#This Row],[Designation]]&amp;Tableau14[[#This Row],[CL]],[1]Grille_Tarifs_Modulable!$C$2:$C$204&amp;[1]Grille_Tarifs_Modulable!$F$2:$F$204,0)),0)</f>
        <v>121</v>
      </c>
      <c r="L979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299</v>
      </c>
      <c r="M979" s="228">
        <f>IF(Tableau14[[#This Row],[Prix_Unit_HT]]=0,0,Tableau14[[#This Row],[Prix_Unit_HT]]+(Tableau14[[#This Row],[Prix_Unit_HT]]*VLOOKUP(Tableau14[[#This Row],[EAN]],[1]Grille_Tarifs_Modulable!$B$10:$Q$204,16,FALSE)))</f>
        <v>358.8</v>
      </c>
      <c r="N979" s="224">
        <v>1</v>
      </c>
      <c r="O979" s="228">
        <f>ROUND(Tableau14[[#This Row],[Prix_Unit_HT]],2)*Tableau14[[#This Row],[Qte_commande]]</f>
        <v>299</v>
      </c>
      <c r="P979" s="228">
        <f>ROUND(Tableau14[[#This Row],[Prix_Unit_TTC]],2)*Tableau14[[#This Row],[Qte_commande]]</f>
        <v>358.8</v>
      </c>
      <c r="Q979" s="224">
        <v>1</v>
      </c>
      <c r="R979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</v>
      </c>
      <c r="U979" s="224"/>
      <c r="V979" s="224"/>
    </row>
    <row r="980" spans="1:22" ht="14.65" customHeight="1" x14ac:dyDescent="0.2">
      <c r="A980" s="225">
        <v>43279</v>
      </c>
      <c r="B980" s="224" t="s">
        <v>358</v>
      </c>
      <c r="C980" s="224" t="s">
        <v>265</v>
      </c>
      <c r="D980" s="224" t="s">
        <v>266</v>
      </c>
      <c r="E980" s="226"/>
      <c r="G980" s="224" t="s">
        <v>1</v>
      </c>
      <c r="H980" s="224" t="s">
        <v>196</v>
      </c>
      <c r="I980" s="224" t="s">
        <v>65</v>
      </c>
      <c r="J980" s="224">
        <v>20</v>
      </c>
      <c r="K980" s="227">
        <f t="array" ref="K980">IFERROR(INDEX([1]Grille_Tarifs_Modulable!$B$2:$B$204,MATCH(Tableau14[[#This Row],[Designation]]&amp;Tableau14[[#This Row],[CL]],[1]Grille_Tarifs_Modulable!$C$2:$C$204&amp;[1]Grille_Tarifs_Modulable!$F$2:$F$204,0)),0)</f>
        <v>4260310553863</v>
      </c>
      <c r="L980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0.81</v>
      </c>
      <c r="M980" s="228">
        <f>IF(Tableau14[[#This Row],[Prix_Unit_HT]]=0,0,Tableau14[[#This Row],[Prix_Unit_HT]]+(Tableau14[[#This Row],[Prix_Unit_HT]]*VLOOKUP(Tableau14[[#This Row],[EAN]],[1]Grille_Tarifs_Modulable!$B$10:$Q$204,16,FALSE)))</f>
        <v>0.85455000000000003</v>
      </c>
      <c r="N980" s="224">
        <v>120</v>
      </c>
      <c r="O980" s="228">
        <f>ROUND(Tableau14[[#This Row],[Prix_Unit_HT]],2)*Tableau14[[#This Row],[Qte_commande]]</f>
        <v>97.2</v>
      </c>
      <c r="P980" s="228">
        <f>ROUND(Tableau14[[#This Row],[Prix_Unit_TTC]],2)*Tableau14[[#This Row],[Qte_commande]]</f>
        <v>102</v>
      </c>
      <c r="Q980" s="224">
        <v>34.29</v>
      </c>
      <c r="R980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34.285714285714285</v>
      </c>
      <c r="U980" s="224"/>
      <c r="V980" s="224"/>
    </row>
    <row r="981" spans="1:22" ht="14.65" customHeight="1" x14ac:dyDescent="0.2">
      <c r="A981" s="225">
        <v>43279</v>
      </c>
      <c r="B981" s="224" t="s">
        <v>358</v>
      </c>
      <c r="C981" s="224" t="s">
        <v>265</v>
      </c>
      <c r="D981" s="224" t="s">
        <v>266</v>
      </c>
      <c r="E981" s="226"/>
      <c r="G981" s="224" t="s">
        <v>1</v>
      </c>
      <c r="H981" s="224" t="s">
        <v>196</v>
      </c>
      <c r="I981" s="224" t="s">
        <v>60</v>
      </c>
      <c r="J981" s="224">
        <v>20</v>
      </c>
      <c r="K981" s="227">
        <f t="array" ref="K981">IFERROR(INDEX([1]Grille_Tarifs_Modulable!$B$2:$B$204,MATCH(Tableau14[[#This Row],[Designation]]&amp;Tableau14[[#This Row],[CL]],[1]Grille_Tarifs_Modulable!$C$2:$C$204&amp;[1]Grille_Tarifs_Modulable!$F$2:$F$204,0)),0)</f>
        <v>4260310553832</v>
      </c>
      <c r="L981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0.81</v>
      </c>
      <c r="M981" s="228">
        <f>IF(Tableau14[[#This Row],[Prix_Unit_HT]]=0,0,Tableau14[[#This Row],[Prix_Unit_HT]]+(Tableau14[[#This Row],[Prix_Unit_HT]]*VLOOKUP(Tableau14[[#This Row],[EAN]],[1]Grille_Tarifs_Modulable!$B$10:$Q$204,16,FALSE)))</f>
        <v>0.85455000000000003</v>
      </c>
      <c r="N981" s="224">
        <v>120</v>
      </c>
      <c r="O981" s="228">
        <f>ROUND(Tableau14[[#This Row],[Prix_Unit_HT]],2)*Tableau14[[#This Row],[Qte_commande]]</f>
        <v>97.2</v>
      </c>
      <c r="P981" s="228">
        <f>ROUND(Tableau14[[#This Row],[Prix_Unit_TTC]],2)*Tableau14[[#This Row],[Qte_commande]]</f>
        <v>102</v>
      </c>
      <c r="Q981" s="224">
        <v>34.29</v>
      </c>
      <c r="R981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34.285714285714285</v>
      </c>
      <c r="U981" s="224"/>
      <c r="V981" s="224"/>
    </row>
    <row r="982" spans="1:22" ht="14.65" customHeight="1" x14ac:dyDescent="0.2">
      <c r="A982" s="225">
        <v>43279</v>
      </c>
      <c r="B982" s="224" t="s">
        <v>358</v>
      </c>
      <c r="C982" s="224" t="s">
        <v>265</v>
      </c>
      <c r="D982" s="224" t="s">
        <v>266</v>
      </c>
      <c r="E982" s="226"/>
      <c r="G982" s="224" t="s">
        <v>1</v>
      </c>
      <c r="H982" s="224" t="s">
        <v>289</v>
      </c>
      <c r="I982" s="224" t="s">
        <v>15</v>
      </c>
      <c r="J982" s="224">
        <v>70</v>
      </c>
      <c r="K982" s="227">
        <f t="array" ref="K982">IFERROR(INDEX([1]Grille_Tarifs_Modulable!$B$2:$B$204,MATCH(Tableau14[[#This Row],[Designation]]&amp;Tableau14[[#This Row],[CL]],[1]Grille_Tarifs_Modulable!$C$2:$C$204&amp;[1]Grille_Tarifs_Modulable!$F$2:$F$204,0)),0)</f>
        <v>4067700013859</v>
      </c>
      <c r="L982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12.532563499999998</v>
      </c>
      <c r="M982" s="228">
        <f>IF(Tableau14[[#This Row],[Prix_Unit_HT]]=0,0,Tableau14[[#This Row],[Prix_Unit_HT]]+(Tableau14[[#This Row],[Prix_Unit_HT]]*VLOOKUP(Tableau14[[#This Row],[EAN]],[1]Grille_Tarifs_Modulable!$B$10:$Q$204,16,FALSE)))</f>
        <v>15.039076199999998</v>
      </c>
      <c r="N982" s="224">
        <v>240</v>
      </c>
      <c r="O982" s="228">
        <f>ROUND(Tableau14[[#This Row],[Prix_Unit_HT]],2)*Tableau14[[#This Row],[Qte_commande]]</f>
        <v>3007.2</v>
      </c>
      <c r="P982" s="228">
        <f>ROUND(Tableau14[[#This Row],[Prix_Unit_TTC]],2)*Tableau14[[#This Row],[Qte_commande]]</f>
        <v>3609.6</v>
      </c>
      <c r="Q982" s="224">
        <v>240</v>
      </c>
      <c r="R982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240.00000000000003</v>
      </c>
      <c r="U982" s="224"/>
      <c r="V982" s="224"/>
    </row>
    <row r="983" spans="1:22" ht="14.65" customHeight="1" x14ac:dyDescent="0.2">
      <c r="A983" s="225">
        <v>43279</v>
      </c>
      <c r="B983" s="224" t="s">
        <v>694</v>
      </c>
      <c r="C983" s="224" t="s">
        <v>542</v>
      </c>
      <c r="D983" s="224" t="s">
        <v>209</v>
      </c>
      <c r="E983" s="226"/>
      <c r="G983" s="224" t="s">
        <v>1</v>
      </c>
      <c r="H983" s="224" t="s">
        <v>289</v>
      </c>
      <c r="I983" s="224" t="s">
        <v>15</v>
      </c>
      <c r="J983" s="224">
        <v>175</v>
      </c>
      <c r="K983" s="227">
        <f t="array" ref="K983">IFERROR(INDEX([1]Grille_Tarifs_Modulable!$B$2:$B$204,MATCH(Tableau14[[#This Row],[Designation]]&amp;Tableau14[[#This Row],[CL]],[1]Grille_Tarifs_Modulable!$C$2:$C$204&amp;[1]Grille_Tarifs_Modulable!$F$2:$F$204,0)),0)</f>
        <v>4067700013835</v>
      </c>
      <c r="L983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28.916408750000002</v>
      </c>
      <c r="M983" s="228">
        <f>IF(Tableau14[[#This Row],[Prix_Unit_HT]]=0,0,Tableau14[[#This Row],[Prix_Unit_HT]]+(Tableau14[[#This Row],[Prix_Unit_HT]]*VLOOKUP(Tableau14[[#This Row],[EAN]],[1]Grille_Tarifs_Modulable!$B$10:$Q$204,16,FALSE)))</f>
        <v>34.699690500000003</v>
      </c>
      <c r="N983" s="224">
        <v>6</v>
      </c>
      <c r="O983" s="228">
        <f>ROUND(Tableau14[[#This Row],[Prix_Unit_HT]],2)*Tableau14[[#This Row],[Qte_commande]]</f>
        <v>173.52</v>
      </c>
      <c r="P983" s="228">
        <f>ROUND(Tableau14[[#This Row],[Prix_Unit_TTC]],2)*Tableau14[[#This Row],[Qte_commande]]</f>
        <v>208.20000000000002</v>
      </c>
      <c r="Q983" s="224">
        <v>15</v>
      </c>
      <c r="R983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15.000000000000002</v>
      </c>
      <c r="U983" s="224"/>
      <c r="V983" s="224"/>
    </row>
    <row r="984" spans="1:22" ht="14.65" customHeight="1" x14ac:dyDescent="0.2">
      <c r="A984" s="225">
        <v>43279</v>
      </c>
      <c r="B984" s="224" t="s">
        <v>695</v>
      </c>
      <c r="C984" s="224" t="s">
        <v>518</v>
      </c>
      <c r="D984" s="224" t="s">
        <v>209</v>
      </c>
      <c r="E984" s="226"/>
      <c r="G984" s="224" t="s">
        <v>1</v>
      </c>
      <c r="H984" s="224" t="s">
        <v>289</v>
      </c>
      <c r="I984" s="224" t="s">
        <v>15</v>
      </c>
      <c r="J984" s="224">
        <v>175</v>
      </c>
      <c r="K984" s="227">
        <f t="array" ref="K984">IFERROR(INDEX([1]Grille_Tarifs_Modulable!$B$2:$B$204,MATCH(Tableau14[[#This Row],[Designation]]&amp;Tableau14[[#This Row],[CL]],[1]Grille_Tarifs_Modulable!$C$2:$C$204&amp;[1]Grille_Tarifs_Modulable!$F$2:$F$204,0)),0)</f>
        <v>4067700013835</v>
      </c>
      <c r="L984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28.916408750000002</v>
      </c>
      <c r="M984" s="228">
        <f>IF(Tableau14[[#This Row],[Prix_Unit_HT]]=0,0,Tableau14[[#This Row],[Prix_Unit_HT]]+(Tableau14[[#This Row],[Prix_Unit_HT]]*VLOOKUP(Tableau14[[#This Row],[EAN]],[1]Grille_Tarifs_Modulable!$B$10:$Q$204,16,FALSE)))</f>
        <v>34.699690500000003</v>
      </c>
      <c r="N984" s="224">
        <v>6</v>
      </c>
      <c r="O984" s="228">
        <f>ROUND(Tableau14[[#This Row],[Prix_Unit_HT]],2)*Tableau14[[#This Row],[Qte_commande]]</f>
        <v>173.52</v>
      </c>
      <c r="P984" s="228">
        <f>ROUND(Tableau14[[#This Row],[Prix_Unit_TTC]],2)*Tableau14[[#This Row],[Qte_commande]]</f>
        <v>208.20000000000002</v>
      </c>
      <c r="Q984" s="224">
        <v>15</v>
      </c>
      <c r="R984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15.000000000000002</v>
      </c>
      <c r="U984" s="224"/>
      <c r="V984" s="224"/>
    </row>
    <row r="985" spans="1:22" ht="14.65" customHeight="1" x14ac:dyDescent="0.2">
      <c r="A985" s="225">
        <v>43279</v>
      </c>
      <c r="B985" s="224" t="s">
        <v>695</v>
      </c>
      <c r="C985" s="224" t="s">
        <v>518</v>
      </c>
      <c r="D985" s="224" t="s">
        <v>209</v>
      </c>
      <c r="E985" s="226"/>
      <c r="G985" s="224" t="s">
        <v>13</v>
      </c>
      <c r="H985" s="224" t="s">
        <v>289</v>
      </c>
      <c r="I985" s="224" t="s">
        <v>44</v>
      </c>
      <c r="J985" s="224">
        <v>50</v>
      </c>
      <c r="K985" s="227">
        <f t="array" ref="K985">IFERROR(INDEX([1]Grille_Tarifs_Modulable!$B$2:$B$204,MATCH(Tableau14[[#This Row],[Designation]]&amp;Tableau14[[#This Row],[CL]],[1]Grille_Tarifs_Modulable!$C$2:$C$204&amp;[1]Grille_Tarifs_Modulable!$F$2:$F$204,0)),0)</f>
        <v>4260270192645</v>
      </c>
      <c r="L985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28.052506000000001</v>
      </c>
      <c r="M985" s="228">
        <f>IF(Tableau14[[#This Row],[Prix_Unit_HT]]=0,0,Tableau14[[#This Row],[Prix_Unit_HT]]+(Tableau14[[#This Row],[Prix_Unit_HT]]*VLOOKUP(Tableau14[[#This Row],[EAN]],[1]Grille_Tarifs_Modulable!$B$10:$Q$204,16,FALSE)))</f>
        <v>33.663007200000003</v>
      </c>
      <c r="N985" s="224">
        <v>6</v>
      </c>
      <c r="O985" s="228">
        <f>ROUND(Tableau14[[#This Row],[Prix_Unit_HT]],2)*Tableau14[[#This Row],[Qte_commande]]</f>
        <v>168.3</v>
      </c>
      <c r="P985" s="228">
        <f>ROUND(Tableau14[[#This Row],[Prix_Unit_TTC]],2)*Tableau14[[#This Row],[Qte_commande]]</f>
        <v>201.95999999999998</v>
      </c>
      <c r="Q985" s="224">
        <v>4.29</v>
      </c>
      <c r="R985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4.2857142857142856</v>
      </c>
      <c r="U985" s="224"/>
      <c r="V985" s="224"/>
    </row>
    <row r="986" spans="1:22" ht="14.65" customHeight="1" x14ac:dyDescent="0.2">
      <c r="A986" s="225">
        <v>43279</v>
      </c>
      <c r="B986" s="224" t="s">
        <v>694</v>
      </c>
      <c r="C986" s="224" t="s">
        <v>542</v>
      </c>
      <c r="D986" s="224" t="s">
        <v>209</v>
      </c>
      <c r="E986" s="226"/>
      <c r="G986" s="224" t="s">
        <v>13</v>
      </c>
      <c r="H986" s="224" t="s">
        <v>289</v>
      </c>
      <c r="I986" s="224" t="s">
        <v>931</v>
      </c>
      <c r="J986" s="224">
        <v>100</v>
      </c>
      <c r="K986" s="227">
        <f t="array" ref="K986">IFERROR(INDEX([1]Grille_Tarifs_Modulable!$B$2:$B$204,MATCH(Tableau14[[#This Row],[Designation]]&amp;Tableau14[[#This Row],[CL]],[1]Grille_Tarifs_Modulable!$C$2:$C$204&amp;[1]Grille_Tarifs_Modulable!$F$2:$F$204,0)),0)</f>
        <v>0</v>
      </c>
      <c r="L986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</v>
      </c>
      <c r="M986" s="228">
        <f>IF(Tableau14[[#This Row],[Prix_Unit_HT]]=0,0,Tableau14[[#This Row],[Prix_Unit_HT]]+(Tableau14[[#This Row],[Prix_Unit_HT]]*VLOOKUP(Tableau14[[#This Row],[EAN]],[1]Grille_Tarifs_Modulable!$B$10:$Q$204,16,FALSE)))</f>
        <v>0</v>
      </c>
      <c r="N986" s="224">
        <v>48</v>
      </c>
      <c r="O986" s="228">
        <f>ROUND(Tableau14[[#This Row],[Prix_Unit_HT]],2)*Tableau14[[#This Row],[Qte_commande]]</f>
        <v>0</v>
      </c>
      <c r="P986" s="228">
        <f>ROUND(Tableau14[[#This Row],[Prix_Unit_TTC]],2)*Tableau14[[#This Row],[Qte_commande]]</f>
        <v>0</v>
      </c>
      <c r="Q986" s="224">
        <v>68.569999999999993</v>
      </c>
      <c r="R986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68.571428571428569</v>
      </c>
      <c r="U986" s="224"/>
      <c r="V986" s="224"/>
    </row>
    <row r="987" spans="1:22" ht="14.65" customHeight="1" x14ac:dyDescent="0.2">
      <c r="A987" s="225">
        <v>43279</v>
      </c>
      <c r="B987" s="224" t="s">
        <v>358</v>
      </c>
      <c r="C987" s="224" t="s">
        <v>265</v>
      </c>
      <c r="D987" s="224" t="s">
        <v>266</v>
      </c>
      <c r="E987" s="226"/>
      <c r="G987" s="224" t="s">
        <v>1</v>
      </c>
      <c r="H987" s="224" t="s">
        <v>196</v>
      </c>
      <c r="I987" s="224" t="s">
        <v>64</v>
      </c>
      <c r="J987" s="224">
        <v>20</v>
      </c>
      <c r="K987" s="227">
        <f t="array" ref="K987">IFERROR(INDEX([1]Grille_Tarifs_Modulable!$B$2:$B$204,MATCH(Tableau14[[#This Row],[Designation]]&amp;Tableau14[[#This Row],[CL]],[1]Grille_Tarifs_Modulable!$C$2:$C$204&amp;[1]Grille_Tarifs_Modulable!$F$2:$F$204,0)),0)</f>
        <v>4260310553849</v>
      </c>
      <c r="L987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0.81</v>
      </c>
      <c r="M987" s="228">
        <f>IF(Tableau14[[#This Row],[Prix_Unit_HT]]=0,0,Tableau14[[#This Row],[Prix_Unit_HT]]+(Tableau14[[#This Row],[Prix_Unit_HT]]*VLOOKUP(Tableau14[[#This Row],[EAN]],[1]Grille_Tarifs_Modulable!$B$10:$Q$204,16,FALSE)))</f>
        <v>0.85455000000000003</v>
      </c>
      <c r="N987" s="224">
        <v>120</v>
      </c>
      <c r="O987" s="228">
        <f>ROUND(Tableau14[[#This Row],[Prix_Unit_HT]],2)*Tableau14[[#This Row],[Qte_commande]]</f>
        <v>97.2</v>
      </c>
      <c r="P987" s="228">
        <f>ROUND(Tableau14[[#This Row],[Prix_Unit_TTC]],2)*Tableau14[[#This Row],[Qte_commande]]</f>
        <v>102</v>
      </c>
      <c r="Q987" s="224">
        <v>34.29</v>
      </c>
      <c r="R987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34.285714285714285</v>
      </c>
      <c r="U987" s="224"/>
      <c r="V987" s="224"/>
    </row>
    <row r="988" spans="1:22" ht="14.65" customHeight="1" x14ac:dyDescent="0.2">
      <c r="A988" s="225">
        <v>43279</v>
      </c>
      <c r="B988" s="224" t="s">
        <v>358</v>
      </c>
      <c r="C988" s="224" t="s">
        <v>265</v>
      </c>
      <c r="D988" s="224" t="s">
        <v>266</v>
      </c>
      <c r="E988" s="226"/>
      <c r="G988" s="224" t="s">
        <v>1</v>
      </c>
      <c r="H988" s="224" t="s">
        <v>196</v>
      </c>
      <c r="I988" s="224" t="s">
        <v>59</v>
      </c>
      <c r="J988" s="224">
        <v>20</v>
      </c>
      <c r="K988" s="227">
        <f t="array" ref="K988">IFERROR(INDEX([1]Grille_Tarifs_Modulable!$B$2:$B$204,MATCH(Tableau14[[#This Row],[Designation]]&amp;Tableau14[[#This Row],[CL]],[1]Grille_Tarifs_Modulable!$C$2:$C$204&amp;[1]Grille_Tarifs_Modulable!$F$2:$F$204,0)),0)</f>
        <v>4260310553818</v>
      </c>
      <c r="L988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0.81</v>
      </c>
      <c r="M988" s="228">
        <f>IF(Tableau14[[#This Row],[Prix_Unit_HT]]=0,0,Tableau14[[#This Row],[Prix_Unit_HT]]+(Tableau14[[#This Row],[Prix_Unit_HT]]*VLOOKUP(Tableau14[[#This Row],[EAN]],[1]Grille_Tarifs_Modulable!$B$10:$Q$204,16,FALSE)))</f>
        <v>0.85455000000000003</v>
      </c>
      <c r="N988" s="224">
        <v>240</v>
      </c>
      <c r="O988" s="228">
        <f>ROUND(Tableau14[[#This Row],[Prix_Unit_HT]],2)*Tableau14[[#This Row],[Qte_commande]]</f>
        <v>194.4</v>
      </c>
      <c r="P988" s="228">
        <f>ROUND(Tableau14[[#This Row],[Prix_Unit_TTC]],2)*Tableau14[[#This Row],[Qte_commande]]</f>
        <v>204</v>
      </c>
      <c r="Q988" s="224">
        <v>68.569999999999993</v>
      </c>
      <c r="R988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68.571428571428569</v>
      </c>
      <c r="U988" s="224"/>
      <c r="V988" s="224"/>
    </row>
    <row r="989" spans="1:22" ht="14.65" customHeight="1" x14ac:dyDescent="0.2">
      <c r="A989" s="225">
        <v>43280</v>
      </c>
      <c r="B989" s="224" t="s">
        <v>696</v>
      </c>
      <c r="C989" s="224" t="s">
        <v>697</v>
      </c>
      <c r="D989" s="224" t="s">
        <v>373</v>
      </c>
      <c r="E989" s="226"/>
      <c r="G989" s="224" t="s">
        <v>1</v>
      </c>
      <c r="H989" s="224" t="s">
        <v>289</v>
      </c>
      <c r="I989" s="224" t="s">
        <v>15</v>
      </c>
      <c r="J989" s="224">
        <v>100</v>
      </c>
      <c r="K989" s="227">
        <f t="array" ref="K989">IFERROR(INDEX([1]Grille_Tarifs_Modulable!$B$2:$B$204,MATCH(Tableau14[[#This Row],[Designation]]&amp;Tableau14[[#This Row],[CL]],[1]Grille_Tarifs_Modulable!$C$2:$C$204&amp;[1]Grille_Tarifs_Modulable!$F$2:$F$204,0)),0)</f>
        <v>4067700013842</v>
      </c>
      <c r="L989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17.100804999999998</v>
      </c>
      <c r="M989" s="228">
        <f>IF(Tableau14[[#This Row],[Prix_Unit_HT]]=0,0,Tableau14[[#This Row],[Prix_Unit_HT]]+(Tableau14[[#This Row],[Prix_Unit_HT]]*VLOOKUP(Tableau14[[#This Row],[EAN]],[1]Grille_Tarifs_Modulable!$B$10:$Q$204,16,FALSE)))</f>
        <v>20.520965999999998</v>
      </c>
      <c r="N989" s="224">
        <v>12</v>
      </c>
      <c r="O989" s="228">
        <f>ROUND(Tableau14[[#This Row],[Prix_Unit_HT]],2)*Tableau14[[#This Row],[Qte_commande]]</f>
        <v>205.20000000000002</v>
      </c>
      <c r="P989" s="228">
        <f>ROUND(Tableau14[[#This Row],[Prix_Unit_TTC]],2)*Tableau14[[#This Row],[Qte_commande]]</f>
        <v>246.24</v>
      </c>
      <c r="Q989" s="224">
        <v>17.14</v>
      </c>
      <c r="R989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17.142857142857142</v>
      </c>
      <c r="U989" s="224"/>
      <c r="V989" s="224"/>
    </row>
    <row r="990" spans="1:22" ht="14.65" customHeight="1" x14ac:dyDescent="0.2">
      <c r="A990" s="225">
        <v>43280</v>
      </c>
      <c r="B990" s="224" t="s">
        <v>696</v>
      </c>
      <c r="C990" s="224" t="s">
        <v>697</v>
      </c>
      <c r="D990" s="224" t="s">
        <v>373</v>
      </c>
      <c r="E990" s="226"/>
      <c r="G990" s="224" t="s">
        <v>1</v>
      </c>
      <c r="H990" s="224" t="s">
        <v>289</v>
      </c>
      <c r="I990" s="224" t="s">
        <v>44</v>
      </c>
      <c r="J990" s="224">
        <v>50</v>
      </c>
      <c r="K990" s="227">
        <f t="array" ref="K990">IFERROR(INDEX([1]Grille_Tarifs_Modulable!$B$2:$B$204,MATCH(Tableau14[[#This Row],[Designation]]&amp;Tableau14[[#This Row],[CL]],[1]Grille_Tarifs_Modulable!$C$2:$C$204&amp;[1]Grille_Tarifs_Modulable!$F$2:$F$204,0)),0)</f>
        <v>4260270192645</v>
      </c>
      <c r="L990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25.192506000000002</v>
      </c>
      <c r="M990" s="228">
        <f>IF(Tableau14[[#This Row],[Prix_Unit_HT]]=0,0,Tableau14[[#This Row],[Prix_Unit_HT]]+(Tableau14[[#This Row],[Prix_Unit_HT]]*VLOOKUP(Tableau14[[#This Row],[EAN]],[1]Grille_Tarifs_Modulable!$B$10:$Q$204,16,FALSE)))</f>
        <v>30.231007200000001</v>
      </c>
      <c r="N990" s="224">
        <v>6</v>
      </c>
      <c r="O990" s="228">
        <f>ROUND(Tableau14[[#This Row],[Prix_Unit_HT]],2)*Tableau14[[#This Row],[Qte_commande]]</f>
        <v>151.14000000000001</v>
      </c>
      <c r="P990" s="228">
        <f>ROUND(Tableau14[[#This Row],[Prix_Unit_TTC]],2)*Tableau14[[#This Row],[Qte_commande]]</f>
        <v>181.38</v>
      </c>
      <c r="Q990" s="224">
        <v>4.29</v>
      </c>
      <c r="R990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4.2857142857142856</v>
      </c>
      <c r="U990" s="224"/>
      <c r="V990" s="224"/>
    </row>
    <row r="991" spans="1:22" ht="14.65" customHeight="1" x14ac:dyDescent="0.2">
      <c r="A991" s="225">
        <v>43280</v>
      </c>
      <c r="B991" s="224" t="s">
        <v>696</v>
      </c>
      <c r="C991" s="224" t="s">
        <v>697</v>
      </c>
      <c r="D991" s="224" t="s">
        <v>373</v>
      </c>
      <c r="E991" s="226"/>
      <c r="G991" s="224" t="s">
        <v>1</v>
      </c>
      <c r="H991" s="224" t="s">
        <v>196</v>
      </c>
      <c r="I991" s="224" t="s">
        <v>64</v>
      </c>
      <c r="J991" s="224">
        <v>20</v>
      </c>
      <c r="K991" s="227">
        <f t="array" ref="K991">IFERROR(INDEX([1]Grille_Tarifs_Modulable!$B$2:$B$204,MATCH(Tableau14[[#This Row],[Designation]]&amp;Tableau14[[#This Row],[CL]],[1]Grille_Tarifs_Modulable!$C$2:$C$204&amp;[1]Grille_Tarifs_Modulable!$F$2:$F$204,0)),0)</f>
        <v>4260310553849</v>
      </c>
      <c r="L991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0.81</v>
      </c>
      <c r="M991" s="228">
        <f>IF(Tableau14[[#This Row],[Prix_Unit_HT]]=0,0,Tableau14[[#This Row],[Prix_Unit_HT]]+(Tableau14[[#This Row],[Prix_Unit_HT]]*VLOOKUP(Tableau14[[#This Row],[EAN]],[1]Grille_Tarifs_Modulable!$B$10:$Q$204,16,FALSE)))</f>
        <v>0.85455000000000003</v>
      </c>
      <c r="N991" s="224">
        <v>168</v>
      </c>
      <c r="O991" s="228">
        <f>ROUND(Tableau14[[#This Row],[Prix_Unit_HT]],2)*Tableau14[[#This Row],[Qte_commande]]</f>
        <v>136.08000000000001</v>
      </c>
      <c r="P991" s="228">
        <f>ROUND(Tableau14[[#This Row],[Prix_Unit_TTC]],2)*Tableau14[[#This Row],[Qte_commande]]</f>
        <v>142.79999999999998</v>
      </c>
      <c r="Q991" s="224">
        <v>48</v>
      </c>
      <c r="R991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48.000000000000007</v>
      </c>
      <c r="U991" s="224"/>
      <c r="V991" s="224"/>
    </row>
    <row r="992" spans="1:22" ht="14.65" customHeight="1" x14ac:dyDescent="0.2">
      <c r="A992" s="225">
        <v>43280</v>
      </c>
      <c r="B992" s="224" t="s">
        <v>696</v>
      </c>
      <c r="C992" s="224" t="s">
        <v>697</v>
      </c>
      <c r="D992" s="224" t="s">
        <v>373</v>
      </c>
      <c r="E992" s="226"/>
      <c r="G992" s="224" t="s">
        <v>1</v>
      </c>
      <c r="H992" s="224" t="s">
        <v>196</v>
      </c>
      <c r="I992" s="224" t="s">
        <v>59</v>
      </c>
      <c r="J992" s="224">
        <v>20</v>
      </c>
      <c r="K992" s="227">
        <f t="array" ref="K992">IFERROR(INDEX([1]Grille_Tarifs_Modulable!$B$2:$B$204,MATCH(Tableau14[[#This Row],[Designation]]&amp;Tableau14[[#This Row],[CL]],[1]Grille_Tarifs_Modulable!$C$2:$C$204&amp;[1]Grille_Tarifs_Modulable!$F$2:$F$204,0)),0)</f>
        <v>4260310553818</v>
      </c>
      <c r="L992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0.81</v>
      </c>
      <c r="M992" s="228">
        <f>IF(Tableau14[[#This Row],[Prix_Unit_HT]]=0,0,Tableau14[[#This Row],[Prix_Unit_HT]]+(Tableau14[[#This Row],[Prix_Unit_HT]]*VLOOKUP(Tableau14[[#This Row],[EAN]],[1]Grille_Tarifs_Modulable!$B$10:$Q$204,16,FALSE)))</f>
        <v>0.85455000000000003</v>
      </c>
      <c r="N992" s="224">
        <v>120</v>
      </c>
      <c r="O992" s="228">
        <f>ROUND(Tableau14[[#This Row],[Prix_Unit_HT]],2)*Tableau14[[#This Row],[Qte_commande]]</f>
        <v>97.2</v>
      </c>
      <c r="P992" s="228">
        <f>ROUND(Tableau14[[#This Row],[Prix_Unit_TTC]],2)*Tableau14[[#This Row],[Qte_commande]]</f>
        <v>102</v>
      </c>
      <c r="Q992" s="224">
        <v>34.29</v>
      </c>
      <c r="R992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34.285714285714285</v>
      </c>
      <c r="U992" s="224"/>
      <c r="V992" s="224"/>
    </row>
    <row r="993" spans="1:22" ht="14.65" customHeight="1" x14ac:dyDescent="0.2">
      <c r="A993" s="225">
        <v>43284</v>
      </c>
      <c r="B993" s="224" t="s">
        <v>698</v>
      </c>
      <c r="C993" s="224" t="s">
        <v>639</v>
      </c>
      <c r="D993" s="224" t="s">
        <v>373</v>
      </c>
      <c r="E993" s="226"/>
      <c r="G993" s="224" t="s">
        <v>1</v>
      </c>
      <c r="H993" s="224" t="s">
        <v>289</v>
      </c>
      <c r="I993" s="224" t="s">
        <v>15</v>
      </c>
      <c r="J993" s="224">
        <v>70</v>
      </c>
      <c r="K993" s="227">
        <f t="array" ref="K993">IFERROR(INDEX([1]Grille_Tarifs_Modulable!$B$2:$B$204,MATCH(Tableau14[[#This Row],[Designation]]&amp;Tableau14[[#This Row],[CL]],[1]Grille_Tarifs_Modulable!$C$2:$C$204&amp;[1]Grille_Tarifs_Modulable!$F$2:$F$204,0)),0)</f>
        <v>4067700013859</v>
      </c>
      <c r="L993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12.532563499999998</v>
      </c>
      <c r="M993" s="228">
        <f>IF(Tableau14[[#This Row],[Prix_Unit_HT]]=0,0,Tableau14[[#This Row],[Prix_Unit_HT]]+(Tableau14[[#This Row],[Prix_Unit_HT]]*VLOOKUP(Tableau14[[#This Row],[EAN]],[1]Grille_Tarifs_Modulable!$B$10:$Q$204,16,FALSE)))</f>
        <v>15.039076199999998</v>
      </c>
      <c r="N993" s="224">
        <v>150</v>
      </c>
      <c r="O993" s="228">
        <f>ROUND(Tableau14[[#This Row],[Prix_Unit_HT]],2)*Tableau14[[#This Row],[Qte_commande]]</f>
        <v>1879.5</v>
      </c>
      <c r="P993" s="228">
        <f>ROUND(Tableau14[[#This Row],[Prix_Unit_TTC]],2)*Tableau14[[#This Row],[Qte_commande]]</f>
        <v>2256</v>
      </c>
      <c r="Q993" s="224">
        <v>150</v>
      </c>
      <c r="R993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150</v>
      </c>
      <c r="U993" s="224"/>
      <c r="V993" s="224"/>
    </row>
    <row r="994" spans="1:22" ht="14.65" customHeight="1" x14ac:dyDescent="0.2">
      <c r="A994" s="225">
        <v>43284</v>
      </c>
      <c r="B994" s="224" t="s">
        <v>825</v>
      </c>
      <c r="C994" s="224" t="s">
        <v>198</v>
      </c>
      <c r="D994" s="224" t="s">
        <v>199</v>
      </c>
      <c r="E994" s="226"/>
      <c r="G994" s="224" t="s">
        <v>1</v>
      </c>
      <c r="H994" s="224" t="s">
        <v>196</v>
      </c>
      <c r="I994" s="224" t="s">
        <v>66</v>
      </c>
      <c r="J994" s="224">
        <v>50</v>
      </c>
      <c r="K994" s="227">
        <f t="array" ref="K994">IFERROR(INDEX([1]Grille_Tarifs_Modulable!$B$2:$B$204,MATCH(Tableau14[[#This Row],[Designation]]&amp;Tableau14[[#This Row],[CL]],[1]Grille_Tarifs_Modulable!$C$2:$C$204&amp;[1]Grille_Tarifs_Modulable!$F$2:$F$204,0)),0)</f>
        <v>4260310553382</v>
      </c>
      <c r="L994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</v>
      </c>
      <c r="M994" s="228">
        <f>IF(Tableau14[[#This Row],[Prix_Unit_HT]]=0,0,Tableau14[[#This Row],[Prix_Unit_HT]]+(Tableau14[[#This Row],[Prix_Unit_HT]]*VLOOKUP(Tableau14[[#This Row],[EAN]],[1]Grille_Tarifs_Modulable!$B$10:$Q$204,16,FALSE)))</f>
        <v>1.0549999999999999</v>
      </c>
      <c r="N994" s="224">
        <v>40</v>
      </c>
      <c r="O994" s="228">
        <f>ROUND(Tableau14[[#This Row],[Prix_Unit_HT]],2)*Tableau14[[#This Row],[Qte_commande]]</f>
        <v>40</v>
      </c>
      <c r="P994" s="228">
        <f>ROUND(Tableau14[[#This Row],[Prix_Unit_TTC]],2)*Tableau14[[#This Row],[Qte_commande]]</f>
        <v>42.400000000000006</v>
      </c>
      <c r="Q994" s="224">
        <v>28.57</v>
      </c>
      <c r="R994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28.571428571428573</v>
      </c>
      <c r="U994" s="224"/>
      <c r="V994" s="224"/>
    </row>
    <row r="995" spans="1:22" ht="14.65" customHeight="1" x14ac:dyDescent="0.2">
      <c r="A995" s="225">
        <v>43284</v>
      </c>
      <c r="B995" s="224" t="s">
        <v>825</v>
      </c>
      <c r="C995" s="224" t="s">
        <v>198</v>
      </c>
      <c r="D995" s="224" t="s">
        <v>199</v>
      </c>
      <c r="E995" s="226"/>
      <c r="G995" s="224" t="s">
        <v>1</v>
      </c>
      <c r="H995" s="224" t="s">
        <v>196</v>
      </c>
      <c r="I995" s="224" t="s">
        <v>66</v>
      </c>
      <c r="J995" s="224">
        <v>50</v>
      </c>
      <c r="K995" s="227">
        <f t="array" ref="K995">IFERROR(INDEX([1]Grille_Tarifs_Modulable!$B$2:$B$204,MATCH(Tableau14[[#This Row],[Designation]]&amp;Tableau14[[#This Row],[CL]],[1]Grille_Tarifs_Modulable!$C$2:$C$204&amp;[1]Grille_Tarifs_Modulable!$F$2:$F$204,0)),0)</f>
        <v>4260310553382</v>
      </c>
      <c r="L995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</v>
      </c>
      <c r="M995" s="228">
        <f>IF(Tableau14[[#This Row],[Prix_Unit_HT]]=0,0,Tableau14[[#This Row],[Prix_Unit_HT]]+(Tableau14[[#This Row],[Prix_Unit_HT]]*VLOOKUP(Tableau14[[#This Row],[EAN]],[1]Grille_Tarifs_Modulable!$B$10:$Q$204,16,FALSE)))</f>
        <v>1.0549999999999999</v>
      </c>
      <c r="N995" s="224">
        <v>140</v>
      </c>
      <c r="O995" s="228">
        <f>ROUND(Tableau14[[#This Row],[Prix_Unit_HT]],2)*Tableau14[[#This Row],[Qte_commande]]</f>
        <v>140</v>
      </c>
      <c r="P995" s="228">
        <f>ROUND(Tableau14[[#This Row],[Prix_Unit_TTC]],2)*Tableau14[[#This Row],[Qte_commande]]</f>
        <v>148.4</v>
      </c>
      <c r="Q995" s="224">
        <v>100</v>
      </c>
      <c r="R995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100</v>
      </c>
      <c r="U995" s="224"/>
      <c r="V995" s="224"/>
    </row>
    <row r="996" spans="1:22" ht="14.65" customHeight="1" x14ac:dyDescent="0.2">
      <c r="A996" s="225">
        <v>43284</v>
      </c>
      <c r="B996" s="224" t="s">
        <v>825</v>
      </c>
      <c r="C996" s="224" t="s">
        <v>198</v>
      </c>
      <c r="D996" s="224" t="s">
        <v>199</v>
      </c>
      <c r="E996" s="226"/>
      <c r="G996" s="224" t="s">
        <v>1</v>
      </c>
      <c r="H996" s="224" t="s">
        <v>196</v>
      </c>
      <c r="I996" s="224" t="s">
        <v>66</v>
      </c>
      <c r="J996" s="224">
        <v>20</v>
      </c>
      <c r="K996" s="227">
        <f t="array" ref="K996">IFERROR(INDEX([1]Grille_Tarifs_Modulable!$B$2:$B$204,MATCH(Tableau14[[#This Row],[Designation]]&amp;Tableau14[[#This Row],[CL]],[1]Grille_Tarifs_Modulable!$C$2:$C$204&amp;[1]Grille_Tarifs_Modulable!$F$2:$F$204,0)),0)</f>
        <v>4260310554785</v>
      </c>
      <c r="L996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0.81</v>
      </c>
      <c r="M996" s="228">
        <f>IF(Tableau14[[#This Row],[Prix_Unit_HT]]=0,0,Tableau14[[#This Row],[Prix_Unit_HT]]+(Tableau14[[#This Row],[Prix_Unit_HT]]*VLOOKUP(Tableau14[[#This Row],[EAN]],[1]Grille_Tarifs_Modulable!$B$10:$Q$204,16,FALSE)))</f>
        <v>0.85455000000000003</v>
      </c>
      <c r="N996" s="224">
        <v>624</v>
      </c>
      <c r="O996" s="228">
        <f>ROUND(Tableau14[[#This Row],[Prix_Unit_HT]],2)*Tableau14[[#This Row],[Qte_commande]]</f>
        <v>505.44000000000005</v>
      </c>
      <c r="P996" s="228">
        <f>ROUND(Tableau14[[#This Row],[Prix_Unit_TTC]],2)*Tableau14[[#This Row],[Qte_commande]]</f>
        <v>530.4</v>
      </c>
      <c r="Q996" s="224">
        <v>178.29</v>
      </c>
      <c r="R996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178.28571428571431</v>
      </c>
      <c r="U996" s="224"/>
      <c r="V996" s="224"/>
    </row>
    <row r="997" spans="1:22" ht="14.65" customHeight="1" x14ac:dyDescent="0.2">
      <c r="A997" s="225">
        <v>43284</v>
      </c>
      <c r="B997" s="224" t="s">
        <v>825</v>
      </c>
      <c r="C997" s="224" t="s">
        <v>198</v>
      </c>
      <c r="D997" s="224" t="s">
        <v>199</v>
      </c>
      <c r="E997" s="226"/>
      <c r="G997" s="224" t="s">
        <v>1</v>
      </c>
      <c r="H997" s="224" t="s">
        <v>196</v>
      </c>
      <c r="I997" s="224" t="s">
        <v>66</v>
      </c>
      <c r="J997" s="224">
        <v>20</v>
      </c>
      <c r="K997" s="227">
        <f t="array" ref="K997">IFERROR(INDEX([1]Grille_Tarifs_Modulable!$B$2:$B$204,MATCH(Tableau14[[#This Row],[Designation]]&amp;Tableau14[[#This Row],[CL]],[1]Grille_Tarifs_Modulable!$C$2:$C$204&amp;[1]Grille_Tarifs_Modulable!$F$2:$F$204,0)),0)</f>
        <v>4260310554785</v>
      </c>
      <c r="L997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0.81</v>
      </c>
      <c r="M997" s="228">
        <f>IF(Tableau14[[#This Row],[Prix_Unit_HT]]=0,0,Tableau14[[#This Row],[Prix_Unit_HT]]+(Tableau14[[#This Row],[Prix_Unit_HT]]*VLOOKUP(Tableau14[[#This Row],[EAN]],[1]Grille_Tarifs_Modulable!$B$10:$Q$204,16,FALSE)))</f>
        <v>0.85455000000000003</v>
      </c>
      <c r="N997" s="224">
        <v>96</v>
      </c>
      <c r="O997" s="228">
        <f>ROUND(Tableau14[[#This Row],[Prix_Unit_HT]],2)*Tableau14[[#This Row],[Qte_commande]]</f>
        <v>77.760000000000005</v>
      </c>
      <c r="P997" s="228">
        <f>ROUND(Tableau14[[#This Row],[Prix_Unit_TTC]],2)*Tableau14[[#This Row],[Qte_commande]]</f>
        <v>81.599999999999994</v>
      </c>
      <c r="Q997" s="224">
        <v>27.43</v>
      </c>
      <c r="R997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27.428571428571431</v>
      </c>
      <c r="U997" s="224"/>
      <c r="V997" s="224"/>
    </row>
    <row r="998" spans="1:22" ht="14.65" customHeight="1" x14ac:dyDescent="0.2">
      <c r="A998" s="225">
        <v>43284</v>
      </c>
      <c r="B998" s="224" t="s">
        <v>698</v>
      </c>
      <c r="C998" s="224" t="s">
        <v>639</v>
      </c>
      <c r="D998" s="224" t="s">
        <v>373</v>
      </c>
      <c r="E998" s="226"/>
      <c r="G998" s="224" t="s">
        <v>1</v>
      </c>
      <c r="H998" s="224" t="s">
        <v>289</v>
      </c>
      <c r="I998" s="224" t="s">
        <v>42</v>
      </c>
      <c r="J998" s="224">
        <v>70</v>
      </c>
      <c r="K998" s="227">
        <f t="array" ref="K998">IFERROR(INDEX([1]Grille_Tarifs_Modulable!$B$2:$B$204,MATCH(Tableau14[[#This Row],[Designation]]&amp;Tableau14[[#This Row],[CL]],[1]Grille_Tarifs_Modulable!$C$2:$C$204&amp;[1]Grille_Tarifs_Modulable!$F$2:$F$204,0)),0)</f>
        <v>3257150688009</v>
      </c>
      <c r="L998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12.556915199999999</v>
      </c>
      <c r="M998" s="228">
        <f>IF(Tableau14[[#This Row],[Prix_Unit_HT]]=0,0,Tableau14[[#This Row],[Prix_Unit_HT]]+(Tableau14[[#This Row],[Prix_Unit_HT]]*VLOOKUP(Tableau14[[#This Row],[EAN]],[1]Grille_Tarifs_Modulable!$B$10:$Q$204,16,FALSE)))</f>
        <v>15.068298239999999</v>
      </c>
      <c r="N998" s="224">
        <v>36</v>
      </c>
      <c r="O998" s="228">
        <f>ROUND(Tableau14[[#This Row],[Prix_Unit_HT]],2)*Tableau14[[#This Row],[Qte_commande]]</f>
        <v>452.16</v>
      </c>
      <c r="P998" s="228">
        <f>ROUND(Tableau14[[#This Row],[Prix_Unit_TTC]],2)*Tableau14[[#This Row],[Qte_commande]]</f>
        <v>542.52</v>
      </c>
      <c r="Q998" s="224">
        <v>36</v>
      </c>
      <c r="R998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36</v>
      </c>
      <c r="U998" s="224"/>
      <c r="V998" s="224"/>
    </row>
    <row r="999" spans="1:22" ht="14.65" customHeight="1" x14ac:dyDescent="0.2">
      <c r="A999" s="225">
        <v>43299</v>
      </c>
      <c r="B999" s="224" t="s">
        <v>242</v>
      </c>
      <c r="C999" s="224" t="s">
        <v>205</v>
      </c>
      <c r="D999" s="224" t="s">
        <v>206</v>
      </c>
      <c r="E999" s="226"/>
      <c r="G999" s="224" t="s">
        <v>1</v>
      </c>
      <c r="H999" s="224" t="s">
        <v>196</v>
      </c>
      <c r="I999" s="224" t="s">
        <v>62</v>
      </c>
      <c r="J999" s="224">
        <v>20</v>
      </c>
      <c r="K999" s="227">
        <f t="array" ref="K999">IFERROR(INDEX([1]Grille_Tarifs_Modulable!$B$2:$B$204,MATCH(Tableau14[[#This Row],[Designation]]&amp;Tableau14[[#This Row],[CL]],[1]Grille_Tarifs_Modulable!$C$2:$C$204&amp;[1]Grille_Tarifs_Modulable!$F$2:$F$204,0)),0)</f>
        <v>4260310550305</v>
      </c>
      <c r="L999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0.81</v>
      </c>
      <c r="M999" s="228">
        <f>IF(Tableau14[[#This Row],[Prix_Unit_HT]]=0,0,Tableau14[[#This Row],[Prix_Unit_HT]]+(Tableau14[[#This Row],[Prix_Unit_HT]]*VLOOKUP(Tableau14[[#This Row],[EAN]],[1]Grille_Tarifs_Modulable!$B$10:$Q$204,16,FALSE)))</f>
        <v>0.85455000000000003</v>
      </c>
      <c r="N999" s="224">
        <v>24</v>
      </c>
      <c r="O999" s="228">
        <f>ROUND(Tableau14[[#This Row],[Prix_Unit_HT]],2)*Tableau14[[#This Row],[Qte_commande]]</f>
        <v>19.440000000000001</v>
      </c>
      <c r="P999" s="228">
        <f>ROUND(Tableau14[[#This Row],[Prix_Unit_TTC]],2)*Tableau14[[#This Row],[Qte_commande]]</f>
        <v>20.399999999999999</v>
      </c>
      <c r="Q999" s="224">
        <v>6.86</v>
      </c>
      <c r="R999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6.8571428571428577</v>
      </c>
      <c r="U999" s="224"/>
      <c r="V999" s="224"/>
    </row>
    <row r="1000" spans="1:22" ht="14.65" customHeight="1" x14ac:dyDescent="0.2">
      <c r="A1000" s="225">
        <v>43304</v>
      </c>
      <c r="B1000" s="224" t="s">
        <v>699</v>
      </c>
      <c r="C1000" s="224" t="s">
        <v>530</v>
      </c>
      <c r="D1000" s="224" t="s">
        <v>531</v>
      </c>
      <c r="E1000" s="226"/>
      <c r="G1000" s="224" t="s">
        <v>1</v>
      </c>
      <c r="H1000" s="224" t="s">
        <v>289</v>
      </c>
      <c r="I1000" s="224" t="s">
        <v>15</v>
      </c>
      <c r="J1000" s="224">
        <v>70</v>
      </c>
      <c r="K1000" s="227">
        <f t="array" ref="K1000">IFERROR(INDEX([1]Grille_Tarifs_Modulable!$B$2:$B$204,MATCH(Tableau14[[#This Row],[Designation]]&amp;Tableau14[[#This Row],[CL]],[1]Grille_Tarifs_Modulable!$C$2:$C$204&amp;[1]Grille_Tarifs_Modulable!$F$2:$F$204,0)),0)</f>
        <v>4067700013859</v>
      </c>
      <c r="L1000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12.532563499999998</v>
      </c>
      <c r="M1000" s="228">
        <f>IF(Tableau14[[#This Row],[Prix_Unit_HT]]=0,0,Tableau14[[#This Row],[Prix_Unit_HT]]+(Tableau14[[#This Row],[Prix_Unit_HT]]*VLOOKUP(Tableau14[[#This Row],[EAN]],[1]Grille_Tarifs_Modulable!$B$10:$Q$204,16,FALSE)))</f>
        <v>15.039076199999998</v>
      </c>
      <c r="N1000" s="224">
        <v>150</v>
      </c>
      <c r="O1000" s="228">
        <f>ROUND(Tableau14[[#This Row],[Prix_Unit_HT]],2)*Tableau14[[#This Row],[Qte_commande]]</f>
        <v>1879.5</v>
      </c>
      <c r="P1000" s="228">
        <f>ROUND(Tableau14[[#This Row],[Prix_Unit_TTC]],2)*Tableau14[[#This Row],[Qte_commande]]</f>
        <v>2256</v>
      </c>
      <c r="Q1000" s="224">
        <v>150</v>
      </c>
      <c r="R1000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150</v>
      </c>
      <c r="U1000" s="224"/>
      <c r="V1000" s="224"/>
    </row>
    <row r="1001" spans="1:22" ht="14.65" customHeight="1" x14ac:dyDescent="0.2">
      <c r="A1001" s="225">
        <v>43306</v>
      </c>
      <c r="B1001" s="224" t="s">
        <v>700</v>
      </c>
      <c r="C1001" s="224" t="s">
        <v>639</v>
      </c>
      <c r="D1001" s="224" t="s">
        <v>373</v>
      </c>
      <c r="E1001" s="226"/>
      <c r="G1001" s="224" t="s">
        <v>1</v>
      </c>
      <c r="H1001" s="224" t="s">
        <v>289</v>
      </c>
      <c r="I1001" s="224" t="s">
        <v>15</v>
      </c>
      <c r="J1001" s="224">
        <v>70</v>
      </c>
      <c r="K1001" s="227">
        <f t="array" ref="K1001">IFERROR(INDEX([1]Grille_Tarifs_Modulable!$B$2:$B$204,MATCH(Tableau14[[#This Row],[Designation]]&amp;Tableau14[[#This Row],[CL]],[1]Grille_Tarifs_Modulable!$C$2:$C$204&amp;[1]Grille_Tarifs_Modulable!$F$2:$F$204,0)),0)</f>
        <v>4067700013859</v>
      </c>
      <c r="L1001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12.532563499999998</v>
      </c>
      <c r="M1001" s="228">
        <f>IF(Tableau14[[#This Row],[Prix_Unit_HT]]=0,0,Tableau14[[#This Row],[Prix_Unit_HT]]+(Tableau14[[#This Row],[Prix_Unit_HT]]*VLOOKUP(Tableau14[[#This Row],[EAN]],[1]Grille_Tarifs_Modulable!$B$10:$Q$204,16,FALSE)))</f>
        <v>15.039076199999998</v>
      </c>
      <c r="N1001" s="224">
        <v>300</v>
      </c>
      <c r="O1001" s="228">
        <f>ROUND(Tableau14[[#This Row],[Prix_Unit_HT]],2)*Tableau14[[#This Row],[Qte_commande]]</f>
        <v>3759</v>
      </c>
      <c r="P1001" s="228">
        <f>ROUND(Tableau14[[#This Row],[Prix_Unit_TTC]],2)*Tableau14[[#This Row],[Qte_commande]]</f>
        <v>4512</v>
      </c>
      <c r="Q1001" s="224">
        <v>300</v>
      </c>
      <c r="R1001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300</v>
      </c>
      <c r="U1001" s="224"/>
      <c r="V1001" s="224"/>
    </row>
    <row r="1002" spans="1:22" ht="14.65" customHeight="1" x14ac:dyDescent="0.2">
      <c r="A1002" s="225">
        <v>43306</v>
      </c>
      <c r="B1002" s="224" t="s">
        <v>701</v>
      </c>
      <c r="C1002" s="224" t="s">
        <v>651</v>
      </c>
      <c r="D1002" s="224" t="s">
        <v>652</v>
      </c>
      <c r="E1002" s="226"/>
      <c r="G1002" s="224" t="s">
        <v>13</v>
      </c>
      <c r="H1002" s="224" t="s">
        <v>289</v>
      </c>
      <c r="I1002" s="224" t="s">
        <v>15</v>
      </c>
      <c r="J1002" s="224">
        <v>70</v>
      </c>
      <c r="K1002" s="227">
        <f t="array" ref="K1002">IFERROR(INDEX([1]Grille_Tarifs_Modulable!$B$2:$B$204,MATCH(Tableau14[[#This Row],[Designation]]&amp;Tableau14[[#This Row],[CL]],[1]Grille_Tarifs_Modulable!$C$2:$C$204&amp;[1]Grille_Tarifs_Modulable!$F$2:$F$204,0)),0)</f>
        <v>4067700013859</v>
      </c>
      <c r="L1002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13.942563499999999</v>
      </c>
      <c r="M1002" s="228">
        <f>IF(Tableau14[[#This Row],[Prix_Unit_HT]]=0,0,Tableau14[[#This Row],[Prix_Unit_HT]]+(Tableau14[[#This Row],[Prix_Unit_HT]]*VLOOKUP(Tableau14[[#This Row],[EAN]],[1]Grille_Tarifs_Modulable!$B$10:$Q$204,16,FALSE)))</f>
        <v>16.731076199999997</v>
      </c>
      <c r="N1002" s="224">
        <v>24</v>
      </c>
      <c r="O1002" s="228">
        <f>ROUND(Tableau14[[#This Row],[Prix_Unit_HT]],2)*Tableau14[[#This Row],[Qte_commande]]</f>
        <v>334.56</v>
      </c>
      <c r="P1002" s="228">
        <f>ROUND(Tableau14[[#This Row],[Prix_Unit_TTC]],2)*Tableau14[[#This Row],[Qte_commande]]</f>
        <v>401.52</v>
      </c>
      <c r="Q1002" s="224">
        <v>24</v>
      </c>
      <c r="R1002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24.000000000000004</v>
      </c>
      <c r="U1002" s="224"/>
      <c r="V1002" s="224"/>
    </row>
    <row r="1003" spans="1:22" ht="14.65" customHeight="1" x14ac:dyDescent="0.2">
      <c r="A1003" s="225">
        <v>43306</v>
      </c>
      <c r="B1003" s="224" t="s">
        <v>701</v>
      </c>
      <c r="C1003" s="224" t="s">
        <v>651</v>
      </c>
      <c r="D1003" s="224" t="s">
        <v>652</v>
      </c>
      <c r="E1003" s="226"/>
      <c r="G1003" s="224" t="s">
        <v>13</v>
      </c>
      <c r="H1003" s="224" t="s">
        <v>289</v>
      </c>
      <c r="I1003" s="224" t="s">
        <v>15</v>
      </c>
      <c r="J1003" s="224">
        <v>175</v>
      </c>
      <c r="K1003" s="227">
        <f t="array" ref="K1003">IFERROR(INDEX([1]Grille_Tarifs_Modulable!$B$2:$B$204,MATCH(Tableau14[[#This Row],[Designation]]&amp;Tableau14[[#This Row],[CL]],[1]Grille_Tarifs_Modulable!$C$2:$C$204&amp;[1]Grille_Tarifs_Modulable!$F$2:$F$204,0)),0)</f>
        <v>4067700013835</v>
      </c>
      <c r="L1003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32.266408749999997</v>
      </c>
      <c r="M1003" s="228">
        <f>IF(Tableau14[[#This Row],[Prix_Unit_HT]]=0,0,Tableau14[[#This Row],[Prix_Unit_HT]]+(Tableau14[[#This Row],[Prix_Unit_HT]]*VLOOKUP(Tableau14[[#This Row],[EAN]],[1]Grille_Tarifs_Modulable!$B$10:$Q$204,16,FALSE)))</f>
        <v>38.719690499999999</v>
      </c>
      <c r="N1003" s="224">
        <v>6</v>
      </c>
      <c r="O1003" s="228">
        <f>ROUND(Tableau14[[#This Row],[Prix_Unit_HT]],2)*Tableau14[[#This Row],[Qte_commande]]</f>
        <v>193.62</v>
      </c>
      <c r="P1003" s="228">
        <f>ROUND(Tableau14[[#This Row],[Prix_Unit_TTC]],2)*Tableau14[[#This Row],[Qte_commande]]</f>
        <v>232.32</v>
      </c>
      <c r="Q1003" s="224">
        <v>15</v>
      </c>
      <c r="R1003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15.000000000000002</v>
      </c>
      <c r="U1003" s="224"/>
      <c r="V1003" s="224"/>
    </row>
    <row r="1004" spans="1:22" ht="14.65" customHeight="1" x14ac:dyDescent="0.2">
      <c r="A1004" s="225">
        <v>43306</v>
      </c>
      <c r="B1004" s="224" t="s">
        <v>853</v>
      </c>
      <c r="C1004" s="224" t="s">
        <v>202</v>
      </c>
      <c r="D1004" s="224" t="s">
        <v>203</v>
      </c>
      <c r="E1004" s="226"/>
      <c r="G1004" s="224" t="s">
        <v>1</v>
      </c>
      <c r="H1004" s="224" t="s">
        <v>289</v>
      </c>
      <c r="I1004" s="224" t="s">
        <v>30</v>
      </c>
      <c r="J1004" s="224">
        <v>70</v>
      </c>
      <c r="K1004" s="227">
        <f t="array" ref="K1004">IFERROR(INDEX([1]Grille_Tarifs_Modulable!$B$2:$B$204,MATCH(Tableau14[[#This Row],[Designation]]&amp;Tableau14[[#This Row],[CL]],[1]Grille_Tarifs_Modulable!$C$2:$C$204&amp;[1]Grille_Tarifs_Modulable!$F$2:$F$204,0)),0)</f>
        <v>3257150101904</v>
      </c>
      <c r="L1004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16.346482999999999</v>
      </c>
      <c r="M1004" s="228">
        <f>IF(Tableau14[[#This Row],[Prix_Unit_HT]]=0,0,Tableau14[[#This Row],[Prix_Unit_HT]]+(Tableau14[[#This Row],[Prix_Unit_HT]]*VLOOKUP(Tableau14[[#This Row],[EAN]],[1]Grille_Tarifs_Modulable!$B$10:$Q$204,16,FALSE)))</f>
        <v>19.6157796</v>
      </c>
      <c r="N1004" s="224">
        <v>6</v>
      </c>
      <c r="O1004" s="228">
        <f>ROUND(Tableau14[[#This Row],[Prix_Unit_HT]],2)*Tableau14[[#This Row],[Qte_commande]]</f>
        <v>98.100000000000009</v>
      </c>
      <c r="P1004" s="228">
        <f>ROUND(Tableau14[[#This Row],[Prix_Unit_TTC]],2)*Tableau14[[#This Row],[Qte_commande]]</f>
        <v>117.72</v>
      </c>
      <c r="Q1004" s="224">
        <v>6</v>
      </c>
      <c r="R1004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6.0000000000000009</v>
      </c>
      <c r="U1004" s="224"/>
      <c r="V1004" s="224"/>
    </row>
    <row r="1005" spans="1:22" ht="14.65" customHeight="1" x14ac:dyDescent="0.2">
      <c r="A1005" s="225">
        <v>43306</v>
      </c>
      <c r="B1005" s="224" t="s">
        <v>880</v>
      </c>
      <c r="C1005" s="224" t="s">
        <v>211</v>
      </c>
      <c r="D1005" s="224" t="s">
        <v>212</v>
      </c>
      <c r="E1005" s="226"/>
      <c r="G1005" s="224" t="s">
        <v>1</v>
      </c>
      <c r="H1005" s="224" t="s">
        <v>289</v>
      </c>
      <c r="I1005" s="224" t="s">
        <v>36</v>
      </c>
      <c r="J1005" s="224">
        <v>70</v>
      </c>
      <c r="K1005" s="227">
        <f t="array" ref="K1005">IFERROR(INDEX([1]Grille_Tarifs_Modulable!$B$2:$B$204,MATCH(Tableau14[[#This Row],[Designation]]&amp;Tableau14[[#This Row],[CL]],[1]Grille_Tarifs_Modulable!$C$2:$C$204&amp;[1]Grille_Tarifs_Modulable!$F$2:$F$204,0)),0)</f>
        <v>3257150100792</v>
      </c>
      <c r="L1005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71.40864400000001</v>
      </c>
      <c r="M1005" s="228">
        <f>IF(Tableau14[[#This Row],[Prix_Unit_HT]]=0,0,Tableau14[[#This Row],[Prix_Unit_HT]]+(Tableau14[[#This Row],[Prix_Unit_HT]]*VLOOKUP(Tableau14[[#This Row],[EAN]],[1]Grille_Tarifs_Modulable!$B$10:$Q$204,16,FALSE)))</f>
        <v>85.690372800000006</v>
      </c>
      <c r="N1005" s="224">
        <v>6</v>
      </c>
      <c r="O1005" s="228">
        <f>ROUND(Tableau14[[#This Row],[Prix_Unit_HT]],2)*Tableau14[[#This Row],[Qte_commande]]</f>
        <v>428.46</v>
      </c>
      <c r="P1005" s="228">
        <f>ROUND(Tableau14[[#This Row],[Prix_Unit_TTC]],2)*Tableau14[[#This Row],[Qte_commande]]</f>
        <v>514.14</v>
      </c>
      <c r="Q1005" s="224">
        <v>6</v>
      </c>
      <c r="R1005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6.0000000000000009</v>
      </c>
      <c r="U1005" s="224"/>
      <c r="V1005" s="224"/>
    </row>
    <row r="1006" spans="1:22" ht="14.65" customHeight="1" x14ac:dyDescent="0.2">
      <c r="A1006" s="225">
        <v>43306</v>
      </c>
      <c r="B1006" s="224" t="s">
        <v>853</v>
      </c>
      <c r="C1006" s="224" t="s">
        <v>202</v>
      </c>
      <c r="D1006" s="224" t="s">
        <v>203</v>
      </c>
      <c r="E1006" s="226"/>
      <c r="G1006" s="224" t="s">
        <v>1</v>
      </c>
      <c r="H1006" s="224" t="s">
        <v>289</v>
      </c>
      <c r="I1006" s="224" t="s">
        <v>31</v>
      </c>
      <c r="J1006" s="224">
        <v>70</v>
      </c>
      <c r="K1006" s="227">
        <f t="array" ref="K1006">IFERROR(INDEX([1]Grille_Tarifs_Modulable!$B$2:$B$204,MATCH(Tableau14[[#This Row],[Designation]]&amp;Tableau14[[#This Row],[CL]],[1]Grille_Tarifs_Modulable!$C$2:$C$204&amp;[1]Grille_Tarifs_Modulable!$F$2:$F$204,0)),0)</f>
        <v>3257150102017</v>
      </c>
      <c r="L1006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14.694322</v>
      </c>
      <c r="M1006" s="228">
        <f>IF(Tableau14[[#This Row],[Prix_Unit_HT]]=0,0,Tableau14[[#This Row],[Prix_Unit_HT]]+(Tableau14[[#This Row],[Prix_Unit_HT]]*VLOOKUP(Tableau14[[#This Row],[EAN]],[1]Grille_Tarifs_Modulable!$B$10:$Q$204,16,FALSE)))</f>
        <v>17.6331864</v>
      </c>
      <c r="N1006" s="224">
        <v>6</v>
      </c>
      <c r="O1006" s="228">
        <f>ROUND(Tableau14[[#This Row],[Prix_Unit_HT]],2)*Tableau14[[#This Row],[Qte_commande]]</f>
        <v>88.14</v>
      </c>
      <c r="P1006" s="228">
        <f>ROUND(Tableau14[[#This Row],[Prix_Unit_TTC]],2)*Tableau14[[#This Row],[Qte_commande]]</f>
        <v>105.78</v>
      </c>
      <c r="Q1006" s="224">
        <v>6</v>
      </c>
      <c r="R1006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6.0000000000000009</v>
      </c>
      <c r="U1006" s="224"/>
      <c r="V1006" s="224"/>
    </row>
    <row r="1007" spans="1:22" ht="14.65" customHeight="1" x14ac:dyDescent="0.2">
      <c r="A1007" s="225">
        <v>43306</v>
      </c>
      <c r="B1007" s="224" t="s">
        <v>853</v>
      </c>
      <c r="C1007" s="224" t="s">
        <v>202</v>
      </c>
      <c r="D1007" s="224" t="s">
        <v>203</v>
      </c>
      <c r="E1007" s="226"/>
      <c r="G1007" s="224" t="s">
        <v>1</v>
      </c>
      <c r="H1007" s="224" t="s">
        <v>289</v>
      </c>
      <c r="I1007" s="224" t="s">
        <v>44</v>
      </c>
      <c r="J1007" s="224">
        <v>50</v>
      </c>
      <c r="K1007" s="227">
        <f t="array" ref="K1007">IFERROR(INDEX([1]Grille_Tarifs_Modulable!$B$2:$B$204,MATCH(Tableau14[[#This Row],[Designation]]&amp;Tableau14[[#This Row],[CL]],[1]Grille_Tarifs_Modulable!$C$2:$C$204&amp;[1]Grille_Tarifs_Modulable!$F$2:$F$204,0)),0)</f>
        <v>4260270192645</v>
      </c>
      <c r="L1007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25.192506000000002</v>
      </c>
      <c r="M1007" s="228">
        <f>IF(Tableau14[[#This Row],[Prix_Unit_HT]]=0,0,Tableau14[[#This Row],[Prix_Unit_HT]]+(Tableau14[[#This Row],[Prix_Unit_HT]]*VLOOKUP(Tableau14[[#This Row],[EAN]],[1]Grille_Tarifs_Modulable!$B$10:$Q$204,16,FALSE)))</f>
        <v>30.231007200000001</v>
      </c>
      <c r="N1007" s="224">
        <v>6</v>
      </c>
      <c r="O1007" s="228">
        <f>ROUND(Tableau14[[#This Row],[Prix_Unit_HT]],2)*Tableau14[[#This Row],[Qte_commande]]</f>
        <v>151.14000000000001</v>
      </c>
      <c r="P1007" s="228">
        <f>ROUND(Tableau14[[#This Row],[Prix_Unit_TTC]],2)*Tableau14[[#This Row],[Qte_commande]]</f>
        <v>181.38</v>
      </c>
      <c r="Q1007" s="224">
        <v>4.29</v>
      </c>
      <c r="R1007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4.2857142857142856</v>
      </c>
      <c r="U1007" s="224"/>
      <c r="V1007" s="224"/>
    </row>
    <row r="1008" spans="1:22" ht="14.65" customHeight="1" x14ac:dyDescent="0.2">
      <c r="A1008" s="225">
        <v>43306</v>
      </c>
      <c r="B1008" s="224" t="s">
        <v>908</v>
      </c>
      <c r="C1008" s="224" t="s">
        <v>909</v>
      </c>
      <c r="D1008" s="224" t="s">
        <v>209</v>
      </c>
      <c r="E1008" s="226"/>
      <c r="G1008" s="224" t="s">
        <v>13</v>
      </c>
      <c r="H1008" s="224" t="s">
        <v>289</v>
      </c>
      <c r="I1008" s="224" t="s">
        <v>44</v>
      </c>
      <c r="J1008" s="224">
        <v>50</v>
      </c>
      <c r="K1008" s="227">
        <f t="array" ref="K1008">IFERROR(INDEX([1]Grille_Tarifs_Modulable!$B$2:$B$204,MATCH(Tableau14[[#This Row],[Designation]]&amp;Tableau14[[#This Row],[CL]],[1]Grille_Tarifs_Modulable!$C$2:$C$204&amp;[1]Grille_Tarifs_Modulable!$F$2:$F$204,0)),0)</f>
        <v>4260270192645</v>
      </c>
      <c r="L1008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28.052506000000001</v>
      </c>
      <c r="M1008" s="228">
        <f>IF(Tableau14[[#This Row],[Prix_Unit_HT]]=0,0,Tableau14[[#This Row],[Prix_Unit_HT]]+(Tableau14[[#This Row],[Prix_Unit_HT]]*VLOOKUP(Tableau14[[#This Row],[EAN]],[1]Grille_Tarifs_Modulable!$B$10:$Q$204,16,FALSE)))</f>
        <v>33.663007200000003</v>
      </c>
      <c r="N1008" s="224">
        <v>6</v>
      </c>
      <c r="O1008" s="228">
        <f>ROUND(Tableau14[[#This Row],[Prix_Unit_HT]],2)*Tableau14[[#This Row],[Qte_commande]]</f>
        <v>168.3</v>
      </c>
      <c r="P1008" s="228">
        <f>ROUND(Tableau14[[#This Row],[Prix_Unit_TTC]],2)*Tableau14[[#This Row],[Qte_commande]]</f>
        <v>201.95999999999998</v>
      </c>
      <c r="Q1008" s="224">
        <v>4.29</v>
      </c>
      <c r="R1008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4.2857142857142856</v>
      </c>
      <c r="U1008" s="224"/>
      <c r="V1008" s="224"/>
    </row>
    <row r="1009" spans="1:22" ht="14.65" customHeight="1" x14ac:dyDescent="0.2">
      <c r="A1009" s="225">
        <v>43306</v>
      </c>
      <c r="B1009" s="224" t="s">
        <v>701</v>
      </c>
      <c r="C1009" s="224" t="s">
        <v>651</v>
      </c>
      <c r="D1009" s="224" t="s">
        <v>652</v>
      </c>
      <c r="E1009" s="226"/>
      <c r="G1009" s="224" t="s">
        <v>13</v>
      </c>
      <c r="H1009" s="224" t="s">
        <v>289</v>
      </c>
      <c r="I1009" s="224" t="s">
        <v>24</v>
      </c>
      <c r="J1009" s="224">
        <v>70</v>
      </c>
      <c r="K1009" s="227">
        <f t="array" ref="K1009">IFERROR(INDEX([1]Grille_Tarifs_Modulable!$B$2:$B$204,MATCH(Tableau14[[#This Row],[Designation]]&amp;Tableau14[[#This Row],[CL]],[1]Grille_Tarifs_Modulable!$C$2:$C$204&amp;[1]Grille_Tarifs_Modulable!$F$2:$F$204,0)),0)</f>
        <v>8500000917008</v>
      </c>
      <c r="L1009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11.528211800000001</v>
      </c>
      <c r="M1009" s="228">
        <f>IF(Tableau14[[#This Row],[Prix_Unit_HT]]=0,0,Tableau14[[#This Row],[Prix_Unit_HT]]+(Tableau14[[#This Row],[Prix_Unit_HT]]*VLOOKUP(Tableau14[[#This Row],[EAN]],[1]Grille_Tarifs_Modulable!$B$10:$Q$204,16,FALSE)))</f>
        <v>13.833854160000001</v>
      </c>
      <c r="N1009" s="224">
        <v>12</v>
      </c>
      <c r="O1009" s="228">
        <f>ROUND(Tableau14[[#This Row],[Prix_Unit_HT]],2)*Tableau14[[#This Row],[Qte_commande]]</f>
        <v>138.35999999999999</v>
      </c>
      <c r="P1009" s="228">
        <f>ROUND(Tableau14[[#This Row],[Prix_Unit_TTC]],2)*Tableau14[[#This Row],[Qte_commande]]</f>
        <v>165.96</v>
      </c>
      <c r="Q1009" s="224">
        <v>12</v>
      </c>
      <c r="R1009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12.000000000000002</v>
      </c>
      <c r="U1009" s="224"/>
      <c r="V1009" s="224"/>
    </row>
    <row r="1010" spans="1:22" ht="14.65" customHeight="1" x14ac:dyDescent="0.2">
      <c r="A1010" s="225">
        <v>43306</v>
      </c>
      <c r="B1010" s="224" t="s">
        <v>880</v>
      </c>
      <c r="C1010" s="224" t="s">
        <v>211</v>
      </c>
      <c r="D1010" s="224" t="s">
        <v>212</v>
      </c>
      <c r="E1010" s="226"/>
      <c r="G1010" s="224" t="s">
        <v>1</v>
      </c>
      <c r="H1010" s="224" t="s">
        <v>289</v>
      </c>
      <c r="I1010" s="224" t="s">
        <v>42</v>
      </c>
      <c r="J1010" s="224">
        <v>70</v>
      </c>
      <c r="K1010" s="227">
        <f t="array" ref="K1010">IFERROR(INDEX([1]Grille_Tarifs_Modulable!$B$2:$B$204,MATCH(Tableau14[[#This Row],[Designation]]&amp;Tableau14[[#This Row],[CL]],[1]Grille_Tarifs_Modulable!$C$2:$C$204&amp;[1]Grille_Tarifs_Modulable!$F$2:$F$204,0)),0)</f>
        <v>3257150688009</v>
      </c>
      <c r="L1010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12.556915199999999</v>
      </c>
      <c r="M1010" s="228">
        <f>IF(Tableau14[[#This Row],[Prix_Unit_HT]]=0,0,Tableau14[[#This Row],[Prix_Unit_HT]]+(Tableau14[[#This Row],[Prix_Unit_HT]]*VLOOKUP(Tableau14[[#This Row],[EAN]],[1]Grille_Tarifs_Modulable!$B$10:$Q$204,16,FALSE)))</f>
        <v>15.068298239999999</v>
      </c>
      <c r="N1010" s="224">
        <v>24</v>
      </c>
      <c r="O1010" s="228">
        <f>ROUND(Tableau14[[#This Row],[Prix_Unit_HT]],2)*Tableau14[[#This Row],[Qte_commande]]</f>
        <v>301.44</v>
      </c>
      <c r="P1010" s="228">
        <f>ROUND(Tableau14[[#This Row],[Prix_Unit_TTC]],2)*Tableau14[[#This Row],[Qte_commande]]</f>
        <v>361.68</v>
      </c>
      <c r="Q1010" s="224">
        <v>24</v>
      </c>
      <c r="R1010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24.000000000000004</v>
      </c>
      <c r="U1010" s="224"/>
      <c r="V1010" s="224"/>
    </row>
    <row r="1011" spans="1:22" ht="14.65" customHeight="1" x14ac:dyDescent="0.2">
      <c r="A1011" s="225">
        <v>43306</v>
      </c>
      <c r="B1011" s="224" t="s">
        <v>700</v>
      </c>
      <c r="C1011" s="224" t="s">
        <v>639</v>
      </c>
      <c r="D1011" s="224" t="s">
        <v>373</v>
      </c>
      <c r="E1011" s="226"/>
      <c r="G1011" s="224" t="s">
        <v>1</v>
      </c>
      <c r="H1011" s="224" t="s">
        <v>289</v>
      </c>
      <c r="I1011" s="224" t="s">
        <v>42</v>
      </c>
      <c r="J1011" s="224">
        <v>70</v>
      </c>
      <c r="K1011" s="227">
        <f t="array" ref="K1011">IFERROR(INDEX([1]Grille_Tarifs_Modulable!$B$2:$B$204,MATCH(Tableau14[[#This Row],[Designation]]&amp;Tableau14[[#This Row],[CL]],[1]Grille_Tarifs_Modulable!$C$2:$C$204&amp;[1]Grille_Tarifs_Modulable!$F$2:$F$204,0)),0)</f>
        <v>3257150688009</v>
      </c>
      <c r="L1011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12.556915199999999</v>
      </c>
      <c r="M1011" s="228">
        <f>IF(Tableau14[[#This Row],[Prix_Unit_HT]]=0,0,Tableau14[[#This Row],[Prix_Unit_HT]]+(Tableau14[[#This Row],[Prix_Unit_HT]]*VLOOKUP(Tableau14[[#This Row],[EAN]],[1]Grille_Tarifs_Modulable!$B$10:$Q$204,16,FALSE)))</f>
        <v>15.068298239999999</v>
      </c>
      <c r="N1011" s="224">
        <v>24</v>
      </c>
      <c r="O1011" s="228">
        <f>ROUND(Tableau14[[#This Row],[Prix_Unit_HT]],2)*Tableau14[[#This Row],[Qte_commande]]</f>
        <v>301.44</v>
      </c>
      <c r="P1011" s="228">
        <f>ROUND(Tableau14[[#This Row],[Prix_Unit_TTC]],2)*Tableau14[[#This Row],[Qte_commande]]</f>
        <v>361.68</v>
      </c>
      <c r="Q1011" s="224">
        <v>24</v>
      </c>
      <c r="R1011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24.000000000000004</v>
      </c>
      <c r="U1011" s="224"/>
      <c r="V1011" s="224"/>
    </row>
    <row r="1012" spans="1:22" ht="14.65" customHeight="1" x14ac:dyDescent="0.2">
      <c r="A1012" s="225">
        <v>43306</v>
      </c>
      <c r="B1012" s="224" t="s">
        <v>908</v>
      </c>
      <c r="C1012" s="224" t="s">
        <v>909</v>
      </c>
      <c r="D1012" s="224" t="s">
        <v>209</v>
      </c>
      <c r="E1012" s="226"/>
      <c r="G1012" s="224" t="s">
        <v>13</v>
      </c>
      <c r="H1012" s="224" t="s">
        <v>196</v>
      </c>
      <c r="I1012" s="224" t="s">
        <v>64</v>
      </c>
      <c r="J1012" s="224">
        <v>20</v>
      </c>
      <c r="K1012" s="227">
        <f t="array" ref="K1012">IFERROR(INDEX([1]Grille_Tarifs_Modulable!$B$2:$B$204,MATCH(Tableau14[[#This Row],[Designation]]&amp;Tableau14[[#This Row],[CL]],[1]Grille_Tarifs_Modulable!$C$2:$C$204&amp;[1]Grille_Tarifs_Modulable!$F$2:$F$204,0)),0)</f>
        <v>4260310553849</v>
      </c>
      <c r="L1012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0.89</v>
      </c>
      <c r="M1012" s="228">
        <f>IF(Tableau14[[#This Row],[Prix_Unit_HT]]=0,0,Tableau14[[#This Row],[Prix_Unit_HT]]+(Tableau14[[#This Row],[Prix_Unit_HT]]*VLOOKUP(Tableau14[[#This Row],[EAN]],[1]Grille_Tarifs_Modulable!$B$10:$Q$204,16,FALSE)))</f>
        <v>0.93895000000000006</v>
      </c>
      <c r="N1012" s="224">
        <v>24</v>
      </c>
      <c r="O1012" s="228">
        <f>ROUND(Tableau14[[#This Row],[Prix_Unit_HT]],2)*Tableau14[[#This Row],[Qte_commande]]</f>
        <v>21.36</v>
      </c>
      <c r="P1012" s="228">
        <f>ROUND(Tableau14[[#This Row],[Prix_Unit_TTC]],2)*Tableau14[[#This Row],[Qte_commande]]</f>
        <v>22.56</v>
      </c>
      <c r="Q1012" s="224">
        <v>6.86</v>
      </c>
      <c r="R1012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6.8571428571428577</v>
      </c>
      <c r="U1012" s="224"/>
      <c r="V1012" s="224"/>
    </row>
    <row r="1013" spans="1:22" ht="14.65" customHeight="1" x14ac:dyDescent="0.2">
      <c r="A1013" s="225">
        <v>43306</v>
      </c>
      <c r="B1013" s="224" t="s">
        <v>880</v>
      </c>
      <c r="C1013" s="224" t="s">
        <v>211</v>
      </c>
      <c r="D1013" s="224" t="s">
        <v>212</v>
      </c>
      <c r="E1013" s="226"/>
      <c r="G1013" s="224" t="s">
        <v>1</v>
      </c>
      <c r="H1013" s="224" t="s">
        <v>196</v>
      </c>
      <c r="I1013" s="224" t="s">
        <v>59</v>
      </c>
      <c r="J1013" s="224">
        <v>20</v>
      </c>
      <c r="K1013" s="227">
        <f t="array" ref="K1013">IFERROR(INDEX([1]Grille_Tarifs_Modulable!$B$2:$B$204,MATCH(Tableau14[[#This Row],[Designation]]&amp;Tableau14[[#This Row],[CL]],[1]Grille_Tarifs_Modulable!$C$2:$C$204&amp;[1]Grille_Tarifs_Modulable!$F$2:$F$204,0)),0)</f>
        <v>4260310553818</v>
      </c>
      <c r="L1013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0.81</v>
      </c>
      <c r="M1013" s="228">
        <f>IF(Tableau14[[#This Row],[Prix_Unit_HT]]=0,0,Tableau14[[#This Row],[Prix_Unit_HT]]+(Tableau14[[#This Row],[Prix_Unit_HT]]*VLOOKUP(Tableau14[[#This Row],[EAN]],[1]Grille_Tarifs_Modulable!$B$10:$Q$204,16,FALSE)))</f>
        <v>0.85455000000000003</v>
      </c>
      <c r="N1013" s="224">
        <v>144</v>
      </c>
      <c r="O1013" s="228">
        <f>ROUND(Tableau14[[#This Row],[Prix_Unit_HT]],2)*Tableau14[[#This Row],[Qte_commande]]</f>
        <v>116.64000000000001</v>
      </c>
      <c r="P1013" s="228">
        <f>ROUND(Tableau14[[#This Row],[Prix_Unit_TTC]],2)*Tableau14[[#This Row],[Qte_commande]]</f>
        <v>122.39999999999999</v>
      </c>
      <c r="Q1013" s="224">
        <v>41.14</v>
      </c>
      <c r="R1013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41.142857142857146</v>
      </c>
      <c r="U1013" s="224"/>
      <c r="V1013" s="224"/>
    </row>
    <row r="1014" spans="1:22" ht="14.65" customHeight="1" x14ac:dyDescent="0.2">
      <c r="A1014" s="225">
        <v>43313</v>
      </c>
      <c r="B1014" s="224" t="s">
        <v>826</v>
      </c>
      <c r="C1014" s="224" t="s">
        <v>198</v>
      </c>
      <c r="D1014" s="224" t="s">
        <v>199</v>
      </c>
      <c r="E1014" s="226"/>
      <c r="G1014" s="224" t="s">
        <v>1</v>
      </c>
      <c r="H1014" s="224" t="s">
        <v>196</v>
      </c>
      <c r="I1014" s="224" t="s">
        <v>66</v>
      </c>
      <c r="J1014" s="224">
        <v>20</v>
      </c>
      <c r="K1014" s="227">
        <f t="array" ref="K1014">IFERROR(INDEX([1]Grille_Tarifs_Modulable!$B$2:$B$204,MATCH(Tableau14[[#This Row],[Designation]]&amp;Tableau14[[#This Row],[CL]],[1]Grille_Tarifs_Modulable!$C$2:$C$204&amp;[1]Grille_Tarifs_Modulable!$F$2:$F$204,0)),0)</f>
        <v>4260310554785</v>
      </c>
      <c r="L1014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0.81</v>
      </c>
      <c r="M1014" s="228">
        <f>IF(Tableau14[[#This Row],[Prix_Unit_HT]]=0,0,Tableau14[[#This Row],[Prix_Unit_HT]]+(Tableau14[[#This Row],[Prix_Unit_HT]]*VLOOKUP(Tableau14[[#This Row],[EAN]],[1]Grille_Tarifs_Modulable!$B$10:$Q$204,16,FALSE)))</f>
        <v>0.85455000000000003</v>
      </c>
      <c r="N1014" s="224">
        <v>960</v>
      </c>
      <c r="O1014" s="228">
        <f>ROUND(Tableau14[[#This Row],[Prix_Unit_HT]],2)*Tableau14[[#This Row],[Qte_commande]]</f>
        <v>777.6</v>
      </c>
      <c r="P1014" s="228">
        <f>ROUND(Tableau14[[#This Row],[Prix_Unit_TTC]],2)*Tableau14[[#This Row],[Qte_commande]]</f>
        <v>816</v>
      </c>
      <c r="Q1014" s="224">
        <v>274.29000000000002</v>
      </c>
      <c r="R1014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274.28571428571428</v>
      </c>
      <c r="U1014" s="224"/>
      <c r="V1014" s="224"/>
    </row>
    <row r="1015" spans="1:22" ht="14.65" customHeight="1" x14ac:dyDescent="0.2">
      <c r="A1015" s="225">
        <v>43313</v>
      </c>
      <c r="B1015" s="224" t="s">
        <v>826</v>
      </c>
      <c r="C1015" s="224" t="s">
        <v>198</v>
      </c>
      <c r="D1015" s="224" t="s">
        <v>199</v>
      </c>
      <c r="E1015" s="226"/>
      <c r="G1015" s="224" t="s">
        <v>1</v>
      </c>
      <c r="H1015" s="224" t="s">
        <v>196</v>
      </c>
      <c r="I1015" s="224" t="s">
        <v>66</v>
      </c>
      <c r="J1015" s="224">
        <v>20</v>
      </c>
      <c r="K1015" s="227">
        <f t="array" ref="K1015">IFERROR(INDEX([1]Grille_Tarifs_Modulable!$B$2:$B$204,MATCH(Tableau14[[#This Row],[Designation]]&amp;Tableau14[[#This Row],[CL]],[1]Grille_Tarifs_Modulable!$C$2:$C$204&amp;[1]Grille_Tarifs_Modulable!$F$2:$F$204,0)),0)</f>
        <v>4260310554785</v>
      </c>
      <c r="L1015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0.81</v>
      </c>
      <c r="M1015" s="228">
        <f>IF(Tableau14[[#This Row],[Prix_Unit_HT]]=0,0,Tableau14[[#This Row],[Prix_Unit_HT]]+(Tableau14[[#This Row],[Prix_Unit_HT]]*VLOOKUP(Tableau14[[#This Row],[EAN]],[1]Grille_Tarifs_Modulable!$B$10:$Q$204,16,FALSE)))</f>
        <v>0.85455000000000003</v>
      </c>
      <c r="N1015" s="224">
        <v>96</v>
      </c>
      <c r="O1015" s="228">
        <f>ROUND(Tableau14[[#This Row],[Prix_Unit_HT]],2)*Tableau14[[#This Row],[Qte_commande]]</f>
        <v>77.760000000000005</v>
      </c>
      <c r="P1015" s="228">
        <f>ROUND(Tableau14[[#This Row],[Prix_Unit_TTC]],2)*Tableau14[[#This Row],[Qte_commande]]</f>
        <v>81.599999999999994</v>
      </c>
      <c r="Q1015" s="224">
        <v>27.43</v>
      </c>
      <c r="R1015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27.428571428571431</v>
      </c>
      <c r="U1015" s="224"/>
      <c r="V1015" s="224"/>
    </row>
    <row r="1016" spans="1:22" ht="14.65" customHeight="1" x14ac:dyDescent="0.2">
      <c r="A1016" s="225">
        <v>43314</v>
      </c>
      <c r="B1016" s="224" t="s">
        <v>331</v>
      </c>
      <c r="C1016" s="224" t="s">
        <v>205</v>
      </c>
      <c r="D1016" s="224" t="s">
        <v>206</v>
      </c>
      <c r="E1016" s="226"/>
      <c r="G1016" s="224" t="s">
        <v>1</v>
      </c>
      <c r="H1016" s="224" t="s">
        <v>289</v>
      </c>
      <c r="I1016" s="224" t="s">
        <v>22</v>
      </c>
      <c r="J1016" s="224">
        <v>70</v>
      </c>
      <c r="K1016" s="227">
        <f t="array" ref="K1016">IFERROR(INDEX([1]Grille_Tarifs_Modulable!$B$2:$B$204,MATCH(Tableau14[[#This Row],[Designation]]&amp;Tableau14[[#This Row],[CL]],[1]Grille_Tarifs_Modulable!$C$2:$C$204&amp;[1]Grille_Tarifs_Modulable!$F$2:$F$204,0)),0)</f>
        <v>4055800060200</v>
      </c>
      <c r="L1016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17.408644000000002</v>
      </c>
      <c r="M1016" s="228">
        <f>IF(Tableau14[[#This Row],[Prix_Unit_HT]]=0,0,Tableau14[[#This Row],[Prix_Unit_HT]]+(Tableau14[[#This Row],[Prix_Unit_HT]]*VLOOKUP(Tableau14[[#This Row],[EAN]],[1]Grille_Tarifs_Modulable!$B$10:$Q$204,16,FALSE)))</f>
        <v>20.890372800000002</v>
      </c>
      <c r="N1016" s="224">
        <v>6</v>
      </c>
      <c r="O1016" s="228">
        <f>ROUND(Tableau14[[#This Row],[Prix_Unit_HT]],2)*Tableau14[[#This Row],[Qte_commande]]</f>
        <v>104.46000000000001</v>
      </c>
      <c r="P1016" s="228">
        <f>ROUND(Tableau14[[#This Row],[Prix_Unit_TTC]],2)*Tableau14[[#This Row],[Qte_commande]]</f>
        <v>125.34</v>
      </c>
      <c r="Q1016" s="224">
        <v>6</v>
      </c>
      <c r="R1016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6.0000000000000009</v>
      </c>
      <c r="U1016" s="224"/>
      <c r="V1016" s="224"/>
    </row>
    <row r="1017" spans="1:22" ht="14.65" customHeight="1" x14ac:dyDescent="0.2">
      <c r="A1017" s="225">
        <v>43314</v>
      </c>
      <c r="B1017" s="224" t="s">
        <v>331</v>
      </c>
      <c r="C1017" s="224" t="s">
        <v>205</v>
      </c>
      <c r="D1017" s="224" t="s">
        <v>206</v>
      </c>
      <c r="E1017" s="226"/>
      <c r="G1017" s="224" t="s">
        <v>1</v>
      </c>
      <c r="H1017" s="224" t="s">
        <v>289</v>
      </c>
      <c r="I1017" s="224" t="s">
        <v>35</v>
      </c>
      <c r="J1017" s="224">
        <v>70</v>
      </c>
      <c r="K1017" s="227">
        <f t="array" ref="K1017">IFERROR(INDEX([1]Grille_Tarifs_Modulable!$B$2:$B$204,MATCH(Tableau14[[#This Row],[Designation]]&amp;Tableau14[[#This Row],[CL]],[1]Grille_Tarifs_Modulable!$C$2:$C$204&amp;[1]Grille_Tarifs_Modulable!$F$2:$F$204,0)),0)</f>
        <v>3257150107012</v>
      </c>
      <c r="L1017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29.828643999999997</v>
      </c>
      <c r="M1017" s="228">
        <f>IF(Tableau14[[#This Row],[Prix_Unit_HT]]=0,0,Tableau14[[#This Row],[Prix_Unit_HT]]+(Tableau14[[#This Row],[Prix_Unit_HT]]*VLOOKUP(Tableau14[[#This Row],[EAN]],[1]Grille_Tarifs_Modulable!$B$10:$Q$204,16,FALSE)))</f>
        <v>35.794372799999998</v>
      </c>
      <c r="N1017" s="224">
        <v>6</v>
      </c>
      <c r="O1017" s="228">
        <f>ROUND(Tableau14[[#This Row],[Prix_Unit_HT]],2)*Tableau14[[#This Row],[Qte_commande]]</f>
        <v>178.98</v>
      </c>
      <c r="P1017" s="228">
        <f>ROUND(Tableau14[[#This Row],[Prix_Unit_TTC]],2)*Tableau14[[#This Row],[Qte_commande]]</f>
        <v>214.74</v>
      </c>
      <c r="Q1017" s="224">
        <v>6</v>
      </c>
      <c r="R1017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6.0000000000000009</v>
      </c>
      <c r="U1017" s="224"/>
      <c r="V1017" s="224"/>
    </row>
    <row r="1018" spans="1:22" ht="14.65" customHeight="1" x14ac:dyDescent="0.2">
      <c r="A1018" s="225">
        <v>43314</v>
      </c>
      <c r="B1018" s="224" t="s">
        <v>379</v>
      </c>
      <c r="C1018" s="224" t="s">
        <v>380</v>
      </c>
      <c r="D1018" s="224" t="s">
        <v>381</v>
      </c>
      <c r="E1018" s="226"/>
      <c r="G1018" s="224" t="s">
        <v>13</v>
      </c>
      <c r="H1018" s="224" t="s">
        <v>289</v>
      </c>
      <c r="I1018" s="224" t="s">
        <v>35</v>
      </c>
      <c r="J1018" s="224">
        <v>70</v>
      </c>
      <c r="K1018" s="227">
        <f t="array" ref="K1018">IFERROR(INDEX([1]Grille_Tarifs_Modulable!$B$2:$B$204,MATCH(Tableau14[[#This Row],[Designation]]&amp;Tableau14[[#This Row],[CL]],[1]Grille_Tarifs_Modulable!$C$2:$C$204&amp;[1]Grille_Tarifs_Modulable!$F$2:$F$204,0)),0)</f>
        <v>3257150107012</v>
      </c>
      <c r="L1018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32.408644000000002</v>
      </c>
      <c r="M1018" s="228">
        <f>IF(Tableau14[[#This Row],[Prix_Unit_HT]]=0,0,Tableau14[[#This Row],[Prix_Unit_HT]]+(Tableau14[[#This Row],[Prix_Unit_HT]]*VLOOKUP(Tableau14[[#This Row],[EAN]],[1]Grille_Tarifs_Modulable!$B$10:$Q$204,16,FALSE)))</f>
        <v>38.890372800000002</v>
      </c>
      <c r="N1018" s="224">
        <v>6</v>
      </c>
      <c r="O1018" s="228">
        <f>ROUND(Tableau14[[#This Row],[Prix_Unit_HT]],2)*Tableau14[[#This Row],[Qte_commande]]</f>
        <v>194.45999999999998</v>
      </c>
      <c r="P1018" s="228">
        <f>ROUND(Tableau14[[#This Row],[Prix_Unit_TTC]],2)*Tableau14[[#This Row],[Qte_commande]]</f>
        <v>233.34</v>
      </c>
      <c r="Q1018" s="224">
        <v>6</v>
      </c>
      <c r="R1018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6.0000000000000009</v>
      </c>
      <c r="U1018" s="224"/>
      <c r="V1018" s="224"/>
    </row>
    <row r="1019" spans="1:22" ht="14.65" customHeight="1" x14ac:dyDescent="0.2">
      <c r="A1019" s="225">
        <v>43314</v>
      </c>
      <c r="B1019" s="224" t="s">
        <v>379</v>
      </c>
      <c r="C1019" s="224" t="s">
        <v>380</v>
      </c>
      <c r="D1019" s="224" t="s">
        <v>381</v>
      </c>
      <c r="E1019" s="226"/>
      <c r="G1019" s="224" t="s">
        <v>13</v>
      </c>
      <c r="H1019" s="224" t="s">
        <v>289</v>
      </c>
      <c r="I1019" s="224" t="s">
        <v>15</v>
      </c>
      <c r="J1019" s="224">
        <v>70</v>
      </c>
      <c r="K1019" s="227">
        <f t="array" ref="K1019">IFERROR(INDEX([1]Grille_Tarifs_Modulable!$B$2:$B$204,MATCH(Tableau14[[#This Row],[Designation]]&amp;Tableau14[[#This Row],[CL]],[1]Grille_Tarifs_Modulable!$C$2:$C$204&amp;[1]Grille_Tarifs_Modulable!$F$2:$F$204,0)),0)</f>
        <v>4067700013859</v>
      </c>
      <c r="L1019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13.942563499999999</v>
      </c>
      <c r="M1019" s="228">
        <f>IF(Tableau14[[#This Row],[Prix_Unit_HT]]=0,0,Tableau14[[#This Row],[Prix_Unit_HT]]+(Tableau14[[#This Row],[Prix_Unit_HT]]*VLOOKUP(Tableau14[[#This Row],[EAN]],[1]Grille_Tarifs_Modulable!$B$10:$Q$204,16,FALSE)))</f>
        <v>16.731076199999997</v>
      </c>
      <c r="N1019" s="224">
        <v>6</v>
      </c>
      <c r="O1019" s="228">
        <f>ROUND(Tableau14[[#This Row],[Prix_Unit_HT]],2)*Tableau14[[#This Row],[Qte_commande]]</f>
        <v>83.64</v>
      </c>
      <c r="P1019" s="228">
        <f>ROUND(Tableau14[[#This Row],[Prix_Unit_TTC]],2)*Tableau14[[#This Row],[Qte_commande]]</f>
        <v>100.38</v>
      </c>
      <c r="Q1019" s="224">
        <v>6</v>
      </c>
      <c r="R1019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6.0000000000000009</v>
      </c>
      <c r="U1019" s="224"/>
      <c r="V1019" s="224"/>
    </row>
    <row r="1020" spans="1:22" ht="14.65" customHeight="1" x14ac:dyDescent="0.2">
      <c r="A1020" s="225">
        <v>43314</v>
      </c>
      <c r="B1020" s="224" t="s">
        <v>331</v>
      </c>
      <c r="C1020" s="224" t="s">
        <v>205</v>
      </c>
      <c r="D1020" s="224" t="s">
        <v>206</v>
      </c>
      <c r="E1020" s="226"/>
      <c r="G1020" s="224" t="s">
        <v>1</v>
      </c>
      <c r="H1020" s="224" t="s">
        <v>289</v>
      </c>
      <c r="I1020" s="224" t="s">
        <v>30</v>
      </c>
      <c r="J1020" s="224">
        <v>70</v>
      </c>
      <c r="K1020" s="227">
        <f t="array" ref="K1020">IFERROR(INDEX([1]Grille_Tarifs_Modulable!$B$2:$B$204,MATCH(Tableau14[[#This Row],[Designation]]&amp;Tableau14[[#This Row],[CL]],[1]Grille_Tarifs_Modulable!$C$2:$C$204&amp;[1]Grille_Tarifs_Modulable!$F$2:$F$204,0)),0)</f>
        <v>3257150101904</v>
      </c>
      <c r="L1020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16.346482999999999</v>
      </c>
      <c r="M1020" s="228">
        <f>IF(Tableau14[[#This Row],[Prix_Unit_HT]]=0,0,Tableau14[[#This Row],[Prix_Unit_HT]]+(Tableau14[[#This Row],[Prix_Unit_HT]]*VLOOKUP(Tableau14[[#This Row],[EAN]],[1]Grille_Tarifs_Modulable!$B$10:$Q$204,16,FALSE)))</f>
        <v>19.6157796</v>
      </c>
      <c r="N1020" s="224">
        <v>6</v>
      </c>
      <c r="O1020" s="228">
        <f>ROUND(Tableau14[[#This Row],[Prix_Unit_HT]],2)*Tableau14[[#This Row],[Qte_commande]]</f>
        <v>98.100000000000009</v>
      </c>
      <c r="P1020" s="228">
        <f>ROUND(Tableau14[[#This Row],[Prix_Unit_TTC]],2)*Tableau14[[#This Row],[Qte_commande]]</f>
        <v>117.72</v>
      </c>
      <c r="Q1020" s="224">
        <v>6</v>
      </c>
      <c r="R1020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6.0000000000000009</v>
      </c>
      <c r="U1020" s="224"/>
      <c r="V1020" s="224"/>
    </row>
    <row r="1021" spans="1:22" ht="14.65" customHeight="1" x14ac:dyDescent="0.2">
      <c r="A1021" s="225">
        <v>43314</v>
      </c>
      <c r="B1021" s="224" t="s">
        <v>379</v>
      </c>
      <c r="C1021" s="224" t="s">
        <v>380</v>
      </c>
      <c r="D1021" s="224" t="s">
        <v>381</v>
      </c>
      <c r="E1021" s="226"/>
      <c r="G1021" s="224" t="s">
        <v>13</v>
      </c>
      <c r="H1021" s="224" t="s">
        <v>289</v>
      </c>
      <c r="I1021" s="224" t="s">
        <v>36</v>
      </c>
      <c r="J1021" s="224">
        <v>70</v>
      </c>
      <c r="K1021" s="227">
        <f t="array" ref="K1021">IFERROR(INDEX([1]Grille_Tarifs_Modulable!$B$2:$B$204,MATCH(Tableau14[[#This Row],[Designation]]&amp;Tableau14[[#This Row],[CL]],[1]Grille_Tarifs_Modulable!$C$2:$C$204&amp;[1]Grille_Tarifs_Modulable!$F$2:$F$204,0)),0)</f>
        <v>3257150100792</v>
      </c>
      <c r="L1021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78.608643999999998</v>
      </c>
      <c r="M1021" s="228">
        <f>IF(Tableau14[[#This Row],[Prix_Unit_HT]]=0,0,Tableau14[[#This Row],[Prix_Unit_HT]]+(Tableau14[[#This Row],[Prix_Unit_HT]]*VLOOKUP(Tableau14[[#This Row],[EAN]],[1]Grille_Tarifs_Modulable!$B$10:$Q$204,16,FALSE)))</f>
        <v>94.330372799999992</v>
      </c>
      <c r="N1021" s="224">
        <v>2</v>
      </c>
      <c r="O1021" s="228">
        <f>ROUND(Tableau14[[#This Row],[Prix_Unit_HT]],2)*Tableau14[[#This Row],[Qte_commande]]</f>
        <v>157.22</v>
      </c>
      <c r="P1021" s="228">
        <f>ROUND(Tableau14[[#This Row],[Prix_Unit_TTC]],2)*Tableau14[[#This Row],[Qte_commande]]</f>
        <v>188.66</v>
      </c>
      <c r="Q1021" s="224">
        <v>2</v>
      </c>
      <c r="R1021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2</v>
      </c>
      <c r="U1021" s="224"/>
      <c r="V1021" s="224"/>
    </row>
    <row r="1022" spans="1:22" ht="14.65" customHeight="1" x14ac:dyDescent="0.2">
      <c r="A1022" s="225">
        <v>43314</v>
      </c>
      <c r="B1022" s="224" t="s">
        <v>379</v>
      </c>
      <c r="C1022" s="224" t="s">
        <v>380</v>
      </c>
      <c r="D1022" s="224" t="s">
        <v>381</v>
      </c>
      <c r="E1022" s="226"/>
      <c r="G1022" s="224" t="s">
        <v>13</v>
      </c>
      <c r="H1022" s="224" t="s">
        <v>289</v>
      </c>
      <c r="I1022" s="224" t="s">
        <v>31</v>
      </c>
      <c r="J1022" s="224">
        <v>70</v>
      </c>
      <c r="K1022" s="227">
        <f t="array" ref="K1022">IFERROR(INDEX([1]Grille_Tarifs_Modulable!$B$2:$B$204,MATCH(Tableau14[[#This Row],[Designation]]&amp;Tableau14[[#This Row],[CL]],[1]Grille_Tarifs_Modulable!$C$2:$C$204&amp;[1]Grille_Tarifs_Modulable!$F$2:$F$204,0)),0)</f>
        <v>3257150102017</v>
      </c>
      <c r="L1022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16.854322</v>
      </c>
      <c r="M1022" s="228">
        <f>IF(Tableau14[[#This Row],[Prix_Unit_HT]]=0,0,Tableau14[[#This Row],[Prix_Unit_HT]]+(Tableau14[[#This Row],[Prix_Unit_HT]]*VLOOKUP(Tableau14[[#This Row],[EAN]],[1]Grille_Tarifs_Modulable!$B$10:$Q$204,16,FALSE)))</f>
        <v>20.225186399999998</v>
      </c>
      <c r="N1022" s="224">
        <v>6</v>
      </c>
      <c r="O1022" s="228">
        <f>ROUND(Tableau14[[#This Row],[Prix_Unit_HT]],2)*Tableau14[[#This Row],[Qte_commande]]</f>
        <v>101.10000000000001</v>
      </c>
      <c r="P1022" s="228">
        <f>ROUND(Tableau14[[#This Row],[Prix_Unit_TTC]],2)*Tableau14[[#This Row],[Qte_commande]]</f>
        <v>121.38</v>
      </c>
      <c r="Q1022" s="224">
        <v>6</v>
      </c>
      <c r="R1022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6.0000000000000009</v>
      </c>
      <c r="U1022" s="224"/>
      <c r="V1022" s="224"/>
    </row>
    <row r="1023" spans="1:22" ht="14.65" customHeight="1" x14ac:dyDescent="0.2">
      <c r="A1023" s="225">
        <v>43314</v>
      </c>
      <c r="B1023" s="224" t="s">
        <v>331</v>
      </c>
      <c r="C1023" s="224" t="s">
        <v>205</v>
      </c>
      <c r="D1023" s="224" t="s">
        <v>206</v>
      </c>
      <c r="E1023" s="226"/>
      <c r="G1023" s="224" t="s">
        <v>1</v>
      </c>
      <c r="H1023" s="224" t="s">
        <v>289</v>
      </c>
      <c r="I1023" s="224" t="s">
        <v>31</v>
      </c>
      <c r="J1023" s="224">
        <v>70</v>
      </c>
      <c r="K1023" s="227">
        <f t="array" ref="K1023">IFERROR(INDEX([1]Grille_Tarifs_Modulable!$B$2:$B$204,MATCH(Tableau14[[#This Row],[Designation]]&amp;Tableau14[[#This Row],[CL]],[1]Grille_Tarifs_Modulable!$C$2:$C$204&amp;[1]Grille_Tarifs_Modulable!$F$2:$F$204,0)),0)</f>
        <v>3257150102017</v>
      </c>
      <c r="L1023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14.694322</v>
      </c>
      <c r="M1023" s="228">
        <f>IF(Tableau14[[#This Row],[Prix_Unit_HT]]=0,0,Tableau14[[#This Row],[Prix_Unit_HT]]+(Tableau14[[#This Row],[Prix_Unit_HT]]*VLOOKUP(Tableau14[[#This Row],[EAN]],[1]Grille_Tarifs_Modulable!$B$10:$Q$204,16,FALSE)))</f>
        <v>17.6331864</v>
      </c>
      <c r="N1023" s="224">
        <v>6</v>
      </c>
      <c r="O1023" s="228">
        <f>ROUND(Tableau14[[#This Row],[Prix_Unit_HT]],2)*Tableau14[[#This Row],[Qte_commande]]</f>
        <v>88.14</v>
      </c>
      <c r="P1023" s="228">
        <f>ROUND(Tableau14[[#This Row],[Prix_Unit_TTC]],2)*Tableau14[[#This Row],[Qte_commande]]</f>
        <v>105.78</v>
      </c>
      <c r="Q1023" s="224">
        <v>6</v>
      </c>
      <c r="R1023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6.0000000000000009</v>
      </c>
      <c r="U1023" s="224"/>
      <c r="V1023" s="224"/>
    </row>
    <row r="1024" spans="1:22" ht="14.65" customHeight="1" x14ac:dyDescent="0.2">
      <c r="A1024" s="225">
        <v>43314</v>
      </c>
      <c r="B1024" s="224" t="s">
        <v>379</v>
      </c>
      <c r="C1024" s="224" t="s">
        <v>380</v>
      </c>
      <c r="D1024" s="224" t="s">
        <v>381</v>
      </c>
      <c r="E1024" s="226"/>
      <c r="G1024" s="224" t="s">
        <v>13</v>
      </c>
      <c r="H1024" s="224" t="s">
        <v>289</v>
      </c>
      <c r="I1024" s="224" t="s">
        <v>44</v>
      </c>
      <c r="J1024" s="224">
        <v>50</v>
      </c>
      <c r="K1024" s="227">
        <f t="array" ref="K1024">IFERROR(INDEX([1]Grille_Tarifs_Modulable!$B$2:$B$204,MATCH(Tableau14[[#This Row],[Designation]]&amp;Tableau14[[#This Row],[CL]],[1]Grille_Tarifs_Modulable!$C$2:$C$204&amp;[1]Grille_Tarifs_Modulable!$F$2:$F$204,0)),0)</f>
        <v>4260270192645</v>
      </c>
      <c r="L1024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28.052506000000001</v>
      </c>
      <c r="M1024" s="228">
        <f>IF(Tableau14[[#This Row],[Prix_Unit_HT]]=0,0,Tableau14[[#This Row],[Prix_Unit_HT]]+(Tableau14[[#This Row],[Prix_Unit_HT]]*VLOOKUP(Tableau14[[#This Row],[EAN]],[1]Grille_Tarifs_Modulable!$B$10:$Q$204,16,FALSE)))</f>
        <v>33.663007200000003</v>
      </c>
      <c r="N1024" s="224">
        <v>3</v>
      </c>
      <c r="O1024" s="228">
        <f>ROUND(Tableau14[[#This Row],[Prix_Unit_HT]],2)*Tableau14[[#This Row],[Qte_commande]]</f>
        <v>84.15</v>
      </c>
      <c r="P1024" s="228">
        <f>ROUND(Tableau14[[#This Row],[Prix_Unit_TTC]],2)*Tableau14[[#This Row],[Qte_commande]]</f>
        <v>100.97999999999999</v>
      </c>
      <c r="Q1024" s="224">
        <v>2.14</v>
      </c>
      <c r="R1024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2.1428571428571428</v>
      </c>
      <c r="U1024" s="224"/>
      <c r="V1024" s="224"/>
    </row>
    <row r="1025" spans="1:22" ht="14.65" customHeight="1" x14ac:dyDescent="0.2">
      <c r="A1025" s="225">
        <v>43314</v>
      </c>
      <c r="B1025" s="224" t="s">
        <v>379</v>
      </c>
      <c r="C1025" s="224" t="s">
        <v>380</v>
      </c>
      <c r="D1025" s="224" t="s">
        <v>381</v>
      </c>
      <c r="E1025" s="226"/>
      <c r="G1025" s="224" t="s">
        <v>13</v>
      </c>
      <c r="H1025" s="224" t="s">
        <v>196</v>
      </c>
      <c r="I1025" s="224" t="s">
        <v>64</v>
      </c>
      <c r="J1025" s="224">
        <v>20</v>
      </c>
      <c r="K1025" s="227">
        <f t="array" ref="K1025">IFERROR(INDEX([1]Grille_Tarifs_Modulable!$B$2:$B$204,MATCH(Tableau14[[#This Row],[Designation]]&amp;Tableau14[[#This Row],[CL]],[1]Grille_Tarifs_Modulable!$C$2:$C$204&amp;[1]Grille_Tarifs_Modulable!$F$2:$F$204,0)),0)</f>
        <v>4260310553849</v>
      </c>
      <c r="L1025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0.89</v>
      </c>
      <c r="M1025" s="228">
        <f>IF(Tableau14[[#This Row],[Prix_Unit_HT]]=0,0,Tableau14[[#This Row],[Prix_Unit_HT]]+(Tableau14[[#This Row],[Prix_Unit_HT]]*VLOOKUP(Tableau14[[#This Row],[EAN]],[1]Grille_Tarifs_Modulable!$B$10:$Q$204,16,FALSE)))</f>
        <v>0.93895000000000006</v>
      </c>
      <c r="N1025" s="224">
        <v>24</v>
      </c>
      <c r="O1025" s="228">
        <f>ROUND(Tableau14[[#This Row],[Prix_Unit_HT]],2)*Tableau14[[#This Row],[Qte_commande]]</f>
        <v>21.36</v>
      </c>
      <c r="P1025" s="228">
        <f>ROUND(Tableau14[[#This Row],[Prix_Unit_TTC]],2)*Tableau14[[#This Row],[Qte_commande]]</f>
        <v>22.56</v>
      </c>
      <c r="Q1025" s="224">
        <v>6.86</v>
      </c>
      <c r="R1025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6.8571428571428577</v>
      </c>
      <c r="U1025" s="224"/>
      <c r="V1025" s="224"/>
    </row>
    <row r="1026" spans="1:22" ht="14.65" customHeight="1" x14ac:dyDescent="0.2">
      <c r="A1026" s="225">
        <v>43315</v>
      </c>
      <c r="B1026" s="224" t="s">
        <v>827</v>
      </c>
      <c r="C1026" s="224" t="s">
        <v>198</v>
      </c>
      <c r="D1026" s="224" t="s">
        <v>199</v>
      </c>
      <c r="E1026" s="226"/>
      <c r="G1026" s="224" t="s">
        <v>1</v>
      </c>
      <c r="H1026" s="224" t="s">
        <v>196</v>
      </c>
      <c r="I1026" s="224" t="s">
        <v>66</v>
      </c>
      <c r="J1026" s="224">
        <v>20</v>
      </c>
      <c r="K1026" s="227">
        <f t="array" ref="K1026">IFERROR(INDEX([1]Grille_Tarifs_Modulable!$B$2:$B$204,MATCH(Tableau14[[#This Row],[Designation]]&amp;Tableau14[[#This Row],[CL]],[1]Grille_Tarifs_Modulable!$C$2:$C$204&amp;[1]Grille_Tarifs_Modulable!$F$2:$F$204,0)),0)</f>
        <v>4260310554785</v>
      </c>
      <c r="L1026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0.81</v>
      </c>
      <c r="M1026" s="228">
        <f>IF(Tableau14[[#This Row],[Prix_Unit_HT]]=0,0,Tableau14[[#This Row],[Prix_Unit_HT]]+(Tableau14[[#This Row],[Prix_Unit_HT]]*VLOOKUP(Tableau14[[#This Row],[EAN]],[1]Grille_Tarifs_Modulable!$B$10:$Q$204,16,FALSE)))</f>
        <v>0.85455000000000003</v>
      </c>
      <c r="N1026" s="224">
        <v>480</v>
      </c>
      <c r="O1026" s="228">
        <f>ROUND(Tableau14[[#This Row],[Prix_Unit_HT]],2)*Tableau14[[#This Row],[Qte_commande]]</f>
        <v>388.8</v>
      </c>
      <c r="P1026" s="228">
        <f>ROUND(Tableau14[[#This Row],[Prix_Unit_TTC]],2)*Tableau14[[#This Row],[Qte_commande]]</f>
        <v>408</v>
      </c>
      <c r="Q1026" s="224">
        <v>137.13999999999999</v>
      </c>
      <c r="R1026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137.14285714285714</v>
      </c>
      <c r="U1026" s="224"/>
      <c r="V1026" s="224"/>
    </row>
    <row r="1027" spans="1:22" ht="14.65" customHeight="1" x14ac:dyDescent="0.2">
      <c r="A1027" s="225">
        <v>43315</v>
      </c>
      <c r="B1027" s="224" t="s">
        <v>827</v>
      </c>
      <c r="C1027" s="224" t="s">
        <v>198</v>
      </c>
      <c r="D1027" s="224" t="s">
        <v>199</v>
      </c>
      <c r="E1027" s="226"/>
      <c r="G1027" s="224" t="s">
        <v>1</v>
      </c>
      <c r="H1027" s="224" t="s">
        <v>196</v>
      </c>
      <c r="I1027" s="224" t="s">
        <v>66</v>
      </c>
      <c r="J1027" s="224">
        <v>20</v>
      </c>
      <c r="K1027" s="227">
        <f t="array" ref="K1027">IFERROR(INDEX([1]Grille_Tarifs_Modulable!$B$2:$B$204,MATCH(Tableau14[[#This Row],[Designation]]&amp;Tableau14[[#This Row],[CL]],[1]Grille_Tarifs_Modulable!$C$2:$C$204&amp;[1]Grille_Tarifs_Modulable!$F$2:$F$204,0)),0)</f>
        <v>4260310554785</v>
      </c>
      <c r="L1027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0.81</v>
      </c>
      <c r="M1027" s="228">
        <f>IF(Tableau14[[#This Row],[Prix_Unit_HT]]=0,0,Tableau14[[#This Row],[Prix_Unit_HT]]+(Tableau14[[#This Row],[Prix_Unit_HT]]*VLOOKUP(Tableau14[[#This Row],[EAN]],[1]Grille_Tarifs_Modulable!$B$10:$Q$204,16,FALSE)))</f>
        <v>0.85455000000000003</v>
      </c>
      <c r="N1027" s="224">
        <v>48</v>
      </c>
      <c r="O1027" s="228">
        <f>ROUND(Tableau14[[#This Row],[Prix_Unit_HT]],2)*Tableau14[[#This Row],[Qte_commande]]</f>
        <v>38.880000000000003</v>
      </c>
      <c r="P1027" s="228">
        <f>ROUND(Tableau14[[#This Row],[Prix_Unit_TTC]],2)*Tableau14[[#This Row],[Qte_commande]]</f>
        <v>40.799999999999997</v>
      </c>
      <c r="Q1027" s="224">
        <v>13.71</v>
      </c>
      <c r="R1027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13.714285714285715</v>
      </c>
      <c r="U1027" s="224"/>
      <c r="V1027" s="224"/>
    </row>
    <row r="1028" spans="1:22" ht="14.65" customHeight="1" x14ac:dyDescent="0.2">
      <c r="A1028" s="225">
        <v>43315</v>
      </c>
      <c r="B1028" s="224" t="s">
        <v>827</v>
      </c>
      <c r="C1028" s="224" t="s">
        <v>198</v>
      </c>
      <c r="D1028" s="224" t="s">
        <v>199</v>
      </c>
      <c r="E1028" s="226"/>
      <c r="G1028" s="224" t="s">
        <v>1</v>
      </c>
      <c r="H1028" s="224" t="s">
        <v>289</v>
      </c>
      <c r="I1028" s="224" t="s">
        <v>34</v>
      </c>
      <c r="J1028" s="224">
        <v>70</v>
      </c>
      <c r="K1028" s="227">
        <f t="array" ref="K1028">IFERROR(INDEX([1]Grille_Tarifs_Modulable!$B$2:$B$204,MATCH(Tableau14[[#This Row],[Designation]]&amp;Tableau14[[#This Row],[CL]],[1]Grille_Tarifs_Modulable!$C$2:$C$204&amp;[1]Grille_Tarifs_Modulable!$F$2:$F$204,0)),0)</f>
        <v>3257150100167</v>
      </c>
      <c r="L1028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27.618644000000003</v>
      </c>
      <c r="M1028" s="228">
        <f>IF(Tableau14[[#This Row],[Prix_Unit_HT]]=0,0,Tableau14[[#This Row],[Prix_Unit_HT]]+(Tableau14[[#This Row],[Prix_Unit_HT]]*VLOOKUP(Tableau14[[#This Row],[EAN]],[1]Grille_Tarifs_Modulable!$B$10:$Q$204,16,FALSE)))</f>
        <v>33.142372800000004</v>
      </c>
      <c r="N1028" s="224">
        <v>6</v>
      </c>
      <c r="O1028" s="228">
        <f>ROUND(Tableau14[[#This Row],[Prix_Unit_HT]],2)*Tableau14[[#This Row],[Qte_commande]]</f>
        <v>165.72</v>
      </c>
      <c r="P1028" s="228">
        <f>ROUND(Tableau14[[#This Row],[Prix_Unit_TTC]],2)*Tableau14[[#This Row],[Qte_commande]]</f>
        <v>198.84</v>
      </c>
      <c r="Q1028" s="224">
        <v>6</v>
      </c>
      <c r="R1028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6.0000000000000009</v>
      </c>
      <c r="U1028" s="224"/>
      <c r="V1028" s="224"/>
    </row>
    <row r="1029" spans="1:22" ht="14.65" customHeight="1" x14ac:dyDescent="0.2">
      <c r="A1029" s="225">
        <v>43315</v>
      </c>
      <c r="B1029" s="224" t="s">
        <v>827</v>
      </c>
      <c r="C1029" s="224" t="s">
        <v>198</v>
      </c>
      <c r="D1029" s="224" t="s">
        <v>199</v>
      </c>
      <c r="E1029" s="226"/>
      <c r="G1029" s="224" t="s">
        <v>1</v>
      </c>
      <c r="H1029" s="224" t="s">
        <v>289</v>
      </c>
      <c r="I1029" s="224" t="s">
        <v>44</v>
      </c>
      <c r="J1029" s="224">
        <v>50</v>
      </c>
      <c r="K1029" s="227">
        <f t="array" ref="K1029">IFERROR(INDEX([1]Grille_Tarifs_Modulable!$B$2:$B$204,MATCH(Tableau14[[#This Row],[Designation]]&amp;Tableau14[[#This Row],[CL]],[1]Grille_Tarifs_Modulable!$C$2:$C$204&amp;[1]Grille_Tarifs_Modulable!$F$2:$F$204,0)),0)</f>
        <v>4260270192645</v>
      </c>
      <c r="L1029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25.192506000000002</v>
      </c>
      <c r="M1029" s="228">
        <f>IF(Tableau14[[#This Row],[Prix_Unit_HT]]=0,0,Tableau14[[#This Row],[Prix_Unit_HT]]+(Tableau14[[#This Row],[Prix_Unit_HT]]*VLOOKUP(Tableau14[[#This Row],[EAN]],[1]Grille_Tarifs_Modulable!$B$10:$Q$204,16,FALSE)))</f>
        <v>30.231007200000001</v>
      </c>
      <c r="N1029" s="224">
        <v>18</v>
      </c>
      <c r="O1029" s="228">
        <f>ROUND(Tableau14[[#This Row],[Prix_Unit_HT]],2)*Tableau14[[#This Row],[Qte_commande]]</f>
        <v>453.42</v>
      </c>
      <c r="P1029" s="228">
        <f>ROUND(Tableau14[[#This Row],[Prix_Unit_TTC]],2)*Tableau14[[#This Row],[Qte_commande]]</f>
        <v>544.14</v>
      </c>
      <c r="Q1029" s="224">
        <v>12.86</v>
      </c>
      <c r="R1029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12.857142857142858</v>
      </c>
      <c r="U1029" s="224"/>
      <c r="V1029" s="224"/>
    </row>
    <row r="1030" spans="1:22" ht="14.65" customHeight="1" x14ac:dyDescent="0.2">
      <c r="A1030" s="225">
        <v>43318</v>
      </c>
      <c r="B1030" s="224" t="s">
        <v>926</v>
      </c>
      <c r="C1030" s="224" t="s">
        <v>159</v>
      </c>
      <c r="D1030" s="224" t="s">
        <v>209</v>
      </c>
      <c r="E1030" s="226"/>
      <c r="G1030" s="224" t="s">
        <v>1</v>
      </c>
      <c r="H1030" s="224" t="s">
        <v>289</v>
      </c>
      <c r="I1030" s="224" t="s">
        <v>25</v>
      </c>
      <c r="J1030" s="224">
        <v>100</v>
      </c>
      <c r="K1030" s="227">
        <f t="array" ref="K1030">IFERROR(INDEX([1]Grille_Tarifs_Modulable!$B$2:$B$204,MATCH(Tableau14[[#This Row],[Designation]]&amp;Tableau14[[#This Row],[CL]],[1]Grille_Tarifs_Modulable!$C$2:$C$204&amp;[1]Grille_Tarifs_Modulable!$F$2:$F$204,0)),0)</f>
        <v>3257150410167</v>
      </c>
      <c r="L1030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15.778874</v>
      </c>
      <c r="M1030" s="228">
        <f>IF(Tableau14[[#This Row],[Prix_Unit_HT]]=0,0,Tableau14[[#This Row],[Prix_Unit_HT]]+(Tableau14[[#This Row],[Prix_Unit_HT]]*VLOOKUP(Tableau14[[#This Row],[EAN]],[1]Grille_Tarifs_Modulable!$B$10:$Q$204,16,FALSE)))</f>
        <v>18.934648800000002</v>
      </c>
      <c r="N1030" s="224">
        <v>60</v>
      </c>
      <c r="O1030" s="228">
        <f>ROUND(Tableau14[[#This Row],[Prix_Unit_HT]],2)*Tableau14[[#This Row],[Qte_commande]]</f>
        <v>946.8</v>
      </c>
      <c r="P1030" s="228">
        <f>ROUND(Tableau14[[#This Row],[Prix_Unit_TTC]],2)*Tableau14[[#This Row],[Qte_commande]]</f>
        <v>1135.8</v>
      </c>
      <c r="Q1030" s="224">
        <v>85.71</v>
      </c>
      <c r="R1030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85.714285714285722</v>
      </c>
      <c r="U1030" s="224"/>
      <c r="V1030" s="224"/>
    </row>
    <row r="1031" spans="1:22" ht="14.65" customHeight="1" x14ac:dyDescent="0.2">
      <c r="A1031" s="225">
        <v>43321</v>
      </c>
      <c r="B1031" s="224" t="s">
        <v>702</v>
      </c>
      <c r="C1031" s="224" t="s">
        <v>639</v>
      </c>
      <c r="D1031" s="224" t="s">
        <v>373</v>
      </c>
      <c r="E1031" s="226"/>
      <c r="G1031" s="224" t="s">
        <v>1</v>
      </c>
      <c r="H1031" s="224" t="s">
        <v>289</v>
      </c>
      <c r="I1031" s="224" t="s">
        <v>15</v>
      </c>
      <c r="J1031" s="224">
        <v>70</v>
      </c>
      <c r="K1031" s="227">
        <f t="array" ref="K1031">IFERROR(INDEX([1]Grille_Tarifs_Modulable!$B$2:$B$204,MATCH(Tableau14[[#This Row],[Designation]]&amp;Tableau14[[#This Row],[CL]],[1]Grille_Tarifs_Modulable!$C$2:$C$204&amp;[1]Grille_Tarifs_Modulable!$F$2:$F$204,0)),0)</f>
        <v>4067700013859</v>
      </c>
      <c r="L1031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12.532563499999998</v>
      </c>
      <c r="M1031" s="228">
        <f>IF(Tableau14[[#This Row],[Prix_Unit_HT]]=0,0,Tableau14[[#This Row],[Prix_Unit_HT]]+(Tableau14[[#This Row],[Prix_Unit_HT]]*VLOOKUP(Tableau14[[#This Row],[EAN]],[1]Grille_Tarifs_Modulable!$B$10:$Q$204,16,FALSE)))</f>
        <v>15.039076199999998</v>
      </c>
      <c r="N1031" s="224">
        <v>204</v>
      </c>
      <c r="O1031" s="228">
        <f>ROUND(Tableau14[[#This Row],[Prix_Unit_HT]],2)*Tableau14[[#This Row],[Qte_commande]]</f>
        <v>2556.12</v>
      </c>
      <c r="P1031" s="228">
        <f>ROUND(Tableau14[[#This Row],[Prix_Unit_TTC]],2)*Tableau14[[#This Row],[Qte_commande]]</f>
        <v>3068.16</v>
      </c>
      <c r="Q1031" s="224">
        <v>204</v>
      </c>
      <c r="R1031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204.00000000000003</v>
      </c>
      <c r="U1031" s="224"/>
      <c r="V1031" s="224"/>
    </row>
    <row r="1032" spans="1:22" ht="14.65" customHeight="1" x14ac:dyDescent="0.2">
      <c r="A1032" s="225">
        <v>43329</v>
      </c>
      <c r="B1032" s="224" t="s">
        <v>332</v>
      </c>
      <c r="C1032" s="224" t="s">
        <v>198</v>
      </c>
      <c r="D1032" s="224" t="s">
        <v>199</v>
      </c>
      <c r="E1032" s="226"/>
      <c r="G1032" s="224" t="s">
        <v>1</v>
      </c>
      <c r="H1032" s="224" t="s">
        <v>289</v>
      </c>
      <c r="I1032" s="224" t="s">
        <v>22</v>
      </c>
      <c r="J1032" s="224">
        <v>70</v>
      </c>
      <c r="K1032" s="227">
        <f t="array" ref="K1032">IFERROR(INDEX([1]Grille_Tarifs_Modulable!$B$2:$B$204,MATCH(Tableau14[[#This Row],[Designation]]&amp;Tableau14[[#This Row],[CL]],[1]Grille_Tarifs_Modulable!$C$2:$C$204&amp;[1]Grille_Tarifs_Modulable!$F$2:$F$204,0)),0)</f>
        <v>4055800060200</v>
      </c>
      <c r="L1032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17.408644000000002</v>
      </c>
      <c r="M1032" s="228">
        <f>IF(Tableau14[[#This Row],[Prix_Unit_HT]]=0,0,Tableau14[[#This Row],[Prix_Unit_HT]]+(Tableau14[[#This Row],[Prix_Unit_HT]]*VLOOKUP(Tableau14[[#This Row],[EAN]],[1]Grille_Tarifs_Modulable!$B$10:$Q$204,16,FALSE)))</f>
        <v>20.890372800000002</v>
      </c>
      <c r="N1032" s="224">
        <v>6</v>
      </c>
      <c r="O1032" s="228">
        <f>ROUND(Tableau14[[#This Row],[Prix_Unit_HT]],2)*Tableau14[[#This Row],[Qte_commande]]</f>
        <v>104.46000000000001</v>
      </c>
      <c r="P1032" s="228">
        <f>ROUND(Tableau14[[#This Row],[Prix_Unit_TTC]],2)*Tableau14[[#This Row],[Qte_commande]]</f>
        <v>125.34</v>
      </c>
      <c r="Q1032" s="224">
        <v>6</v>
      </c>
      <c r="R1032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6.0000000000000009</v>
      </c>
      <c r="U1032" s="224"/>
      <c r="V1032" s="224"/>
    </row>
    <row r="1033" spans="1:22" ht="14.65" customHeight="1" x14ac:dyDescent="0.2">
      <c r="A1033" s="225">
        <v>43329</v>
      </c>
      <c r="B1033" s="224" t="s">
        <v>332</v>
      </c>
      <c r="C1033" s="224" t="s">
        <v>198</v>
      </c>
      <c r="D1033" s="224" t="s">
        <v>199</v>
      </c>
      <c r="E1033" s="226"/>
      <c r="G1033" s="224" t="s">
        <v>1</v>
      </c>
      <c r="H1033" s="224" t="s">
        <v>289</v>
      </c>
      <c r="I1033" s="224" t="s">
        <v>35</v>
      </c>
      <c r="J1033" s="224">
        <v>70</v>
      </c>
      <c r="K1033" s="227">
        <f t="array" ref="K1033">IFERROR(INDEX([1]Grille_Tarifs_Modulable!$B$2:$B$204,MATCH(Tableau14[[#This Row],[Designation]]&amp;Tableau14[[#This Row],[CL]],[1]Grille_Tarifs_Modulable!$C$2:$C$204&amp;[1]Grille_Tarifs_Modulable!$F$2:$F$204,0)),0)</f>
        <v>3257150107012</v>
      </c>
      <c r="L1033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29.828643999999997</v>
      </c>
      <c r="M1033" s="228">
        <f>IF(Tableau14[[#This Row],[Prix_Unit_HT]]=0,0,Tableau14[[#This Row],[Prix_Unit_HT]]+(Tableau14[[#This Row],[Prix_Unit_HT]]*VLOOKUP(Tableau14[[#This Row],[EAN]],[1]Grille_Tarifs_Modulable!$B$10:$Q$204,16,FALSE)))</f>
        <v>35.794372799999998</v>
      </c>
      <c r="N1033" s="224">
        <v>6</v>
      </c>
      <c r="O1033" s="228">
        <f>ROUND(Tableau14[[#This Row],[Prix_Unit_HT]],2)*Tableau14[[#This Row],[Qte_commande]]</f>
        <v>178.98</v>
      </c>
      <c r="P1033" s="228">
        <f>ROUND(Tableau14[[#This Row],[Prix_Unit_TTC]],2)*Tableau14[[#This Row],[Qte_commande]]</f>
        <v>214.74</v>
      </c>
      <c r="Q1033" s="224">
        <v>6</v>
      </c>
      <c r="R1033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6.0000000000000009</v>
      </c>
      <c r="U1033" s="224"/>
      <c r="V1033" s="224"/>
    </row>
    <row r="1034" spans="1:22" ht="14.65" customHeight="1" x14ac:dyDescent="0.2">
      <c r="A1034" s="225">
        <v>43329</v>
      </c>
      <c r="B1034" s="224" t="s">
        <v>332</v>
      </c>
      <c r="C1034" s="224" t="s">
        <v>198</v>
      </c>
      <c r="D1034" s="224" t="s">
        <v>199</v>
      </c>
      <c r="E1034" s="226"/>
      <c r="G1034" s="224" t="s">
        <v>1</v>
      </c>
      <c r="H1034" s="224" t="s">
        <v>289</v>
      </c>
      <c r="I1034" s="224" t="s">
        <v>15</v>
      </c>
      <c r="J1034" s="224">
        <v>175</v>
      </c>
      <c r="K1034" s="227">
        <f t="array" ref="K1034">IFERROR(INDEX([1]Grille_Tarifs_Modulable!$B$2:$B$204,MATCH(Tableau14[[#This Row],[Designation]]&amp;Tableau14[[#This Row],[CL]],[1]Grille_Tarifs_Modulable!$C$2:$C$204&amp;[1]Grille_Tarifs_Modulable!$F$2:$F$204,0)),0)</f>
        <v>4067700013835</v>
      </c>
      <c r="L1034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28.916408750000002</v>
      </c>
      <c r="M1034" s="228">
        <f>IF(Tableau14[[#This Row],[Prix_Unit_HT]]=0,0,Tableau14[[#This Row],[Prix_Unit_HT]]+(Tableau14[[#This Row],[Prix_Unit_HT]]*VLOOKUP(Tableau14[[#This Row],[EAN]],[1]Grille_Tarifs_Modulable!$B$10:$Q$204,16,FALSE)))</f>
        <v>34.699690500000003</v>
      </c>
      <c r="N1034" s="224">
        <v>36</v>
      </c>
      <c r="O1034" s="228">
        <f>ROUND(Tableau14[[#This Row],[Prix_Unit_HT]],2)*Tableau14[[#This Row],[Qte_commande]]</f>
        <v>1041.1200000000001</v>
      </c>
      <c r="P1034" s="228">
        <f>ROUND(Tableau14[[#This Row],[Prix_Unit_TTC]],2)*Tableau14[[#This Row],[Qte_commande]]</f>
        <v>1249.2</v>
      </c>
      <c r="Q1034" s="224">
        <v>90</v>
      </c>
      <c r="R1034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90</v>
      </c>
      <c r="U1034" s="224"/>
      <c r="V1034" s="224"/>
    </row>
    <row r="1035" spans="1:22" ht="14.65" customHeight="1" x14ac:dyDescent="0.2">
      <c r="A1035" s="225">
        <v>43329</v>
      </c>
      <c r="B1035" s="224" t="s">
        <v>332</v>
      </c>
      <c r="C1035" s="224" t="s">
        <v>198</v>
      </c>
      <c r="D1035" s="224" t="s">
        <v>199</v>
      </c>
      <c r="E1035" s="226"/>
      <c r="G1035" s="224" t="s">
        <v>1</v>
      </c>
      <c r="H1035" s="224" t="s">
        <v>196</v>
      </c>
      <c r="I1035" s="224" t="s">
        <v>66</v>
      </c>
      <c r="J1035" s="224">
        <v>20</v>
      </c>
      <c r="K1035" s="227">
        <f t="array" ref="K1035">IFERROR(INDEX([1]Grille_Tarifs_Modulable!$B$2:$B$204,MATCH(Tableau14[[#This Row],[Designation]]&amp;Tableau14[[#This Row],[CL]],[1]Grille_Tarifs_Modulable!$C$2:$C$204&amp;[1]Grille_Tarifs_Modulable!$F$2:$F$204,0)),0)</f>
        <v>4260310554785</v>
      </c>
      <c r="L1035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0.81</v>
      </c>
      <c r="M1035" s="228">
        <f>IF(Tableau14[[#This Row],[Prix_Unit_HT]]=0,0,Tableau14[[#This Row],[Prix_Unit_HT]]+(Tableau14[[#This Row],[Prix_Unit_HT]]*VLOOKUP(Tableau14[[#This Row],[EAN]],[1]Grille_Tarifs_Modulable!$B$10:$Q$204,16,FALSE)))</f>
        <v>0.85455000000000003</v>
      </c>
      <c r="N1035" s="224">
        <v>240</v>
      </c>
      <c r="O1035" s="228">
        <f>ROUND(Tableau14[[#This Row],[Prix_Unit_HT]],2)*Tableau14[[#This Row],[Qte_commande]]</f>
        <v>194.4</v>
      </c>
      <c r="P1035" s="228">
        <f>ROUND(Tableau14[[#This Row],[Prix_Unit_TTC]],2)*Tableau14[[#This Row],[Qte_commande]]</f>
        <v>204</v>
      </c>
      <c r="Q1035" s="224">
        <v>68.569999999999993</v>
      </c>
      <c r="R1035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68.571428571428569</v>
      </c>
      <c r="U1035" s="224"/>
      <c r="V1035" s="224"/>
    </row>
    <row r="1036" spans="1:22" ht="14.65" customHeight="1" x14ac:dyDescent="0.2">
      <c r="A1036" s="225">
        <v>43329</v>
      </c>
      <c r="B1036" s="224" t="s">
        <v>332</v>
      </c>
      <c r="C1036" s="224" t="s">
        <v>198</v>
      </c>
      <c r="D1036" s="224" t="s">
        <v>199</v>
      </c>
      <c r="E1036" s="226"/>
      <c r="G1036" s="224" t="s">
        <v>1</v>
      </c>
      <c r="H1036" s="224" t="s">
        <v>196</v>
      </c>
      <c r="I1036" s="224" t="s">
        <v>66</v>
      </c>
      <c r="J1036" s="224">
        <v>20</v>
      </c>
      <c r="K1036" s="227">
        <f t="array" ref="K1036">IFERROR(INDEX([1]Grille_Tarifs_Modulable!$B$2:$B$204,MATCH(Tableau14[[#This Row],[Designation]]&amp;Tableau14[[#This Row],[CL]],[1]Grille_Tarifs_Modulable!$C$2:$C$204&amp;[1]Grille_Tarifs_Modulable!$F$2:$F$204,0)),0)</f>
        <v>4260310554785</v>
      </c>
      <c r="L1036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0.81</v>
      </c>
      <c r="M1036" s="228">
        <f>IF(Tableau14[[#This Row],[Prix_Unit_HT]]=0,0,Tableau14[[#This Row],[Prix_Unit_HT]]+(Tableau14[[#This Row],[Prix_Unit_HT]]*VLOOKUP(Tableau14[[#This Row],[EAN]],[1]Grille_Tarifs_Modulable!$B$10:$Q$204,16,FALSE)))</f>
        <v>0.85455000000000003</v>
      </c>
      <c r="N1036" s="224">
        <v>24</v>
      </c>
      <c r="O1036" s="228">
        <f>ROUND(Tableau14[[#This Row],[Prix_Unit_HT]],2)*Tableau14[[#This Row],[Qte_commande]]</f>
        <v>19.440000000000001</v>
      </c>
      <c r="P1036" s="228">
        <f>ROUND(Tableau14[[#This Row],[Prix_Unit_TTC]],2)*Tableau14[[#This Row],[Qte_commande]]</f>
        <v>20.399999999999999</v>
      </c>
      <c r="Q1036" s="224">
        <v>6.86</v>
      </c>
      <c r="R1036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6.8571428571428577</v>
      </c>
      <c r="U1036" s="224"/>
      <c r="V1036" s="224"/>
    </row>
    <row r="1037" spans="1:22" ht="14.65" customHeight="1" x14ac:dyDescent="0.2">
      <c r="A1037" s="225">
        <v>43333</v>
      </c>
      <c r="B1037" s="224" t="s">
        <v>828</v>
      </c>
      <c r="C1037" s="224" t="s">
        <v>823</v>
      </c>
      <c r="D1037" s="224" t="s">
        <v>209</v>
      </c>
      <c r="E1037" s="226"/>
      <c r="G1037" s="224" t="s">
        <v>13</v>
      </c>
      <c r="H1037" s="224" t="s">
        <v>196</v>
      </c>
      <c r="I1037" s="224" t="s">
        <v>66</v>
      </c>
      <c r="J1037" s="224">
        <v>20</v>
      </c>
      <c r="K1037" s="227">
        <f t="array" ref="K1037">IFERROR(INDEX([1]Grille_Tarifs_Modulable!$B$2:$B$204,MATCH(Tableau14[[#This Row],[Designation]]&amp;Tableau14[[#This Row],[CL]],[1]Grille_Tarifs_Modulable!$C$2:$C$204&amp;[1]Grille_Tarifs_Modulable!$F$2:$F$204,0)),0)</f>
        <v>4260310554785</v>
      </c>
      <c r="L1037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0.89</v>
      </c>
      <c r="M1037" s="228">
        <f>IF(Tableau14[[#This Row],[Prix_Unit_HT]]=0,0,Tableau14[[#This Row],[Prix_Unit_HT]]+(Tableau14[[#This Row],[Prix_Unit_HT]]*VLOOKUP(Tableau14[[#This Row],[EAN]],[1]Grille_Tarifs_Modulable!$B$10:$Q$204,16,FALSE)))</f>
        <v>0.93895000000000006</v>
      </c>
      <c r="N1037" s="224">
        <v>240</v>
      </c>
      <c r="O1037" s="228">
        <f>ROUND(Tableau14[[#This Row],[Prix_Unit_HT]],2)*Tableau14[[#This Row],[Qte_commande]]</f>
        <v>213.6</v>
      </c>
      <c r="P1037" s="228">
        <f>ROUND(Tableau14[[#This Row],[Prix_Unit_TTC]],2)*Tableau14[[#This Row],[Qte_commande]]</f>
        <v>225.6</v>
      </c>
      <c r="Q1037" s="224">
        <v>68.569999999999993</v>
      </c>
      <c r="R1037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68.571428571428569</v>
      </c>
      <c r="U1037" s="224"/>
      <c r="V1037" s="224"/>
    </row>
    <row r="1038" spans="1:22" ht="14.65" customHeight="1" x14ac:dyDescent="0.2">
      <c r="A1038" s="225">
        <v>43333</v>
      </c>
      <c r="B1038" s="224" t="s">
        <v>828</v>
      </c>
      <c r="C1038" s="224" t="s">
        <v>823</v>
      </c>
      <c r="D1038" s="224" t="s">
        <v>209</v>
      </c>
      <c r="E1038" s="226"/>
      <c r="G1038" s="224" t="s">
        <v>13</v>
      </c>
      <c r="H1038" s="224" t="s">
        <v>196</v>
      </c>
      <c r="I1038" s="224" t="s">
        <v>66</v>
      </c>
      <c r="J1038" s="224">
        <v>20</v>
      </c>
      <c r="K1038" s="227">
        <f t="array" ref="K1038">IFERROR(INDEX([1]Grille_Tarifs_Modulable!$B$2:$B$204,MATCH(Tableau14[[#This Row],[Designation]]&amp;Tableau14[[#This Row],[CL]],[1]Grille_Tarifs_Modulable!$C$2:$C$204&amp;[1]Grille_Tarifs_Modulable!$F$2:$F$204,0)),0)</f>
        <v>4260310554785</v>
      </c>
      <c r="L1038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0.89</v>
      </c>
      <c r="M1038" s="228">
        <f>IF(Tableau14[[#This Row],[Prix_Unit_HT]]=0,0,Tableau14[[#This Row],[Prix_Unit_HT]]+(Tableau14[[#This Row],[Prix_Unit_HT]]*VLOOKUP(Tableau14[[#This Row],[EAN]],[1]Grille_Tarifs_Modulable!$B$10:$Q$204,16,FALSE)))</f>
        <v>0.93895000000000006</v>
      </c>
      <c r="N1038" s="224">
        <v>24</v>
      </c>
      <c r="O1038" s="228">
        <f>ROUND(Tableau14[[#This Row],[Prix_Unit_HT]],2)*Tableau14[[#This Row],[Qte_commande]]</f>
        <v>21.36</v>
      </c>
      <c r="P1038" s="228">
        <f>ROUND(Tableau14[[#This Row],[Prix_Unit_TTC]],2)*Tableau14[[#This Row],[Qte_commande]]</f>
        <v>22.56</v>
      </c>
      <c r="Q1038" s="224">
        <v>6.86</v>
      </c>
      <c r="R1038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6.8571428571428577</v>
      </c>
      <c r="U1038" s="224"/>
      <c r="V1038" s="224"/>
    </row>
    <row r="1039" spans="1:22" ht="14.65" customHeight="1" x14ac:dyDescent="0.2">
      <c r="A1039" s="225">
        <v>43335</v>
      </c>
      <c r="B1039" s="224" t="s">
        <v>703</v>
      </c>
      <c r="C1039" s="224" t="s">
        <v>194</v>
      </c>
      <c r="D1039" s="224" t="s">
        <v>641</v>
      </c>
      <c r="E1039" s="226"/>
      <c r="G1039" s="224" t="s">
        <v>1</v>
      </c>
      <c r="H1039" s="224" t="s">
        <v>289</v>
      </c>
      <c r="I1039" s="224" t="s">
        <v>15</v>
      </c>
      <c r="J1039" s="224">
        <v>175</v>
      </c>
      <c r="K1039" s="227">
        <f t="array" ref="K1039">IFERROR(INDEX([1]Grille_Tarifs_Modulable!$B$2:$B$204,MATCH(Tableau14[[#This Row],[Designation]]&amp;Tableau14[[#This Row],[CL]],[1]Grille_Tarifs_Modulable!$C$2:$C$204&amp;[1]Grille_Tarifs_Modulable!$F$2:$F$204,0)),0)</f>
        <v>4067700013835</v>
      </c>
      <c r="L1039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28.916408750000002</v>
      </c>
      <c r="M1039" s="228">
        <f>IF(Tableau14[[#This Row],[Prix_Unit_HT]]=0,0,Tableau14[[#This Row],[Prix_Unit_HT]]+(Tableau14[[#This Row],[Prix_Unit_HT]]*VLOOKUP(Tableau14[[#This Row],[EAN]],[1]Grille_Tarifs_Modulable!$B$10:$Q$204,16,FALSE)))</f>
        <v>34.699690500000003</v>
      </c>
      <c r="N1039" s="224">
        <v>60</v>
      </c>
      <c r="O1039" s="228">
        <f>ROUND(Tableau14[[#This Row],[Prix_Unit_HT]],2)*Tableau14[[#This Row],[Qte_commande]]</f>
        <v>1735.2</v>
      </c>
      <c r="P1039" s="228">
        <f>ROUND(Tableau14[[#This Row],[Prix_Unit_TTC]],2)*Tableau14[[#This Row],[Qte_commande]]</f>
        <v>2082</v>
      </c>
      <c r="Q1039" s="224">
        <v>150</v>
      </c>
      <c r="R1039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150</v>
      </c>
      <c r="U1039" s="224"/>
      <c r="V1039" s="224"/>
    </row>
    <row r="1040" spans="1:22" ht="14.65" customHeight="1" x14ac:dyDescent="0.2">
      <c r="A1040" s="225">
        <v>43340</v>
      </c>
      <c r="B1040" s="224" t="s">
        <v>243</v>
      </c>
      <c r="C1040" s="224" t="s">
        <v>232</v>
      </c>
      <c r="D1040" s="224" t="s">
        <v>233</v>
      </c>
      <c r="E1040" s="226"/>
      <c r="G1040" s="224" t="s">
        <v>1</v>
      </c>
      <c r="H1040" s="224" t="s">
        <v>196</v>
      </c>
      <c r="I1040" s="224" t="s">
        <v>62</v>
      </c>
      <c r="J1040" s="224">
        <v>20</v>
      </c>
      <c r="K1040" s="227">
        <f t="array" ref="K1040">IFERROR(INDEX([1]Grille_Tarifs_Modulable!$B$2:$B$204,MATCH(Tableau14[[#This Row],[Designation]]&amp;Tableau14[[#This Row],[CL]],[1]Grille_Tarifs_Modulable!$C$2:$C$204&amp;[1]Grille_Tarifs_Modulable!$F$2:$F$204,0)),0)</f>
        <v>4260310550305</v>
      </c>
      <c r="L1040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0.81</v>
      </c>
      <c r="M1040" s="228">
        <f>IF(Tableau14[[#This Row],[Prix_Unit_HT]]=0,0,Tableau14[[#This Row],[Prix_Unit_HT]]+(Tableau14[[#This Row],[Prix_Unit_HT]]*VLOOKUP(Tableau14[[#This Row],[EAN]],[1]Grille_Tarifs_Modulable!$B$10:$Q$204,16,FALSE)))</f>
        <v>0.85455000000000003</v>
      </c>
      <c r="N1040" s="224">
        <v>288</v>
      </c>
      <c r="O1040" s="228">
        <f>ROUND(Tableau14[[#This Row],[Prix_Unit_HT]],2)*Tableau14[[#This Row],[Qte_commande]]</f>
        <v>233.28000000000003</v>
      </c>
      <c r="P1040" s="228">
        <f>ROUND(Tableau14[[#This Row],[Prix_Unit_TTC]],2)*Tableau14[[#This Row],[Qte_commande]]</f>
        <v>244.79999999999998</v>
      </c>
      <c r="Q1040" s="224">
        <v>82.29</v>
      </c>
      <c r="R1040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82.285714285714292</v>
      </c>
      <c r="U1040" s="224"/>
      <c r="V1040" s="224"/>
    </row>
    <row r="1041" spans="1:22" ht="14.65" customHeight="1" x14ac:dyDescent="0.2">
      <c r="A1041" s="225">
        <v>43340</v>
      </c>
      <c r="B1041" s="224" t="s">
        <v>243</v>
      </c>
      <c r="C1041" s="224" t="s">
        <v>232</v>
      </c>
      <c r="D1041" s="224" t="s">
        <v>233</v>
      </c>
      <c r="E1041" s="226"/>
      <c r="G1041" s="224" t="s">
        <v>1</v>
      </c>
      <c r="H1041" s="224" t="s">
        <v>196</v>
      </c>
      <c r="I1041" s="224" t="s">
        <v>63</v>
      </c>
      <c r="J1041" s="224">
        <v>20</v>
      </c>
      <c r="K1041" s="227">
        <f t="array" ref="K1041">IFERROR(INDEX([1]Grille_Tarifs_Modulable!$B$2:$B$204,MATCH(Tableau14[[#This Row],[Designation]]&amp;Tableau14[[#This Row],[CL]],[1]Grille_Tarifs_Modulable!$C$2:$C$204&amp;[1]Grille_Tarifs_Modulable!$F$2:$F$204,0)),0)</f>
        <v>4260310552941</v>
      </c>
      <c r="L1041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0.81</v>
      </c>
      <c r="M1041" s="228">
        <f>IF(Tableau14[[#This Row],[Prix_Unit_HT]]=0,0,Tableau14[[#This Row],[Prix_Unit_HT]]+(Tableau14[[#This Row],[Prix_Unit_HT]]*VLOOKUP(Tableau14[[#This Row],[EAN]],[1]Grille_Tarifs_Modulable!$B$10:$Q$204,16,FALSE)))</f>
        <v>0.85455000000000003</v>
      </c>
      <c r="N1041" s="224">
        <v>24</v>
      </c>
      <c r="O1041" s="228">
        <f>ROUND(Tableau14[[#This Row],[Prix_Unit_HT]],2)*Tableau14[[#This Row],[Qte_commande]]</f>
        <v>19.440000000000001</v>
      </c>
      <c r="P1041" s="228">
        <f>ROUND(Tableau14[[#This Row],[Prix_Unit_TTC]],2)*Tableau14[[#This Row],[Qte_commande]]</f>
        <v>20.399999999999999</v>
      </c>
      <c r="Q1041" s="224">
        <v>6.86</v>
      </c>
      <c r="R1041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6.8571428571428577</v>
      </c>
      <c r="U1041" s="224"/>
      <c r="V1041" s="224"/>
    </row>
    <row r="1042" spans="1:22" ht="14.65" customHeight="1" x14ac:dyDescent="0.2">
      <c r="A1042" s="225">
        <v>43340</v>
      </c>
      <c r="B1042" s="224" t="s">
        <v>382</v>
      </c>
      <c r="C1042" s="224" t="s">
        <v>383</v>
      </c>
      <c r="D1042" s="224" t="s">
        <v>343</v>
      </c>
      <c r="E1042" s="226"/>
      <c r="G1042" s="224" t="s">
        <v>13</v>
      </c>
      <c r="H1042" s="224" t="s">
        <v>289</v>
      </c>
      <c r="I1042" s="224" t="s">
        <v>35</v>
      </c>
      <c r="J1042" s="224">
        <v>70</v>
      </c>
      <c r="K1042" s="227">
        <f t="array" ref="K1042">IFERROR(INDEX([1]Grille_Tarifs_Modulable!$B$2:$B$204,MATCH(Tableau14[[#This Row],[Designation]]&amp;Tableau14[[#This Row],[CL]],[1]Grille_Tarifs_Modulable!$C$2:$C$204&amp;[1]Grille_Tarifs_Modulable!$F$2:$F$204,0)),0)</f>
        <v>3257150107012</v>
      </c>
      <c r="L1042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32.408644000000002</v>
      </c>
      <c r="M1042" s="228">
        <f>IF(Tableau14[[#This Row],[Prix_Unit_HT]]=0,0,Tableau14[[#This Row],[Prix_Unit_HT]]+(Tableau14[[#This Row],[Prix_Unit_HT]]*VLOOKUP(Tableau14[[#This Row],[EAN]],[1]Grille_Tarifs_Modulable!$B$10:$Q$204,16,FALSE)))</f>
        <v>38.890372800000002</v>
      </c>
      <c r="N1042" s="224">
        <v>6</v>
      </c>
      <c r="O1042" s="228">
        <f>ROUND(Tableau14[[#This Row],[Prix_Unit_HT]],2)*Tableau14[[#This Row],[Qte_commande]]</f>
        <v>194.45999999999998</v>
      </c>
      <c r="P1042" s="228">
        <f>ROUND(Tableau14[[#This Row],[Prix_Unit_TTC]],2)*Tableau14[[#This Row],[Qte_commande]]</f>
        <v>233.34</v>
      </c>
      <c r="Q1042" s="224">
        <v>6</v>
      </c>
      <c r="R1042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6.0000000000000009</v>
      </c>
      <c r="U1042" s="224"/>
      <c r="V1042" s="224"/>
    </row>
    <row r="1043" spans="1:22" ht="14.65" customHeight="1" x14ac:dyDescent="0.2">
      <c r="A1043" s="225">
        <v>43340</v>
      </c>
      <c r="B1043" s="224" t="s">
        <v>243</v>
      </c>
      <c r="C1043" s="224" t="s">
        <v>232</v>
      </c>
      <c r="D1043" s="224" t="s">
        <v>233</v>
      </c>
      <c r="E1043" s="226"/>
      <c r="G1043" s="224" t="s">
        <v>1</v>
      </c>
      <c r="H1043" s="224" t="s">
        <v>289</v>
      </c>
      <c r="I1043" s="224" t="s">
        <v>15</v>
      </c>
      <c r="J1043" s="224">
        <v>175</v>
      </c>
      <c r="K1043" s="227">
        <f t="array" ref="K1043">IFERROR(INDEX([1]Grille_Tarifs_Modulable!$B$2:$B$204,MATCH(Tableau14[[#This Row],[Designation]]&amp;Tableau14[[#This Row],[CL]],[1]Grille_Tarifs_Modulable!$C$2:$C$204&amp;[1]Grille_Tarifs_Modulable!$F$2:$F$204,0)),0)</f>
        <v>4067700013835</v>
      </c>
      <c r="L1043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28.916408750000002</v>
      </c>
      <c r="M1043" s="228">
        <f>IF(Tableau14[[#This Row],[Prix_Unit_HT]]=0,0,Tableau14[[#This Row],[Prix_Unit_HT]]+(Tableau14[[#This Row],[Prix_Unit_HT]]*VLOOKUP(Tableau14[[#This Row],[EAN]],[1]Grille_Tarifs_Modulable!$B$10:$Q$204,16,FALSE)))</f>
        <v>34.699690500000003</v>
      </c>
      <c r="N1043" s="224">
        <v>36</v>
      </c>
      <c r="O1043" s="228">
        <f>ROUND(Tableau14[[#This Row],[Prix_Unit_HT]],2)*Tableau14[[#This Row],[Qte_commande]]</f>
        <v>1041.1200000000001</v>
      </c>
      <c r="P1043" s="228">
        <f>ROUND(Tableau14[[#This Row],[Prix_Unit_TTC]],2)*Tableau14[[#This Row],[Qte_commande]]</f>
        <v>1249.2</v>
      </c>
      <c r="Q1043" s="224">
        <v>90</v>
      </c>
      <c r="R1043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90</v>
      </c>
      <c r="U1043" s="224"/>
      <c r="V1043" s="224"/>
    </row>
    <row r="1044" spans="1:22" ht="14.65" customHeight="1" x14ac:dyDescent="0.2">
      <c r="A1044" s="225">
        <v>43340</v>
      </c>
      <c r="B1044" s="224" t="s">
        <v>243</v>
      </c>
      <c r="C1044" s="224" t="s">
        <v>232</v>
      </c>
      <c r="D1044" s="224" t="s">
        <v>233</v>
      </c>
      <c r="E1044" s="226"/>
      <c r="G1044" s="224" t="s">
        <v>1</v>
      </c>
      <c r="H1044" s="224" t="s">
        <v>196</v>
      </c>
      <c r="I1044" s="224" t="s">
        <v>66</v>
      </c>
      <c r="J1044" s="224">
        <v>20</v>
      </c>
      <c r="K1044" s="227">
        <f t="array" ref="K1044">IFERROR(INDEX([1]Grille_Tarifs_Modulable!$B$2:$B$204,MATCH(Tableau14[[#This Row],[Designation]]&amp;Tableau14[[#This Row],[CL]],[1]Grille_Tarifs_Modulable!$C$2:$C$204&amp;[1]Grille_Tarifs_Modulable!$F$2:$F$204,0)),0)</f>
        <v>4260310554785</v>
      </c>
      <c r="L1044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0.81</v>
      </c>
      <c r="M1044" s="228">
        <f>IF(Tableau14[[#This Row],[Prix_Unit_HT]]=0,0,Tableau14[[#This Row],[Prix_Unit_HT]]+(Tableau14[[#This Row],[Prix_Unit_HT]]*VLOOKUP(Tableau14[[#This Row],[EAN]],[1]Grille_Tarifs_Modulable!$B$10:$Q$204,16,FALSE)))</f>
        <v>0.85455000000000003</v>
      </c>
      <c r="N1044" s="224">
        <v>144</v>
      </c>
      <c r="O1044" s="228">
        <f>ROUND(Tableau14[[#This Row],[Prix_Unit_HT]],2)*Tableau14[[#This Row],[Qte_commande]]</f>
        <v>116.64000000000001</v>
      </c>
      <c r="P1044" s="228">
        <f>ROUND(Tableau14[[#This Row],[Prix_Unit_TTC]],2)*Tableau14[[#This Row],[Qte_commande]]</f>
        <v>122.39999999999999</v>
      </c>
      <c r="Q1044" s="224">
        <v>41.14</v>
      </c>
      <c r="R1044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41.142857142857146</v>
      </c>
      <c r="U1044" s="224"/>
      <c r="V1044" s="224"/>
    </row>
    <row r="1045" spans="1:22" ht="14.65" customHeight="1" x14ac:dyDescent="0.2">
      <c r="A1045" s="225">
        <v>43340</v>
      </c>
      <c r="B1045" s="224" t="s">
        <v>243</v>
      </c>
      <c r="C1045" s="224" t="s">
        <v>232</v>
      </c>
      <c r="D1045" s="224" t="s">
        <v>233</v>
      </c>
      <c r="E1045" s="226"/>
      <c r="G1045" s="224" t="s">
        <v>1</v>
      </c>
      <c r="H1045" s="224" t="s">
        <v>289</v>
      </c>
      <c r="I1045" s="224" t="s">
        <v>44</v>
      </c>
      <c r="J1045" s="224">
        <v>50</v>
      </c>
      <c r="K1045" s="227">
        <f t="array" ref="K1045">IFERROR(INDEX([1]Grille_Tarifs_Modulable!$B$2:$B$204,MATCH(Tableau14[[#This Row],[Designation]]&amp;Tableau14[[#This Row],[CL]],[1]Grille_Tarifs_Modulable!$C$2:$C$204&amp;[1]Grille_Tarifs_Modulable!$F$2:$F$204,0)),0)</f>
        <v>4260270192645</v>
      </c>
      <c r="L1045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25.192506000000002</v>
      </c>
      <c r="M1045" s="228">
        <f>IF(Tableau14[[#This Row],[Prix_Unit_HT]]=0,0,Tableau14[[#This Row],[Prix_Unit_HT]]+(Tableau14[[#This Row],[Prix_Unit_HT]]*VLOOKUP(Tableau14[[#This Row],[EAN]],[1]Grille_Tarifs_Modulable!$B$10:$Q$204,16,FALSE)))</f>
        <v>30.231007200000001</v>
      </c>
      <c r="N1045" s="224">
        <v>12</v>
      </c>
      <c r="O1045" s="228">
        <f>ROUND(Tableau14[[#This Row],[Prix_Unit_HT]],2)*Tableau14[[#This Row],[Qte_commande]]</f>
        <v>302.28000000000003</v>
      </c>
      <c r="P1045" s="228">
        <f>ROUND(Tableau14[[#This Row],[Prix_Unit_TTC]],2)*Tableau14[[#This Row],[Qte_commande]]</f>
        <v>362.76</v>
      </c>
      <c r="Q1045" s="224">
        <v>8.57</v>
      </c>
      <c r="R1045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8.5714285714285712</v>
      </c>
      <c r="U1045" s="224"/>
      <c r="V1045" s="224"/>
    </row>
    <row r="1046" spans="1:22" ht="14.65" customHeight="1" x14ac:dyDescent="0.2">
      <c r="A1046" s="225">
        <v>43340</v>
      </c>
      <c r="B1046" s="224" t="s">
        <v>243</v>
      </c>
      <c r="C1046" s="224" t="s">
        <v>232</v>
      </c>
      <c r="D1046" s="224" t="s">
        <v>233</v>
      </c>
      <c r="E1046" s="226"/>
      <c r="G1046" s="224" t="s">
        <v>1</v>
      </c>
      <c r="H1046" s="224" t="s">
        <v>289</v>
      </c>
      <c r="I1046" s="224" t="s">
        <v>25</v>
      </c>
      <c r="J1046" s="224">
        <v>100</v>
      </c>
      <c r="K1046" s="227">
        <f t="array" ref="K1046">IFERROR(INDEX([1]Grille_Tarifs_Modulable!$B$2:$B$204,MATCH(Tableau14[[#This Row],[Designation]]&amp;Tableau14[[#This Row],[CL]],[1]Grille_Tarifs_Modulable!$C$2:$C$204&amp;[1]Grille_Tarifs_Modulable!$F$2:$F$204,0)),0)</f>
        <v>3257150410167</v>
      </c>
      <c r="L1046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15.778874</v>
      </c>
      <c r="M1046" s="228">
        <f>IF(Tableau14[[#This Row],[Prix_Unit_HT]]=0,0,Tableau14[[#This Row],[Prix_Unit_HT]]+(Tableau14[[#This Row],[Prix_Unit_HT]]*VLOOKUP(Tableau14[[#This Row],[EAN]],[1]Grille_Tarifs_Modulable!$B$10:$Q$204,16,FALSE)))</f>
        <v>18.934648800000002</v>
      </c>
      <c r="N1046" s="224">
        <v>12</v>
      </c>
      <c r="O1046" s="228">
        <f>ROUND(Tableau14[[#This Row],[Prix_Unit_HT]],2)*Tableau14[[#This Row],[Qte_commande]]</f>
        <v>189.35999999999999</v>
      </c>
      <c r="P1046" s="228">
        <f>ROUND(Tableau14[[#This Row],[Prix_Unit_TTC]],2)*Tableau14[[#This Row],[Qte_commande]]</f>
        <v>227.16</v>
      </c>
      <c r="Q1046" s="224">
        <v>17.14</v>
      </c>
      <c r="R1046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17.142857142857142</v>
      </c>
      <c r="U1046" s="224"/>
      <c r="V1046" s="224"/>
    </row>
    <row r="1047" spans="1:22" ht="14.65" customHeight="1" x14ac:dyDescent="0.2">
      <c r="A1047" s="225">
        <v>43340</v>
      </c>
      <c r="B1047" s="224" t="s">
        <v>243</v>
      </c>
      <c r="C1047" s="224" t="s">
        <v>232</v>
      </c>
      <c r="D1047" s="224" t="s">
        <v>233</v>
      </c>
      <c r="E1047" s="226"/>
      <c r="G1047" s="224" t="s">
        <v>1</v>
      </c>
      <c r="H1047" s="224" t="s">
        <v>196</v>
      </c>
      <c r="I1047" s="224" t="s">
        <v>64</v>
      </c>
      <c r="J1047" s="224">
        <v>20</v>
      </c>
      <c r="K1047" s="227">
        <f t="array" ref="K1047">IFERROR(INDEX([1]Grille_Tarifs_Modulable!$B$2:$B$204,MATCH(Tableau14[[#This Row],[Designation]]&amp;Tableau14[[#This Row],[CL]],[1]Grille_Tarifs_Modulable!$C$2:$C$204&amp;[1]Grille_Tarifs_Modulable!$F$2:$F$204,0)),0)</f>
        <v>4260310553849</v>
      </c>
      <c r="L1047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0.81</v>
      </c>
      <c r="M1047" s="228">
        <f>IF(Tableau14[[#This Row],[Prix_Unit_HT]]=0,0,Tableau14[[#This Row],[Prix_Unit_HT]]+(Tableau14[[#This Row],[Prix_Unit_HT]]*VLOOKUP(Tableau14[[#This Row],[EAN]],[1]Grille_Tarifs_Modulable!$B$10:$Q$204,16,FALSE)))</f>
        <v>0.85455000000000003</v>
      </c>
      <c r="N1047" s="224">
        <v>96</v>
      </c>
      <c r="O1047" s="228">
        <f>ROUND(Tableau14[[#This Row],[Prix_Unit_HT]],2)*Tableau14[[#This Row],[Qte_commande]]</f>
        <v>77.760000000000005</v>
      </c>
      <c r="P1047" s="228">
        <f>ROUND(Tableau14[[#This Row],[Prix_Unit_TTC]],2)*Tableau14[[#This Row],[Qte_commande]]</f>
        <v>81.599999999999994</v>
      </c>
      <c r="Q1047" s="224">
        <v>27.43</v>
      </c>
      <c r="R1047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27.428571428571431</v>
      </c>
      <c r="U1047" s="224"/>
      <c r="V1047" s="224"/>
    </row>
    <row r="1048" spans="1:22" ht="14.65" customHeight="1" x14ac:dyDescent="0.2">
      <c r="A1048" s="225">
        <v>43340</v>
      </c>
      <c r="B1048" s="224" t="s">
        <v>382</v>
      </c>
      <c r="C1048" s="224" t="s">
        <v>383</v>
      </c>
      <c r="D1048" s="224" t="s">
        <v>343</v>
      </c>
      <c r="E1048" s="226"/>
      <c r="G1048" s="224" t="s">
        <v>13</v>
      </c>
      <c r="H1048" s="224" t="s">
        <v>196</v>
      </c>
      <c r="I1048" s="224" t="s">
        <v>64</v>
      </c>
      <c r="J1048" s="224">
        <v>20</v>
      </c>
      <c r="K1048" s="227">
        <f t="array" ref="K1048">IFERROR(INDEX([1]Grille_Tarifs_Modulable!$B$2:$B$204,MATCH(Tableau14[[#This Row],[Designation]]&amp;Tableau14[[#This Row],[CL]],[1]Grille_Tarifs_Modulable!$C$2:$C$204&amp;[1]Grille_Tarifs_Modulable!$F$2:$F$204,0)),0)</f>
        <v>4260310553849</v>
      </c>
      <c r="L1048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0.89</v>
      </c>
      <c r="M1048" s="228">
        <f>IF(Tableau14[[#This Row],[Prix_Unit_HT]]=0,0,Tableau14[[#This Row],[Prix_Unit_HT]]+(Tableau14[[#This Row],[Prix_Unit_HT]]*VLOOKUP(Tableau14[[#This Row],[EAN]],[1]Grille_Tarifs_Modulable!$B$10:$Q$204,16,FALSE)))</f>
        <v>0.93895000000000006</v>
      </c>
      <c r="N1048" s="224">
        <v>48</v>
      </c>
      <c r="O1048" s="228">
        <f>ROUND(Tableau14[[#This Row],[Prix_Unit_HT]],2)*Tableau14[[#This Row],[Qte_commande]]</f>
        <v>42.72</v>
      </c>
      <c r="P1048" s="228">
        <f>ROUND(Tableau14[[#This Row],[Prix_Unit_TTC]],2)*Tableau14[[#This Row],[Qte_commande]]</f>
        <v>45.12</v>
      </c>
      <c r="Q1048" s="224">
        <v>13.71</v>
      </c>
      <c r="R1048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13.714285714285715</v>
      </c>
      <c r="U1048" s="224"/>
      <c r="V1048" s="224"/>
    </row>
    <row r="1049" spans="1:22" ht="14.65" customHeight="1" x14ac:dyDescent="0.2">
      <c r="A1049" s="225">
        <v>43340</v>
      </c>
      <c r="B1049" s="224" t="s">
        <v>243</v>
      </c>
      <c r="C1049" s="224" t="s">
        <v>232</v>
      </c>
      <c r="D1049" s="224" t="s">
        <v>233</v>
      </c>
      <c r="E1049" s="226"/>
      <c r="G1049" s="224" t="s">
        <v>1</v>
      </c>
      <c r="H1049" s="224" t="s">
        <v>196</v>
      </c>
      <c r="I1049" s="224" t="s">
        <v>59</v>
      </c>
      <c r="J1049" s="224">
        <v>20</v>
      </c>
      <c r="K1049" s="227">
        <f t="array" ref="K1049">IFERROR(INDEX([1]Grille_Tarifs_Modulable!$B$2:$B$204,MATCH(Tableau14[[#This Row],[Designation]]&amp;Tableau14[[#This Row],[CL]],[1]Grille_Tarifs_Modulable!$C$2:$C$204&amp;[1]Grille_Tarifs_Modulable!$F$2:$F$204,0)),0)</f>
        <v>4260310553818</v>
      </c>
      <c r="L1049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0.81</v>
      </c>
      <c r="M1049" s="228">
        <f>IF(Tableau14[[#This Row],[Prix_Unit_HT]]=0,0,Tableau14[[#This Row],[Prix_Unit_HT]]+(Tableau14[[#This Row],[Prix_Unit_HT]]*VLOOKUP(Tableau14[[#This Row],[EAN]],[1]Grille_Tarifs_Modulable!$B$10:$Q$204,16,FALSE)))</f>
        <v>0.85455000000000003</v>
      </c>
      <c r="N1049" s="224">
        <v>144</v>
      </c>
      <c r="O1049" s="228">
        <f>ROUND(Tableau14[[#This Row],[Prix_Unit_HT]],2)*Tableau14[[#This Row],[Qte_commande]]</f>
        <v>116.64000000000001</v>
      </c>
      <c r="P1049" s="228">
        <f>ROUND(Tableau14[[#This Row],[Prix_Unit_TTC]],2)*Tableau14[[#This Row],[Qte_commande]]</f>
        <v>122.39999999999999</v>
      </c>
      <c r="Q1049" s="224">
        <v>41.14</v>
      </c>
      <c r="R1049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41.142857142857146</v>
      </c>
      <c r="U1049" s="224"/>
      <c r="V1049" s="224"/>
    </row>
    <row r="1050" spans="1:22" ht="14.65" customHeight="1" x14ac:dyDescent="0.2">
      <c r="A1050" s="225">
        <v>43343</v>
      </c>
      <c r="B1050" s="224" t="s">
        <v>384</v>
      </c>
      <c r="C1050" s="224" t="s">
        <v>272</v>
      </c>
      <c r="D1050" s="224" t="s">
        <v>180</v>
      </c>
      <c r="E1050" s="226"/>
      <c r="G1050" s="224" t="s">
        <v>1</v>
      </c>
      <c r="H1050" s="224" t="s">
        <v>289</v>
      </c>
      <c r="I1050" s="224" t="s">
        <v>35</v>
      </c>
      <c r="J1050" s="224">
        <v>70</v>
      </c>
      <c r="K1050" s="227">
        <f t="array" ref="K1050">IFERROR(INDEX([1]Grille_Tarifs_Modulable!$B$2:$B$204,MATCH(Tableau14[[#This Row],[Designation]]&amp;Tableau14[[#This Row],[CL]],[1]Grille_Tarifs_Modulable!$C$2:$C$204&amp;[1]Grille_Tarifs_Modulable!$F$2:$F$204,0)),0)</f>
        <v>3257150107012</v>
      </c>
      <c r="L1050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29.828643999999997</v>
      </c>
      <c r="M1050" s="228">
        <f>IF(Tableau14[[#This Row],[Prix_Unit_HT]]=0,0,Tableau14[[#This Row],[Prix_Unit_HT]]+(Tableau14[[#This Row],[Prix_Unit_HT]]*VLOOKUP(Tableau14[[#This Row],[EAN]],[1]Grille_Tarifs_Modulable!$B$10:$Q$204,16,FALSE)))</f>
        <v>35.794372799999998</v>
      </c>
      <c r="N1050" s="224">
        <v>6</v>
      </c>
      <c r="O1050" s="228">
        <f>ROUND(Tableau14[[#This Row],[Prix_Unit_HT]],2)*Tableau14[[#This Row],[Qte_commande]]</f>
        <v>178.98</v>
      </c>
      <c r="P1050" s="228">
        <f>ROUND(Tableau14[[#This Row],[Prix_Unit_TTC]],2)*Tableau14[[#This Row],[Qte_commande]]</f>
        <v>214.74</v>
      </c>
      <c r="Q1050" s="224">
        <v>6</v>
      </c>
      <c r="R1050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6.0000000000000009</v>
      </c>
      <c r="U1050" s="224"/>
      <c r="V1050" s="224"/>
    </row>
    <row r="1051" spans="1:22" ht="14.65" customHeight="1" x14ac:dyDescent="0.2">
      <c r="A1051" s="225">
        <v>43343</v>
      </c>
      <c r="B1051" s="224" t="s">
        <v>384</v>
      </c>
      <c r="C1051" s="224" t="s">
        <v>272</v>
      </c>
      <c r="D1051" s="224" t="s">
        <v>180</v>
      </c>
      <c r="E1051" s="226"/>
      <c r="G1051" s="224" t="s">
        <v>1</v>
      </c>
      <c r="H1051" s="224" t="s">
        <v>289</v>
      </c>
      <c r="I1051" s="224" t="s">
        <v>47</v>
      </c>
      <c r="J1051" s="224">
        <v>70</v>
      </c>
      <c r="K1051" s="227">
        <f t="array" ref="K1051">IFERROR(INDEX([1]Grille_Tarifs_Modulable!$B$2:$B$204,MATCH(Tableau14[[#This Row],[Designation]]&amp;Tableau14[[#This Row],[CL]],[1]Grille_Tarifs_Modulable!$C$2:$C$204&amp;[1]Grille_Tarifs_Modulable!$F$2:$F$204,0)),0)</f>
        <v>3257150673005</v>
      </c>
      <c r="L1051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20.158644000000002</v>
      </c>
      <c r="M1051" s="228">
        <f>IF(Tableau14[[#This Row],[Prix_Unit_HT]]=0,0,Tableau14[[#This Row],[Prix_Unit_HT]]+(Tableau14[[#This Row],[Prix_Unit_HT]]*VLOOKUP(Tableau14[[#This Row],[EAN]],[1]Grille_Tarifs_Modulable!$B$10:$Q$204,16,FALSE)))</f>
        <v>24.190372800000002</v>
      </c>
      <c r="N1051" s="224">
        <v>2</v>
      </c>
      <c r="O1051" s="228">
        <f>ROUND(Tableau14[[#This Row],[Prix_Unit_HT]],2)*Tableau14[[#This Row],[Qte_commande]]</f>
        <v>40.32</v>
      </c>
      <c r="P1051" s="228">
        <f>ROUND(Tableau14[[#This Row],[Prix_Unit_TTC]],2)*Tableau14[[#This Row],[Qte_commande]]</f>
        <v>48.38</v>
      </c>
      <c r="Q1051" s="224">
        <v>2</v>
      </c>
      <c r="R1051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2</v>
      </c>
      <c r="U1051" s="224"/>
      <c r="V1051" s="224"/>
    </row>
    <row r="1052" spans="1:22" ht="14.65" customHeight="1" x14ac:dyDescent="0.2">
      <c r="A1052" s="225">
        <v>43343</v>
      </c>
      <c r="B1052" s="224" t="s">
        <v>384</v>
      </c>
      <c r="C1052" s="224" t="s">
        <v>272</v>
      </c>
      <c r="D1052" s="224" t="s">
        <v>180</v>
      </c>
      <c r="E1052" s="226"/>
      <c r="G1052" s="224" t="s">
        <v>1</v>
      </c>
      <c r="H1052" s="224" t="s">
        <v>289</v>
      </c>
      <c r="I1052" s="224" t="s">
        <v>15</v>
      </c>
      <c r="J1052" s="224">
        <v>70</v>
      </c>
      <c r="K1052" s="227">
        <f t="array" ref="K1052">IFERROR(INDEX([1]Grille_Tarifs_Modulable!$B$2:$B$204,MATCH(Tableau14[[#This Row],[Designation]]&amp;Tableau14[[#This Row],[CL]],[1]Grille_Tarifs_Modulable!$C$2:$C$204&amp;[1]Grille_Tarifs_Modulable!$F$2:$F$204,0)),0)</f>
        <v>4067700013859</v>
      </c>
      <c r="L1052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12.532563499999998</v>
      </c>
      <c r="M1052" s="228">
        <f>IF(Tableau14[[#This Row],[Prix_Unit_HT]]=0,0,Tableau14[[#This Row],[Prix_Unit_HT]]+(Tableau14[[#This Row],[Prix_Unit_HT]]*VLOOKUP(Tableau14[[#This Row],[EAN]],[1]Grille_Tarifs_Modulable!$B$10:$Q$204,16,FALSE)))</f>
        <v>15.039076199999998</v>
      </c>
      <c r="N1052" s="224">
        <v>6</v>
      </c>
      <c r="O1052" s="228">
        <f>ROUND(Tableau14[[#This Row],[Prix_Unit_HT]],2)*Tableau14[[#This Row],[Qte_commande]]</f>
        <v>75.179999999999993</v>
      </c>
      <c r="P1052" s="228">
        <f>ROUND(Tableau14[[#This Row],[Prix_Unit_TTC]],2)*Tableau14[[#This Row],[Qte_commande]]</f>
        <v>90.24</v>
      </c>
      <c r="Q1052" s="224">
        <v>6</v>
      </c>
      <c r="R1052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6.0000000000000009</v>
      </c>
      <c r="U1052" s="224"/>
      <c r="V1052" s="224"/>
    </row>
    <row r="1053" spans="1:22" ht="14.65" customHeight="1" x14ac:dyDescent="0.2">
      <c r="A1053" s="225">
        <v>43343</v>
      </c>
      <c r="B1053" s="224" t="s">
        <v>384</v>
      </c>
      <c r="C1053" s="224" t="s">
        <v>272</v>
      </c>
      <c r="D1053" s="224" t="s">
        <v>180</v>
      </c>
      <c r="E1053" s="226"/>
      <c r="G1053" s="224" t="s">
        <v>1</v>
      </c>
      <c r="H1053" s="224" t="s">
        <v>196</v>
      </c>
      <c r="I1053" s="224" t="s">
        <v>64</v>
      </c>
      <c r="J1053" s="224">
        <v>20</v>
      </c>
      <c r="K1053" s="227">
        <f t="array" ref="K1053">IFERROR(INDEX([1]Grille_Tarifs_Modulable!$B$2:$B$204,MATCH(Tableau14[[#This Row],[Designation]]&amp;Tableau14[[#This Row],[CL]],[1]Grille_Tarifs_Modulable!$C$2:$C$204&amp;[1]Grille_Tarifs_Modulable!$F$2:$F$204,0)),0)</f>
        <v>4260310553849</v>
      </c>
      <c r="L1053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0.81</v>
      </c>
      <c r="M1053" s="228">
        <f>IF(Tableau14[[#This Row],[Prix_Unit_HT]]=0,0,Tableau14[[#This Row],[Prix_Unit_HT]]+(Tableau14[[#This Row],[Prix_Unit_HT]]*VLOOKUP(Tableau14[[#This Row],[EAN]],[1]Grille_Tarifs_Modulable!$B$10:$Q$204,16,FALSE)))</f>
        <v>0.85455000000000003</v>
      </c>
      <c r="N1053" s="224">
        <v>168</v>
      </c>
      <c r="O1053" s="228">
        <f>ROUND(Tableau14[[#This Row],[Prix_Unit_HT]],2)*Tableau14[[#This Row],[Qte_commande]]</f>
        <v>136.08000000000001</v>
      </c>
      <c r="P1053" s="228">
        <f>ROUND(Tableau14[[#This Row],[Prix_Unit_TTC]],2)*Tableau14[[#This Row],[Qte_commande]]</f>
        <v>142.79999999999998</v>
      </c>
      <c r="Q1053" s="224">
        <v>48</v>
      </c>
      <c r="R1053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48.000000000000007</v>
      </c>
      <c r="U1053" s="224"/>
      <c r="V1053" s="224"/>
    </row>
    <row r="1054" spans="1:22" ht="14.65" customHeight="1" x14ac:dyDescent="0.2">
      <c r="A1054" s="225">
        <v>43348</v>
      </c>
      <c r="B1054" s="224" t="s">
        <v>359</v>
      </c>
      <c r="C1054" s="224" t="s">
        <v>265</v>
      </c>
      <c r="D1054" s="224" t="s">
        <v>266</v>
      </c>
      <c r="E1054" s="226"/>
      <c r="G1054" s="224" t="s">
        <v>1</v>
      </c>
      <c r="H1054" s="224" t="s">
        <v>196</v>
      </c>
      <c r="I1054" s="224" t="s">
        <v>65</v>
      </c>
      <c r="J1054" s="224">
        <v>20</v>
      </c>
      <c r="K1054" s="227">
        <f t="array" ref="K1054">IFERROR(INDEX([1]Grille_Tarifs_Modulable!$B$2:$B$204,MATCH(Tableau14[[#This Row],[Designation]]&amp;Tableau14[[#This Row],[CL]],[1]Grille_Tarifs_Modulable!$C$2:$C$204&amp;[1]Grille_Tarifs_Modulable!$F$2:$F$204,0)),0)</f>
        <v>4260310553863</v>
      </c>
      <c r="L1054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0.81</v>
      </c>
      <c r="M1054" s="228">
        <f>IF(Tableau14[[#This Row],[Prix_Unit_HT]]=0,0,Tableau14[[#This Row],[Prix_Unit_HT]]+(Tableau14[[#This Row],[Prix_Unit_HT]]*VLOOKUP(Tableau14[[#This Row],[EAN]],[1]Grille_Tarifs_Modulable!$B$10:$Q$204,16,FALSE)))</f>
        <v>0.85455000000000003</v>
      </c>
      <c r="N1054" s="224">
        <v>72</v>
      </c>
      <c r="O1054" s="228">
        <f>ROUND(Tableau14[[#This Row],[Prix_Unit_HT]],2)*Tableau14[[#This Row],[Qte_commande]]</f>
        <v>58.320000000000007</v>
      </c>
      <c r="P1054" s="228">
        <f>ROUND(Tableau14[[#This Row],[Prix_Unit_TTC]],2)*Tableau14[[#This Row],[Qte_commande]]</f>
        <v>61.199999999999996</v>
      </c>
      <c r="Q1054" s="224">
        <v>20.57</v>
      </c>
      <c r="R1054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20.571428571428573</v>
      </c>
      <c r="U1054" s="224"/>
      <c r="V1054" s="224"/>
    </row>
    <row r="1055" spans="1:22" ht="14.65" customHeight="1" x14ac:dyDescent="0.2">
      <c r="A1055" s="225">
        <v>43348</v>
      </c>
      <c r="B1055" s="224" t="s">
        <v>359</v>
      </c>
      <c r="C1055" s="224" t="s">
        <v>265</v>
      </c>
      <c r="D1055" s="224" t="s">
        <v>266</v>
      </c>
      <c r="E1055" s="226"/>
      <c r="G1055" s="224" t="s">
        <v>1</v>
      </c>
      <c r="H1055" s="224" t="s">
        <v>196</v>
      </c>
      <c r="I1055" s="224" t="s">
        <v>60</v>
      </c>
      <c r="J1055" s="224">
        <v>20</v>
      </c>
      <c r="K1055" s="227">
        <f t="array" ref="K1055">IFERROR(INDEX([1]Grille_Tarifs_Modulable!$B$2:$B$204,MATCH(Tableau14[[#This Row],[Designation]]&amp;Tableau14[[#This Row],[CL]],[1]Grille_Tarifs_Modulable!$C$2:$C$204&amp;[1]Grille_Tarifs_Modulable!$F$2:$F$204,0)),0)</f>
        <v>4260310553832</v>
      </c>
      <c r="L1055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0.81</v>
      </c>
      <c r="M1055" s="228">
        <f>IF(Tableau14[[#This Row],[Prix_Unit_HT]]=0,0,Tableau14[[#This Row],[Prix_Unit_HT]]+(Tableau14[[#This Row],[Prix_Unit_HT]]*VLOOKUP(Tableau14[[#This Row],[EAN]],[1]Grille_Tarifs_Modulable!$B$10:$Q$204,16,FALSE)))</f>
        <v>0.85455000000000003</v>
      </c>
      <c r="N1055" s="224">
        <v>240</v>
      </c>
      <c r="O1055" s="228">
        <f>ROUND(Tableau14[[#This Row],[Prix_Unit_HT]],2)*Tableau14[[#This Row],[Qte_commande]]</f>
        <v>194.4</v>
      </c>
      <c r="P1055" s="228">
        <f>ROUND(Tableau14[[#This Row],[Prix_Unit_TTC]],2)*Tableau14[[#This Row],[Qte_commande]]</f>
        <v>204</v>
      </c>
      <c r="Q1055" s="224">
        <v>68.569999999999993</v>
      </c>
      <c r="R1055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68.571428571428569</v>
      </c>
      <c r="U1055" s="224"/>
      <c r="V1055" s="224"/>
    </row>
    <row r="1056" spans="1:22" ht="14.65" customHeight="1" x14ac:dyDescent="0.2">
      <c r="A1056" s="225">
        <v>43348</v>
      </c>
      <c r="B1056" s="224" t="s">
        <v>704</v>
      </c>
      <c r="C1056" s="224" t="s">
        <v>530</v>
      </c>
      <c r="D1056" s="224" t="s">
        <v>531</v>
      </c>
      <c r="E1056" s="226"/>
      <c r="G1056" s="224" t="s">
        <v>1</v>
      </c>
      <c r="H1056" s="224" t="s">
        <v>289</v>
      </c>
      <c r="I1056" s="224" t="s">
        <v>15</v>
      </c>
      <c r="J1056" s="224">
        <v>70</v>
      </c>
      <c r="K1056" s="227">
        <f t="array" ref="K1056">IFERROR(INDEX([1]Grille_Tarifs_Modulable!$B$2:$B$204,MATCH(Tableau14[[#This Row],[Designation]]&amp;Tableau14[[#This Row],[CL]],[1]Grille_Tarifs_Modulable!$C$2:$C$204&amp;[1]Grille_Tarifs_Modulable!$F$2:$F$204,0)),0)</f>
        <v>4067700013859</v>
      </c>
      <c r="L1056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12.532563499999998</v>
      </c>
      <c r="M1056" s="228">
        <f>IF(Tableau14[[#This Row],[Prix_Unit_HT]]=0,0,Tableau14[[#This Row],[Prix_Unit_HT]]+(Tableau14[[#This Row],[Prix_Unit_HT]]*VLOOKUP(Tableau14[[#This Row],[EAN]],[1]Grille_Tarifs_Modulable!$B$10:$Q$204,16,FALSE)))</f>
        <v>15.039076199999998</v>
      </c>
      <c r="N1056" s="224">
        <v>150</v>
      </c>
      <c r="O1056" s="228">
        <f>ROUND(Tableau14[[#This Row],[Prix_Unit_HT]],2)*Tableau14[[#This Row],[Qte_commande]]</f>
        <v>1879.5</v>
      </c>
      <c r="P1056" s="228">
        <f>ROUND(Tableau14[[#This Row],[Prix_Unit_TTC]],2)*Tableau14[[#This Row],[Qte_commande]]</f>
        <v>2256</v>
      </c>
      <c r="Q1056" s="224">
        <v>150</v>
      </c>
      <c r="R1056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150</v>
      </c>
      <c r="U1056" s="224"/>
      <c r="V1056" s="224"/>
    </row>
    <row r="1057" spans="1:22" ht="14.65" customHeight="1" x14ac:dyDescent="0.2">
      <c r="A1057" s="225">
        <v>43348</v>
      </c>
      <c r="B1057" s="224" t="s">
        <v>359</v>
      </c>
      <c r="C1057" s="224" t="s">
        <v>265</v>
      </c>
      <c r="D1057" s="224" t="s">
        <v>266</v>
      </c>
      <c r="E1057" s="226"/>
      <c r="G1057" s="224" t="s">
        <v>1</v>
      </c>
      <c r="H1057" s="224" t="s">
        <v>289</v>
      </c>
      <c r="I1057" s="224" t="s">
        <v>15</v>
      </c>
      <c r="J1057" s="224">
        <v>70</v>
      </c>
      <c r="K1057" s="227">
        <f t="array" ref="K1057">IFERROR(INDEX([1]Grille_Tarifs_Modulable!$B$2:$B$204,MATCH(Tableau14[[#This Row],[Designation]]&amp;Tableau14[[#This Row],[CL]],[1]Grille_Tarifs_Modulable!$C$2:$C$204&amp;[1]Grille_Tarifs_Modulable!$F$2:$F$204,0)),0)</f>
        <v>4067700013859</v>
      </c>
      <c r="L1057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12.532563499999998</v>
      </c>
      <c r="M1057" s="228">
        <f>IF(Tableau14[[#This Row],[Prix_Unit_HT]]=0,0,Tableau14[[#This Row],[Prix_Unit_HT]]+(Tableau14[[#This Row],[Prix_Unit_HT]]*VLOOKUP(Tableau14[[#This Row],[EAN]],[1]Grille_Tarifs_Modulable!$B$10:$Q$204,16,FALSE)))</f>
        <v>15.039076199999998</v>
      </c>
      <c r="N1057" s="224">
        <v>240</v>
      </c>
      <c r="O1057" s="228">
        <f>ROUND(Tableau14[[#This Row],[Prix_Unit_HT]],2)*Tableau14[[#This Row],[Qte_commande]]</f>
        <v>3007.2</v>
      </c>
      <c r="P1057" s="228">
        <f>ROUND(Tableau14[[#This Row],[Prix_Unit_TTC]],2)*Tableau14[[#This Row],[Qte_commande]]</f>
        <v>3609.6</v>
      </c>
      <c r="Q1057" s="224">
        <v>240</v>
      </c>
      <c r="R1057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240.00000000000003</v>
      </c>
      <c r="U1057" s="224"/>
      <c r="V1057" s="224"/>
    </row>
    <row r="1058" spans="1:22" ht="14.65" customHeight="1" x14ac:dyDescent="0.2">
      <c r="A1058" s="225">
        <v>43348</v>
      </c>
      <c r="B1058" s="224" t="s">
        <v>359</v>
      </c>
      <c r="C1058" s="224" t="s">
        <v>265</v>
      </c>
      <c r="D1058" s="224" t="s">
        <v>266</v>
      </c>
      <c r="E1058" s="226"/>
      <c r="G1058" s="224" t="s">
        <v>1</v>
      </c>
      <c r="H1058" s="224" t="s">
        <v>289</v>
      </c>
      <c r="I1058" s="224" t="s">
        <v>24</v>
      </c>
      <c r="J1058" s="224">
        <v>70</v>
      </c>
      <c r="K1058" s="227">
        <f t="array" ref="K1058">IFERROR(INDEX([1]Grille_Tarifs_Modulable!$B$2:$B$204,MATCH(Tableau14[[#This Row],[Designation]]&amp;Tableau14[[#This Row],[CL]],[1]Grille_Tarifs_Modulable!$C$2:$C$204&amp;[1]Grille_Tarifs_Modulable!$F$2:$F$204,0)),0)</f>
        <v>8500000917008</v>
      </c>
      <c r="L1058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11.028211800000001</v>
      </c>
      <c r="M1058" s="228">
        <f>IF(Tableau14[[#This Row],[Prix_Unit_HT]]=0,0,Tableau14[[#This Row],[Prix_Unit_HT]]+(Tableau14[[#This Row],[Prix_Unit_HT]]*VLOOKUP(Tableau14[[#This Row],[EAN]],[1]Grille_Tarifs_Modulable!$B$10:$Q$204,16,FALSE)))</f>
        <v>13.233854160000002</v>
      </c>
      <c r="N1058" s="224">
        <v>12</v>
      </c>
      <c r="O1058" s="228">
        <f>ROUND(Tableau14[[#This Row],[Prix_Unit_HT]],2)*Tableau14[[#This Row],[Qte_commande]]</f>
        <v>132.35999999999999</v>
      </c>
      <c r="P1058" s="228">
        <f>ROUND(Tableau14[[#This Row],[Prix_Unit_TTC]],2)*Tableau14[[#This Row],[Qte_commande]]</f>
        <v>158.76</v>
      </c>
      <c r="Q1058" s="224">
        <v>12</v>
      </c>
      <c r="R1058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12.000000000000002</v>
      </c>
      <c r="U1058" s="224"/>
      <c r="V1058" s="224"/>
    </row>
    <row r="1059" spans="1:22" ht="14.65" customHeight="1" x14ac:dyDescent="0.2">
      <c r="A1059" s="225">
        <v>43348</v>
      </c>
      <c r="B1059" s="224" t="s">
        <v>359</v>
      </c>
      <c r="C1059" s="224" t="s">
        <v>265</v>
      </c>
      <c r="D1059" s="224" t="s">
        <v>266</v>
      </c>
      <c r="E1059" s="226"/>
      <c r="G1059" s="224" t="s">
        <v>1</v>
      </c>
      <c r="H1059" s="224" t="s">
        <v>196</v>
      </c>
      <c r="I1059" s="224" t="s">
        <v>64</v>
      </c>
      <c r="J1059" s="224">
        <v>20</v>
      </c>
      <c r="K1059" s="227">
        <f t="array" ref="K1059">IFERROR(INDEX([1]Grille_Tarifs_Modulable!$B$2:$B$204,MATCH(Tableau14[[#This Row],[Designation]]&amp;Tableau14[[#This Row],[CL]],[1]Grille_Tarifs_Modulable!$C$2:$C$204&amp;[1]Grille_Tarifs_Modulable!$F$2:$F$204,0)),0)</f>
        <v>4260310553849</v>
      </c>
      <c r="L1059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0.81</v>
      </c>
      <c r="M1059" s="228">
        <f>IF(Tableau14[[#This Row],[Prix_Unit_HT]]=0,0,Tableau14[[#This Row],[Prix_Unit_HT]]+(Tableau14[[#This Row],[Prix_Unit_HT]]*VLOOKUP(Tableau14[[#This Row],[EAN]],[1]Grille_Tarifs_Modulable!$B$10:$Q$204,16,FALSE)))</f>
        <v>0.85455000000000003</v>
      </c>
      <c r="N1059" s="224">
        <v>48</v>
      </c>
      <c r="O1059" s="228">
        <f>ROUND(Tableau14[[#This Row],[Prix_Unit_HT]],2)*Tableau14[[#This Row],[Qte_commande]]</f>
        <v>38.880000000000003</v>
      </c>
      <c r="P1059" s="228">
        <f>ROUND(Tableau14[[#This Row],[Prix_Unit_TTC]],2)*Tableau14[[#This Row],[Qte_commande]]</f>
        <v>40.799999999999997</v>
      </c>
      <c r="Q1059" s="224">
        <v>13.71</v>
      </c>
      <c r="R1059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13.714285714285715</v>
      </c>
      <c r="U1059" s="224"/>
      <c r="V1059" s="224"/>
    </row>
    <row r="1060" spans="1:22" ht="14.65" customHeight="1" x14ac:dyDescent="0.2">
      <c r="A1060" s="225">
        <v>43348</v>
      </c>
      <c r="B1060" s="224" t="s">
        <v>359</v>
      </c>
      <c r="C1060" s="224" t="s">
        <v>265</v>
      </c>
      <c r="D1060" s="224" t="s">
        <v>266</v>
      </c>
      <c r="E1060" s="226"/>
      <c r="G1060" s="224" t="s">
        <v>1</v>
      </c>
      <c r="H1060" s="224" t="s">
        <v>196</v>
      </c>
      <c r="I1060" s="224" t="s">
        <v>59</v>
      </c>
      <c r="J1060" s="224">
        <v>20</v>
      </c>
      <c r="K1060" s="227">
        <f t="array" ref="K1060">IFERROR(INDEX([1]Grille_Tarifs_Modulable!$B$2:$B$204,MATCH(Tableau14[[#This Row],[Designation]]&amp;Tableau14[[#This Row],[CL]],[1]Grille_Tarifs_Modulable!$C$2:$C$204&amp;[1]Grille_Tarifs_Modulable!$F$2:$F$204,0)),0)</f>
        <v>4260310553818</v>
      </c>
      <c r="L1060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0.81</v>
      </c>
      <c r="M1060" s="228">
        <f>IF(Tableau14[[#This Row],[Prix_Unit_HT]]=0,0,Tableau14[[#This Row],[Prix_Unit_HT]]+(Tableau14[[#This Row],[Prix_Unit_HT]]*VLOOKUP(Tableau14[[#This Row],[EAN]],[1]Grille_Tarifs_Modulable!$B$10:$Q$204,16,FALSE)))</f>
        <v>0.85455000000000003</v>
      </c>
      <c r="N1060" s="224">
        <v>240</v>
      </c>
      <c r="O1060" s="228">
        <f>ROUND(Tableau14[[#This Row],[Prix_Unit_HT]],2)*Tableau14[[#This Row],[Qte_commande]]</f>
        <v>194.4</v>
      </c>
      <c r="P1060" s="228">
        <f>ROUND(Tableau14[[#This Row],[Prix_Unit_TTC]],2)*Tableau14[[#This Row],[Qte_commande]]</f>
        <v>204</v>
      </c>
      <c r="Q1060" s="224">
        <v>68.569999999999993</v>
      </c>
      <c r="R1060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68.571428571428569</v>
      </c>
      <c r="U1060" s="224"/>
      <c r="V1060" s="224"/>
    </row>
    <row r="1061" spans="1:22" ht="14.65" customHeight="1" x14ac:dyDescent="0.2">
      <c r="A1061" s="225">
        <v>43353</v>
      </c>
      <c r="B1061" s="224" t="s">
        <v>705</v>
      </c>
      <c r="C1061" s="224" t="s">
        <v>301</v>
      </c>
      <c r="D1061" s="224" t="s">
        <v>302</v>
      </c>
      <c r="E1061" s="226"/>
      <c r="G1061" s="224" t="s">
        <v>1</v>
      </c>
      <c r="H1061" s="224" t="s">
        <v>289</v>
      </c>
      <c r="I1061" s="224" t="s">
        <v>15</v>
      </c>
      <c r="J1061" s="224">
        <v>100</v>
      </c>
      <c r="K1061" s="227">
        <f t="array" ref="K1061">IFERROR(INDEX([1]Grille_Tarifs_Modulable!$B$2:$B$204,MATCH(Tableau14[[#This Row],[Designation]]&amp;Tableau14[[#This Row],[CL]],[1]Grille_Tarifs_Modulable!$C$2:$C$204&amp;[1]Grille_Tarifs_Modulable!$F$2:$F$204,0)),0)</f>
        <v>4067700013842</v>
      </c>
      <c r="L1061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17.100804999999998</v>
      </c>
      <c r="M1061" s="228">
        <f>IF(Tableau14[[#This Row],[Prix_Unit_HT]]=0,0,Tableau14[[#This Row],[Prix_Unit_HT]]+(Tableau14[[#This Row],[Prix_Unit_HT]]*VLOOKUP(Tableau14[[#This Row],[EAN]],[1]Grille_Tarifs_Modulable!$B$10:$Q$204,16,FALSE)))</f>
        <v>20.520965999999998</v>
      </c>
      <c r="N1061" s="224">
        <v>120</v>
      </c>
      <c r="O1061" s="228">
        <f>ROUND(Tableau14[[#This Row],[Prix_Unit_HT]],2)*Tableau14[[#This Row],[Qte_commande]]</f>
        <v>2052</v>
      </c>
      <c r="P1061" s="228">
        <f>ROUND(Tableau14[[#This Row],[Prix_Unit_TTC]],2)*Tableau14[[#This Row],[Qte_commande]]</f>
        <v>2462.4</v>
      </c>
      <c r="Q1061" s="224">
        <v>171.43</v>
      </c>
      <c r="R1061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171.42857142857144</v>
      </c>
      <c r="U1061" s="224"/>
      <c r="V1061" s="224"/>
    </row>
    <row r="1062" spans="1:22" ht="14.65" customHeight="1" x14ac:dyDescent="0.2">
      <c r="A1062" s="225">
        <v>43353</v>
      </c>
      <c r="B1062" s="224" t="s">
        <v>706</v>
      </c>
      <c r="C1062" s="224" t="s">
        <v>159</v>
      </c>
      <c r="D1062" s="224" t="s">
        <v>209</v>
      </c>
      <c r="E1062" s="226"/>
      <c r="G1062" s="224" t="s">
        <v>1</v>
      </c>
      <c r="H1062" s="224" t="s">
        <v>289</v>
      </c>
      <c r="I1062" s="224" t="s">
        <v>15</v>
      </c>
      <c r="J1062" s="224">
        <v>100</v>
      </c>
      <c r="K1062" s="227">
        <f t="array" ref="K1062">IFERROR(INDEX([1]Grille_Tarifs_Modulable!$B$2:$B$204,MATCH(Tableau14[[#This Row],[Designation]]&amp;Tableau14[[#This Row],[CL]],[1]Grille_Tarifs_Modulable!$C$2:$C$204&amp;[1]Grille_Tarifs_Modulable!$F$2:$F$204,0)),0)</f>
        <v>4067700013842</v>
      </c>
      <c r="L1062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17.100804999999998</v>
      </c>
      <c r="M1062" s="228">
        <f>IF(Tableau14[[#This Row],[Prix_Unit_HT]]=0,0,Tableau14[[#This Row],[Prix_Unit_HT]]+(Tableau14[[#This Row],[Prix_Unit_HT]]*VLOOKUP(Tableau14[[#This Row],[EAN]],[1]Grille_Tarifs_Modulable!$B$10:$Q$204,16,FALSE)))</f>
        <v>20.520965999999998</v>
      </c>
      <c r="N1062" s="224">
        <v>60</v>
      </c>
      <c r="O1062" s="228">
        <f>ROUND(Tableau14[[#This Row],[Prix_Unit_HT]],2)*Tableau14[[#This Row],[Qte_commande]]</f>
        <v>1026</v>
      </c>
      <c r="P1062" s="228">
        <f>ROUND(Tableau14[[#This Row],[Prix_Unit_TTC]],2)*Tableau14[[#This Row],[Qte_commande]]</f>
        <v>1231.2</v>
      </c>
      <c r="Q1062" s="224">
        <v>85.71</v>
      </c>
      <c r="R1062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85.714285714285722</v>
      </c>
      <c r="U1062" s="224"/>
      <c r="V1062" s="224"/>
    </row>
    <row r="1063" spans="1:22" ht="14.65" customHeight="1" x14ac:dyDescent="0.2">
      <c r="A1063" s="225">
        <v>43353</v>
      </c>
      <c r="B1063" s="224" t="s">
        <v>705</v>
      </c>
      <c r="C1063" s="224" t="s">
        <v>301</v>
      </c>
      <c r="D1063" s="224" t="s">
        <v>302</v>
      </c>
      <c r="E1063" s="226"/>
      <c r="G1063" s="224" t="s">
        <v>1</v>
      </c>
      <c r="H1063" s="224" t="s">
        <v>289</v>
      </c>
      <c r="I1063" s="224" t="s">
        <v>32</v>
      </c>
      <c r="J1063" s="224">
        <v>70</v>
      </c>
      <c r="K1063" s="227">
        <f t="array" ref="K1063">IFERROR(INDEX([1]Grille_Tarifs_Modulable!$B$2:$B$204,MATCH(Tableau14[[#This Row],[Designation]]&amp;Tableau14[[#This Row],[CL]],[1]Grille_Tarifs_Modulable!$C$2:$C$204&amp;[1]Grille_Tarifs_Modulable!$F$2:$F$204,0)),0)</f>
        <v>3257150100228</v>
      </c>
      <c r="L1063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19.998643999999999</v>
      </c>
      <c r="M1063" s="228">
        <f>IF(Tableau14[[#This Row],[Prix_Unit_HT]]=0,0,Tableau14[[#This Row],[Prix_Unit_HT]]+(Tableau14[[#This Row],[Prix_Unit_HT]]*VLOOKUP(Tableau14[[#This Row],[EAN]],[1]Grille_Tarifs_Modulable!$B$10:$Q$204,16,FALSE)))</f>
        <v>23.998372799999999</v>
      </c>
      <c r="N1063" s="224">
        <v>6</v>
      </c>
      <c r="O1063" s="228">
        <f>ROUND(Tableau14[[#This Row],[Prix_Unit_HT]],2)*Tableau14[[#This Row],[Qte_commande]]</f>
        <v>120</v>
      </c>
      <c r="P1063" s="228">
        <f>ROUND(Tableau14[[#This Row],[Prix_Unit_TTC]],2)*Tableau14[[#This Row],[Qte_commande]]</f>
        <v>144</v>
      </c>
      <c r="Q1063" s="224">
        <v>6</v>
      </c>
      <c r="R1063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6.0000000000000009</v>
      </c>
      <c r="U1063" s="224"/>
      <c r="V1063" s="224"/>
    </row>
    <row r="1064" spans="1:22" ht="14.65" customHeight="1" x14ac:dyDescent="0.2">
      <c r="A1064" s="225">
        <v>43353</v>
      </c>
      <c r="B1064" s="224" t="s">
        <v>706</v>
      </c>
      <c r="C1064" s="224" t="s">
        <v>159</v>
      </c>
      <c r="D1064" s="224" t="s">
        <v>209</v>
      </c>
      <c r="E1064" s="226"/>
      <c r="G1064" s="224" t="s">
        <v>1</v>
      </c>
      <c r="H1064" s="224" t="s">
        <v>289</v>
      </c>
      <c r="I1064" s="224" t="s">
        <v>32</v>
      </c>
      <c r="J1064" s="224">
        <v>70</v>
      </c>
      <c r="K1064" s="227">
        <f t="array" ref="K1064">IFERROR(INDEX([1]Grille_Tarifs_Modulable!$B$2:$B$204,MATCH(Tableau14[[#This Row],[Designation]]&amp;Tableau14[[#This Row],[CL]],[1]Grille_Tarifs_Modulable!$C$2:$C$204&amp;[1]Grille_Tarifs_Modulable!$F$2:$F$204,0)),0)</f>
        <v>3257150100228</v>
      </c>
      <c r="L1064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19.998643999999999</v>
      </c>
      <c r="M1064" s="228">
        <f>IF(Tableau14[[#This Row],[Prix_Unit_HT]]=0,0,Tableau14[[#This Row],[Prix_Unit_HT]]+(Tableau14[[#This Row],[Prix_Unit_HT]]*VLOOKUP(Tableau14[[#This Row],[EAN]],[1]Grille_Tarifs_Modulable!$B$10:$Q$204,16,FALSE)))</f>
        <v>23.998372799999999</v>
      </c>
      <c r="N1064" s="224">
        <v>6</v>
      </c>
      <c r="O1064" s="228">
        <f>ROUND(Tableau14[[#This Row],[Prix_Unit_HT]],2)*Tableau14[[#This Row],[Qte_commande]]</f>
        <v>120</v>
      </c>
      <c r="P1064" s="228">
        <f>ROUND(Tableau14[[#This Row],[Prix_Unit_TTC]],2)*Tableau14[[#This Row],[Qte_commande]]</f>
        <v>144</v>
      </c>
      <c r="Q1064" s="224">
        <v>6</v>
      </c>
      <c r="R1064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6.0000000000000009</v>
      </c>
      <c r="U1064" s="224"/>
      <c r="V1064" s="224"/>
    </row>
    <row r="1065" spans="1:22" ht="14.65" customHeight="1" x14ac:dyDescent="0.2">
      <c r="A1065" s="225">
        <v>43353</v>
      </c>
      <c r="B1065" s="224" t="s">
        <v>705</v>
      </c>
      <c r="C1065" s="224" t="s">
        <v>301</v>
      </c>
      <c r="D1065" s="224" t="s">
        <v>302</v>
      </c>
      <c r="E1065" s="226"/>
      <c r="G1065" s="224" t="s">
        <v>1</v>
      </c>
      <c r="H1065" s="224" t="s">
        <v>289</v>
      </c>
      <c r="I1065" s="224" t="s">
        <v>31</v>
      </c>
      <c r="J1065" s="224">
        <v>70</v>
      </c>
      <c r="K1065" s="227">
        <f t="array" ref="K1065">IFERROR(INDEX([1]Grille_Tarifs_Modulable!$B$2:$B$204,MATCH(Tableau14[[#This Row],[Designation]]&amp;Tableau14[[#This Row],[CL]],[1]Grille_Tarifs_Modulable!$C$2:$C$204&amp;[1]Grille_Tarifs_Modulable!$F$2:$F$204,0)),0)</f>
        <v>3257150102017</v>
      </c>
      <c r="L1065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14.694322</v>
      </c>
      <c r="M1065" s="228">
        <f>IF(Tableau14[[#This Row],[Prix_Unit_HT]]=0,0,Tableau14[[#This Row],[Prix_Unit_HT]]+(Tableau14[[#This Row],[Prix_Unit_HT]]*VLOOKUP(Tableau14[[#This Row],[EAN]],[1]Grille_Tarifs_Modulable!$B$10:$Q$204,16,FALSE)))</f>
        <v>17.6331864</v>
      </c>
      <c r="N1065" s="224">
        <v>6</v>
      </c>
      <c r="O1065" s="228">
        <f>ROUND(Tableau14[[#This Row],[Prix_Unit_HT]],2)*Tableau14[[#This Row],[Qte_commande]]</f>
        <v>88.14</v>
      </c>
      <c r="P1065" s="228">
        <f>ROUND(Tableau14[[#This Row],[Prix_Unit_TTC]],2)*Tableau14[[#This Row],[Qte_commande]]</f>
        <v>105.78</v>
      </c>
      <c r="Q1065" s="224">
        <v>6</v>
      </c>
      <c r="R1065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6.0000000000000009</v>
      </c>
      <c r="U1065" s="224"/>
      <c r="V1065" s="224"/>
    </row>
    <row r="1066" spans="1:22" ht="14.65" customHeight="1" x14ac:dyDescent="0.2">
      <c r="A1066" s="225">
        <v>43353</v>
      </c>
      <c r="B1066" s="224" t="s">
        <v>706</v>
      </c>
      <c r="C1066" s="224" t="s">
        <v>159</v>
      </c>
      <c r="D1066" s="224" t="s">
        <v>209</v>
      </c>
      <c r="E1066" s="226"/>
      <c r="G1066" s="224" t="s">
        <v>1</v>
      </c>
      <c r="H1066" s="224" t="s">
        <v>289</v>
      </c>
      <c r="I1066" s="224" t="s">
        <v>31</v>
      </c>
      <c r="J1066" s="224">
        <v>70</v>
      </c>
      <c r="K1066" s="227">
        <f t="array" ref="K1066">IFERROR(INDEX([1]Grille_Tarifs_Modulable!$B$2:$B$204,MATCH(Tableau14[[#This Row],[Designation]]&amp;Tableau14[[#This Row],[CL]],[1]Grille_Tarifs_Modulable!$C$2:$C$204&amp;[1]Grille_Tarifs_Modulable!$F$2:$F$204,0)),0)</f>
        <v>3257150102017</v>
      </c>
      <c r="L1066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14.694322</v>
      </c>
      <c r="M1066" s="228">
        <f>IF(Tableau14[[#This Row],[Prix_Unit_HT]]=0,0,Tableau14[[#This Row],[Prix_Unit_HT]]+(Tableau14[[#This Row],[Prix_Unit_HT]]*VLOOKUP(Tableau14[[#This Row],[EAN]],[1]Grille_Tarifs_Modulable!$B$10:$Q$204,16,FALSE)))</f>
        <v>17.6331864</v>
      </c>
      <c r="N1066" s="224">
        <v>6</v>
      </c>
      <c r="O1066" s="228">
        <f>ROUND(Tableau14[[#This Row],[Prix_Unit_HT]],2)*Tableau14[[#This Row],[Qte_commande]]</f>
        <v>88.14</v>
      </c>
      <c r="P1066" s="228">
        <f>ROUND(Tableau14[[#This Row],[Prix_Unit_TTC]],2)*Tableau14[[#This Row],[Qte_commande]]</f>
        <v>105.78</v>
      </c>
      <c r="Q1066" s="224">
        <v>6</v>
      </c>
      <c r="R1066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6.0000000000000009</v>
      </c>
      <c r="U1066" s="224"/>
      <c r="V1066" s="224"/>
    </row>
    <row r="1067" spans="1:22" ht="14.65" customHeight="1" x14ac:dyDescent="0.2">
      <c r="A1067" s="225">
        <v>43353</v>
      </c>
      <c r="B1067" s="224" t="s">
        <v>705</v>
      </c>
      <c r="C1067" s="224" t="s">
        <v>301</v>
      </c>
      <c r="D1067" s="224" t="s">
        <v>302</v>
      </c>
      <c r="E1067" s="226"/>
      <c r="G1067" s="224" t="s">
        <v>1</v>
      </c>
      <c r="H1067" s="224" t="s">
        <v>289</v>
      </c>
      <c r="I1067" s="224" t="s">
        <v>44</v>
      </c>
      <c r="J1067" s="224">
        <v>50</v>
      </c>
      <c r="K1067" s="227">
        <f t="array" ref="K1067">IFERROR(INDEX([1]Grille_Tarifs_Modulable!$B$2:$B$204,MATCH(Tableau14[[#This Row],[Designation]]&amp;Tableau14[[#This Row],[CL]],[1]Grille_Tarifs_Modulable!$C$2:$C$204&amp;[1]Grille_Tarifs_Modulable!$F$2:$F$204,0)),0)</f>
        <v>4260270192645</v>
      </c>
      <c r="L1067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25.192506000000002</v>
      </c>
      <c r="M1067" s="228">
        <f>IF(Tableau14[[#This Row],[Prix_Unit_HT]]=0,0,Tableau14[[#This Row],[Prix_Unit_HT]]+(Tableau14[[#This Row],[Prix_Unit_HT]]*VLOOKUP(Tableau14[[#This Row],[EAN]],[1]Grille_Tarifs_Modulable!$B$10:$Q$204,16,FALSE)))</f>
        <v>30.231007200000001</v>
      </c>
      <c r="N1067" s="224">
        <v>6</v>
      </c>
      <c r="O1067" s="228">
        <f>ROUND(Tableau14[[#This Row],[Prix_Unit_HT]],2)*Tableau14[[#This Row],[Qte_commande]]</f>
        <v>151.14000000000001</v>
      </c>
      <c r="P1067" s="228">
        <f>ROUND(Tableau14[[#This Row],[Prix_Unit_TTC]],2)*Tableau14[[#This Row],[Qte_commande]]</f>
        <v>181.38</v>
      </c>
      <c r="Q1067" s="224">
        <v>4.29</v>
      </c>
      <c r="R1067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4.2857142857142856</v>
      </c>
      <c r="U1067" s="224"/>
      <c r="V1067" s="224"/>
    </row>
    <row r="1068" spans="1:22" ht="14.65" customHeight="1" x14ac:dyDescent="0.2">
      <c r="A1068" s="225">
        <v>43353</v>
      </c>
      <c r="B1068" s="224" t="s">
        <v>706</v>
      </c>
      <c r="C1068" s="224" t="s">
        <v>159</v>
      </c>
      <c r="D1068" s="224" t="s">
        <v>209</v>
      </c>
      <c r="E1068" s="226"/>
      <c r="G1068" s="224" t="s">
        <v>1</v>
      </c>
      <c r="H1068" s="224" t="s">
        <v>289</v>
      </c>
      <c r="I1068" s="224" t="s">
        <v>44</v>
      </c>
      <c r="J1068" s="224">
        <v>50</v>
      </c>
      <c r="K1068" s="227">
        <f t="array" ref="K1068">IFERROR(INDEX([1]Grille_Tarifs_Modulable!$B$2:$B$204,MATCH(Tableau14[[#This Row],[Designation]]&amp;Tableau14[[#This Row],[CL]],[1]Grille_Tarifs_Modulable!$C$2:$C$204&amp;[1]Grille_Tarifs_Modulable!$F$2:$F$204,0)),0)</f>
        <v>4260270192645</v>
      </c>
      <c r="L1068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25.192506000000002</v>
      </c>
      <c r="M1068" s="228">
        <f>IF(Tableau14[[#This Row],[Prix_Unit_HT]]=0,0,Tableau14[[#This Row],[Prix_Unit_HT]]+(Tableau14[[#This Row],[Prix_Unit_HT]]*VLOOKUP(Tableau14[[#This Row],[EAN]],[1]Grille_Tarifs_Modulable!$B$10:$Q$204,16,FALSE)))</f>
        <v>30.231007200000001</v>
      </c>
      <c r="N1068" s="224">
        <v>6</v>
      </c>
      <c r="O1068" s="228">
        <f>ROUND(Tableau14[[#This Row],[Prix_Unit_HT]],2)*Tableau14[[#This Row],[Qte_commande]]</f>
        <v>151.14000000000001</v>
      </c>
      <c r="P1068" s="228">
        <f>ROUND(Tableau14[[#This Row],[Prix_Unit_TTC]],2)*Tableau14[[#This Row],[Qte_commande]]</f>
        <v>181.38</v>
      </c>
      <c r="Q1068" s="224">
        <v>4.29</v>
      </c>
      <c r="R1068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4.2857142857142856</v>
      </c>
      <c r="U1068" s="224"/>
      <c r="V1068" s="224"/>
    </row>
    <row r="1069" spans="1:22" ht="14.65" customHeight="1" x14ac:dyDescent="0.2">
      <c r="A1069" s="225">
        <v>43353</v>
      </c>
      <c r="B1069" s="224" t="s">
        <v>705</v>
      </c>
      <c r="C1069" s="224" t="s">
        <v>301</v>
      </c>
      <c r="D1069" s="224" t="s">
        <v>302</v>
      </c>
      <c r="E1069" s="226"/>
      <c r="G1069" s="224" t="s">
        <v>1</v>
      </c>
      <c r="H1069" s="224" t="s">
        <v>289</v>
      </c>
      <c r="I1069" s="224" t="s">
        <v>25</v>
      </c>
      <c r="J1069" s="224">
        <v>100</v>
      </c>
      <c r="K1069" s="227">
        <f t="array" ref="K1069">IFERROR(INDEX([1]Grille_Tarifs_Modulable!$B$2:$B$204,MATCH(Tableau14[[#This Row],[Designation]]&amp;Tableau14[[#This Row],[CL]],[1]Grille_Tarifs_Modulable!$C$2:$C$204&amp;[1]Grille_Tarifs_Modulable!$F$2:$F$204,0)),0)</f>
        <v>3257150410167</v>
      </c>
      <c r="L1069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15.778874</v>
      </c>
      <c r="M1069" s="228">
        <f>IF(Tableau14[[#This Row],[Prix_Unit_HT]]=0,0,Tableau14[[#This Row],[Prix_Unit_HT]]+(Tableau14[[#This Row],[Prix_Unit_HT]]*VLOOKUP(Tableau14[[#This Row],[EAN]],[1]Grille_Tarifs_Modulable!$B$10:$Q$204,16,FALSE)))</f>
        <v>18.934648800000002</v>
      </c>
      <c r="N1069" s="224">
        <v>60</v>
      </c>
      <c r="O1069" s="228">
        <f>ROUND(Tableau14[[#This Row],[Prix_Unit_HT]],2)*Tableau14[[#This Row],[Qte_commande]]</f>
        <v>946.8</v>
      </c>
      <c r="P1069" s="228">
        <f>ROUND(Tableau14[[#This Row],[Prix_Unit_TTC]],2)*Tableau14[[#This Row],[Qte_commande]]</f>
        <v>1135.8</v>
      </c>
      <c r="Q1069" s="224">
        <v>85.71</v>
      </c>
      <c r="R1069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85.714285714285722</v>
      </c>
      <c r="U1069" s="224"/>
      <c r="V1069" s="224"/>
    </row>
    <row r="1070" spans="1:22" ht="14.65" customHeight="1" x14ac:dyDescent="0.2">
      <c r="A1070" s="225">
        <v>43353</v>
      </c>
      <c r="B1070" s="224" t="s">
        <v>706</v>
      </c>
      <c r="C1070" s="224" t="s">
        <v>159</v>
      </c>
      <c r="D1070" s="224" t="s">
        <v>209</v>
      </c>
      <c r="E1070" s="226"/>
      <c r="G1070" s="224" t="s">
        <v>1</v>
      </c>
      <c r="H1070" s="224" t="s">
        <v>289</v>
      </c>
      <c r="I1070" s="224" t="s">
        <v>25</v>
      </c>
      <c r="J1070" s="224">
        <v>100</v>
      </c>
      <c r="K1070" s="227">
        <f t="array" ref="K1070">IFERROR(INDEX([1]Grille_Tarifs_Modulable!$B$2:$B$204,MATCH(Tableau14[[#This Row],[Designation]]&amp;Tableau14[[#This Row],[CL]],[1]Grille_Tarifs_Modulable!$C$2:$C$204&amp;[1]Grille_Tarifs_Modulable!$F$2:$F$204,0)),0)</f>
        <v>3257150410167</v>
      </c>
      <c r="L1070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15.778874</v>
      </c>
      <c r="M1070" s="228">
        <f>IF(Tableau14[[#This Row],[Prix_Unit_HT]]=0,0,Tableau14[[#This Row],[Prix_Unit_HT]]+(Tableau14[[#This Row],[Prix_Unit_HT]]*VLOOKUP(Tableau14[[#This Row],[EAN]],[1]Grille_Tarifs_Modulable!$B$10:$Q$204,16,FALSE)))</f>
        <v>18.934648800000002</v>
      </c>
      <c r="N1070" s="224">
        <v>120</v>
      </c>
      <c r="O1070" s="228">
        <f>ROUND(Tableau14[[#This Row],[Prix_Unit_HT]],2)*Tableau14[[#This Row],[Qte_commande]]</f>
        <v>1893.6</v>
      </c>
      <c r="P1070" s="228">
        <f>ROUND(Tableau14[[#This Row],[Prix_Unit_TTC]],2)*Tableau14[[#This Row],[Qte_commande]]</f>
        <v>2271.6</v>
      </c>
      <c r="Q1070" s="224">
        <v>171.43</v>
      </c>
      <c r="R1070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171.42857142857144</v>
      </c>
      <c r="U1070" s="224"/>
      <c r="V1070" s="224"/>
    </row>
    <row r="1071" spans="1:22" ht="14.65" customHeight="1" x14ac:dyDescent="0.2">
      <c r="A1071" s="225">
        <v>43354</v>
      </c>
      <c r="B1071" s="224" t="s">
        <v>385</v>
      </c>
      <c r="C1071" s="224" t="s">
        <v>375</v>
      </c>
      <c r="D1071" s="224" t="s">
        <v>386</v>
      </c>
      <c r="E1071" s="226"/>
      <c r="G1071" s="224" t="s">
        <v>1</v>
      </c>
      <c r="H1071" s="224" t="s">
        <v>289</v>
      </c>
      <c r="I1071" s="224" t="s">
        <v>35</v>
      </c>
      <c r="J1071" s="224">
        <v>70</v>
      </c>
      <c r="K1071" s="227">
        <f t="array" ref="K1071">IFERROR(INDEX([1]Grille_Tarifs_Modulable!$B$2:$B$204,MATCH(Tableau14[[#This Row],[Designation]]&amp;Tableau14[[#This Row],[CL]],[1]Grille_Tarifs_Modulable!$C$2:$C$204&amp;[1]Grille_Tarifs_Modulable!$F$2:$F$204,0)),0)</f>
        <v>3257150107012</v>
      </c>
      <c r="L1071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29.828643999999997</v>
      </c>
      <c r="M1071" s="228">
        <f>IF(Tableau14[[#This Row],[Prix_Unit_HT]]=0,0,Tableau14[[#This Row],[Prix_Unit_HT]]+(Tableau14[[#This Row],[Prix_Unit_HT]]*VLOOKUP(Tableau14[[#This Row],[EAN]],[1]Grille_Tarifs_Modulable!$B$10:$Q$204,16,FALSE)))</f>
        <v>35.794372799999998</v>
      </c>
      <c r="N1071" s="224">
        <v>12</v>
      </c>
      <c r="O1071" s="228">
        <f>ROUND(Tableau14[[#This Row],[Prix_Unit_HT]],2)*Tableau14[[#This Row],[Qte_commande]]</f>
        <v>357.96</v>
      </c>
      <c r="P1071" s="228">
        <f>ROUND(Tableau14[[#This Row],[Prix_Unit_TTC]],2)*Tableau14[[#This Row],[Qte_commande]]</f>
        <v>429.48</v>
      </c>
      <c r="Q1071" s="224">
        <v>12</v>
      </c>
      <c r="R1071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12.000000000000002</v>
      </c>
      <c r="U1071" s="224"/>
      <c r="V1071" s="224"/>
    </row>
    <row r="1072" spans="1:22" ht="14.65" customHeight="1" x14ac:dyDescent="0.2">
      <c r="A1072" s="225">
        <v>43354</v>
      </c>
      <c r="B1072" s="224" t="s">
        <v>385</v>
      </c>
      <c r="C1072" s="224" t="s">
        <v>375</v>
      </c>
      <c r="D1072" s="224" t="s">
        <v>386</v>
      </c>
      <c r="E1072" s="226"/>
      <c r="G1072" s="224" t="s">
        <v>1</v>
      </c>
      <c r="H1072" s="224" t="s">
        <v>289</v>
      </c>
      <c r="I1072" s="224" t="s">
        <v>15</v>
      </c>
      <c r="J1072" s="224">
        <v>175</v>
      </c>
      <c r="K1072" s="227">
        <f t="array" ref="K1072">IFERROR(INDEX([1]Grille_Tarifs_Modulable!$B$2:$B$204,MATCH(Tableau14[[#This Row],[Designation]]&amp;Tableau14[[#This Row],[CL]],[1]Grille_Tarifs_Modulable!$C$2:$C$204&amp;[1]Grille_Tarifs_Modulable!$F$2:$F$204,0)),0)</f>
        <v>4067700013835</v>
      </c>
      <c r="L1072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28.916408750000002</v>
      </c>
      <c r="M1072" s="228">
        <f>IF(Tableau14[[#This Row],[Prix_Unit_HT]]=0,0,Tableau14[[#This Row],[Prix_Unit_HT]]+(Tableau14[[#This Row],[Prix_Unit_HT]]*VLOOKUP(Tableau14[[#This Row],[EAN]],[1]Grille_Tarifs_Modulable!$B$10:$Q$204,16,FALSE)))</f>
        <v>34.699690500000003</v>
      </c>
      <c r="N1072" s="224">
        <v>18</v>
      </c>
      <c r="O1072" s="228">
        <f>ROUND(Tableau14[[#This Row],[Prix_Unit_HT]],2)*Tableau14[[#This Row],[Qte_commande]]</f>
        <v>520.56000000000006</v>
      </c>
      <c r="P1072" s="228">
        <f>ROUND(Tableau14[[#This Row],[Prix_Unit_TTC]],2)*Tableau14[[#This Row],[Qte_commande]]</f>
        <v>624.6</v>
      </c>
      <c r="Q1072" s="224">
        <v>45</v>
      </c>
      <c r="R1072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45</v>
      </c>
      <c r="U1072" s="224"/>
      <c r="V1072" s="224"/>
    </row>
    <row r="1073" spans="1:22" ht="14.65" customHeight="1" x14ac:dyDescent="0.2">
      <c r="A1073" s="225">
        <v>43354</v>
      </c>
      <c r="B1073" s="224" t="s">
        <v>385</v>
      </c>
      <c r="C1073" s="224" t="s">
        <v>375</v>
      </c>
      <c r="D1073" s="224" t="s">
        <v>386</v>
      </c>
      <c r="E1073" s="226"/>
      <c r="G1073" s="224" t="s">
        <v>13</v>
      </c>
      <c r="H1073" s="224" t="s">
        <v>289</v>
      </c>
      <c r="I1073" s="224" t="s">
        <v>30</v>
      </c>
      <c r="J1073" s="224">
        <v>70</v>
      </c>
      <c r="K1073" s="227">
        <f t="array" ref="K1073">IFERROR(INDEX([1]Grille_Tarifs_Modulable!$B$2:$B$204,MATCH(Tableau14[[#This Row],[Designation]]&amp;Tableau14[[#This Row],[CL]],[1]Grille_Tarifs_Modulable!$C$2:$C$204&amp;[1]Grille_Tarifs_Modulable!$F$2:$F$204,0)),0)</f>
        <v>3257150101904</v>
      </c>
      <c r="L1073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18.506483000000003</v>
      </c>
      <c r="M1073" s="228">
        <f>IF(Tableau14[[#This Row],[Prix_Unit_HT]]=0,0,Tableau14[[#This Row],[Prix_Unit_HT]]+(Tableau14[[#This Row],[Prix_Unit_HT]]*VLOOKUP(Tableau14[[#This Row],[EAN]],[1]Grille_Tarifs_Modulable!$B$10:$Q$204,16,FALSE)))</f>
        <v>22.207779600000002</v>
      </c>
      <c r="N1073" s="224">
        <v>12</v>
      </c>
      <c r="O1073" s="228">
        <f>ROUND(Tableau14[[#This Row],[Prix_Unit_HT]],2)*Tableau14[[#This Row],[Qte_commande]]</f>
        <v>222.12</v>
      </c>
      <c r="P1073" s="228">
        <f>ROUND(Tableau14[[#This Row],[Prix_Unit_TTC]],2)*Tableau14[[#This Row],[Qte_commande]]</f>
        <v>266.52</v>
      </c>
      <c r="Q1073" s="224">
        <v>12</v>
      </c>
      <c r="R1073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12.000000000000002</v>
      </c>
      <c r="U1073" s="224"/>
      <c r="V1073" s="224"/>
    </row>
    <row r="1074" spans="1:22" ht="14.65" customHeight="1" x14ac:dyDescent="0.2">
      <c r="A1074" s="225">
        <v>43354</v>
      </c>
      <c r="B1074" s="224" t="s">
        <v>385</v>
      </c>
      <c r="C1074" s="224" t="s">
        <v>375</v>
      </c>
      <c r="D1074" s="224" t="s">
        <v>386</v>
      </c>
      <c r="E1074" s="226"/>
      <c r="G1074" s="224" t="s">
        <v>13</v>
      </c>
      <c r="H1074" s="224" t="s">
        <v>289</v>
      </c>
      <c r="I1074" s="224" t="s">
        <v>31</v>
      </c>
      <c r="J1074" s="224">
        <v>70</v>
      </c>
      <c r="K1074" s="227">
        <f t="array" ref="K1074">IFERROR(INDEX([1]Grille_Tarifs_Modulable!$B$2:$B$204,MATCH(Tableau14[[#This Row],[Designation]]&amp;Tableau14[[#This Row],[CL]],[1]Grille_Tarifs_Modulable!$C$2:$C$204&amp;[1]Grille_Tarifs_Modulable!$F$2:$F$204,0)),0)</f>
        <v>3257150102017</v>
      </c>
      <c r="L1074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16.854322</v>
      </c>
      <c r="M1074" s="228">
        <f>IF(Tableau14[[#This Row],[Prix_Unit_HT]]=0,0,Tableau14[[#This Row],[Prix_Unit_HT]]+(Tableau14[[#This Row],[Prix_Unit_HT]]*VLOOKUP(Tableau14[[#This Row],[EAN]],[1]Grille_Tarifs_Modulable!$B$10:$Q$204,16,FALSE)))</f>
        <v>20.225186399999998</v>
      </c>
      <c r="N1074" s="224">
        <v>12</v>
      </c>
      <c r="O1074" s="228">
        <f>ROUND(Tableau14[[#This Row],[Prix_Unit_HT]],2)*Tableau14[[#This Row],[Qte_commande]]</f>
        <v>202.20000000000002</v>
      </c>
      <c r="P1074" s="228">
        <f>ROUND(Tableau14[[#This Row],[Prix_Unit_TTC]],2)*Tableau14[[#This Row],[Qte_commande]]</f>
        <v>242.76</v>
      </c>
      <c r="Q1074" s="224">
        <v>12</v>
      </c>
      <c r="R1074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12.000000000000002</v>
      </c>
      <c r="U1074" s="224"/>
      <c r="V1074" s="224"/>
    </row>
    <row r="1075" spans="1:22" ht="14.65" customHeight="1" x14ac:dyDescent="0.2">
      <c r="A1075" s="225">
        <v>43354</v>
      </c>
      <c r="B1075" s="224" t="s">
        <v>385</v>
      </c>
      <c r="C1075" s="224" t="s">
        <v>375</v>
      </c>
      <c r="D1075" s="224" t="s">
        <v>386</v>
      </c>
      <c r="E1075" s="226"/>
      <c r="G1075" s="224" t="s">
        <v>1</v>
      </c>
      <c r="H1075" s="224" t="s">
        <v>289</v>
      </c>
      <c r="I1075" s="224" t="s">
        <v>44</v>
      </c>
      <c r="J1075" s="224">
        <v>50</v>
      </c>
      <c r="K1075" s="227">
        <f t="array" ref="K1075">IFERROR(INDEX([1]Grille_Tarifs_Modulable!$B$2:$B$204,MATCH(Tableau14[[#This Row],[Designation]]&amp;Tableau14[[#This Row],[CL]],[1]Grille_Tarifs_Modulable!$C$2:$C$204&amp;[1]Grille_Tarifs_Modulable!$F$2:$F$204,0)),0)</f>
        <v>4260270192645</v>
      </c>
      <c r="L1075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25.192506000000002</v>
      </c>
      <c r="M1075" s="228">
        <f>IF(Tableau14[[#This Row],[Prix_Unit_HT]]=0,0,Tableau14[[#This Row],[Prix_Unit_HT]]+(Tableau14[[#This Row],[Prix_Unit_HT]]*VLOOKUP(Tableau14[[#This Row],[EAN]],[1]Grille_Tarifs_Modulable!$B$10:$Q$204,16,FALSE)))</f>
        <v>30.231007200000001</v>
      </c>
      <c r="N1075" s="224">
        <v>12</v>
      </c>
      <c r="O1075" s="228">
        <f>ROUND(Tableau14[[#This Row],[Prix_Unit_HT]],2)*Tableau14[[#This Row],[Qte_commande]]</f>
        <v>302.28000000000003</v>
      </c>
      <c r="P1075" s="228">
        <f>ROUND(Tableau14[[#This Row],[Prix_Unit_TTC]],2)*Tableau14[[#This Row],[Qte_commande]]</f>
        <v>362.76</v>
      </c>
      <c r="Q1075" s="224">
        <v>8.57</v>
      </c>
      <c r="R1075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8.5714285714285712</v>
      </c>
      <c r="U1075" s="224"/>
      <c r="V1075" s="224"/>
    </row>
    <row r="1076" spans="1:22" ht="14.65" customHeight="1" x14ac:dyDescent="0.2">
      <c r="A1076" s="225">
        <v>43355</v>
      </c>
      <c r="B1076" s="224" t="s">
        <v>333</v>
      </c>
      <c r="C1076" s="224" t="s">
        <v>308</v>
      </c>
      <c r="D1076" s="224" t="s">
        <v>309</v>
      </c>
      <c r="E1076" s="226"/>
      <c r="G1076" s="224" t="s">
        <v>1</v>
      </c>
      <c r="H1076" s="224" t="s">
        <v>289</v>
      </c>
      <c r="I1076" s="224" t="s">
        <v>22</v>
      </c>
      <c r="J1076" s="224">
        <v>70</v>
      </c>
      <c r="K1076" s="227">
        <f t="array" ref="K1076">IFERROR(INDEX([1]Grille_Tarifs_Modulable!$B$2:$B$204,MATCH(Tableau14[[#This Row],[Designation]]&amp;Tableau14[[#This Row],[CL]],[1]Grille_Tarifs_Modulable!$C$2:$C$204&amp;[1]Grille_Tarifs_Modulable!$F$2:$F$204,0)),0)</f>
        <v>4055800060200</v>
      </c>
      <c r="L1076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17.408644000000002</v>
      </c>
      <c r="M1076" s="228">
        <f>IF(Tableau14[[#This Row],[Prix_Unit_HT]]=0,0,Tableau14[[#This Row],[Prix_Unit_HT]]+(Tableau14[[#This Row],[Prix_Unit_HT]]*VLOOKUP(Tableau14[[#This Row],[EAN]],[1]Grille_Tarifs_Modulable!$B$10:$Q$204,16,FALSE)))</f>
        <v>20.890372800000002</v>
      </c>
      <c r="N1076" s="224">
        <v>6</v>
      </c>
      <c r="O1076" s="228">
        <f>ROUND(Tableau14[[#This Row],[Prix_Unit_HT]],2)*Tableau14[[#This Row],[Qte_commande]]</f>
        <v>104.46000000000001</v>
      </c>
      <c r="P1076" s="228">
        <f>ROUND(Tableau14[[#This Row],[Prix_Unit_TTC]],2)*Tableau14[[#This Row],[Qte_commande]]</f>
        <v>125.34</v>
      </c>
      <c r="Q1076" s="224">
        <v>6</v>
      </c>
      <c r="R1076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6.0000000000000009</v>
      </c>
      <c r="U1076" s="224"/>
      <c r="V1076" s="224"/>
    </row>
    <row r="1077" spans="1:22" ht="14.65" customHeight="1" x14ac:dyDescent="0.2">
      <c r="A1077" s="225">
        <v>43355</v>
      </c>
      <c r="B1077" s="224" t="s">
        <v>333</v>
      </c>
      <c r="C1077" s="224" t="s">
        <v>308</v>
      </c>
      <c r="D1077" s="224" t="s">
        <v>309</v>
      </c>
      <c r="E1077" s="226"/>
      <c r="G1077" s="224" t="s">
        <v>1</v>
      </c>
      <c r="H1077" s="224" t="s">
        <v>289</v>
      </c>
      <c r="I1077" s="224" t="s">
        <v>15</v>
      </c>
      <c r="J1077" s="224">
        <v>100</v>
      </c>
      <c r="K1077" s="227">
        <f t="array" ref="K1077">IFERROR(INDEX([1]Grille_Tarifs_Modulable!$B$2:$B$204,MATCH(Tableau14[[#This Row],[Designation]]&amp;Tableau14[[#This Row],[CL]],[1]Grille_Tarifs_Modulable!$C$2:$C$204&amp;[1]Grille_Tarifs_Modulable!$F$2:$F$204,0)),0)</f>
        <v>4067700013842</v>
      </c>
      <c r="L1077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17.100804999999998</v>
      </c>
      <c r="M1077" s="228">
        <f>IF(Tableau14[[#This Row],[Prix_Unit_HT]]=0,0,Tableau14[[#This Row],[Prix_Unit_HT]]+(Tableau14[[#This Row],[Prix_Unit_HT]]*VLOOKUP(Tableau14[[#This Row],[EAN]],[1]Grille_Tarifs_Modulable!$B$10:$Q$204,16,FALSE)))</f>
        <v>20.520965999999998</v>
      </c>
      <c r="N1077" s="224">
        <v>240</v>
      </c>
      <c r="O1077" s="228">
        <f>ROUND(Tableau14[[#This Row],[Prix_Unit_HT]],2)*Tableau14[[#This Row],[Qte_commande]]</f>
        <v>4104</v>
      </c>
      <c r="P1077" s="228">
        <f>ROUND(Tableau14[[#This Row],[Prix_Unit_TTC]],2)*Tableau14[[#This Row],[Qte_commande]]</f>
        <v>4924.8</v>
      </c>
      <c r="Q1077" s="224">
        <v>342.86</v>
      </c>
      <c r="R1077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342.85714285714289</v>
      </c>
      <c r="U1077" s="224"/>
      <c r="V1077" s="224"/>
    </row>
    <row r="1078" spans="1:22" ht="14.65" customHeight="1" x14ac:dyDescent="0.2">
      <c r="A1078" s="225">
        <v>43360</v>
      </c>
      <c r="B1078" s="224" t="s">
        <v>273</v>
      </c>
      <c r="C1078" s="224" t="s">
        <v>214</v>
      </c>
      <c r="D1078" s="224" t="s">
        <v>215</v>
      </c>
      <c r="E1078" s="226"/>
      <c r="G1078" s="224" t="s">
        <v>1</v>
      </c>
      <c r="H1078" s="224" t="s">
        <v>196</v>
      </c>
      <c r="I1078" s="224" t="s">
        <v>63</v>
      </c>
      <c r="J1078" s="224">
        <v>20</v>
      </c>
      <c r="K1078" s="227">
        <f t="array" ref="K1078">IFERROR(INDEX([1]Grille_Tarifs_Modulable!$B$2:$B$204,MATCH(Tableau14[[#This Row],[Designation]]&amp;Tableau14[[#This Row],[CL]],[1]Grille_Tarifs_Modulable!$C$2:$C$204&amp;[1]Grille_Tarifs_Modulable!$F$2:$F$204,0)),0)</f>
        <v>4260310552941</v>
      </c>
      <c r="L1078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0.81</v>
      </c>
      <c r="M1078" s="228">
        <f>IF(Tableau14[[#This Row],[Prix_Unit_HT]]=0,0,Tableau14[[#This Row],[Prix_Unit_HT]]+(Tableau14[[#This Row],[Prix_Unit_HT]]*VLOOKUP(Tableau14[[#This Row],[EAN]],[1]Grille_Tarifs_Modulable!$B$10:$Q$204,16,FALSE)))</f>
        <v>0.85455000000000003</v>
      </c>
      <c r="N1078" s="224">
        <v>48</v>
      </c>
      <c r="O1078" s="228">
        <f>ROUND(Tableau14[[#This Row],[Prix_Unit_HT]],2)*Tableau14[[#This Row],[Qte_commande]]</f>
        <v>38.880000000000003</v>
      </c>
      <c r="P1078" s="228">
        <f>ROUND(Tableau14[[#This Row],[Prix_Unit_TTC]],2)*Tableau14[[#This Row],[Qte_commande]]</f>
        <v>40.799999999999997</v>
      </c>
      <c r="Q1078" s="224">
        <v>13.71</v>
      </c>
      <c r="R1078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13.714285714285715</v>
      </c>
      <c r="U1078" s="224"/>
      <c r="V1078" s="224"/>
    </row>
    <row r="1079" spans="1:22" ht="14.65" customHeight="1" x14ac:dyDescent="0.2">
      <c r="A1079" s="225">
        <v>43360</v>
      </c>
      <c r="B1079" s="224" t="s">
        <v>273</v>
      </c>
      <c r="C1079" s="224" t="s">
        <v>214</v>
      </c>
      <c r="D1079" s="224" t="s">
        <v>215</v>
      </c>
      <c r="E1079" s="226"/>
      <c r="G1079" s="224" t="s">
        <v>1</v>
      </c>
      <c r="H1079" s="224" t="s">
        <v>196</v>
      </c>
      <c r="I1079" s="224" t="s">
        <v>65</v>
      </c>
      <c r="J1079" s="224">
        <v>20</v>
      </c>
      <c r="K1079" s="227">
        <f t="array" ref="K1079">IFERROR(INDEX([1]Grille_Tarifs_Modulable!$B$2:$B$204,MATCH(Tableau14[[#This Row],[Designation]]&amp;Tableau14[[#This Row],[CL]],[1]Grille_Tarifs_Modulable!$C$2:$C$204&amp;[1]Grille_Tarifs_Modulable!$F$2:$F$204,0)),0)</f>
        <v>4260310553863</v>
      </c>
      <c r="L1079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0.81</v>
      </c>
      <c r="M1079" s="228">
        <f>IF(Tableau14[[#This Row],[Prix_Unit_HT]]=0,0,Tableau14[[#This Row],[Prix_Unit_HT]]+(Tableau14[[#This Row],[Prix_Unit_HT]]*VLOOKUP(Tableau14[[#This Row],[EAN]],[1]Grille_Tarifs_Modulable!$B$10:$Q$204,16,FALSE)))</f>
        <v>0.85455000000000003</v>
      </c>
      <c r="N1079" s="224">
        <v>96</v>
      </c>
      <c r="O1079" s="228">
        <f>ROUND(Tableau14[[#This Row],[Prix_Unit_HT]],2)*Tableau14[[#This Row],[Qte_commande]]</f>
        <v>77.760000000000005</v>
      </c>
      <c r="P1079" s="228">
        <f>ROUND(Tableau14[[#This Row],[Prix_Unit_TTC]],2)*Tableau14[[#This Row],[Qte_commande]]</f>
        <v>81.599999999999994</v>
      </c>
      <c r="Q1079" s="224">
        <v>27.43</v>
      </c>
      <c r="R1079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27.428571428571431</v>
      </c>
      <c r="U1079" s="224"/>
      <c r="V1079" s="224"/>
    </row>
    <row r="1080" spans="1:22" ht="14.65" customHeight="1" x14ac:dyDescent="0.2">
      <c r="A1080" s="225">
        <v>43360</v>
      </c>
      <c r="B1080" s="224" t="s">
        <v>273</v>
      </c>
      <c r="C1080" s="224" t="s">
        <v>214</v>
      </c>
      <c r="D1080" s="224" t="s">
        <v>215</v>
      </c>
      <c r="E1080" s="226"/>
      <c r="G1080" s="224" t="s">
        <v>1</v>
      </c>
      <c r="H1080" s="224" t="s">
        <v>196</v>
      </c>
      <c r="I1080" s="224" t="s">
        <v>60</v>
      </c>
      <c r="J1080" s="224">
        <v>20</v>
      </c>
      <c r="K1080" s="227">
        <f t="array" ref="K1080">IFERROR(INDEX([1]Grille_Tarifs_Modulable!$B$2:$B$204,MATCH(Tableau14[[#This Row],[Designation]]&amp;Tableau14[[#This Row],[CL]],[1]Grille_Tarifs_Modulable!$C$2:$C$204&amp;[1]Grille_Tarifs_Modulable!$F$2:$F$204,0)),0)</f>
        <v>4260310553832</v>
      </c>
      <c r="L1080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0.81</v>
      </c>
      <c r="M1080" s="228">
        <f>IF(Tableau14[[#This Row],[Prix_Unit_HT]]=0,0,Tableau14[[#This Row],[Prix_Unit_HT]]+(Tableau14[[#This Row],[Prix_Unit_HT]]*VLOOKUP(Tableau14[[#This Row],[EAN]],[1]Grille_Tarifs_Modulable!$B$10:$Q$204,16,FALSE)))</f>
        <v>0.85455000000000003</v>
      </c>
      <c r="N1080" s="224">
        <v>96</v>
      </c>
      <c r="O1080" s="228">
        <f>ROUND(Tableau14[[#This Row],[Prix_Unit_HT]],2)*Tableau14[[#This Row],[Qte_commande]]</f>
        <v>77.760000000000005</v>
      </c>
      <c r="P1080" s="228">
        <f>ROUND(Tableau14[[#This Row],[Prix_Unit_TTC]],2)*Tableau14[[#This Row],[Qte_commande]]</f>
        <v>81.599999999999994</v>
      </c>
      <c r="Q1080" s="224">
        <v>27.43</v>
      </c>
      <c r="R1080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27.428571428571431</v>
      </c>
      <c r="U1080" s="224"/>
      <c r="V1080" s="224"/>
    </row>
    <row r="1081" spans="1:22" ht="14.65" customHeight="1" x14ac:dyDescent="0.2">
      <c r="A1081" s="225">
        <v>43360</v>
      </c>
      <c r="B1081" s="224" t="s">
        <v>273</v>
      </c>
      <c r="C1081" s="224" t="s">
        <v>214</v>
      </c>
      <c r="D1081" s="224" t="s">
        <v>215</v>
      </c>
      <c r="E1081" s="226"/>
      <c r="G1081" s="224" t="s">
        <v>1</v>
      </c>
      <c r="H1081" s="224" t="s">
        <v>196</v>
      </c>
      <c r="I1081" s="224" t="s">
        <v>66</v>
      </c>
      <c r="J1081" s="224">
        <v>20</v>
      </c>
      <c r="K1081" s="227">
        <f t="array" ref="K1081">IFERROR(INDEX([1]Grille_Tarifs_Modulable!$B$2:$B$204,MATCH(Tableau14[[#This Row],[Designation]]&amp;Tableau14[[#This Row],[CL]],[1]Grille_Tarifs_Modulable!$C$2:$C$204&amp;[1]Grille_Tarifs_Modulable!$F$2:$F$204,0)),0)</f>
        <v>4260310554785</v>
      </c>
      <c r="L1081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0.81</v>
      </c>
      <c r="M1081" s="228">
        <f>IF(Tableau14[[#This Row],[Prix_Unit_HT]]=0,0,Tableau14[[#This Row],[Prix_Unit_HT]]+(Tableau14[[#This Row],[Prix_Unit_HT]]*VLOOKUP(Tableau14[[#This Row],[EAN]],[1]Grille_Tarifs_Modulable!$B$10:$Q$204,16,FALSE)))</f>
        <v>0.85455000000000003</v>
      </c>
      <c r="N1081" s="224">
        <v>24</v>
      </c>
      <c r="O1081" s="228">
        <f>ROUND(Tableau14[[#This Row],[Prix_Unit_HT]],2)*Tableau14[[#This Row],[Qte_commande]]</f>
        <v>19.440000000000001</v>
      </c>
      <c r="P1081" s="228">
        <f>ROUND(Tableau14[[#This Row],[Prix_Unit_TTC]],2)*Tableau14[[#This Row],[Qte_commande]]</f>
        <v>20.399999999999999</v>
      </c>
      <c r="Q1081" s="224">
        <v>6.86</v>
      </c>
      <c r="R1081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6.8571428571428577</v>
      </c>
      <c r="U1081" s="224"/>
      <c r="V1081" s="224"/>
    </row>
    <row r="1082" spans="1:22" ht="14.65" customHeight="1" x14ac:dyDescent="0.2">
      <c r="A1082" s="225">
        <v>43360</v>
      </c>
      <c r="B1082" s="224" t="s">
        <v>273</v>
      </c>
      <c r="C1082" s="224" t="s">
        <v>214</v>
      </c>
      <c r="D1082" s="224" t="s">
        <v>215</v>
      </c>
      <c r="E1082" s="226"/>
      <c r="G1082" s="224" t="s">
        <v>1</v>
      </c>
      <c r="H1082" s="224" t="s">
        <v>196</v>
      </c>
      <c r="I1082" s="224" t="s">
        <v>64</v>
      </c>
      <c r="J1082" s="224">
        <v>20</v>
      </c>
      <c r="K1082" s="227">
        <f t="array" ref="K1082">IFERROR(INDEX([1]Grille_Tarifs_Modulable!$B$2:$B$204,MATCH(Tableau14[[#This Row],[Designation]]&amp;Tableau14[[#This Row],[CL]],[1]Grille_Tarifs_Modulable!$C$2:$C$204&amp;[1]Grille_Tarifs_Modulable!$F$2:$F$204,0)),0)</f>
        <v>4260310553849</v>
      </c>
      <c r="L1082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0.81</v>
      </c>
      <c r="M1082" s="228">
        <f>IF(Tableau14[[#This Row],[Prix_Unit_HT]]=0,0,Tableau14[[#This Row],[Prix_Unit_HT]]+(Tableau14[[#This Row],[Prix_Unit_HT]]*VLOOKUP(Tableau14[[#This Row],[EAN]],[1]Grille_Tarifs_Modulable!$B$10:$Q$204,16,FALSE)))</f>
        <v>0.85455000000000003</v>
      </c>
      <c r="N1082" s="224">
        <v>96</v>
      </c>
      <c r="O1082" s="228">
        <f>ROUND(Tableau14[[#This Row],[Prix_Unit_HT]],2)*Tableau14[[#This Row],[Qte_commande]]</f>
        <v>77.760000000000005</v>
      </c>
      <c r="P1082" s="228">
        <f>ROUND(Tableau14[[#This Row],[Prix_Unit_TTC]],2)*Tableau14[[#This Row],[Qte_commande]]</f>
        <v>81.599999999999994</v>
      </c>
      <c r="Q1082" s="224">
        <v>27.43</v>
      </c>
      <c r="R1082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27.428571428571431</v>
      </c>
      <c r="U1082" s="224"/>
      <c r="V1082" s="224"/>
    </row>
    <row r="1083" spans="1:22" ht="14.65" customHeight="1" x14ac:dyDescent="0.2">
      <c r="A1083" s="225">
        <v>43360</v>
      </c>
      <c r="B1083" s="224" t="s">
        <v>273</v>
      </c>
      <c r="C1083" s="224" t="s">
        <v>214</v>
      </c>
      <c r="D1083" s="224" t="s">
        <v>215</v>
      </c>
      <c r="E1083" s="226"/>
      <c r="G1083" s="224" t="s">
        <v>1</v>
      </c>
      <c r="H1083" s="224" t="s">
        <v>196</v>
      </c>
      <c r="I1083" s="224" t="s">
        <v>59</v>
      </c>
      <c r="J1083" s="224">
        <v>20</v>
      </c>
      <c r="K1083" s="227">
        <f t="array" ref="K1083">IFERROR(INDEX([1]Grille_Tarifs_Modulable!$B$2:$B$204,MATCH(Tableau14[[#This Row],[Designation]]&amp;Tableau14[[#This Row],[CL]],[1]Grille_Tarifs_Modulable!$C$2:$C$204&amp;[1]Grille_Tarifs_Modulable!$F$2:$F$204,0)),0)</f>
        <v>4260310553818</v>
      </c>
      <c r="L1083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0.81</v>
      </c>
      <c r="M1083" s="228">
        <f>IF(Tableau14[[#This Row],[Prix_Unit_HT]]=0,0,Tableau14[[#This Row],[Prix_Unit_HT]]+(Tableau14[[#This Row],[Prix_Unit_HT]]*VLOOKUP(Tableau14[[#This Row],[EAN]],[1]Grille_Tarifs_Modulable!$B$10:$Q$204,16,FALSE)))</f>
        <v>0.85455000000000003</v>
      </c>
      <c r="N1083" s="224">
        <v>144</v>
      </c>
      <c r="O1083" s="228">
        <f>ROUND(Tableau14[[#This Row],[Prix_Unit_HT]],2)*Tableau14[[#This Row],[Qte_commande]]</f>
        <v>116.64000000000001</v>
      </c>
      <c r="P1083" s="228">
        <f>ROUND(Tableau14[[#This Row],[Prix_Unit_TTC]],2)*Tableau14[[#This Row],[Qte_commande]]</f>
        <v>122.39999999999999</v>
      </c>
      <c r="Q1083" s="224">
        <v>41.14</v>
      </c>
      <c r="R1083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41.142857142857146</v>
      </c>
      <c r="U1083" s="224"/>
      <c r="V1083" s="224"/>
    </row>
    <row r="1084" spans="1:22" ht="14.65" customHeight="1" x14ac:dyDescent="0.2">
      <c r="A1084" s="225">
        <v>43361</v>
      </c>
      <c r="B1084" s="224" t="s">
        <v>334</v>
      </c>
      <c r="C1084" s="224" t="s">
        <v>305</v>
      </c>
      <c r="D1084" s="224" t="s">
        <v>180</v>
      </c>
      <c r="E1084" s="226"/>
      <c r="G1084" s="224" t="s">
        <v>1</v>
      </c>
      <c r="H1084" s="224" t="s">
        <v>289</v>
      </c>
      <c r="I1084" s="224" t="s">
        <v>22</v>
      </c>
      <c r="J1084" s="224">
        <v>70</v>
      </c>
      <c r="K1084" s="227">
        <f t="array" ref="K1084">IFERROR(INDEX([1]Grille_Tarifs_Modulable!$B$2:$B$204,MATCH(Tableau14[[#This Row],[Designation]]&amp;Tableau14[[#This Row],[CL]],[1]Grille_Tarifs_Modulable!$C$2:$C$204&amp;[1]Grille_Tarifs_Modulable!$F$2:$F$204,0)),0)</f>
        <v>4055800060200</v>
      </c>
      <c r="L1084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17.408644000000002</v>
      </c>
      <c r="M1084" s="228">
        <f>IF(Tableau14[[#This Row],[Prix_Unit_HT]]=0,0,Tableau14[[#This Row],[Prix_Unit_HT]]+(Tableau14[[#This Row],[Prix_Unit_HT]]*VLOOKUP(Tableau14[[#This Row],[EAN]],[1]Grille_Tarifs_Modulable!$B$10:$Q$204,16,FALSE)))</f>
        <v>20.890372800000002</v>
      </c>
      <c r="N1084" s="224">
        <v>12</v>
      </c>
      <c r="O1084" s="228">
        <f>ROUND(Tableau14[[#This Row],[Prix_Unit_HT]],2)*Tableau14[[#This Row],[Qte_commande]]</f>
        <v>208.92000000000002</v>
      </c>
      <c r="P1084" s="228">
        <f>ROUND(Tableau14[[#This Row],[Prix_Unit_TTC]],2)*Tableau14[[#This Row],[Qte_commande]]</f>
        <v>250.68</v>
      </c>
      <c r="Q1084" s="224">
        <v>12</v>
      </c>
      <c r="R1084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12.000000000000002</v>
      </c>
      <c r="U1084" s="224"/>
      <c r="V1084" s="224"/>
    </row>
    <row r="1085" spans="1:22" ht="14.65" customHeight="1" x14ac:dyDescent="0.2">
      <c r="A1085" s="225">
        <v>43361</v>
      </c>
      <c r="B1085" s="224" t="s">
        <v>387</v>
      </c>
      <c r="C1085" s="224" t="s">
        <v>388</v>
      </c>
      <c r="D1085" s="224" t="s">
        <v>389</v>
      </c>
      <c r="E1085" s="226"/>
      <c r="G1085" s="224" t="s">
        <v>1</v>
      </c>
      <c r="H1085" s="224" t="s">
        <v>289</v>
      </c>
      <c r="I1085" s="224" t="s">
        <v>35</v>
      </c>
      <c r="J1085" s="224">
        <v>70</v>
      </c>
      <c r="K1085" s="227">
        <f t="array" ref="K1085">IFERROR(INDEX([1]Grille_Tarifs_Modulable!$B$2:$B$204,MATCH(Tableau14[[#This Row],[Designation]]&amp;Tableau14[[#This Row],[CL]],[1]Grille_Tarifs_Modulable!$C$2:$C$204&amp;[1]Grille_Tarifs_Modulable!$F$2:$F$204,0)),0)</f>
        <v>3257150107012</v>
      </c>
      <c r="L1085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29.828643999999997</v>
      </c>
      <c r="M1085" s="228">
        <f>IF(Tableau14[[#This Row],[Prix_Unit_HT]]=0,0,Tableau14[[#This Row],[Prix_Unit_HT]]+(Tableau14[[#This Row],[Prix_Unit_HT]]*VLOOKUP(Tableau14[[#This Row],[EAN]],[1]Grille_Tarifs_Modulable!$B$10:$Q$204,16,FALSE)))</f>
        <v>35.794372799999998</v>
      </c>
      <c r="N1085" s="224">
        <v>6</v>
      </c>
      <c r="O1085" s="228">
        <f>ROUND(Tableau14[[#This Row],[Prix_Unit_HT]],2)*Tableau14[[#This Row],[Qte_commande]]</f>
        <v>178.98</v>
      </c>
      <c r="P1085" s="228">
        <f>ROUND(Tableau14[[#This Row],[Prix_Unit_TTC]],2)*Tableau14[[#This Row],[Qte_commande]]</f>
        <v>214.74</v>
      </c>
      <c r="Q1085" s="224">
        <v>6</v>
      </c>
      <c r="R1085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6.0000000000000009</v>
      </c>
      <c r="U1085" s="224"/>
      <c r="V1085" s="224"/>
    </row>
    <row r="1086" spans="1:22" ht="14.65" customHeight="1" x14ac:dyDescent="0.2">
      <c r="A1086" s="225">
        <v>43361</v>
      </c>
      <c r="B1086" s="224" t="s">
        <v>390</v>
      </c>
      <c r="C1086" s="224" t="s">
        <v>391</v>
      </c>
      <c r="D1086" s="224" t="s">
        <v>209</v>
      </c>
      <c r="E1086" s="226"/>
      <c r="G1086" s="224" t="s">
        <v>13</v>
      </c>
      <c r="H1086" s="224" t="s">
        <v>289</v>
      </c>
      <c r="I1086" s="224" t="s">
        <v>35</v>
      </c>
      <c r="J1086" s="224">
        <v>70</v>
      </c>
      <c r="K1086" s="227">
        <f t="array" ref="K1086">IFERROR(INDEX([1]Grille_Tarifs_Modulable!$B$2:$B$204,MATCH(Tableau14[[#This Row],[Designation]]&amp;Tableau14[[#This Row],[CL]],[1]Grille_Tarifs_Modulable!$C$2:$C$204&amp;[1]Grille_Tarifs_Modulable!$F$2:$F$204,0)),0)</f>
        <v>3257150107012</v>
      </c>
      <c r="L1086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32.408644000000002</v>
      </c>
      <c r="M1086" s="228">
        <f>IF(Tableau14[[#This Row],[Prix_Unit_HT]]=0,0,Tableau14[[#This Row],[Prix_Unit_HT]]+(Tableau14[[#This Row],[Prix_Unit_HT]]*VLOOKUP(Tableau14[[#This Row],[EAN]],[1]Grille_Tarifs_Modulable!$B$10:$Q$204,16,FALSE)))</f>
        <v>38.890372800000002</v>
      </c>
      <c r="N1086" s="224">
        <v>6</v>
      </c>
      <c r="O1086" s="228">
        <f>ROUND(Tableau14[[#This Row],[Prix_Unit_HT]],2)*Tableau14[[#This Row],[Qte_commande]]</f>
        <v>194.45999999999998</v>
      </c>
      <c r="P1086" s="228">
        <f>ROUND(Tableau14[[#This Row],[Prix_Unit_TTC]],2)*Tableau14[[#This Row],[Qte_commande]]</f>
        <v>233.34</v>
      </c>
      <c r="Q1086" s="224">
        <v>6</v>
      </c>
      <c r="R1086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6.0000000000000009</v>
      </c>
      <c r="U1086" s="224"/>
      <c r="V1086" s="224"/>
    </row>
    <row r="1087" spans="1:22" ht="14.65" customHeight="1" x14ac:dyDescent="0.2">
      <c r="A1087" s="225">
        <v>43361</v>
      </c>
      <c r="B1087" s="224" t="s">
        <v>392</v>
      </c>
      <c r="C1087" s="224" t="s">
        <v>393</v>
      </c>
      <c r="D1087" s="224" t="s">
        <v>270</v>
      </c>
      <c r="E1087" s="226"/>
      <c r="G1087" s="224" t="s">
        <v>13</v>
      </c>
      <c r="H1087" s="224" t="s">
        <v>289</v>
      </c>
      <c r="I1087" s="224" t="s">
        <v>35</v>
      </c>
      <c r="J1087" s="224">
        <v>70</v>
      </c>
      <c r="K1087" s="227">
        <f t="array" ref="K1087">IFERROR(INDEX([1]Grille_Tarifs_Modulable!$B$2:$B$204,MATCH(Tableau14[[#This Row],[Designation]]&amp;Tableau14[[#This Row],[CL]],[1]Grille_Tarifs_Modulable!$C$2:$C$204&amp;[1]Grille_Tarifs_Modulable!$F$2:$F$204,0)),0)</f>
        <v>3257150107012</v>
      </c>
      <c r="L1087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32.408644000000002</v>
      </c>
      <c r="M1087" s="228">
        <f>IF(Tableau14[[#This Row],[Prix_Unit_HT]]=0,0,Tableau14[[#This Row],[Prix_Unit_HT]]+(Tableau14[[#This Row],[Prix_Unit_HT]]*VLOOKUP(Tableau14[[#This Row],[EAN]],[1]Grille_Tarifs_Modulable!$B$10:$Q$204,16,FALSE)))</f>
        <v>38.890372800000002</v>
      </c>
      <c r="N1087" s="224">
        <v>2</v>
      </c>
      <c r="O1087" s="228">
        <f>ROUND(Tableau14[[#This Row],[Prix_Unit_HT]],2)*Tableau14[[#This Row],[Qte_commande]]</f>
        <v>64.819999999999993</v>
      </c>
      <c r="P1087" s="228">
        <f>ROUND(Tableau14[[#This Row],[Prix_Unit_TTC]],2)*Tableau14[[#This Row],[Qte_commande]]</f>
        <v>77.78</v>
      </c>
      <c r="Q1087" s="224">
        <v>2</v>
      </c>
      <c r="R1087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2</v>
      </c>
      <c r="U1087" s="224"/>
      <c r="V1087" s="224"/>
    </row>
    <row r="1088" spans="1:22" ht="14.65" customHeight="1" x14ac:dyDescent="0.2">
      <c r="A1088" s="225">
        <v>43361</v>
      </c>
      <c r="B1088" s="224" t="s">
        <v>392</v>
      </c>
      <c r="C1088" s="224" t="s">
        <v>393</v>
      </c>
      <c r="D1088" s="224" t="s">
        <v>270</v>
      </c>
      <c r="E1088" s="226"/>
      <c r="G1088" s="224" t="s">
        <v>13</v>
      </c>
      <c r="H1088" s="224" t="s">
        <v>289</v>
      </c>
      <c r="I1088" s="224" t="s">
        <v>35</v>
      </c>
      <c r="J1088" s="224">
        <v>70</v>
      </c>
      <c r="K1088" s="227">
        <f t="array" ref="K1088">IFERROR(INDEX([1]Grille_Tarifs_Modulable!$B$2:$B$204,MATCH(Tableau14[[#This Row],[Designation]]&amp;Tableau14[[#This Row],[CL]],[1]Grille_Tarifs_Modulable!$C$2:$C$204&amp;[1]Grille_Tarifs_Modulable!$F$2:$F$204,0)),0)</f>
        <v>3257150107012</v>
      </c>
      <c r="L1088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32.408644000000002</v>
      </c>
      <c r="M1088" s="228">
        <f>IF(Tableau14[[#This Row],[Prix_Unit_HT]]=0,0,Tableau14[[#This Row],[Prix_Unit_HT]]+(Tableau14[[#This Row],[Prix_Unit_HT]]*VLOOKUP(Tableau14[[#This Row],[EAN]],[1]Grille_Tarifs_Modulable!$B$10:$Q$204,16,FALSE)))</f>
        <v>38.890372800000002</v>
      </c>
      <c r="N1088" s="224">
        <v>1</v>
      </c>
      <c r="O1088" s="228">
        <f>ROUND(Tableau14[[#This Row],[Prix_Unit_HT]],2)*Tableau14[[#This Row],[Qte_commande]]</f>
        <v>32.409999999999997</v>
      </c>
      <c r="P1088" s="228">
        <f>ROUND(Tableau14[[#This Row],[Prix_Unit_TTC]],2)*Tableau14[[#This Row],[Qte_commande]]</f>
        <v>38.89</v>
      </c>
      <c r="Q1088" s="224">
        <v>1</v>
      </c>
      <c r="R1088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</v>
      </c>
      <c r="U1088" s="224"/>
      <c r="V1088" s="224"/>
    </row>
    <row r="1089" spans="1:22" ht="14.65" customHeight="1" x14ac:dyDescent="0.2">
      <c r="A1089" s="225">
        <v>43361</v>
      </c>
      <c r="B1089" s="224" t="s">
        <v>394</v>
      </c>
      <c r="C1089" s="224" t="s">
        <v>320</v>
      </c>
      <c r="D1089" s="224" t="s">
        <v>270</v>
      </c>
      <c r="E1089" s="226"/>
      <c r="G1089" s="224" t="s">
        <v>1</v>
      </c>
      <c r="H1089" s="224" t="s">
        <v>289</v>
      </c>
      <c r="I1089" s="224" t="s">
        <v>35</v>
      </c>
      <c r="J1089" s="224">
        <v>70</v>
      </c>
      <c r="K1089" s="227">
        <f t="array" ref="K1089">IFERROR(INDEX([1]Grille_Tarifs_Modulable!$B$2:$B$204,MATCH(Tableau14[[#This Row],[Designation]]&amp;Tableau14[[#This Row],[CL]],[1]Grille_Tarifs_Modulable!$C$2:$C$204&amp;[1]Grille_Tarifs_Modulable!$F$2:$F$204,0)),0)</f>
        <v>3257150107012</v>
      </c>
      <c r="L1089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29.828643999999997</v>
      </c>
      <c r="M1089" s="228">
        <f>IF(Tableau14[[#This Row],[Prix_Unit_HT]]=0,0,Tableau14[[#This Row],[Prix_Unit_HT]]+(Tableau14[[#This Row],[Prix_Unit_HT]]*VLOOKUP(Tableau14[[#This Row],[EAN]],[1]Grille_Tarifs_Modulable!$B$10:$Q$204,16,FALSE)))</f>
        <v>35.794372799999998</v>
      </c>
      <c r="N1089" s="224">
        <v>6</v>
      </c>
      <c r="O1089" s="228">
        <f>ROUND(Tableau14[[#This Row],[Prix_Unit_HT]],2)*Tableau14[[#This Row],[Qte_commande]]</f>
        <v>178.98</v>
      </c>
      <c r="P1089" s="228">
        <f>ROUND(Tableau14[[#This Row],[Prix_Unit_TTC]],2)*Tableau14[[#This Row],[Qte_commande]]</f>
        <v>214.74</v>
      </c>
      <c r="Q1089" s="224">
        <v>6</v>
      </c>
      <c r="R1089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6.0000000000000009</v>
      </c>
      <c r="U1089" s="224"/>
      <c r="V1089" s="224"/>
    </row>
    <row r="1090" spans="1:22" ht="14.65" customHeight="1" x14ac:dyDescent="0.2">
      <c r="A1090" s="225">
        <v>43361</v>
      </c>
      <c r="B1090" s="224" t="s">
        <v>390</v>
      </c>
      <c r="C1090" s="224" t="s">
        <v>391</v>
      </c>
      <c r="D1090" s="224" t="s">
        <v>209</v>
      </c>
      <c r="E1090" s="226"/>
      <c r="G1090" s="224" t="s">
        <v>13</v>
      </c>
      <c r="H1090" s="224" t="s">
        <v>196</v>
      </c>
      <c r="I1090" s="224" t="s">
        <v>60</v>
      </c>
      <c r="J1090" s="224">
        <v>20</v>
      </c>
      <c r="K1090" s="227">
        <f t="array" ref="K1090">IFERROR(INDEX([1]Grille_Tarifs_Modulable!$B$2:$B$204,MATCH(Tableau14[[#This Row],[Designation]]&amp;Tableau14[[#This Row],[CL]],[1]Grille_Tarifs_Modulable!$C$2:$C$204&amp;[1]Grille_Tarifs_Modulable!$F$2:$F$204,0)),0)</f>
        <v>4260310553832</v>
      </c>
      <c r="L1090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0.89</v>
      </c>
      <c r="M1090" s="228">
        <f>IF(Tableau14[[#This Row],[Prix_Unit_HT]]=0,0,Tableau14[[#This Row],[Prix_Unit_HT]]+(Tableau14[[#This Row],[Prix_Unit_HT]]*VLOOKUP(Tableau14[[#This Row],[EAN]],[1]Grille_Tarifs_Modulable!$B$10:$Q$204,16,FALSE)))</f>
        <v>0.93895000000000006</v>
      </c>
      <c r="N1090" s="224">
        <v>24</v>
      </c>
      <c r="O1090" s="228">
        <f>ROUND(Tableau14[[#This Row],[Prix_Unit_HT]],2)*Tableau14[[#This Row],[Qte_commande]]</f>
        <v>21.36</v>
      </c>
      <c r="P1090" s="228">
        <f>ROUND(Tableau14[[#This Row],[Prix_Unit_TTC]],2)*Tableau14[[#This Row],[Qte_commande]]</f>
        <v>22.56</v>
      </c>
      <c r="Q1090" s="224">
        <v>6.86</v>
      </c>
      <c r="R1090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6.8571428571428577</v>
      </c>
      <c r="U1090" s="224"/>
      <c r="V1090" s="224"/>
    </row>
    <row r="1091" spans="1:22" ht="14.65" customHeight="1" x14ac:dyDescent="0.2">
      <c r="A1091" s="225">
        <v>43361</v>
      </c>
      <c r="B1091" s="224" t="s">
        <v>517</v>
      </c>
      <c r="C1091" s="224" t="s">
        <v>518</v>
      </c>
      <c r="D1091" s="224" t="s">
        <v>209</v>
      </c>
      <c r="E1091" s="226"/>
      <c r="G1091" s="224" t="s">
        <v>13</v>
      </c>
      <c r="H1091" s="224" t="s">
        <v>289</v>
      </c>
      <c r="I1091" s="224" t="s">
        <v>47</v>
      </c>
      <c r="J1091" s="224">
        <v>70</v>
      </c>
      <c r="K1091" s="227">
        <f t="array" ref="K1091">IFERROR(INDEX([1]Grille_Tarifs_Modulable!$B$2:$B$204,MATCH(Tableau14[[#This Row],[Designation]]&amp;Tableau14[[#This Row],[CL]],[1]Grille_Tarifs_Modulable!$C$2:$C$204&amp;[1]Grille_Tarifs_Modulable!$F$2:$F$204,0)),0)</f>
        <v>3257150673005</v>
      </c>
      <c r="L1091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26.848644</v>
      </c>
      <c r="M1091" s="228">
        <f>IF(Tableau14[[#This Row],[Prix_Unit_HT]]=0,0,Tableau14[[#This Row],[Prix_Unit_HT]]+(Tableau14[[#This Row],[Prix_Unit_HT]]*VLOOKUP(Tableau14[[#This Row],[EAN]],[1]Grille_Tarifs_Modulable!$B$10:$Q$204,16,FALSE)))</f>
        <v>32.218372799999997</v>
      </c>
      <c r="N1091" s="224">
        <v>6</v>
      </c>
      <c r="O1091" s="228">
        <f>ROUND(Tableau14[[#This Row],[Prix_Unit_HT]],2)*Tableau14[[#This Row],[Qte_commande]]</f>
        <v>161.10000000000002</v>
      </c>
      <c r="P1091" s="228">
        <f>ROUND(Tableau14[[#This Row],[Prix_Unit_TTC]],2)*Tableau14[[#This Row],[Qte_commande]]</f>
        <v>193.32</v>
      </c>
      <c r="Q1091" s="224">
        <v>6</v>
      </c>
      <c r="R1091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6.0000000000000009</v>
      </c>
      <c r="U1091" s="224"/>
      <c r="V1091" s="224"/>
    </row>
    <row r="1092" spans="1:22" ht="14.65" customHeight="1" x14ac:dyDescent="0.2">
      <c r="A1092" s="225">
        <v>43361</v>
      </c>
      <c r="B1092" s="224" t="s">
        <v>387</v>
      </c>
      <c r="C1092" s="224" t="s">
        <v>388</v>
      </c>
      <c r="D1092" s="224" t="s">
        <v>389</v>
      </c>
      <c r="E1092" s="226"/>
      <c r="G1092" s="224" t="s">
        <v>1</v>
      </c>
      <c r="H1092" s="224" t="s">
        <v>289</v>
      </c>
      <c r="I1092" s="224" t="s">
        <v>47</v>
      </c>
      <c r="J1092" s="224">
        <v>70</v>
      </c>
      <c r="K1092" s="227">
        <f t="array" ref="K1092">IFERROR(INDEX([1]Grille_Tarifs_Modulable!$B$2:$B$204,MATCH(Tableau14[[#This Row],[Designation]]&amp;Tableau14[[#This Row],[CL]],[1]Grille_Tarifs_Modulable!$C$2:$C$204&amp;[1]Grille_Tarifs_Modulable!$F$2:$F$204,0)),0)</f>
        <v>3257150673005</v>
      </c>
      <c r="L1092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20.158644000000002</v>
      </c>
      <c r="M1092" s="228">
        <f>IF(Tableau14[[#This Row],[Prix_Unit_HT]]=0,0,Tableau14[[#This Row],[Prix_Unit_HT]]+(Tableau14[[#This Row],[Prix_Unit_HT]]*VLOOKUP(Tableau14[[#This Row],[EAN]],[1]Grille_Tarifs_Modulable!$B$10:$Q$204,16,FALSE)))</f>
        <v>24.190372800000002</v>
      </c>
      <c r="N1092" s="224">
        <v>6</v>
      </c>
      <c r="O1092" s="228">
        <f>ROUND(Tableau14[[#This Row],[Prix_Unit_HT]],2)*Tableau14[[#This Row],[Qte_commande]]</f>
        <v>120.96000000000001</v>
      </c>
      <c r="P1092" s="228">
        <f>ROUND(Tableau14[[#This Row],[Prix_Unit_TTC]],2)*Tableau14[[#This Row],[Qte_commande]]</f>
        <v>145.14000000000001</v>
      </c>
      <c r="Q1092" s="224">
        <v>6</v>
      </c>
      <c r="R1092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6.0000000000000009</v>
      </c>
      <c r="U1092" s="224"/>
      <c r="V1092" s="224"/>
    </row>
    <row r="1093" spans="1:22" ht="14.65" customHeight="1" x14ac:dyDescent="0.2">
      <c r="A1093" s="225">
        <v>43361</v>
      </c>
      <c r="B1093" s="224" t="s">
        <v>390</v>
      </c>
      <c r="C1093" s="224" t="s">
        <v>391</v>
      </c>
      <c r="D1093" s="224" t="s">
        <v>209</v>
      </c>
      <c r="E1093" s="226"/>
      <c r="G1093" s="224" t="s">
        <v>13</v>
      </c>
      <c r="H1093" s="224" t="s">
        <v>289</v>
      </c>
      <c r="I1093" s="224" t="s">
        <v>47</v>
      </c>
      <c r="J1093" s="224">
        <v>70</v>
      </c>
      <c r="K1093" s="227">
        <f t="array" ref="K1093">IFERROR(INDEX([1]Grille_Tarifs_Modulable!$B$2:$B$204,MATCH(Tableau14[[#This Row],[Designation]]&amp;Tableau14[[#This Row],[CL]],[1]Grille_Tarifs_Modulable!$C$2:$C$204&amp;[1]Grille_Tarifs_Modulable!$F$2:$F$204,0)),0)</f>
        <v>3257150673005</v>
      </c>
      <c r="L1093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26.848644</v>
      </c>
      <c r="M1093" s="228">
        <f>IF(Tableau14[[#This Row],[Prix_Unit_HT]]=0,0,Tableau14[[#This Row],[Prix_Unit_HT]]+(Tableau14[[#This Row],[Prix_Unit_HT]]*VLOOKUP(Tableau14[[#This Row],[EAN]],[1]Grille_Tarifs_Modulable!$B$10:$Q$204,16,FALSE)))</f>
        <v>32.218372799999997</v>
      </c>
      <c r="N1093" s="224">
        <v>6</v>
      </c>
      <c r="O1093" s="228">
        <f>ROUND(Tableau14[[#This Row],[Prix_Unit_HT]],2)*Tableau14[[#This Row],[Qte_commande]]</f>
        <v>161.10000000000002</v>
      </c>
      <c r="P1093" s="228">
        <f>ROUND(Tableau14[[#This Row],[Prix_Unit_TTC]],2)*Tableau14[[#This Row],[Qte_commande]]</f>
        <v>193.32</v>
      </c>
      <c r="Q1093" s="224">
        <v>6</v>
      </c>
      <c r="R1093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6.0000000000000009</v>
      </c>
      <c r="U1093" s="224"/>
      <c r="V1093" s="224"/>
    </row>
    <row r="1094" spans="1:22" ht="14.65" customHeight="1" x14ac:dyDescent="0.2">
      <c r="A1094" s="225">
        <v>43361</v>
      </c>
      <c r="B1094" s="224" t="s">
        <v>334</v>
      </c>
      <c r="C1094" s="224" t="s">
        <v>305</v>
      </c>
      <c r="D1094" s="224" t="s">
        <v>180</v>
      </c>
      <c r="E1094" s="226"/>
      <c r="G1094" s="224" t="s">
        <v>1</v>
      </c>
      <c r="H1094" s="224" t="s">
        <v>289</v>
      </c>
      <c r="I1094" s="224" t="s">
        <v>15</v>
      </c>
      <c r="J1094" s="224">
        <v>70</v>
      </c>
      <c r="K1094" s="227">
        <f t="array" ref="K1094">IFERROR(INDEX([1]Grille_Tarifs_Modulable!$B$2:$B$204,MATCH(Tableau14[[#This Row],[Designation]]&amp;Tableau14[[#This Row],[CL]],[1]Grille_Tarifs_Modulable!$C$2:$C$204&amp;[1]Grille_Tarifs_Modulable!$F$2:$F$204,0)),0)</f>
        <v>4067700013859</v>
      </c>
      <c r="L1094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12.532563499999998</v>
      </c>
      <c r="M1094" s="228">
        <f>IF(Tableau14[[#This Row],[Prix_Unit_HT]]=0,0,Tableau14[[#This Row],[Prix_Unit_HT]]+(Tableau14[[#This Row],[Prix_Unit_HT]]*VLOOKUP(Tableau14[[#This Row],[EAN]],[1]Grille_Tarifs_Modulable!$B$10:$Q$204,16,FALSE)))</f>
        <v>15.039076199999998</v>
      </c>
      <c r="N1094" s="224">
        <v>48</v>
      </c>
      <c r="O1094" s="228">
        <f>ROUND(Tableau14[[#This Row],[Prix_Unit_HT]],2)*Tableau14[[#This Row],[Qte_commande]]</f>
        <v>601.43999999999994</v>
      </c>
      <c r="P1094" s="228">
        <f>ROUND(Tableau14[[#This Row],[Prix_Unit_TTC]],2)*Tableau14[[#This Row],[Qte_commande]]</f>
        <v>721.92</v>
      </c>
      <c r="Q1094" s="224">
        <v>48</v>
      </c>
      <c r="R1094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48.000000000000007</v>
      </c>
      <c r="U1094" s="224"/>
      <c r="V1094" s="224"/>
    </row>
    <row r="1095" spans="1:22" ht="14.65" customHeight="1" x14ac:dyDescent="0.2">
      <c r="A1095" s="225">
        <v>43361</v>
      </c>
      <c r="B1095" s="224" t="s">
        <v>387</v>
      </c>
      <c r="C1095" s="224" t="s">
        <v>388</v>
      </c>
      <c r="D1095" s="224" t="s">
        <v>389</v>
      </c>
      <c r="E1095" s="226"/>
      <c r="G1095" s="224" t="s">
        <v>13</v>
      </c>
      <c r="H1095" s="224" t="s">
        <v>289</v>
      </c>
      <c r="I1095" s="224" t="s">
        <v>15</v>
      </c>
      <c r="J1095" s="224">
        <v>70</v>
      </c>
      <c r="K1095" s="227">
        <f t="array" ref="K1095">IFERROR(INDEX([1]Grille_Tarifs_Modulable!$B$2:$B$204,MATCH(Tableau14[[#This Row],[Designation]]&amp;Tableau14[[#This Row],[CL]],[1]Grille_Tarifs_Modulable!$C$2:$C$204&amp;[1]Grille_Tarifs_Modulable!$F$2:$F$204,0)),0)</f>
        <v>4067700013859</v>
      </c>
      <c r="L1095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13.942563499999999</v>
      </c>
      <c r="M1095" s="228">
        <f>IF(Tableau14[[#This Row],[Prix_Unit_HT]]=0,0,Tableau14[[#This Row],[Prix_Unit_HT]]+(Tableau14[[#This Row],[Prix_Unit_HT]]*VLOOKUP(Tableau14[[#This Row],[EAN]],[1]Grille_Tarifs_Modulable!$B$10:$Q$204,16,FALSE)))</f>
        <v>16.731076199999997</v>
      </c>
      <c r="N1095" s="224">
        <v>12</v>
      </c>
      <c r="O1095" s="228">
        <f>ROUND(Tableau14[[#This Row],[Prix_Unit_HT]],2)*Tableau14[[#This Row],[Qte_commande]]</f>
        <v>167.28</v>
      </c>
      <c r="P1095" s="228">
        <f>ROUND(Tableau14[[#This Row],[Prix_Unit_TTC]],2)*Tableau14[[#This Row],[Qte_commande]]</f>
        <v>200.76</v>
      </c>
      <c r="Q1095" s="224">
        <v>12</v>
      </c>
      <c r="R1095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12.000000000000002</v>
      </c>
      <c r="U1095" s="224"/>
      <c r="V1095" s="224"/>
    </row>
    <row r="1096" spans="1:22" ht="14.65" customHeight="1" x14ac:dyDescent="0.2">
      <c r="A1096" s="225">
        <v>43361</v>
      </c>
      <c r="B1096" s="224" t="s">
        <v>390</v>
      </c>
      <c r="C1096" s="224" t="s">
        <v>391</v>
      </c>
      <c r="D1096" s="224" t="s">
        <v>209</v>
      </c>
      <c r="E1096" s="226"/>
      <c r="G1096" s="224" t="s">
        <v>13</v>
      </c>
      <c r="H1096" s="224" t="s">
        <v>289</v>
      </c>
      <c r="I1096" s="224" t="s">
        <v>15</v>
      </c>
      <c r="J1096" s="224">
        <v>100</v>
      </c>
      <c r="K1096" s="227">
        <f t="array" ref="K1096">IFERROR(INDEX([1]Grille_Tarifs_Modulable!$B$2:$B$204,MATCH(Tableau14[[#This Row],[Designation]]&amp;Tableau14[[#This Row],[CL]],[1]Grille_Tarifs_Modulable!$C$2:$C$204&amp;[1]Grille_Tarifs_Modulable!$F$2:$F$204,0)),0)</f>
        <v>4067700013842</v>
      </c>
      <c r="L1096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19.150804999999998</v>
      </c>
      <c r="M1096" s="228">
        <f>IF(Tableau14[[#This Row],[Prix_Unit_HT]]=0,0,Tableau14[[#This Row],[Prix_Unit_HT]]+(Tableau14[[#This Row],[Prix_Unit_HT]]*VLOOKUP(Tableau14[[#This Row],[EAN]],[1]Grille_Tarifs_Modulable!$B$10:$Q$204,16,FALSE)))</f>
        <v>22.980965999999999</v>
      </c>
      <c r="N1096" s="224">
        <v>6</v>
      </c>
      <c r="O1096" s="228">
        <f>ROUND(Tableau14[[#This Row],[Prix_Unit_HT]],2)*Tableau14[[#This Row],[Qte_commande]]</f>
        <v>114.89999999999999</v>
      </c>
      <c r="P1096" s="228">
        <f>ROUND(Tableau14[[#This Row],[Prix_Unit_TTC]],2)*Tableau14[[#This Row],[Qte_commande]]</f>
        <v>137.88</v>
      </c>
      <c r="Q1096" s="224">
        <v>8.57</v>
      </c>
      <c r="R1096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8.5714285714285712</v>
      </c>
      <c r="U1096" s="224"/>
      <c r="V1096" s="224"/>
    </row>
    <row r="1097" spans="1:22" ht="14.65" customHeight="1" x14ac:dyDescent="0.2">
      <c r="A1097" s="225">
        <v>43361</v>
      </c>
      <c r="B1097" s="224" t="s">
        <v>517</v>
      </c>
      <c r="C1097" s="224" t="s">
        <v>518</v>
      </c>
      <c r="D1097" s="224" t="s">
        <v>209</v>
      </c>
      <c r="E1097" s="226"/>
      <c r="G1097" s="224" t="s">
        <v>13</v>
      </c>
      <c r="H1097" s="224" t="s">
        <v>289</v>
      </c>
      <c r="I1097" s="224" t="s">
        <v>15</v>
      </c>
      <c r="J1097" s="224">
        <v>175</v>
      </c>
      <c r="K1097" s="227">
        <f t="array" ref="K1097">IFERROR(INDEX([1]Grille_Tarifs_Modulable!$B$2:$B$204,MATCH(Tableau14[[#This Row],[Designation]]&amp;Tableau14[[#This Row],[CL]],[1]Grille_Tarifs_Modulable!$C$2:$C$204&amp;[1]Grille_Tarifs_Modulable!$F$2:$F$204,0)),0)</f>
        <v>4067700013835</v>
      </c>
      <c r="L1097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32.266408749999997</v>
      </c>
      <c r="M1097" s="228">
        <f>IF(Tableau14[[#This Row],[Prix_Unit_HT]]=0,0,Tableau14[[#This Row],[Prix_Unit_HT]]+(Tableau14[[#This Row],[Prix_Unit_HT]]*VLOOKUP(Tableau14[[#This Row],[EAN]],[1]Grille_Tarifs_Modulable!$B$10:$Q$204,16,FALSE)))</f>
        <v>38.719690499999999</v>
      </c>
      <c r="N1097" s="224">
        <v>12</v>
      </c>
      <c r="O1097" s="228">
        <f>ROUND(Tableau14[[#This Row],[Prix_Unit_HT]],2)*Tableau14[[#This Row],[Qte_commande]]</f>
        <v>387.24</v>
      </c>
      <c r="P1097" s="228">
        <f>ROUND(Tableau14[[#This Row],[Prix_Unit_TTC]],2)*Tableau14[[#This Row],[Qte_commande]]</f>
        <v>464.64</v>
      </c>
      <c r="Q1097" s="224">
        <v>30</v>
      </c>
      <c r="R1097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30.000000000000004</v>
      </c>
      <c r="U1097" s="224"/>
      <c r="V1097" s="224"/>
    </row>
    <row r="1098" spans="1:22" ht="14.65" customHeight="1" x14ac:dyDescent="0.2">
      <c r="A1098" s="225">
        <v>43361</v>
      </c>
      <c r="B1098" s="224" t="s">
        <v>392</v>
      </c>
      <c r="C1098" s="224" t="s">
        <v>393</v>
      </c>
      <c r="D1098" s="224" t="s">
        <v>270</v>
      </c>
      <c r="E1098" s="226"/>
      <c r="G1098" s="224" t="s">
        <v>13</v>
      </c>
      <c r="H1098" s="224" t="s">
        <v>289</v>
      </c>
      <c r="I1098" s="224" t="s">
        <v>15</v>
      </c>
      <c r="J1098" s="224">
        <v>100</v>
      </c>
      <c r="K1098" s="227">
        <f t="array" ref="K1098">IFERROR(INDEX([1]Grille_Tarifs_Modulable!$B$2:$B$204,MATCH(Tableau14[[#This Row],[Designation]]&amp;Tableau14[[#This Row],[CL]],[1]Grille_Tarifs_Modulable!$C$2:$C$204&amp;[1]Grille_Tarifs_Modulable!$F$2:$F$204,0)),0)</f>
        <v>4067700013842</v>
      </c>
      <c r="L1098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19.150804999999998</v>
      </c>
      <c r="M1098" s="228">
        <f>IF(Tableau14[[#This Row],[Prix_Unit_HT]]=0,0,Tableau14[[#This Row],[Prix_Unit_HT]]+(Tableau14[[#This Row],[Prix_Unit_HT]]*VLOOKUP(Tableau14[[#This Row],[EAN]],[1]Grille_Tarifs_Modulable!$B$10:$Q$204,16,FALSE)))</f>
        <v>22.980965999999999</v>
      </c>
      <c r="N1098" s="224">
        <v>6</v>
      </c>
      <c r="O1098" s="228">
        <f>ROUND(Tableau14[[#This Row],[Prix_Unit_HT]],2)*Tableau14[[#This Row],[Qte_commande]]</f>
        <v>114.89999999999999</v>
      </c>
      <c r="P1098" s="228">
        <f>ROUND(Tableau14[[#This Row],[Prix_Unit_TTC]],2)*Tableau14[[#This Row],[Qte_commande]]</f>
        <v>137.88</v>
      </c>
      <c r="Q1098" s="224">
        <v>8.57</v>
      </c>
      <c r="R1098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8.5714285714285712</v>
      </c>
      <c r="U1098" s="224"/>
      <c r="V1098" s="224"/>
    </row>
    <row r="1099" spans="1:22" ht="14.65" customHeight="1" x14ac:dyDescent="0.2">
      <c r="A1099" s="225">
        <v>43361</v>
      </c>
      <c r="B1099" s="224" t="s">
        <v>390</v>
      </c>
      <c r="C1099" s="224" t="s">
        <v>391</v>
      </c>
      <c r="D1099" s="224" t="s">
        <v>209</v>
      </c>
      <c r="E1099" s="226"/>
      <c r="G1099" s="224" t="s">
        <v>13</v>
      </c>
      <c r="H1099" s="224" t="s">
        <v>196</v>
      </c>
      <c r="I1099" s="224" t="s">
        <v>66</v>
      </c>
      <c r="J1099" s="224">
        <v>20</v>
      </c>
      <c r="K1099" s="227">
        <f t="array" ref="K1099">IFERROR(INDEX([1]Grille_Tarifs_Modulable!$B$2:$B$204,MATCH(Tableau14[[#This Row],[Designation]]&amp;Tableau14[[#This Row],[CL]],[1]Grille_Tarifs_Modulable!$C$2:$C$204&amp;[1]Grille_Tarifs_Modulable!$F$2:$F$204,0)),0)</f>
        <v>4260310554785</v>
      </c>
      <c r="L1099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0.89</v>
      </c>
      <c r="M1099" s="228">
        <f>IF(Tableau14[[#This Row],[Prix_Unit_HT]]=0,0,Tableau14[[#This Row],[Prix_Unit_HT]]+(Tableau14[[#This Row],[Prix_Unit_HT]]*VLOOKUP(Tableau14[[#This Row],[EAN]],[1]Grille_Tarifs_Modulable!$B$10:$Q$204,16,FALSE)))</f>
        <v>0.93895000000000006</v>
      </c>
      <c r="N1099" s="224">
        <v>24</v>
      </c>
      <c r="O1099" s="228">
        <f>ROUND(Tableau14[[#This Row],[Prix_Unit_HT]],2)*Tableau14[[#This Row],[Qte_commande]]</f>
        <v>21.36</v>
      </c>
      <c r="P1099" s="228">
        <f>ROUND(Tableau14[[#This Row],[Prix_Unit_TTC]],2)*Tableau14[[#This Row],[Qte_commande]]</f>
        <v>22.56</v>
      </c>
      <c r="Q1099" s="224">
        <v>6.86</v>
      </c>
      <c r="R1099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6.8571428571428577</v>
      </c>
      <c r="U1099" s="224"/>
      <c r="V1099" s="224"/>
    </row>
    <row r="1100" spans="1:22" ht="14.65" customHeight="1" x14ac:dyDescent="0.2">
      <c r="A1100" s="225">
        <v>43361</v>
      </c>
      <c r="B1100" s="224" t="s">
        <v>387</v>
      </c>
      <c r="C1100" s="224" t="s">
        <v>388</v>
      </c>
      <c r="D1100" s="224" t="s">
        <v>389</v>
      </c>
      <c r="E1100" s="226"/>
      <c r="G1100" s="224" t="s">
        <v>13</v>
      </c>
      <c r="H1100" s="224" t="s">
        <v>289</v>
      </c>
      <c r="I1100" s="224" t="s">
        <v>30</v>
      </c>
      <c r="J1100" s="224">
        <v>70</v>
      </c>
      <c r="K1100" s="227">
        <f t="array" ref="K1100">IFERROR(INDEX([1]Grille_Tarifs_Modulable!$B$2:$B$204,MATCH(Tableau14[[#This Row],[Designation]]&amp;Tableau14[[#This Row],[CL]],[1]Grille_Tarifs_Modulable!$C$2:$C$204&amp;[1]Grille_Tarifs_Modulable!$F$2:$F$204,0)),0)</f>
        <v>3257150101904</v>
      </c>
      <c r="L1100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18.506483000000003</v>
      </c>
      <c r="M1100" s="228">
        <f>IF(Tableau14[[#This Row],[Prix_Unit_HT]]=0,0,Tableau14[[#This Row],[Prix_Unit_HT]]+(Tableau14[[#This Row],[Prix_Unit_HT]]*VLOOKUP(Tableau14[[#This Row],[EAN]],[1]Grille_Tarifs_Modulable!$B$10:$Q$204,16,FALSE)))</f>
        <v>22.207779600000002</v>
      </c>
      <c r="N1100" s="224">
        <v>18</v>
      </c>
      <c r="O1100" s="228">
        <f>ROUND(Tableau14[[#This Row],[Prix_Unit_HT]],2)*Tableau14[[#This Row],[Qte_commande]]</f>
        <v>333.18</v>
      </c>
      <c r="P1100" s="228">
        <f>ROUND(Tableau14[[#This Row],[Prix_Unit_TTC]],2)*Tableau14[[#This Row],[Qte_commande]]</f>
        <v>399.78000000000003</v>
      </c>
      <c r="Q1100" s="224">
        <v>18</v>
      </c>
      <c r="R1100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18</v>
      </c>
      <c r="U1100" s="224"/>
      <c r="V1100" s="224"/>
    </row>
    <row r="1101" spans="1:22" ht="14.65" customHeight="1" x14ac:dyDescent="0.2">
      <c r="A1101" s="225">
        <v>43361</v>
      </c>
      <c r="B1101" s="224" t="s">
        <v>392</v>
      </c>
      <c r="C1101" s="224" t="s">
        <v>393</v>
      </c>
      <c r="D1101" s="224" t="s">
        <v>270</v>
      </c>
      <c r="E1101" s="226"/>
      <c r="G1101" s="224" t="s">
        <v>13</v>
      </c>
      <c r="H1101" s="224" t="s">
        <v>289</v>
      </c>
      <c r="I1101" s="224" t="s">
        <v>30</v>
      </c>
      <c r="J1101" s="224">
        <v>70</v>
      </c>
      <c r="K1101" s="227">
        <f t="array" ref="K1101">IFERROR(INDEX([1]Grille_Tarifs_Modulable!$B$2:$B$204,MATCH(Tableau14[[#This Row],[Designation]]&amp;Tableau14[[#This Row],[CL]],[1]Grille_Tarifs_Modulable!$C$2:$C$204&amp;[1]Grille_Tarifs_Modulable!$F$2:$F$204,0)),0)</f>
        <v>3257150101904</v>
      </c>
      <c r="L1101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18.506483000000003</v>
      </c>
      <c r="M1101" s="228">
        <f>IF(Tableau14[[#This Row],[Prix_Unit_HT]]=0,0,Tableau14[[#This Row],[Prix_Unit_HT]]+(Tableau14[[#This Row],[Prix_Unit_HT]]*VLOOKUP(Tableau14[[#This Row],[EAN]],[1]Grille_Tarifs_Modulable!$B$10:$Q$204,16,FALSE)))</f>
        <v>22.207779600000002</v>
      </c>
      <c r="N1101" s="224">
        <v>3</v>
      </c>
      <c r="O1101" s="228">
        <f>ROUND(Tableau14[[#This Row],[Prix_Unit_HT]],2)*Tableau14[[#This Row],[Qte_commande]]</f>
        <v>55.53</v>
      </c>
      <c r="P1101" s="228">
        <f>ROUND(Tableau14[[#This Row],[Prix_Unit_TTC]],2)*Tableau14[[#This Row],[Qte_commande]]</f>
        <v>66.63</v>
      </c>
      <c r="Q1101" s="224">
        <v>3</v>
      </c>
      <c r="R1101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3.0000000000000004</v>
      </c>
      <c r="U1101" s="224"/>
      <c r="V1101" s="224"/>
    </row>
    <row r="1102" spans="1:22" ht="14.65" customHeight="1" x14ac:dyDescent="0.2">
      <c r="A1102" s="225">
        <v>43361</v>
      </c>
      <c r="B1102" s="224" t="s">
        <v>394</v>
      </c>
      <c r="C1102" s="224" t="s">
        <v>320</v>
      </c>
      <c r="D1102" s="224" t="s">
        <v>270</v>
      </c>
      <c r="E1102" s="226"/>
      <c r="G1102" s="224" t="s">
        <v>1</v>
      </c>
      <c r="H1102" s="224" t="s">
        <v>289</v>
      </c>
      <c r="I1102" s="224" t="s">
        <v>30</v>
      </c>
      <c r="J1102" s="224">
        <v>70</v>
      </c>
      <c r="K1102" s="227">
        <f t="array" ref="K1102">IFERROR(INDEX([1]Grille_Tarifs_Modulable!$B$2:$B$204,MATCH(Tableau14[[#This Row],[Designation]]&amp;Tableau14[[#This Row],[CL]],[1]Grille_Tarifs_Modulable!$C$2:$C$204&amp;[1]Grille_Tarifs_Modulable!$F$2:$F$204,0)),0)</f>
        <v>3257150101904</v>
      </c>
      <c r="L1102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16.346482999999999</v>
      </c>
      <c r="M1102" s="228">
        <f>IF(Tableau14[[#This Row],[Prix_Unit_HT]]=0,0,Tableau14[[#This Row],[Prix_Unit_HT]]+(Tableau14[[#This Row],[Prix_Unit_HT]]*VLOOKUP(Tableau14[[#This Row],[EAN]],[1]Grille_Tarifs_Modulable!$B$10:$Q$204,16,FALSE)))</f>
        <v>19.6157796</v>
      </c>
      <c r="N1102" s="224">
        <v>6</v>
      </c>
      <c r="O1102" s="228">
        <f>ROUND(Tableau14[[#This Row],[Prix_Unit_HT]],2)*Tableau14[[#This Row],[Qte_commande]]</f>
        <v>98.100000000000009</v>
      </c>
      <c r="P1102" s="228">
        <f>ROUND(Tableau14[[#This Row],[Prix_Unit_TTC]],2)*Tableau14[[#This Row],[Qte_commande]]</f>
        <v>117.72</v>
      </c>
      <c r="Q1102" s="224">
        <v>6</v>
      </c>
      <c r="R1102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6.0000000000000009</v>
      </c>
      <c r="U1102" s="224"/>
      <c r="V1102" s="224"/>
    </row>
    <row r="1103" spans="1:22" ht="14.65" customHeight="1" x14ac:dyDescent="0.2">
      <c r="A1103" s="225">
        <v>43361</v>
      </c>
      <c r="B1103" s="224" t="s">
        <v>334</v>
      </c>
      <c r="C1103" s="224" t="s">
        <v>305</v>
      </c>
      <c r="D1103" s="224" t="s">
        <v>180</v>
      </c>
      <c r="E1103" s="226"/>
      <c r="G1103" s="224" t="s">
        <v>1</v>
      </c>
      <c r="H1103" s="224" t="s">
        <v>289</v>
      </c>
      <c r="I1103" s="224" t="s">
        <v>32</v>
      </c>
      <c r="J1103" s="224">
        <v>70</v>
      </c>
      <c r="K1103" s="227">
        <f t="array" ref="K1103">IFERROR(INDEX([1]Grille_Tarifs_Modulable!$B$2:$B$204,MATCH(Tableau14[[#This Row],[Designation]]&amp;Tableau14[[#This Row],[CL]],[1]Grille_Tarifs_Modulable!$C$2:$C$204&amp;[1]Grille_Tarifs_Modulable!$F$2:$F$204,0)),0)</f>
        <v>3257150100228</v>
      </c>
      <c r="L1103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19.998643999999999</v>
      </c>
      <c r="M1103" s="228">
        <f>IF(Tableau14[[#This Row],[Prix_Unit_HT]]=0,0,Tableau14[[#This Row],[Prix_Unit_HT]]+(Tableau14[[#This Row],[Prix_Unit_HT]]*VLOOKUP(Tableau14[[#This Row],[EAN]],[1]Grille_Tarifs_Modulable!$B$10:$Q$204,16,FALSE)))</f>
        <v>23.998372799999999</v>
      </c>
      <c r="N1103" s="224">
        <v>18</v>
      </c>
      <c r="O1103" s="228">
        <f>ROUND(Tableau14[[#This Row],[Prix_Unit_HT]],2)*Tableau14[[#This Row],[Qte_commande]]</f>
        <v>360</v>
      </c>
      <c r="P1103" s="228">
        <f>ROUND(Tableau14[[#This Row],[Prix_Unit_TTC]],2)*Tableau14[[#This Row],[Qte_commande]]</f>
        <v>432</v>
      </c>
      <c r="Q1103" s="224">
        <v>18</v>
      </c>
      <c r="R1103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18</v>
      </c>
      <c r="U1103" s="224"/>
      <c r="V1103" s="224"/>
    </row>
    <row r="1104" spans="1:22" ht="14.65" customHeight="1" x14ac:dyDescent="0.2">
      <c r="A1104" s="225">
        <v>43361</v>
      </c>
      <c r="B1104" s="224" t="s">
        <v>517</v>
      </c>
      <c r="C1104" s="224" t="s">
        <v>518</v>
      </c>
      <c r="D1104" s="224" t="s">
        <v>209</v>
      </c>
      <c r="E1104" s="226"/>
      <c r="G1104" s="224" t="s">
        <v>13</v>
      </c>
      <c r="H1104" s="224" t="s">
        <v>289</v>
      </c>
      <c r="I1104" s="224" t="s">
        <v>32</v>
      </c>
      <c r="J1104" s="224">
        <v>70</v>
      </c>
      <c r="K1104" s="227">
        <f t="array" ref="K1104">IFERROR(INDEX([1]Grille_Tarifs_Modulable!$B$2:$B$204,MATCH(Tableau14[[#This Row],[Designation]]&amp;Tableau14[[#This Row],[CL]],[1]Grille_Tarifs_Modulable!$C$2:$C$204&amp;[1]Grille_Tarifs_Modulable!$F$2:$F$204,0)),0)</f>
        <v>3257150100228</v>
      </c>
      <c r="L1104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21.488644000000001</v>
      </c>
      <c r="M1104" s="228">
        <f>IF(Tableau14[[#This Row],[Prix_Unit_HT]]=0,0,Tableau14[[#This Row],[Prix_Unit_HT]]+(Tableau14[[#This Row],[Prix_Unit_HT]]*VLOOKUP(Tableau14[[#This Row],[EAN]],[1]Grille_Tarifs_Modulable!$B$10:$Q$204,16,FALSE)))</f>
        <v>25.786372800000002</v>
      </c>
      <c r="N1104" s="224">
        <v>6</v>
      </c>
      <c r="O1104" s="228">
        <f>ROUND(Tableau14[[#This Row],[Prix_Unit_HT]],2)*Tableau14[[#This Row],[Qte_commande]]</f>
        <v>128.94</v>
      </c>
      <c r="P1104" s="228">
        <f>ROUND(Tableau14[[#This Row],[Prix_Unit_TTC]],2)*Tableau14[[#This Row],[Qte_commande]]</f>
        <v>154.74</v>
      </c>
      <c r="Q1104" s="224">
        <v>6</v>
      </c>
      <c r="R1104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6.0000000000000009</v>
      </c>
      <c r="U1104" s="224"/>
      <c r="V1104" s="224"/>
    </row>
    <row r="1105" spans="1:22" ht="14.65" customHeight="1" x14ac:dyDescent="0.2">
      <c r="A1105" s="225">
        <v>43361</v>
      </c>
      <c r="B1105" s="224" t="s">
        <v>390</v>
      </c>
      <c r="C1105" s="224" t="s">
        <v>391</v>
      </c>
      <c r="D1105" s="224" t="s">
        <v>209</v>
      </c>
      <c r="E1105" s="226"/>
      <c r="G1105" s="224" t="s">
        <v>13</v>
      </c>
      <c r="H1105" s="224" t="s">
        <v>289</v>
      </c>
      <c r="I1105" s="224" t="s">
        <v>32</v>
      </c>
      <c r="J1105" s="224">
        <v>70</v>
      </c>
      <c r="K1105" s="227">
        <f t="array" ref="K1105">IFERROR(INDEX([1]Grille_Tarifs_Modulable!$B$2:$B$204,MATCH(Tableau14[[#This Row],[Designation]]&amp;Tableau14[[#This Row],[CL]],[1]Grille_Tarifs_Modulable!$C$2:$C$204&amp;[1]Grille_Tarifs_Modulable!$F$2:$F$204,0)),0)</f>
        <v>3257150100228</v>
      </c>
      <c r="L1105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21.488644000000001</v>
      </c>
      <c r="M1105" s="228">
        <f>IF(Tableau14[[#This Row],[Prix_Unit_HT]]=0,0,Tableau14[[#This Row],[Prix_Unit_HT]]+(Tableau14[[#This Row],[Prix_Unit_HT]]*VLOOKUP(Tableau14[[#This Row],[EAN]],[1]Grille_Tarifs_Modulable!$B$10:$Q$204,16,FALSE)))</f>
        <v>25.786372800000002</v>
      </c>
      <c r="N1105" s="224">
        <v>6</v>
      </c>
      <c r="O1105" s="228">
        <f>ROUND(Tableau14[[#This Row],[Prix_Unit_HT]],2)*Tableau14[[#This Row],[Qte_commande]]</f>
        <v>128.94</v>
      </c>
      <c r="P1105" s="228">
        <f>ROUND(Tableau14[[#This Row],[Prix_Unit_TTC]],2)*Tableau14[[#This Row],[Qte_commande]]</f>
        <v>154.74</v>
      </c>
      <c r="Q1105" s="224">
        <v>6</v>
      </c>
      <c r="R1105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6.0000000000000009</v>
      </c>
      <c r="U1105" s="224"/>
      <c r="V1105" s="224"/>
    </row>
    <row r="1106" spans="1:22" ht="14.65" customHeight="1" x14ac:dyDescent="0.2">
      <c r="A1106" s="225">
        <v>43361</v>
      </c>
      <c r="B1106" s="224" t="s">
        <v>392</v>
      </c>
      <c r="C1106" s="224" t="s">
        <v>393</v>
      </c>
      <c r="D1106" s="224" t="s">
        <v>270</v>
      </c>
      <c r="E1106" s="226"/>
      <c r="G1106" s="224" t="s">
        <v>13</v>
      </c>
      <c r="H1106" s="224" t="s">
        <v>289</v>
      </c>
      <c r="I1106" s="224" t="s">
        <v>32</v>
      </c>
      <c r="J1106" s="224">
        <v>70</v>
      </c>
      <c r="K1106" s="227">
        <f t="array" ref="K1106">IFERROR(INDEX([1]Grille_Tarifs_Modulable!$B$2:$B$204,MATCH(Tableau14[[#This Row],[Designation]]&amp;Tableau14[[#This Row],[CL]],[1]Grille_Tarifs_Modulable!$C$2:$C$204&amp;[1]Grille_Tarifs_Modulable!$F$2:$F$204,0)),0)</f>
        <v>3257150100228</v>
      </c>
      <c r="L1106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21.488644000000001</v>
      </c>
      <c r="M1106" s="228">
        <f>IF(Tableau14[[#This Row],[Prix_Unit_HT]]=0,0,Tableau14[[#This Row],[Prix_Unit_HT]]+(Tableau14[[#This Row],[Prix_Unit_HT]]*VLOOKUP(Tableau14[[#This Row],[EAN]],[1]Grille_Tarifs_Modulable!$B$10:$Q$204,16,FALSE)))</f>
        <v>25.786372800000002</v>
      </c>
      <c r="N1106" s="224">
        <v>6</v>
      </c>
      <c r="O1106" s="228">
        <f>ROUND(Tableau14[[#This Row],[Prix_Unit_HT]],2)*Tableau14[[#This Row],[Qte_commande]]</f>
        <v>128.94</v>
      </c>
      <c r="P1106" s="228">
        <f>ROUND(Tableau14[[#This Row],[Prix_Unit_TTC]],2)*Tableau14[[#This Row],[Qte_commande]]</f>
        <v>154.74</v>
      </c>
      <c r="Q1106" s="224">
        <v>6</v>
      </c>
      <c r="R1106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6.0000000000000009</v>
      </c>
      <c r="U1106" s="224"/>
      <c r="V1106" s="224"/>
    </row>
    <row r="1107" spans="1:22" ht="14.65" customHeight="1" x14ac:dyDescent="0.2">
      <c r="A1107" s="225">
        <v>43361</v>
      </c>
      <c r="B1107" s="224" t="s">
        <v>394</v>
      </c>
      <c r="C1107" s="224" t="s">
        <v>320</v>
      </c>
      <c r="D1107" s="224" t="s">
        <v>270</v>
      </c>
      <c r="E1107" s="226"/>
      <c r="G1107" s="224" t="s">
        <v>1</v>
      </c>
      <c r="H1107" s="224" t="s">
        <v>289</v>
      </c>
      <c r="I1107" s="224" t="s">
        <v>32</v>
      </c>
      <c r="J1107" s="224">
        <v>70</v>
      </c>
      <c r="K1107" s="227">
        <f t="array" ref="K1107">IFERROR(INDEX([1]Grille_Tarifs_Modulable!$B$2:$B$204,MATCH(Tableau14[[#This Row],[Designation]]&amp;Tableau14[[#This Row],[CL]],[1]Grille_Tarifs_Modulable!$C$2:$C$204&amp;[1]Grille_Tarifs_Modulable!$F$2:$F$204,0)),0)</f>
        <v>3257150100228</v>
      </c>
      <c r="L1107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19.998643999999999</v>
      </c>
      <c r="M1107" s="228">
        <f>IF(Tableau14[[#This Row],[Prix_Unit_HT]]=0,0,Tableau14[[#This Row],[Prix_Unit_HT]]+(Tableau14[[#This Row],[Prix_Unit_HT]]*VLOOKUP(Tableau14[[#This Row],[EAN]],[1]Grille_Tarifs_Modulable!$B$10:$Q$204,16,FALSE)))</f>
        <v>23.998372799999999</v>
      </c>
      <c r="N1107" s="224">
        <v>6</v>
      </c>
      <c r="O1107" s="228">
        <f>ROUND(Tableau14[[#This Row],[Prix_Unit_HT]],2)*Tableau14[[#This Row],[Qte_commande]]</f>
        <v>120</v>
      </c>
      <c r="P1107" s="228">
        <f>ROUND(Tableau14[[#This Row],[Prix_Unit_TTC]],2)*Tableau14[[#This Row],[Qte_commande]]</f>
        <v>144</v>
      </c>
      <c r="Q1107" s="224">
        <v>6</v>
      </c>
      <c r="R1107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6.0000000000000009</v>
      </c>
      <c r="U1107" s="224"/>
      <c r="V1107" s="224"/>
    </row>
    <row r="1108" spans="1:22" ht="14.65" customHeight="1" x14ac:dyDescent="0.2">
      <c r="A1108" s="225">
        <v>43361</v>
      </c>
      <c r="B1108" s="224" t="s">
        <v>334</v>
      </c>
      <c r="C1108" s="224" t="s">
        <v>305</v>
      </c>
      <c r="D1108" s="224" t="s">
        <v>180</v>
      </c>
      <c r="E1108" s="226"/>
      <c r="G1108" s="224" t="s">
        <v>1</v>
      </c>
      <c r="H1108" s="224" t="s">
        <v>289</v>
      </c>
      <c r="I1108" s="224" t="s">
        <v>31</v>
      </c>
      <c r="J1108" s="224">
        <v>70</v>
      </c>
      <c r="K1108" s="227">
        <f t="array" ref="K1108">IFERROR(INDEX([1]Grille_Tarifs_Modulable!$B$2:$B$204,MATCH(Tableau14[[#This Row],[Designation]]&amp;Tableau14[[#This Row],[CL]],[1]Grille_Tarifs_Modulable!$C$2:$C$204&amp;[1]Grille_Tarifs_Modulable!$F$2:$F$204,0)),0)</f>
        <v>3257150102017</v>
      </c>
      <c r="L1108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14.694322</v>
      </c>
      <c r="M1108" s="228">
        <f>IF(Tableau14[[#This Row],[Prix_Unit_HT]]=0,0,Tableau14[[#This Row],[Prix_Unit_HT]]+(Tableau14[[#This Row],[Prix_Unit_HT]]*VLOOKUP(Tableau14[[#This Row],[EAN]],[1]Grille_Tarifs_Modulable!$B$10:$Q$204,16,FALSE)))</f>
        <v>17.6331864</v>
      </c>
      <c r="N1108" s="224">
        <v>18</v>
      </c>
      <c r="O1108" s="228">
        <f>ROUND(Tableau14[[#This Row],[Prix_Unit_HT]],2)*Tableau14[[#This Row],[Qte_commande]]</f>
        <v>264.42</v>
      </c>
      <c r="P1108" s="228">
        <f>ROUND(Tableau14[[#This Row],[Prix_Unit_TTC]],2)*Tableau14[[#This Row],[Qte_commande]]</f>
        <v>317.33999999999997</v>
      </c>
      <c r="Q1108" s="224">
        <v>18</v>
      </c>
      <c r="R1108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18</v>
      </c>
      <c r="U1108" s="224"/>
      <c r="V1108" s="224"/>
    </row>
    <row r="1109" spans="1:22" ht="14.65" customHeight="1" x14ac:dyDescent="0.2">
      <c r="A1109" s="225">
        <v>43361</v>
      </c>
      <c r="B1109" s="224" t="s">
        <v>390</v>
      </c>
      <c r="C1109" s="224" t="s">
        <v>391</v>
      </c>
      <c r="D1109" s="224" t="s">
        <v>209</v>
      </c>
      <c r="E1109" s="226"/>
      <c r="G1109" s="224" t="s">
        <v>13</v>
      </c>
      <c r="H1109" s="224" t="s">
        <v>289</v>
      </c>
      <c r="I1109" s="224" t="s">
        <v>31</v>
      </c>
      <c r="J1109" s="224">
        <v>70</v>
      </c>
      <c r="K1109" s="227">
        <f t="array" ref="K1109">IFERROR(INDEX([1]Grille_Tarifs_Modulable!$B$2:$B$204,MATCH(Tableau14[[#This Row],[Designation]]&amp;Tableau14[[#This Row],[CL]],[1]Grille_Tarifs_Modulable!$C$2:$C$204&amp;[1]Grille_Tarifs_Modulable!$F$2:$F$204,0)),0)</f>
        <v>3257150102017</v>
      </c>
      <c r="L1109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16.854322</v>
      </c>
      <c r="M1109" s="228">
        <f>IF(Tableau14[[#This Row],[Prix_Unit_HT]]=0,0,Tableau14[[#This Row],[Prix_Unit_HT]]+(Tableau14[[#This Row],[Prix_Unit_HT]]*VLOOKUP(Tableau14[[#This Row],[EAN]],[1]Grille_Tarifs_Modulable!$B$10:$Q$204,16,FALSE)))</f>
        <v>20.225186399999998</v>
      </c>
      <c r="N1109" s="224">
        <v>6</v>
      </c>
      <c r="O1109" s="228">
        <f>ROUND(Tableau14[[#This Row],[Prix_Unit_HT]],2)*Tableau14[[#This Row],[Qte_commande]]</f>
        <v>101.10000000000001</v>
      </c>
      <c r="P1109" s="228">
        <f>ROUND(Tableau14[[#This Row],[Prix_Unit_TTC]],2)*Tableau14[[#This Row],[Qte_commande]]</f>
        <v>121.38</v>
      </c>
      <c r="Q1109" s="224">
        <v>6</v>
      </c>
      <c r="R1109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6.0000000000000009</v>
      </c>
      <c r="U1109" s="224"/>
      <c r="V1109" s="224"/>
    </row>
    <row r="1110" spans="1:22" ht="14.65" customHeight="1" x14ac:dyDescent="0.2">
      <c r="A1110" s="225">
        <v>43361</v>
      </c>
      <c r="B1110" s="224" t="s">
        <v>394</v>
      </c>
      <c r="C1110" s="224" t="s">
        <v>320</v>
      </c>
      <c r="D1110" s="224" t="s">
        <v>270</v>
      </c>
      <c r="E1110" s="226"/>
      <c r="G1110" s="224" t="s">
        <v>1</v>
      </c>
      <c r="H1110" s="224" t="s">
        <v>289</v>
      </c>
      <c r="I1110" s="224" t="s">
        <v>31</v>
      </c>
      <c r="J1110" s="224">
        <v>70</v>
      </c>
      <c r="K1110" s="227">
        <f t="array" ref="K1110">IFERROR(INDEX([1]Grille_Tarifs_Modulable!$B$2:$B$204,MATCH(Tableau14[[#This Row],[Designation]]&amp;Tableau14[[#This Row],[CL]],[1]Grille_Tarifs_Modulable!$C$2:$C$204&amp;[1]Grille_Tarifs_Modulable!$F$2:$F$204,0)),0)</f>
        <v>3257150102017</v>
      </c>
      <c r="L1110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14.694322</v>
      </c>
      <c r="M1110" s="228">
        <f>IF(Tableau14[[#This Row],[Prix_Unit_HT]]=0,0,Tableau14[[#This Row],[Prix_Unit_HT]]+(Tableau14[[#This Row],[Prix_Unit_HT]]*VLOOKUP(Tableau14[[#This Row],[EAN]],[1]Grille_Tarifs_Modulable!$B$10:$Q$204,16,FALSE)))</f>
        <v>17.6331864</v>
      </c>
      <c r="N1110" s="224">
        <v>6</v>
      </c>
      <c r="O1110" s="228">
        <f>ROUND(Tableau14[[#This Row],[Prix_Unit_HT]],2)*Tableau14[[#This Row],[Qte_commande]]</f>
        <v>88.14</v>
      </c>
      <c r="P1110" s="228">
        <f>ROUND(Tableau14[[#This Row],[Prix_Unit_TTC]],2)*Tableau14[[#This Row],[Qte_commande]]</f>
        <v>105.78</v>
      </c>
      <c r="Q1110" s="224">
        <v>6</v>
      </c>
      <c r="R1110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6.0000000000000009</v>
      </c>
      <c r="U1110" s="224"/>
      <c r="V1110" s="224"/>
    </row>
    <row r="1111" spans="1:22" ht="14.65" customHeight="1" x14ac:dyDescent="0.2">
      <c r="A1111" s="225">
        <v>43361</v>
      </c>
      <c r="B1111" s="224" t="s">
        <v>387</v>
      </c>
      <c r="C1111" s="224" t="s">
        <v>388</v>
      </c>
      <c r="D1111" s="224" t="s">
        <v>389</v>
      </c>
      <c r="E1111" s="226"/>
      <c r="G1111" s="224" t="s">
        <v>13</v>
      </c>
      <c r="H1111" s="224" t="s">
        <v>289</v>
      </c>
      <c r="I1111" s="224" t="s">
        <v>52</v>
      </c>
      <c r="J1111" s="224">
        <v>75</v>
      </c>
      <c r="K1111" s="227">
        <f t="array" ref="K1111">IFERROR(INDEX([1]Grille_Tarifs_Modulable!$B$2:$B$204,MATCH(Tableau14[[#This Row],[Designation]]&amp;Tableau14[[#This Row],[CL]],[1]Grille_Tarifs_Modulable!$C$2:$C$204&amp;[1]Grille_Tarifs_Modulable!$F$2:$F$204,0)),0)</f>
        <v>7503011641413</v>
      </c>
      <c r="L1111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26.257707249999999</v>
      </c>
      <c r="M1111" s="228">
        <f>IF(Tableau14[[#This Row],[Prix_Unit_HT]]=0,0,Tableau14[[#This Row],[Prix_Unit_HT]]+(Tableau14[[#This Row],[Prix_Unit_HT]]*VLOOKUP(Tableau14[[#This Row],[EAN]],[1]Grille_Tarifs_Modulable!$B$10:$Q$204,16,FALSE)))</f>
        <v>31.509248700000001</v>
      </c>
      <c r="N1111" s="224">
        <v>6</v>
      </c>
      <c r="O1111" s="228">
        <f>ROUND(Tableau14[[#This Row],[Prix_Unit_HT]],2)*Tableau14[[#This Row],[Qte_commande]]</f>
        <v>157.56</v>
      </c>
      <c r="P1111" s="228">
        <f>ROUND(Tableau14[[#This Row],[Prix_Unit_TTC]],2)*Tableau14[[#This Row],[Qte_commande]]</f>
        <v>189.06</v>
      </c>
      <c r="Q1111" s="224">
        <v>6</v>
      </c>
      <c r="R1111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6.4285714285714288</v>
      </c>
      <c r="U1111" s="224"/>
      <c r="V1111" s="224"/>
    </row>
    <row r="1112" spans="1:22" ht="14.65" customHeight="1" x14ac:dyDescent="0.2">
      <c r="A1112" s="225">
        <v>43361</v>
      </c>
      <c r="B1112" s="224" t="s">
        <v>390</v>
      </c>
      <c r="C1112" s="224" t="s">
        <v>391</v>
      </c>
      <c r="D1112" s="224" t="s">
        <v>209</v>
      </c>
      <c r="E1112" s="226"/>
      <c r="G1112" s="224" t="s">
        <v>13</v>
      </c>
      <c r="H1112" s="224" t="s">
        <v>289</v>
      </c>
      <c r="I1112" s="224" t="s">
        <v>44</v>
      </c>
      <c r="J1112" s="224">
        <v>50</v>
      </c>
      <c r="K1112" s="227">
        <f t="array" ref="K1112">IFERROR(INDEX([1]Grille_Tarifs_Modulable!$B$2:$B$204,MATCH(Tableau14[[#This Row],[Designation]]&amp;Tableau14[[#This Row],[CL]],[1]Grille_Tarifs_Modulable!$C$2:$C$204&amp;[1]Grille_Tarifs_Modulable!$F$2:$F$204,0)),0)</f>
        <v>4260270192645</v>
      </c>
      <c r="L1112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28.052506000000001</v>
      </c>
      <c r="M1112" s="228">
        <f>IF(Tableau14[[#This Row],[Prix_Unit_HT]]=0,0,Tableau14[[#This Row],[Prix_Unit_HT]]+(Tableau14[[#This Row],[Prix_Unit_HT]]*VLOOKUP(Tableau14[[#This Row],[EAN]],[1]Grille_Tarifs_Modulable!$B$10:$Q$204,16,FALSE)))</f>
        <v>33.663007200000003</v>
      </c>
      <c r="N1112" s="224">
        <v>6</v>
      </c>
      <c r="O1112" s="228">
        <f>ROUND(Tableau14[[#This Row],[Prix_Unit_HT]],2)*Tableau14[[#This Row],[Qte_commande]]</f>
        <v>168.3</v>
      </c>
      <c r="P1112" s="228">
        <f>ROUND(Tableau14[[#This Row],[Prix_Unit_TTC]],2)*Tableau14[[#This Row],[Qte_commande]]</f>
        <v>201.95999999999998</v>
      </c>
      <c r="Q1112" s="224">
        <v>4.29</v>
      </c>
      <c r="R1112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4.2857142857142856</v>
      </c>
      <c r="U1112" s="224"/>
      <c r="V1112" s="224"/>
    </row>
    <row r="1113" spans="1:22" ht="14.65" customHeight="1" x14ac:dyDescent="0.2">
      <c r="A1113" s="225">
        <v>43361</v>
      </c>
      <c r="B1113" s="224" t="s">
        <v>392</v>
      </c>
      <c r="C1113" s="224" t="s">
        <v>393</v>
      </c>
      <c r="D1113" s="224" t="s">
        <v>270</v>
      </c>
      <c r="E1113" s="226"/>
      <c r="G1113" s="224" t="s">
        <v>13</v>
      </c>
      <c r="H1113" s="224" t="s">
        <v>289</v>
      </c>
      <c r="I1113" s="224" t="s">
        <v>931</v>
      </c>
      <c r="J1113" s="224">
        <v>100</v>
      </c>
      <c r="K1113" s="227">
        <f t="array" ref="K1113">IFERROR(INDEX([1]Grille_Tarifs_Modulable!$B$2:$B$204,MATCH(Tableau14[[#This Row],[Designation]]&amp;Tableau14[[#This Row],[CL]],[1]Grille_Tarifs_Modulable!$C$2:$C$204&amp;[1]Grille_Tarifs_Modulable!$F$2:$F$204,0)),0)</f>
        <v>0</v>
      </c>
      <c r="L1113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</v>
      </c>
      <c r="M1113" s="228">
        <f>IF(Tableau14[[#This Row],[Prix_Unit_HT]]=0,0,Tableau14[[#This Row],[Prix_Unit_HT]]+(Tableau14[[#This Row],[Prix_Unit_HT]]*VLOOKUP(Tableau14[[#This Row],[EAN]],[1]Grille_Tarifs_Modulable!$B$10:$Q$204,16,FALSE)))</f>
        <v>0</v>
      </c>
      <c r="N1113" s="224">
        <v>6</v>
      </c>
      <c r="O1113" s="228">
        <f>ROUND(Tableau14[[#This Row],[Prix_Unit_HT]],2)*Tableau14[[#This Row],[Qte_commande]]</f>
        <v>0</v>
      </c>
      <c r="P1113" s="228">
        <f>ROUND(Tableau14[[#This Row],[Prix_Unit_TTC]],2)*Tableau14[[#This Row],[Qte_commande]]</f>
        <v>0</v>
      </c>
      <c r="Q1113" s="224">
        <v>8.57</v>
      </c>
      <c r="R1113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8.5714285714285712</v>
      </c>
      <c r="U1113" s="224"/>
      <c r="V1113" s="224"/>
    </row>
    <row r="1114" spans="1:22" ht="14.65" customHeight="1" x14ac:dyDescent="0.2">
      <c r="A1114" s="225">
        <v>43361</v>
      </c>
      <c r="B1114" s="224" t="s">
        <v>387</v>
      </c>
      <c r="C1114" s="224" t="s">
        <v>388</v>
      </c>
      <c r="D1114" s="224" t="s">
        <v>389</v>
      </c>
      <c r="E1114" s="226"/>
      <c r="G1114" s="224" t="s">
        <v>13</v>
      </c>
      <c r="H1114" s="224" t="s">
        <v>196</v>
      </c>
      <c r="I1114" s="224" t="s">
        <v>64</v>
      </c>
      <c r="J1114" s="224">
        <v>20</v>
      </c>
      <c r="K1114" s="227">
        <f t="array" ref="K1114">IFERROR(INDEX([1]Grille_Tarifs_Modulable!$B$2:$B$204,MATCH(Tableau14[[#This Row],[Designation]]&amp;Tableau14[[#This Row],[CL]],[1]Grille_Tarifs_Modulable!$C$2:$C$204&amp;[1]Grille_Tarifs_Modulable!$F$2:$F$204,0)),0)</f>
        <v>4260310553849</v>
      </c>
      <c r="L1114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0.89</v>
      </c>
      <c r="M1114" s="228">
        <f>IF(Tableau14[[#This Row],[Prix_Unit_HT]]=0,0,Tableau14[[#This Row],[Prix_Unit_HT]]+(Tableau14[[#This Row],[Prix_Unit_HT]]*VLOOKUP(Tableau14[[#This Row],[EAN]],[1]Grille_Tarifs_Modulable!$B$10:$Q$204,16,FALSE)))</f>
        <v>0.93895000000000006</v>
      </c>
      <c r="N1114" s="224">
        <v>48</v>
      </c>
      <c r="O1114" s="228">
        <f>ROUND(Tableau14[[#This Row],[Prix_Unit_HT]],2)*Tableau14[[#This Row],[Qte_commande]]</f>
        <v>42.72</v>
      </c>
      <c r="P1114" s="228">
        <f>ROUND(Tableau14[[#This Row],[Prix_Unit_TTC]],2)*Tableau14[[#This Row],[Qte_commande]]</f>
        <v>45.12</v>
      </c>
      <c r="Q1114" s="224">
        <v>13.71</v>
      </c>
      <c r="R1114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13.714285714285715</v>
      </c>
      <c r="U1114" s="224"/>
      <c r="V1114" s="224"/>
    </row>
    <row r="1115" spans="1:22" ht="14.65" customHeight="1" x14ac:dyDescent="0.2">
      <c r="A1115" s="225">
        <v>43361</v>
      </c>
      <c r="B1115" s="224" t="s">
        <v>390</v>
      </c>
      <c r="C1115" s="224" t="s">
        <v>391</v>
      </c>
      <c r="D1115" s="224" t="s">
        <v>209</v>
      </c>
      <c r="E1115" s="226"/>
      <c r="G1115" s="224" t="s">
        <v>13</v>
      </c>
      <c r="H1115" s="224" t="s">
        <v>196</v>
      </c>
      <c r="I1115" s="224" t="s">
        <v>64</v>
      </c>
      <c r="J1115" s="224">
        <v>20</v>
      </c>
      <c r="K1115" s="227">
        <f t="array" ref="K1115">IFERROR(INDEX([1]Grille_Tarifs_Modulable!$B$2:$B$204,MATCH(Tableau14[[#This Row],[Designation]]&amp;Tableau14[[#This Row],[CL]],[1]Grille_Tarifs_Modulable!$C$2:$C$204&amp;[1]Grille_Tarifs_Modulable!$F$2:$F$204,0)),0)</f>
        <v>4260310553849</v>
      </c>
      <c r="L1115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0.89</v>
      </c>
      <c r="M1115" s="228">
        <f>IF(Tableau14[[#This Row],[Prix_Unit_HT]]=0,0,Tableau14[[#This Row],[Prix_Unit_HT]]+(Tableau14[[#This Row],[Prix_Unit_HT]]*VLOOKUP(Tableau14[[#This Row],[EAN]],[1]Grille_Tarifs_Modulable!$B$10:$Q$204,16,FALSE)))</f>
        <v>0.93895000000000006</v>
      </c>
      <c r="N1115" s="224">
        <v>24</v>
      </c>
      <c r="O1115" s="228">
        <f>ROUND(Tableau14[[#This Row],[Prix_Unit_HT]],2)*Tableau14[[#This Row],[Qte_commande]]</f>
        <v>21.36</v>
      </c>
      <c r="P1115" s="228">
        <f>ROUND(Tableau14[[#This Row],[Prix_Unit_TTC]],2)*Tableau14[[#This Row],[Qte_commande]]</f>
        <v>22.56</v>
      </c>
      <c r="Q1115" s="224">
        <v>6.86</v>
      </c>
      <c r="R1115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6.8571428571428577</v>
      </c>
      <c r="U1115" s="224"/>
      <c r="V1115" s="224"/>
    </row>
    <row r="1116" spans="1:22" ht="14.65" customHeight="1" x14ac:dyDescent="0.2">
      <c r="A1116" s="225">
        <v>43361</v>
      </c>
      <c r="B1116" s="224" t="s">
        <v>392</v>
      </c>
      <c r="C1116" s="224" t="s">
        <v>393</v>
      </c>
      <c r="D1116" s="224" t="s">
        <v>270</v>
      </c>
      <c r="E1116" s="226"/>
      <c r="G1116" s="224" t="s">
        <v>13</v>
      </c>
      <c r="H1116" s="224" t="s">
        <v>196</v>
      </c>
      <c r="I1116" s="224" t="s">
        <v>64</v>
      </c>
      <c r="J1116" s="224">
        <v>20</v>
      </c>
      <c r="K1116" s="227">
        <f t="array" ref="K1116">IFERROR(INDEX([1]Grille_Tarifs_Modulable!$B$2:$B$204,MATCH(Tableau14[[#This Row],[Designation]]&amp;Tableau14[[#This Row],[CL]],[1]Grille_Tarifs_Modulable!$C$2:$C$204&amp;[1]Grille_Tarifs_Modulable!$F$2:$F$204,0)),0)</f>
        <v>4260310553849</v>
      </c>
      <c r="L1116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0.89</v>
      </c>
      <c r="M1116" s="228">
        <f>IF(Tableau14[[#This Row],[Prix_Unit_HT]]=0,0,Tableau14[[#This Row],[Prix_Unit_HT]]+(Tableau14[[#This Row],[Prix_Unit_HT]]*VLOOKUP(Tableau14[[#This Row],[EAN]],[1]Grille_Tarifs_Modulable!$B$10:$Q$204,16,FALSE)))</f>
        <v>0.93895000000000006</v>
      </c>
      <c r="N1116" s="224">
        <v>24</v>
      </c>
      <c r="O1116" s="228">
        <f>ROUND(Tableau14[[#This Row],[Prix_Unit_HT]],2)*Tableau14[[#This Row],[Qte_commande]]</f>
        <v>21.36</v>
      </c>
      <c r="P1116" s="228">
        <f>ROUND(Tableau14[[#This Row],[Prix_Unit_TTC]],2)*Tableau14[[#This Row],[Qte_commande]]</f>
        <v>22.56</v>
      </c>
      <c r="Q1116" s="224">
        <v>6.86</v>
      </c>
      <c r="R1116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6.8571428571428577</v>
      </c>
      <c r="U1116" s="224"/>
      <c r="V1116" s="224"/>
    </row>
    <row r="1117" spans="1:22" ht="14.65" customHeight="1" x14ac:dyDescent="0.2">
      <c r="A1117" s="225">
        <v>43361</v>
      </c>
      <c r="B1117" s="224" t="s">
        <v>390</v>
      </c>
      <c r="C1117" s="224" t="s">
        <v>391</v>
      </c>
      <c r="D1117" s="224" t="s">
        <v>209</v>
      </c>
      <c r="E1117" s="226"/>
      <c r="G1117" s="224" t="s">
        <v>13</v>
      </c>
      <c r="H1117" s="224" t="s">
        <v>196</v>
      </c>
      <c r="I1117" s="224" t="s">
        <v>59</v>
      </c>
      <c r="J1117" s="224">
        <v>20</v>
      </c>
      <c r="K1117" s="227">
        <f t="array" ref="K1117">IFERROR(INDEX([1]Grille_Tarifs_Modulable!$B$2:$B$204,MATCH(Tableau14[[#This Row],[Designation]]&amp;Tableau14[[#This Row],[CL]],[1]Grille_Tarifs_Modulable!$C$2:$C$204&amp;[1]Grille_Tarifs_Modulable!$F$2:$F$204,0)),0)</f>
        <v>4260310553818</v>
      </c>
      <c r="L1117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0.89</v>
      </c>
      <c r="M1117" s="228">
        <f>IF(Tableau14[[#This Row],[Prix_Unit_HT]]=0,0,Tableau14[[#This Row],[Prix_Unit_HT]]+(Tableau14[[#This Row],[Prix_Unit_HT]]*VLOOKUP(Tableau14[[#This Row],[EAN]],[1]Grille_Tarifs_Modulable!$B$10:$Q$204,16,FALSE)))</f>
        <v>0.93895000000000006</v>
      </c>
      <c r="N1117" s="224">
        <v>24</v>
      </c>
      <c r="O1117" s="228">
        <f>ROUND(Tableau14[[#This Row],[Prix_Unit_HT]],2)*Tableau14[[#This Row],[Qte_commande]]</f>
        <v>21.36</v>
      </c>
      <c r="P1117" s="228">
        <f>ROUND(Tableau14[[#This Row],[Prix_Unit_TTC]],2)*Tableau14[[#This Row],[Qte_commande]]</f>
        <v>22.56</v>
      </c>
      <c r="Q1117" s="224">
        <v>6.86</v>
      </c>
      <c r="R1117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6.8571428571428577</v>
      </c>
      <c r="U1117" s="224"/>
      <c r="V1117" s="224"/>
    </row>
    <row r="1118" spans="1:22" ht="14.65" customHeight="1" x14ac:dyDescent="0.2">
      <c r="A1118" s="225">
        <v>43362</v>
      </c>
      <c r="B1118" s="224" t="s">
        <v>707</v>
      </c>
      <c r="C1118" s="224" t="s">
        <v>639</v>
      </c>
      <c r="D1118" s="224" t="s">
        <v>373</v>
      </c>
      <c r="E1118" s="226"/>
      <c r="G1118" s="224" t="s">
        <v>1</v>
      </c>
      <c r="H1118" s="224" t="s">
        <v>289</v>
      </c>
      <c r="I1118" s="224" t="s">
        <v>15</v>
      </c>
      <c r="J1118" s="224">
        <v>70</v>
      </c>
      <c r="K1118" s="227">
        <f t="array" ref="K1118">IFERROR(INDEX([1]Grille_Tarifs_Modulable!$B$2:$B$204,MATCH(Tableau14[[#This Row],[Designation]]&amp;Tableau14[[#This Row],[CL]],[1]Grille_Tarifs_Modulable!$C$2:$C$204&amp;[1]Grille_Tarifs_Modulable!$F$2:$F$204,0)),0)</f>
        <v>4067700013859</v>
      </c>
      <c r="L1118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12.532563499999998</v>
      </c>
      <c r="M1118" s="228">
        <f>IF(Tableau14[[#This Row],[Prix_Unit_HT]]=0,0,Tableau14[[#This Row],[Prix_Unit_HT]]+(Tableau14[[#This Row],[Prix_Unit_HT]]*VLOOKUP(Tableau14[[#This Row],[EAN]],[1]Grille_Tarifs_Modulable!$B$10:$Q$204,16,FALSE)))</f>
        <v>15.039076199999998</v>
      </c>
      <c r="N1118" s="224">
        <v>150</v>
      </c>
      <c r="O1118" s="228">
        <f>ROUND(Tableau14[[#This Row],[Prix_Unit_HT]],2)*Tableau14[[#This Row],[Qte_commande]]</f>
        <v>1879.5</v>
      </c>
      <c r="P1118" s="228">
        <f>ROUND(Tableau14[[#This Row],[Prix_Unit_TTC]],2)*Tableau14[[#This Row],[Qte_commande]]</f>
        <v>2256</v>
      </c>
      <c r="Q1118" s="224">
        <v>150</v>
      </c>
      <c r="R1118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150</v>
      </c>
      <c r="U1118" s="224"/>
      <c r="V1118" s="224"/>
    </row>
    <row r="1119" spans="1:22" ht="14.65" customHeight="1" x14ac:dyDescent="0.2">
      <c r="A1119" s="225">
        <v>43364</v>
      </c>
      <c r="B1119" s="224" t="s">
        <v>708</v>
      </c>
      <c r="C1119" s="224" t="s">
        <v>530</v>
      </c>
      <c r="D1119" s="224" t="s">
        <v>531</v>
      </c>
      <c r="E1119" s="226"/>
      <c r="G1119" s="224" t="s">
        <v>1</v>
      </c>
      <c r="H1119" s="224" t="s">
        <v>289</v>
      </c>
      <c r="I1119" s="224" t="s">
        <v>15</v>
      </c>
      <c r="J1119" s="224">
        <v>70</v>
      </c>
      <c r="K1119" s="227">
        <f t="array" ref="K1119">IFERROR(INDEX([1]Grille_Tarifs_Modulable!$B$2:$B$204,MATCH(Tableau14[[#This Row],[Designation]]&amp;Tableau14[[#This Row],[CL]],[1]Grille_Tarifs_Modulable!$C$2:$C$204&amp;[1]Grille_Tarifs_Modulable!$F$2:$F$204,0)),0)</f>
        <v>4067700013859</v>
      </c>
      <c r="L1119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12.532563499999998</v>
      </c>
      <c r="M1119" s="228">
        <f>IF(Tableau14[[#This Row],[Prix_Unit_HT]]=0,0,Tableau14[[#This Row],[Prix_Unit_HT]]+(Tableau14[[#This Row],[Prix_Unit_HT]]*VLOOKUP(Tableau14[[#This Row],[EAN]],[1]Grille_Tarifs_Modulable!$B$10:$Q$204,16,FALSE)))</f>
        <v>15.039076199999998</v>
      </c>
      <c r="N1119" s="224">
        <v>150</v>
      </c>
      <c r="O1119" s="228">
        <f>ROUND(Tableau14[[#This Row],[Prix_Unit_HT]],2)*Tableau14[[#This Row],[Qte_commande]]</f>
        <v>1879.5</v>
      </c>
      <c r="P1119" s="228">
        <f>ROUND(Tableau14[[#This Row],[Prix_Unit_TTC]],2)*Tableau14[[#This Row],[Qte_commande]]</f>
        <v>2256</v>
      </c>
      <c r="Q1119" s="224">
        <v>150</v>
      </c>
      <c r="R1119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150</v>
      </c>
      <c r="U1119" s="224"/>
      <c r="V1119" s="224"/>
    </row>
    <row r="1120" spans="1:22" ht="14.65" customHeight="1" x14ac:dyDescent="0.2">
      <c r="A1120" s="225">
        <v>43364</v>
      </c>
      <c r="B1120" s="224" t="s">
        <v>709</v>
      </c>
      <c r="C1120" s="224" t="s">
        <v>265</v>
      </c>
      <c r="D1120" s="224" t="s">
        <v>266</v>
      </c>
      <c r="E1120" s="226"/>
      <c r="G1120" s="224" t="s">
        <v>1</v>
      </c>
      <c r="H1120" s="224" t="s">
        <v>289</v>
      </c>
      <c r="I1120" s="224" t="s">
        <v>15</v>
      </c>
      <c r="J1120" s="224">
        <v>70</v>
      </c>
      <c r="K1120" s="227">
        <f t="array" ref="K1120">IFERROR(INDEX([1]Grille_Tarifs_Modulable!$B$2:$B$204,MATCH(Tableau14[[#This Row],[Designation]]&amp;Tableau14[[#This Row],[CL]],[1]Grille_Tarifs_Modulable!$C$2:$C$204&amp;[1]Grille_Tarifs_Modulable!$F$2:$F$204,0)),0)</f>
        <v>4067700013859</v>
      </c>
      <c r="L1120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12.532563499999998</v>
      </c>
      <c r="M1120" s="228">
        <f>IF(Tableau14[[#This Row],[Prix_Unit_HT]]=0,0,Tableau14[[#This Row],[Prix_Unit_HT]]+(Tableau14[[#This Row],[Prix_Unit_HT]]*VLOOKUP(Tableau14[[#This Row],[EAN]],[1]Grille_Tarifs_Modulable!$B$10:$Q$204,16,FALSE)))</f>
        <v>15.039076199999998</v>
      </c>
      <c r="N1120" s="224">
        <v>240</v>
      </c>
      <c r="O1120" s="228">
        <f>ROUND(Tableau14[[#This Row],[Prix_Unit_HT]],2)*Tableau14[[#This Row],[Qte_commande]]</f>
        <v>3007.2</v>
      </c>
      <c r="P1120" s="228">
        <f>ROUND(Tableau14[[#This Row],[Prix_Unit_TTC]],2)*Tableau14[[#This Row],[Qte_commande]]</f>
        <v>3609.6</v>
      </c>
      <c r="Q1120" s="224">
        <v>240</v>
      </c>
      <c r="R1120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240.00000000000003</v>
      </c>
      <c r="U1120" s="224"/>
      <c r="V1120" s="224"/>
    </row>
    <row r="1121" spans="1:22" ht="14.65" customHeight="1" x14ac:dyDescent="0.2">
      <c r="A1121" s="225">
        <v>43364</v>
      </c>
      <c r="B1121" s="224" t="s">
        <v>710</v>
      </c>
      <c r="C1121" s="224" t="s">
        <v>211</v>
      </c>
      <c r="D1121" s="224" t="s">
        <v>212</v>
      </c>
      <c r="E1121" s="226"/>
      <c r="G1121" s="224" t="s">
        <v>1</v>
      </c>
      <c r="H1121" s="224" t="s">
        <v>289</v>
      </c>
      <c r="I1121" s="224" t="s">
        <v>15</v>
      </c>
      <c r="J1121" s="224">
        <v>100</v>
      </c>
      <c r="K1121" s="227">
        <f t="array" ref="K1121">IFERROR(INDEX([1]Grille_Tarifs_Modulable!$B$2:$B$204,MATCH(Tableau14[[#This Row],[Designation]]&amp;Tableau14[[#This Row],[CL]],[1]Grille_Tarifs_Modulable!$C$2:$C$204&amp;[1]Grille_Tarifs_Modulable!$F$2:$F$204,0)),0)</f>
        <v>4067700013842</v>
      </c>
      <c r="L1121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17.100804999999998</v>
      </c>
      <c r="M1121" s="228">
        <f>IF(Tableau14[[#This Row],[Prix_Unit_HT]]=0,0,Tableau14[[#This Row],[Prix_Unit_HT]]+(Tableau14[[#This Row],[Prix_Unit_HT]]*VLOOKUP(Tableau14[[#This Row],[EAN]],[1]Grille_Tarifs_Modulable!$B$10:$Q$204,16,FALSE)))</f>
        <v>20.520965999999998</v>
      </c>
      <c r="N1121" s="224">
        <v>90</v>
      </c>
      <c r="O1121" s="228">
        <f>ROUND(Tableau14[[#This Row],[Prix_Unit_HT]],2)*Tableau14[[#This Row],[Qte_commande]]</f>
        <v>1539.0000000000002</v>
      </c>
      <c r="P1121" s="228">
        <f>ROUND(Tableau14[[#This Row],[Prix_Unit_TTC]],2)*Tableau14[[#This Row],[Qte_commande]]</f>
        <v>1846.8</v>
      </c>
      <c r="Q1121" s="224">
        <v>128.57</v>
      </c>
      <c r="R1121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128.57142857142858</v>
      </c>
      <c r="U1121" s="224"/>
      <c r="V1121" s="224"/>
    </row>
    <row r="1122" spans="1:22" ht="14.65" customHeight="1" x14ac:dyDescent="0.2">
      <c r="A1122" s="225">
        <v>43364</v>
      </c>
      <c r="B1122" s="224" t="s">
        <v>710</v>
      </c>
      <c r="C1122" s="224" t="s">
        <v>211</v>
      </c>
      <c r="D1122" s="224" t="s">
        <v>212</v>
      </c>
      <c r="E1122" s="226"/>
      <c r="G1122" s="224" t="s">
        <v>1</v>
      </c>
      <c r="H1122" s="224" t="s">
        <v>289</v>
      </c>
      <c r="I1122" s="224" t="s">
        <v>30</v>
      </c>
      <c r="J1122" s="224">
        <v>70</v>
      </c>
      <c r="K1122" s="227">
        <f t="array" ref="K1122">IFERROR(INDEX([1]Grille_Tarifs_Modulable!$B$2:$B$204,MATCH(Tableau14[[#This Row],[Designation]]&amp;Tableau14[[#This Row],[CL]],[1]Grille_Tarifs_Modulable!$C$2:$C$204&amp;[1]Grille_Tarifs_Modulable!$F$2:$F$204,0)),0)</f>
        <v>3257150101904</v>
      </c>
      <c r="L1122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16.346482999999999</v>
      </c>
      <c r="M1122" s="228">
        <f>IF(Tableau14[[#This Row],[Prix_Unit_HT]]=0,0,Tableau14[[#This Row],[Prix_Unit_HT]]+(Tableau14[[#This Row],[Prix_Unit_HT]]*VLOOKUP(Tableau14[[#This Row],[EAN]],[1]Grille_Tarifs_Modulable!$B$10:$Q$204,16,FALSE)))</f>
        <v>19.6157796</v>
      </c>
      <c r="N1122" s="224">
        <v>6</v>
      </c>
      <c r="O1122" s="228">
        <f>ROUND(Tableau14[[#This Row],[Prix_Unit_HT]],2)*Tableau14[[#This Row],[Qte_commande]]</f>
        <v>98.100000000000009</v>
      </c>
      <c r="P1122" s="228">
        <f>ROUND(Tableau14[[#This Row],[Prix_Unit_TTC]],2)*Tableau14[[#This Row],[Qte_commande]]</f>
        <v>117.72</v>
      </c>
      <c r="Q1122" s="224">
        <v>6</v>
      </c>
      <c r="R1122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6.0000000000000009</v>
      </c>
      <c r="U1122" s="224"/>
      <c r="V1122" s="224"/>
    </row>
    <row r="1123" spans="1:22" ht="14.65" customHeight="1" x14ac:dyDescent="0.2">
      <c r="A1123" s="225">
        <v>43364</v>
      </c>
      <c r="B1123" s="224" t="s">
        <v>710</v>
      </c>
      <c r="C1123" s="224" t="s">
        <v>211</v>
      </c>
      <c r="D1123" s="224" t="s">
        <v>212</v>
      </c>
      <c r="E1123" s="226"/>
      <c r="G1123" s="224" t="s">
        <v>1</v>
      </c>
      <c r="H1123" s="224" t="s">
        <v>289</v>
      </c>
      <c r="I1123" s="224" t="s">
        <v>25</v>
      </c>
      <c r="J1123" s="224">
        <v>70</v>
      </c>
      <c r="K1123" s="227">
        <f t="array" ref="K1123">IFERROR(INDEX([1]Grille_Tarifs_Modulable!$B$2:$B$204,MATCH(Tableau14[[#This Row],[Designation]]&amp;Tableau14[[#This Row],[CL]],[1]Grille_Tarifs_Modulable!$C$2:$C$204&amp;[1]Grille_Tarifs_Modulable!$F$2:$F$204,0)),0)</f>
        <v>8500000917015</v>
      </c>
      <c r="L1123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11.8982118</v>
      </c>
      <c r="M1123" s="228">
        <f>IF(Tableau14[[#This Row],[Prix_Unit_HT]]=0,0,Tableau14[[#This Row],[Prix_Unit_HT]]+(Tableau14[[#This Row],[Prix_Unit_HT]]*VLOOKUP(Tableau14[[#This Row],[EAN]],[1]Grille_Tarifs_Modulable!$B$10:$Q$204,16,FALSE)))</f>
        <v>14.27785416</v>
      </c>
      <c r="N1123" s="224">
        <v>12</v>
      </c>
      <c r="O1123" s="228">
        <f>ROUND(Tableau14[[#This Row],[Prix_Unit_HT]],2)*Tableau14[[#This Row],[Qte_commande]]</f>
        <v>142.80000000000001</v>
      </c>
      <c r="P1123" s="228">
        <f>ROUND(Tableau14[[#This Row],[Prix_Unit_TTC]],2)*Tableau14[[#This Row],[Qte_commande]]</f>
        <v>171.35999999999999</v>
      </c>
      <c r="Q1123" s="224">
        <v>12</v>
      </c>
      <c r="R1123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12.000000000000002</v>
      </c>
      <c r="U1123" s="224"/>
      <c r="V1123" s="224"/>
    </row>
    <row r="1124" spans="1:22" ht="14.65" customHeight="1" x14ac:dyDescent="0.2">
      <c r="A1124" s="225">
        <v>43364</v>
      </c>
      <c r="B1124" s="224" t="s">
        <v>709</v>
      </c>
      <c r="C1124" s="224" t="s">
        <v>265</v>
      </c>
      <c r="D1124" s="224" t="s">
        <v>266</v>
      </c>
      <c r="E1124" s="226"/>
      <c r="G1124" s="224" t="s">
        <v>1</v>
      </c>
      <c r="H1124" s="224" t="s">
        <v>289</v>
      </c>
      <c r="I1124" s="224" t="s">
        <v>24</v>
      </c>
      <c r="J1124" s="224">
        <v>70</v>
      </c>
      <c r="K1124" s="227">
        <f t="array" ref="K1124">IFERROR(INDEX([1]Grille_Tarifs_Modulable!$B$2:$B$204,MATCH(Tableau14[[#This Row],[Designation]]&amp;Tableau14[[#This Row],[CL]],[1]Grille_Tarifs_Modulable!$C$2:$C$204&amp;[1]Grille_Tarifs_Modulable!$F$2:$F$204,0)),0)</f>
        <v>8500000917008</v>
      </c>
      <c r="L1124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11.028211800000001</v>
      </c>
      <c r="M1124" s="228">
        <f>IF(Tableau14[[#This Row],[Prix_Unit_HT]]=0,0,Tableau14[[#This Row],[Prix_Unit_HT]]+(Tableau14[[#This Row],[Prix_Unit_HT]]*VLOOKUP(Tableau14[[#This Row],[EAN]],[1]Grille_Tarifs_Modulable!$B$10:$Q$204,16,FALSE)))</f>
        <v>13.233854160000002</v>
      </c>
      <c r="N1124" s="224">
        <v>12</v>
      </c>
      <c r="O1124" s="228">
        <f>ROUND(Tableau14[[#This Row],[Prix_Unit_HT]],2)*Tableau14[[#This Row],[Qte_commande]]</f>
        <v>132.35999999999999</v>
      </c>
      <c r="P1124" s="228">
        <f>ROUND(Tableau14[[#This Row],[Prix_Unit_TTC]],2)*Tableau14[[#This Row],[Qte_commande]]</f>
        <v>158.76</v>
      </c>
      <c r="Q1124" s="224">
        <v>12</v>
      </c>
      <c r="R1124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12.000000000000002</v>
      </c>
      <c r="U1124" s="224"/>
      <c r="V1124" s="224"/>
    </row>
    <row r="1125" spans="1:22" ht="14.65" customHeight="1" x14ac:dyDescent="0.2">
      <c r="A1125" s="225">
        <v>43364</v>
      </c>
      <c r="B1125" s="224" t="s">
        <v>710</v>
      </c>
      <c r="C1125" s="224" t="s">
        <v>211</v>
      </c>
      <c r="D1125" s="224" t="s">
        <v>212</v>
      </c>
      <c r="E1125" s="226"/>
      <c r="G1125" s="224" t="s">
        <v>1</v>
      </c>
      <c r="H1125" s="224" t="s">
        <v>289</v>
      </c>
      <c r="I1125" s="224" t="s">
        <v>42</v>
      </c>
      <c r="J1125" s="224">
        <v>70</v>
      </c>
      <c r="K1125" s="227">
        <f t="array" ref="K1125">IFERROR(INDEX([1]Grille_Tarifs_Modulable!$B$2:$B$204,MATCH(Tableau14[[#This Row],[Designation]]&amp;Tableau14[[#This Row],[CL]],[1]Grille_Tarifs_Modulable!$C$2:$C$204&amp;[1]Grille_Tarifs_Modulable!$F$2:$F$204,0)),0)</f>
        <v>3257150688009</v>
      </c>
      <c r="L1125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12.556915199999999</v>
      </c>
      <c r="M1125" s="228">
        <f>IF(Tableau14[[#This Row],[Prix_Unit_HT]]=0,0,Tableau14[[#This Row],[Prix_Unit_HT]]+(Tableau14[[#This Row],[Prix_Unit_HT]]*VLOOKUP(Tableau14[[#This Row],[EAN]],[1]Grille_Tarifs_Modulable!$B$10:$Q$204,16,FALSE)))</f>
        <v>15.068298239999999</v>
      </c>
      <c r="N1125" s="224">
        <v>60</v>
      </c>
      <c r="O1125" s="228">
        <f>ROUND(Tableau14[[#This Row],[Prix_Unit_HT]],2)*Tableau14[[#This Row],[Qte_commande]]</f>
        <v>753.6</v>
      </c>
      <c r="P1125" s="228">
        <f>ROUND(Tableau14[[#This Row],[Prix_Unit_TTC]],2)*Tableau14[[#This Row],[Qte_commande]]</f>
        <v>904.2</v>
      </c>
      <c r="Q1125" s="224">
        <v>60</v>
      </c>
      <c r="R1125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60.000000000000007</v>
      </c>
      <c r="U1125" s="224"/>
      <c r="V1125" s="224"/>
    </row>
    <row r="1126" spans="1:22" ht="14.65" customHeight="1" x14ac:dyDescent="0.2">
      <c r="A1126" s="225">
        <v>43364</v>
      </c>
      <c r="B1126" s="224" t="s">
        <v>710</v>
      </c>
      <c r="C1126" s="224" t="s">
        <v>211</v>
      </c>
      <c r="D1126" s="224" t="s">
        <v>212</v>
      </c>
      <c r="E1126" s="226"/>
      <c r="G1126" s="224" t="s">
        <v>1</v>
      </c>
      <c r="H1126" s="224" t="s">
        <v>196</v>
      </c>
      <c r="I1126" s="224" t="s">
        <v>64</v>
      </c>
      <c r="J1126" s="224">
        <v>20</v>
      </c>
      <c r="K1126" s="227">
        <f t="array" ref="K1126">IFERROR(INDEX([1]Grille_Tarifs_Modulable!$B$2:$B$204,MATCH(Tableau14[[#This Row],[Designation]]&amp;Tableau14[[#This Row],[CL]],[1]Grille_Tarifs_Modulable!$C$2:$C$204&amp;[1]Grille_Tarifs_Modulable!$F$2:$F$204,0)),0)</f>
        <v>4260310553849</v>
      </c>
      <c r="L1126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0.81</v>
      </c>
      <c r="M1126" s="228">
        <f>IF(Tableau14[[#This Row],[Prix_Unit_HT]]=0,0,Tableau14[[#This Row],[Prix_Unit_HT]]+(Tableau14[[#This Row],[Prix_Unit_HT]]*VLOOKUP(Tableau14[[#This Row],[EAN]],[1]Grille_Tarifs_Modulable!$B$10:$Q$204,16,FALSE)))</f>
        <v>0.85455000000000003</v>
      </c>
      <c r="N1126" s="224">
        <v>240</v>
      </c>
      <c r="O1126" s="228">
        <f>ROUND(Tableau14[[#This Row],[Prix_Unit_HT]],2)*Tableau14[[#This Row],[Qte_commande]]</f>
        <v>194.4</v>
      </c>
      <c r="P1126" s="228">
        <f>ROUND(Tableau14[[#This Row],[Prix_Unit_TTC]],2)*Tableau14[[#This Row],[Qte_commande]]</f>
        <v>204</v>
      </c>
      <c r="Q1126" s="224">
        <v>68.569999999999993</v>
      </c>
      <c r="R1126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68.571428571428569</v>
      </c>
      <c r="U1126" s="224"/>
      <c r="V1126" s="224"/>
    </row>
    <row r="1127" spans="1:22" ht="14.65" customHeight="1" x14ac:dyDescent="0.2">
      <c r="A1127" s="225">
        <v>43364</v>
      </c>
      <c r="B1127" s="224" t="s">
        <v>709</v>
      </c>
      <c r="C1127" s="224" t="s">
        <v>265</v>
      </c>
      <c r="D1127" s="224" t="s">
        <v>266</v>
      </c>
      <c r="E1127" s="226"/>
      <c r="G1127" s="224" t="s">
        <v>1</v>
      </c>
      <c r="H1127" s="224" t="s">
        <v>196</v>
      </c>
      <c r="I1127" s="224" t="s">
        <v>64</v>
      </c>
      <c r="J1127" s="224">
        <v>20</v>
      </c>
      <c r="K1127" s="227">
        <f t="array" ref="K1127">IFERROR(INDEX([1]Grille_Tarifs_Modulable!$B$2:$B$204,MATCH(Tableau14[[#This Row],[Designation]]&amp;Tableau14[[#This Row],[CL]],[1]Grille_Tarifs_Modulable!$C$2:$C$204&amp;[1]Grille_Tarifs_Modulable!$F$2:$F$204,0)),0)</f>
        <v>4260310553849</v>
      </c>
      <c r="L1127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0.81</v>
      </c>
      <c r="M1127" s="228">
        <f>IF(Tableau14[[#This Row],[Prix_Unit_HT]]=0,0,Tableau14[[#This Row],[Prix_Unit_HT]]+(Tableau14[[#This Row],[Prix_Unit_HT]]*VLOOKUP(Tableau14[[#This Row],[EAN]],[1]Grille_Tarifs_Modulable!$B$10:$Q$204,16,FALSE)))</f>
        <v>0.85455000000000003</v>
      </c>
      <c r="N1127" s="224">
        <v>144</v>
      </c>
      <c r="O1127" s="228">
        <f>ROUND(Tableau14[[#This Row],[Prix_Unit_HT]],2)*Tableau14[[#This Row],[Qte_commande]]</f>
        <v>116.64000000000001</v>
      </c>
      <c r="P1127" s="228">
        <f>ROUND(Tableau14[[#This Row],[Prix_Unit_TTC]],2)*Tableau14[[#This Row],[Qte_commande]]</f>
        <v>122.39999999999999</v>
      </c>
      <c r="Q1127" s="224">
        <v>41.14</v>
      </c>
      <c r="R1127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41.142857142857146</v>
      </c>
      <c r="U1127" s="224"/>
      <c r="V1127" s="224"/>
    </row>
    <row r="1128" spans="1:22" ht="14.65" customHeight="1" x14ac:dyDescent="0.2">
      <c r="A1128" s="225">
        <v>43364</v>
      </c>
      <c r="B1128" s="224" t="s">
        <v>710</v>
      </c>
      <c r="C1128" s="224" t="s">
        <v>211</v>
      </c>
      <c r="D1128" s="224" t="s">
        <v>212</v>
      </c>
      <c r="E1128" s="226"/>
      <c r="G1128" s="224" t="s">
        <v>1</v>
      </c>
      <c r="H1128" s="224" t="s">
        <v>196</v>
      </c>
      <c r="I1128" s="224" t="s">
        <v>59</v>
      </c>
      <c r="J1128" s="224">
        <v>20</v>
      </c>
      <c r="K1128" s="227">
        <f t="array" ref="K1128">IFERROR(INDEX([1]Grille_Tarifs_Modulable!$B$2:$B$204,MATCH(Tableau14[[#This Row],[Designation]]&amp;Tableau14[[#This Row],[CL]],[1]Grille_Tarifs_Modulable!$C$2:$C$204&amp;[1]Grille_Tarifs_Modulable!$F$2:$F$204,0)),0)</f>
        <v>4260310553818</v>
      </c>
      <c r="L1128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0.81</v>
      </c>
      <c r="M1128" s="228">
        <f>IF(Tableau14[[#This Row],[Prix_Unit_HT]]=0,0,Tableau14[[#This Row],[Prix_Unit_HT]]+(Tableau14[[#This Row],[Prix_Unit_HT]]*VLOOKUP(Tableau14[[#This Row],[EAN]],[1]Grille_Tarifs_Modulable!$B$10:$Q$204,16,FALSE)))</f>
        <v>0.85455000000000003</v>
      </c>
      <c r="N1128" s="224">
        <v>360</v>
      </c>
      <c r="O1128" s="228">
        <f>ROUND(Tableau14[[#This Row],[Prix_Unit_HT]],2)*Tableau14[[#This Row],[Qte_commande]]</f>
        <v>291.60000000000002</v>
      </c>
      <c r="P1128" s="228">
        <f>ROUND(Tableau14[[#This Row],[Prix_Unit_TTC]],2)*Tableau14[[#This Row],[Qte_commande]]</f>
        <v>306</v>
      </c>
      <c r="Q1128" s="224">
        <v>102.86</v>
      </c>
      <c r="R1128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102.85714285714286</v>
      </c>
      <c r="U1128" s="224"/>
      <c r="V1128" s="224"/>
    </row>
    <row r="1129" spans="1:22" ht="14.65" customHeight="1" x14ac:dyDescent="0.2">
      <c r="A1129" s="225">
        <v>43364</v>
      </c>
      <c r="B1129" s="224" t="s">
        <v>709</v>
      </c>
      <c r="C1129" s="224" t="s">
        <v>265</v>
      </c>
      <c r="D1129" s="224" t="s">
        <v>266</v>
      </c>
      <c r="E1129" s="226"/>
      <c r="G1129" s="224" t="s">
        <v>1</v>
      </c>
      <c r="H1129" s="224" t="s">
        <v>196</v>
      </c>
      <c r="I1129" s="224" t="s">
        <v>59</v>
      </c>
      <c r="J1129" s="224">
        <v>20</v>
      </c>
      <c r="K1129" s="227">
        <f t="array" ref="K1129">IFERROR(INDEX([1]Grille_Tarifs_Modulable!$B$2:$B$204,MATCH(Tableau14[[#This Row],[Designation]]&amp;Tableau14[[#This Row],[CL]],[1]Grille_Tarifs_Modulable!$C$2:$C$204&amp;[1]Grille_Tarifs_Modulable!$F$2:$F$204,0)),0)</f>
        <v>4260310553818</v>
      </c>
      <c r="L1129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0.81</v>
      </c>
      <c r="M1129" s="228">
        <f>IF(Tableau14[[#This Row],[Prix_Unit_HT]]=0,0,Tableau14[[#This Row],[Prix_Unit_HT]]+(Tableau14[[#This Row],[Prix_Unit_HT]]*VLOOKUP(Tableau14[[#This Row],[EAN]],[1]Grille_Tarifs_Modulable!$B$10:$Q$204,16,FALSE)))</f>
        <v>0.85455000000000003</v>
      </c>
      <c r="N1129" s="224">
        <v>240</v>
      </c>
      <c r="O1129" s="228">
        <f>ROUND(Tableau14[[#This Row],[Prix_Unit_HT]],2)*Tableau14[[#This Row],[Qte_commande]]</f>
        <v>194.4</v>
      </c>
      <c r="P1129" s="228">
        <f>ROUND(Tableau14[[#This Row],[Prix_Unit_TTC]],2)*Tableau14[[#This Row],[Qte_commande]]</f>
        <v>204</v>
      </c>
      <c r="Q1129" s="224">
        <v>68.569999999999993</v>
      </c>
      <c r="R1129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68.571428571428569</v>
      </c>
      <c r="U1129" s="224"/>
      <c r="V1129" s="224"/>
    </row>
    <row r="1130" spans="1:22" ht="14.65" customHeight="1" x14ac:dyDescent="0.2">
      <c r="A1130" s="225">
        <v>43367</v>
      </c>
      <c r="B1130" s="224" t="s">
        <v>335</v>
      </c>
      <c r="C1130" s="224" t="s">
        <v>336</v>
      </c>
      <c r="D1130" s="224" t="s">
        <v>330</v>
      </c>
      <c r="E1130" s="226"/>
      <c r="G1130" s="224" t="s">
        <v>13</v>
      </c>
      <c r="H1130" s="224" t="s">
        <v>289</v>
      </c>
      <c r="I1130" s="224" t="s">
        <v>22</v>
      </c>
      <c r="J1130" s="224">
        <v>70</v>
      </c>
      <c r="K1130" s="227">
        <f t="array" ref="K1130">IFERROR(INDEX([1]Grille_Tarifs_Modulable!$B$2:$B$204,MATCH(Tableau14[[#This Row],[Designation]]&amp;Tableau14[[#This Row],[CL]],[1]Grille_Tarifs_Modulable!$C$2:$C$204&amp;[1]Grille_Tarifs_Modulable!$F$2:$F$204,0)),0)</f>
        <v>4055800060200</v>
      </c>
      <c r="L1130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18.588644000000002</v>
      </c>
      <c r="M1130" s="228">
        <f>IF(Tableau14[[#This Row],[Prix_Unit_HT]]=0,0,Tableau14[[#This Row],[Prix_Unit_HT]]+(Tableau14[[#This Row],[Prix_Unit_HT]]*VLOOKUP(Tableau14[[#This Row],[EAN]],[1]Grille_Tarifs_Modulable!$B$10:$Q$204,16,FALSE)))</f>
        <v>22.306372800000002</v>
      </c>
      <c r="N1130" s="224">
        <v>6</v>
      </c>
      <c r="O1130" s="228">
        <f>ROUND(Tableau14[[#This Row],[Prix_Unit_HT]],2)*Tableau14[[#This Row],[Qte_commande]]</f>
        <v>111.53999999999999</v>
      </c>
      <c r="P1130" s="228">
        <f>ROUND(Tableau14[[#This Row],[Prix_Unit_TTC]],2)*Tableau14[[#This Row],[Qte_commande]]</f>
        <v>133.85999999999999</v>
      </c>
      <c r="Q1130" s="224">
        <v>6</v>
      </c>
      <c r="R1130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6.0000000000000009</v>
      </c>
      <c r="U1130" s="224"/>
      <c r="V1130" s="224"/>
    </row>
    <row r="1131" spans="1:22" ht="14.65" customHeight="1" x14ac:dyDescent="0.2">
      <c r="A1131" s="225">
        <v>43367</v>
      </c>
      <c r="B1131" s="224" t="s">
        <v>335</v>
      </c>
      <c r="C1131" s="224" t="s">
        <v>336</v>
      </c>
      <c r="D1131" s="224" t="s">
        <v>330</v>
      </c>
      <c r="E1131" s="226"/>
      <c r="G1131" s="224" t="s">
        <v>13</v>
      </c>
      <c r="H1131" s="224" t="s">
        <v>196</v>
      </c>
      <c r="I1131" s="224" t="s">
        <v>65</v>
      </c>
      <c r="J1131" s="224">
        <v>20</v>
      </c>
      <c r="K1131" s="227">
        <f t="array" ref="K1131">IFERROR(INDEX([1]Grille_Tarifs_Modulable!$B$2:$B$204,MATCH(Tableau14[[#This Row],[Designation]]&amp;Tableau14[[#This Row],[CL]],[1]Grille_Tarifs_Modulable!$C$2:$C$204&amp;[1]Grille_Tarifs_Modulable!$F$2:$F$204,0)),0)</f>
        <v>4260310553863</v>
      </c>
      <c r="L1131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0.89</v>
      </c>
      <c r="M1131" s="228">
        <f>IF(Tableau14[[#This Row],[Prix_Unit_HT]]=0,0,Tableau14[[#This Row],[Prix_Unit_HT]]+(Tableau14[[#This Row],[Prix_Unit_HT]]*VLOOKUP(Tableau14[[#This Row],[EAN]],[1]Grille_Tarifs_Modulable!$B$10:$Q$204,16,FALSE)))</f>
        <v>0.93895000000000006</v>
      </c>
      <c r="N1131" s="224">
        <v>24</v>
      </c>
      <c r="O1131" s="228">
        <f>ROUND(Tableau14[[#This Row],[Prix_Unit_HT]],2)*Tableau14[[#This Row],[Qte_commande]]</f>
        <v>21.36</v>
      </c>
      <c r="P1131" s="228">
        <f>ROUND(Tableau14[[#This Row],[Prix_Unit_TTC]],2)*Tableau14[[#This Row],[Qte_commande]]</f>
        <v>22.56</v>
      </c>
      <c r="Q1131" s="224">
        <v>6.86</v>
      </c>
      <c r="R1131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6.8571428571428577</v>
      </c>
      <c r="U1131" s="224"/>
      <c r="V1131" s="224"/>
    </row>
    <row r="1132" spans="1:22" ht="14.65" customHeight="1" x14ac:dyDescent="0.2">
      <c r="A1132" s="225">
        <v>43367</v>
      </c>
      <c r="B1132" s="224" t="s">
        <v>335</v>
      </c>
      <c r="C1132" s="224" t="s">
        <v>336</v>
      </c>
      <c r="D1132" s="224" t="s">
        <v>330</v>
      </c>
      <c r="E1132" s="226"/>
      <c r="G1132" s="224" t="s">
        <v>13</v>
      </c>
      <c r="H1132" s="224" t="s">
        <v>289</v>
      </c>
      <c r="I1132" s="224" t="s">
        <v>35</v>
      </c>
      <c r="J1132" s="224">
        <v>70</v>
      </c>
      <c r="K1132" s="227">
        <f t="array" ref="K1132">IFERROR(INDEX([1]Grille_Tarifs_Modulable!$B$2:$B$204,MATCH(Tableau14[[#This Row],[Designation]]&amp;Tableau14[[#This Row],[CL]],[1]Grille_Tarifs_Modulable!$C$2:$C$204&amp;[1]Grille_Tarifs_Modulable!$F$2:$F$204,0)),0)</f>
        <v>3257150107012</v>
      </c>
      <c r="L1132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32.408644000000002</v>
      </c>
      <c r="M1132" s="228">
        <f>IF(Tableau14[[#This Row],[Prix_Unit_HT]]=0,0,Tableau14[[#This Row],[Prix_Unit_HT]]+(Tableau14[[#This Row],[Prix_Unit_HT]]*VLOOKUP(Tableau14[[#This Row],[EAN]],[1]Grille_Tarifs_Modulable!$B$10:$Q$204,16,FALSE)))</f>
        <v>38.890372800000002</v>
      </c>
      <c r="N1132" s="224">
        <v>6</v>
      </c>
      <c r="O1132" s="228">
        <f>ROUND(Tableau14[[#This Row],[Prix_Unit_HT]],2)*Tableau14[[#This Row],[Qte_commande]]</f>
        <v>194.45999999999998</v>
      </c>
      <c r="P1132" s="228">
        <f>ROUND(Tableau14[[#This Row],[Prix_Unit_TTC]],2)*Tableau14[[#This Row],[Qte_commande]]</f>
        <v>233.34</v>
      </c>
      <c r="Q1132" s="224">
        <v>6</v>
      </c>
      <c r="R1132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6.0000000000000009</v>
      </c>
      <c r="U1132" s="224"/>
      <c r="V1132" s="224"/>
    </row>
    <row r="1133" spans="1:22" ht="14.65" customHeight="1" x14ac:dyDescent="0.2">
      <c r="A1133" s="225">
        <v>43367</v>
      </c>
      <c r="B1133" s="224" t="s">
        <v>519</v>
      </c>
      <c r="C1133" s="224" t="s">
        <v>165</v>
      </c>
      <c r="D1133" s="224" t="s">
        <v>330</v>
      </c>
      <c r="E1133" s="226"/>
      <c r="G1133" s="224" t="s">
        <v>13</v>
      </c>
      <c r="H1133" s="224" t="s">
        <v>289</v>
      </c>
      <c r="I1133" s="224" t="s">
        <v>47</v>
      </c>
      <c r="J1133" s="224">
        <v>70</v>
      </c>
      <c r="K1133" s="227">
        <f t="array" ref="K1133">IFERROR(INDEX([1]Grille_Tarifs_Modulable!$B$2:$B$204,MATCH(Tableau14[[#This Row],[Designation]]&amp;Tableau14[[#This Row],[CL]],[1]Grille_Tarifs_Modulable!$C$2:$C$204&amp;[1]Grille_Tarifs_Modulable!$F$2:$F$204,0)),0)</f>
        <v>3257150673005</v>
      </c>
      <c r="L1133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26.848644</v>
      </c>
      <c r="M1133" s="228">
        <f>IF(Tableau14[[#This Row],[Prix_Unit_HT]]=0,0,Tableau14[[#This Row],[Prix_Unit_HT]]+(Tableau14[[#This Row],[Prix_Unit_HT]]*VLOOKUP(Tableau14[[#This Row],[EAN]],[1]Grille_Tarifs_Modulable!$B$10:$Q$204,16,FALSE)))</f>
        <v>32.218372799999997</v>
      </c>
      <c r="N1133" s="224">
        <v>6</v>
      </c>
      <c r="O1133" s="228">
        <f>ROUND(Tableau14[[#This Row],[Prix_Unit_HT]],2)*Tableau14[[#This Row],[Qte_commande]]</f>
        <v>161.10000000000002</v>
      </c>
      <c r="P1133" s="228">
        <f>ROUND(Tableau14[[#This Row],[Prix_Unit_TTC]],2)*Tableau14[[#This Row],[Qte_commande]]</f>
        <v>193.32</v>
      </c>
      <c r="Q1133" s="224">
        <v>6</v>
      </c>
      <c r="R1133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6.0000000000000009</v>
      </c>
      <c r="U1133" s="224"/>
      <c r="V1133" s="224"/>
    </row>
    <row r="1134" spans="1:22" ht="14.65" customHeight="1" x14ac:dyDescent="0.2">
      <c r="A1134" s="225">
        <v>43367</v>
      </c>
      <c r="B1134" s="224" t="s">
        <v>335</v>
      </c>
      <c r="C1134" s="224" t="s">
        <v>336</v>
      </c>
      <c r="D1134" s="224" t="s">
        <v>330</v>
      </c>
      <c r="E1134" s="226"/>
      <c r="G1134" s="224" t="s">
        <v>13</v>
      </c>
      <c r="H1134" s="224" t="s">
        <v>289</v>
      </c>
      <c r="I1134" s="224" t="s">
        <v>47</v>
      </c>
      <c r="J1134" s="224">
        <v>70</v>
      </c>
      <c r="K1134" s="227">
        <f t="array" ref="K1134">IFERROR(INDEX([1]Grille_Tarifs_Modulable!$B$2:$B$204,MATCH(Tableau14[[#This Row],[Designation]]&amp;Tableau14[[#This Row],[CL]],[1]Grille_Tarifs_Modulable!$C$2:$C$204&amp;[1]Grille_Tarifs_Modulable!$F$2:$F$204,0)),0)</f>
        <v>3257150673005</v>
      </c>
      <c r="L1134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26.848644</v>
      </c>
      <c r="M1134" s="228">
        <f>IF(Tableau14[[#This Row],[Prix_Unit_HT]]=0,0,Tableau14[[#This Row],[Prix_Unit_HT]]+(Tableau14[[#This Row],[Prix_Unit_HT]]*VLOOKUP(Tableau14[[#This Row],[EAN]],[1]Grille_Tarifs_Modulable!$B$10:$Q$204,16,FALSE)))</f>
        <v>32.218372799999997</v>
      </c>
      <c r="N1134" s="224">
        <v>6</v>
      </c>
      <c r="O1134" s="228">
        <f>ROUND(Tableau14[[#This Row],[Prix_Unit_HT]],2)*Tableau14[[#This Row],[Qte_commande]]</f>
        <v>161.10000000000002</v>
      </c>
      <c r="P1134" s="228">
        <f>ROUND(Tableau14[[#This Row],[Prix_Unit_TTC]],2)*Tableau14[[#This Row],[Qte_commande]]</f>
        <v>193.32</v>
      </c>
      <c r="Q1134" s="224">
        <v>6</v>
      </c>
      <c r="R1134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6.0000000000000009</v>
      </c>
      <c r="U1134" s="224"/>
      <c r="V1134" s="224"/>
    </row>
    <row r="1135" spans="1:22" ht="14.65" customHeight="1" x14ac:dyDescent="0.2">
      <c r="A1135" s="225">
        <v>43367</v>
      </c>
      <c r="B1135" s="224" t="s">
        <v>519</v>
      </c>
      <c r="C1135" s="224" t="s">
        <v>165</v>
      </c>
      <c r="D1135" s="224" t="s">
        <v>330</v>
      </c>
      <c r="E1135" s="226"/>
      <c r="G1135" s="224" t="s">
        <v>13</v>
      </c>
      <c r="H1135" s="224" t="s">
        <v>289</v>
      </c>
      <c r="I1135" s="224" t="s">
        <v>15</v>
      </c>
      <c r="J1135" s="224">
        <v>70</v>
      </c>
      <c r="K1135" s="227">
        <f t="array" ref="K1135">IFERROR(INDEX([1]Grille_Tarifs_Modulable!$B$2:$B$204,MATCH(Tableau14[[#This Row],[Designation]]&amp;Tableau14[[#This Row],[CL]],[1]Grille_Tarifs_Modulable!$C$2:$C$204&amp;[1]Grille_Tarifs_Modulable!$F$2:$F$204,0)),0)</f>
        <v>4067700013859</v>
      </c>
      <c r="L1135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13.942563499999999</v>
      </c>
      <c r="M1135" s="228">
        <f>IF(Tableau14[[#This Row],[Prix_Unit_HT]]=0,0,Tableau14[[#This Row],[Prix_Unit_HT]]+(Tableau14[[#This Row],[Prix_Unit_HT]]*VLOOKUP(Tableau14[[#This Row],[EAN]],[1]Grille_Tarifs_Modulable!$B$10:$Q$204,16,FALSE)))</f>
        <v>16.731076199999997</v>
      </c>
      <c r="N1135" s="224">
        <v>24</v>
      </c>
      <c r="O1135" s="228">
        <f>ROUND(Tableau14[[#This Row],[Prix_Unit_HT]],2)*Tableau14[[#This Row],[Qte_commande]]</f>
        <v>334.56</v>
      </c>
      <c r="P1135" s="228">
        <f>ROUND(Tableau14[[#This Row],[Prix_Unit_TTC]],2)*Tableau14[[#This Row],[Qte_commande]]</f>
        <v>401.52</v>
      </c>
      <c r="Q1135" s="224">
        <v>24</v>
      </c>
      <c r="R1135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24.000000000000004</v>
      </c>
      <c r="U1135" s="224"/>
      <c r="V1135" s="224"/>
    </row>
    <row r="1136" spans="1:22" ht="14.65" customHeight="1" x14ac:dyDescent="0.2">
      <c r="A1136" s="225">
        <v>43367</v>
      </c>
      <c r="B1136" s="224" t="s">
        <v>335</v>
      </c>
      <c r="C1136" s="224" t="s">
        <v>336</v>
      </c>
      <c r="D1136" s="224" t="s">
        <v>330</v>
      </c>
      <c r="E1136" s="226"/>
      <c r="G1136" s="224" t="s">
        <v>13</v>
      </c>
      <c r="H1136" s="224" t="s">
        <v>289</v>
      </c>
      <c r="I1136" s="224" t="s">
        <v>15</v>
      </c>
      <c r="J1136" s="224">
        <v>70</v>
      </c>
      <c r="K1136" s="227">
        <f t="array" ref="K1136">IFERROR(INDEX([1]Grille_Tarifs_Modulable!$B$2:$B$204,MATCH(Tableau14[[#This Row],[Designation]]&amp;Tableau14[[#This Row],[CL]],[1]Grille_Tarifs_Modulable!$C$2:$C$204&amp;[1]Grille_Tarifs_Modulable!$F$2:$F$204,0)),0)</f>
        <v>4067700013859</v>
      </c>
      <c r="L1136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13.942563499999999</v>
      </c>
      <c r="M1136" s="228">
        <f>IF(Tableau14[[#This Row],[Prix_Unit_HT]]=0,0,Tableau14[[#This Row],[Prix_Unit_HT]]+(Tableau14[[#This Row],[Prix_Unit_HT]]*VLOOKUP(Tableau14[[#This Row],[EAN]],[1]Grille_Tarifs_Modulable!$B$10:$Q$204,16,FALSE)))</f>
        <v>16.731076199999997</v>
      </c>
      <c r="N1136" s="224">
        <v>12</v>
      </c>
      <c r="O1136" s="228">
        <f>ROUND(Tableau14[[#This Row],[Prix_Unit_HT]],2)*Tableau14[[#This Row],[Qte_commande]]</f>
        <v>167.28</v>
      </c>
      <c r="P1136" s="228">
        <f>ROUND(Tableau14[[#This Row],[Prix_Unit_TTC]],2)*Tableau14[[#This Row],[Qte_commande]]</f>
        <v>200.76</v>
      </c>
      <c r="Q1136" s="224">
        <v>12</v>
      </c>
      <c r="R1136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12.000000000000002</v>
      </c>
      <c r="U1136" s="224"/>
      <c r="V1136" s="224"/>
    </row>
    <row r="1137" spans="1:22" ht="14.65" customHeight="1" x14ac:dyDescent="0.2">
      <c r="A1137" s="225">
        <v>43367</v>
      </c>
      <c r="B1137" s="224" t="s">
        <v>519</v>
      </c>
      <c r="C1137" s="224" t="s">
        <v>165</v>
      </c>
      <c r="D1137" s="224" t="s">
        <v>330</v>
      </c>
      <c r="E1137" s="226"/>
      <c r="G1137" s="224" t="s">
        <v>13</v>
      </c>
      <c r="H1137" s="224" t="s">
        <v>289</v>
      </c>
      <c r="I1137" s="224" t="s">
        <v>15</v>
      </c>
      <c r="J1137" s="224">
        <v>175</v>
      </c>
      <c r="K1137" s="227">
        <f t="array" ref="K1137">IFERROR(INDEX([1]Grille_Tarifs_Modulable!$B$2:$B$204,MATCH(Tableau14[[#This Row],[Designation]]&amp;Tableau14[[#This Row],[CL]],[1]Grille_Tarifs_Modulable!$C$2:$C$204&amp;[1]Grille_Tarifs_Modulable!$F$2:$F$204,0)),0)</f>
        <v>4067700013835</v>
      </c>
      <c r="L1137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32.266408749999997</v>
      </c>
      <c r="M1137" s="228">
        <f>IF(Tableau14[[#This Row],[Prix_Unit_HT]]=0,0,Tableau14[[#This Row],[Prix_Unit_HT]]+(Tableau14[[#This Row],[Prix_Unit_HT]]*VLOOKUP(Tableau14[[#This Row],[EAN]],[1]Grille_Tarifs_Modulable!$B$10:$Q$204,16,FALSE)))</f>
        <v>38.719690499999999</v>
      </c>
      <c r="N1137" s="224">
        <v>24</v>
      </c>
      <c r="O1137" s="228">
        <f>ROUND(Tableau14[[#This Row],[Prix_Unit_HT]],2)*Tableau14[[#This Row],[Qte_commande]]</f>
        <v>774.48</v>
      </c>
      <c r="P1137" s="228">
        <f>ROUND(Tableau14[[#This Row],[Prix_Unit_TTC]],2)*Tableau14[[#This Row],[Qte_commande]]</f>
        <v>929.28</v>
      </c>
      <c r="Q1137" s="224">
        <v>60</v>
      </c>
      <c r="R1137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60.000000000000007</v>
      </c>
      <c r="U1137" s="224"/>
      <c r="V1137" s="224"/>
    </row>
    <row r="1138" spans="1:22" ht="14.65" customHeight="1" x14ac:dyDescent="0.2">
      <c r="A1138" s="225">
        <v>43367</v>
      </c>
      <c r="B1138" s="224" t="s">
        <v>335</v>
      </c>
      <c r="C1138" s="224" t="s">
        <v>336</v>
      </c>
      <c r="D1138" s="224" t="s">
        <v>330</v>
      </c>
      <c r="E1138" s="226"/>
      <c r="G1138" s="224" t="s">
        <v>13</v>
      </c>
      <c r="H1138" s="224" t="s">
        <v>289</v>
      </c>
      <c r="I1138" s="224" t="s">
        <v>15</v>
      </c>
      <c r="J1138" s="224">
        <v>175</v>
      </c>
      <c r="K1138" s="227">
        <f t="array" ref="K1138">IFERROR(INDEX([1]Grille_Tarifs_Modulable!$B$2:$B$204,MATCH(Tableau14[[#This Row],[Designation]]&amp;Tableau14[[#This Row],[CL]],[1]Grille_Tarifs_Modulable!$C$2:$C$204&amp;[1]Grille_Tarifs_Modulable!$F$2:$F$204,0)),0)</f>
        <v>4067700013835</v>
      </c>
      <c r="L1138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32.266408749999997</v>
      </c>
      <c r="M1138" s="228">
        <f>IF(Tableau14[[#This Row],[Prix_Unit_HT]]=0,0,Tableau14[[#This Row],[Prix_Unit_HT]]+(Tableau14[[#This Row],[Prix_Unit_HT]]*VLOOKUP(Tableau14[[#This Row],[EAN]],[1]Grille_Tarifs_Modulable!$B$10:$Q$204,16,FALSE)))</f>
        <v>38.719690499999999</v>
      </c>
      <c r="N1138" s="224">
        <v>24</v>
      </c>
      <c r="O1138" s="228">
        <f>ROUND(Tableau14[[#This Row],[Prix_Unit_HT]],2)*Tableau14[[#This Row],[Qte_commande]]</f>
        <v>774.48</v>
      </c>
      <c r="P1138" s="228">
        <f>ROUND(Tableau14[[#This Row],[Prix_Unit_TTC]],2)*Tableau14[[#This Row],[Qte_commande]]</f>
        <v>929.28</v>
      </c>
      <c r="Q1138" s="224">
        <v>60</v>
      </c>
      <c r="R1138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60.000000000000007</v>
      </c>
      <c r="U1138" s="224"/>
      <c r="V1138" s="224"/>
    </row>
    <row r="1139" spans="1:22" ht="14.65" customHeight="1" x14ac:dyDescent="0.2">
      <c r="A1139" s="225">
        <v>43367</v>
      </c>
      <c r="B1139" s="224" t="s">
        <v>711</v>
      </c>
      <c r="C1139" s="224" t="s">
        <v>542</v>
      </c>
      <c r="D1139" s="224" t="s">
        <v>209</v>
      </c>
      <c r="E1139" s="226"/>
      <c r="G1139" s="224" t="s">
        <v>13</v>
      </c>
      <c r="H1139" s="224" t="s">
        <v>289</v>
      </c>
      <c r="I1139" s="224" t="s">
        <v>15</v>
      </c>
      <c r="J1139" s="224">
        <v>175</v>
      </c>
      <c r="K1139" s="227">
        <f t="array" ref="K1139">IFERROR(INDEX([1]Grille_Tarifs_Modulable!$B$2:$B$204,MATCH(Tableau14[[#This Row],[Designation]]&amp;Tableau14[[#This Row],[CL]],[1]Grille_Tarifs_Modulable!$C$2:$C$204&amp;[1]Grille_Tarifs_Modulable!$F$2:$F$204,0)),0)</f>
        <v>4067700013835</v>
      </c>
      <c r="L1139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32.266408749999997</v>
      </c>
      <c r="M1139" s="228">
        <f>IF(Tableau14[[#This Row],[Prix_Unit_HT]]=0,0,Tableau14[[#This Row],[Prix_Unit_HT]]+(Tableau14[[#This Row],[Prix_Unit_HT]]*VLOOKUP(Tableau14[[#This Row],[EAN]],[1]Grille_Tarifs_Modulable!$B$10:$Q$204,16,FALSE)))</f>
        <v>38.719690499999999</v>
      </c>
      <c r="N1139" s="224">
        <v>12</v>
      </c>
      <c r="O1139" s="228">
        <f>ROUND(Tableau14[[#This Row],[Prix_Unit_HT]],2)*Tableau14[[#This Row],[Qte_commande]]</f>
        <v>387.24</v>
      </c>
      <c r="P1139" s="228">
        <f>ROUND(Tableau14[[#This Row],[Prix_Unit_TTC]],2)*Tableau14[[#This Row],[Qte_commande]]</f>
        <v>464.64</v>
      </c>
      <c r="Q1139" s="224">
        <v>30</v>
      </c>
      <c r="R1139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30.000000000000004</v>
      </c>
      <c r="U1139" s="224"/>
      <c r="V1139" s="224"/>
    </row>
    <row r="1140" spans="1:22" ht="14.65" customHeight="1" x14ac:dyDescent="0.2">
      <c r="A1140" s="225">
        <v>43367</v>
      </c>
      <c r="B1140" s="224" t="s">
        <v>335</v>
      </c>
      <c r="C1140" s="224" t="s">
        <v>336</v>
      </c>
      <c r="D1140" s="224" t="s">
        <v>330</v>
      </c>
      <c r="E1140" s="226"/>
      <c r="G1140" s="224" t="s">
        <v>13</v>
      </c>
      <c r="H1140" s="224" t="s">
        <v>289</v>
      </c>
      <c r="I1140" s="224" t="s">
        <v>30</v>
      </c>
      <c r="J1140" s="224">
        <v>70</v>
      </c>
      <c r="K1140" s="227">
        <f t="array" ref="K1140">IFERROR(INDEX([1]Grille_Tarifs_Modulable!$B$2:$B$204,MATCH(Tableau14[[#This Row],[Designation]]&amp;Tableau14[[#This Row],[CL]],[1]Grille_Tarifs_Modulable!$C$2:$C$204&amp;[1]Grille_Tarifs_Modulable!$F$2:$F$204,0)),0)</f>
        <v>3257150101904</v>
      </c>
      <c r="L1140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18.506483000000003</v>
      </c>
      <c r="M1140" s="228">
        <f>IF(Tableau14[[#This Row],[Prix_Unit_HT]]=0,0,Tableau14[[#This Row],[Prix_Unit_HT]]+(Tableau14[[#This Row],[Prix_Unit_HT]]*VLOOKUP(Tableau14[[#This Row],[EAN]],[1]Grille_Tarifs_Modulable!$B$10:$Q$204,16,FALSE)))</f>
        <v>22.207779600000002</v>
      </c>
      <c r="N1140" s="224">
        <v>6</v>
      </c>
      <c r="O1140" s="228">
        <f>ROUND(Tableau14[[#This Row],[Prix_Unit_HT]],2)*Tableau14[[#This Row],[Qte_commande]]</f>
        <v>111.06</v>
      </c>
      <c r="P1140" s="228">
        <f>ROUND(Tableau14[[#This Row],[Prix_Unit_TTC]],2)*Tableau14[[#This Row],[Qte_commande]]</f>
        <v>133.26</v>
      </c>
      <c r="Q1140" s="224">
        <v>6</v>
      </c>
      <c r="R1140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6.0000000000000009</v>
      </c>
      <c r="U1140" s="224"/>
      <c r="V1140" s="224"/>
    </row>
    <row r="1141" spans="1:22" ht="14.65" customHeight="1" x14ac:dyDescent="0.2">
      <c r="A1141" s="225">
        <v>43367</v>
      </c>
      <c r="B1141" s="224" t="s">
        <v>519</v>
      </c>
      <c r="C1141" s="224" t="s">
        <v>165</v>
      </c>
      <c r="D1141" s="224" t="s">
        <v>330</v>
      </c>
      <c r="E1141" s="226"/>
      <c r="G1141" s="224" t="s">
        <v>13</v>
      </c>
      <c r="H1141" s="224" t="s">
        <v>289</v>
      </c>
      <c r="I1141" s="224" t="s">
        <v>31</v>
      </c>
      <c r="J1141" s="224">
        <v>70</v>
      </c>
      <c r="K1141" s="227">
        <f t="array" ref="K1141">IFERROR(INDEX([1]Grille_Tarifs_Modulable!$B$2:$B$204,MATCH(Tableau14[[#This Row],[Designation]]&amp;Tableau14[[#This Row],[CL]],[1]Grille_Tarifs_Modulable!$C$2:$C$204&amp;[1]Grille_Tarifs_Modulable!$F$2:$F$204,0)),0)</f>
        <v>3257150102017</v>
      </c>
      <c r="L1141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16.854322</v>
      </c>
      <c r="M1141" s="228">
        <f>IF(Tableau14[[#This Row],[Prix_Unit_HT]]=0,0,Tableau14[[#This Row],[Prix_Unit_HT]]+(Tableau14[[#This Row],[Prix_Unit_HT]]*VLOOKUP(Tableau14[[#This Row],[EAN]],[1]Grille_Tarifs_Modulable!$B$10:$Q$204,16,FALSE)))</f>
        <v>20.225186399999998</v>
      </c>
      <c r="N1141" s="224">
        <v>6</v>
      </c>
      <c r="O1141" s="228">
        <f>ROUND(Tableau14[[#This Row],[Prix_Unit_HT]],2)*Tableau14[[#This Row],[Qte_commande]]</f>
        <v>101.10000000000001</v>
      </c>
      <c r="P1141" s="228">
        <f>ROUND(Tableau14[[#This Row],[Prix_Unit_TTC]],2)*Tableau14[[#This Row],[Qte_commande]]</f>
        <v>121.38</v>
      </c>
      <c r="Q1141" s="224">
        <v>6</v>
      </c>
      <c r="R1141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6.0000000000000009</v>
      </c>
      <c r="U1141" s="224"/>
      <c r="V1141" s="224"/>
    </row>
    <row r="1142" spans="1:22" ht="14.65" customHeight="1" x14ac:dyDescent="0.2">
      <c r="A1142" s="225">
        <v>43367</v>
      </c>
      <c r="B1142" s="224" t="s">
        <v>711</v>
      </c>
      <c r="C1142" s="224" t="s">
        <v>542</v>
      </c>
      <c r="D1142" s="224" t="s">
        <v>209</v>
      </c>
      <c r="E1142" s="226"/>
      <c r="G1142" s="224" t="s">
        <v>1</v>
      </c>
      <c r="H1142" s="224" t="s">
        <v>289</v>
      </c>
      <c r="I1142" s="224" t="s">
        <v>25</v>
      </c>
      <c r="J1142" s="224">
        <v>70</v>
      </c>
      <c r="K1142" s="227">
        <f t="array" ref="K1142">IFERROR(INDEX([1]Grille_Tarifs_Modulable!$B$2:$B$204,MATCH(Tableau14[[#This Row],[Designation]]&amp;Tableau14[[#This Row],[CL]],[1]Grille_Tarifs_Modulable!$C$2:$C$204&amp;[1]Grille_Tarifs_Modulable!$F$2:$F$204,0)),0)</f>
        <v>8500000917015</v>
      </c>
      <c r="L1142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11.8982118</v>
      </c>
      <c r="M1142" s="228">
        <f>IF(Tableau14[[#This Row],[Prix_Unit_HT]]=0,0,Tableau14[[#This Row],[Prix_Unit_HT]]+(Tableau14[[#This Row],[Prix_Unit_HT]]*VLOOKUP(Tableau14[[#This Row],[EAN]],[1]Grille_Tarifs_Modulable!$B$10:$Q$204,16,FALSE)))</f>
        <v>14.27785416</v>
      </c>
      <c r="N1142" s="224">
        <v>12</v>
      </c>
      <c r="O1142" s="228">
        <f>ROUND(Tableau14[[#This Row],[Prix_Unit_HT]],2)*Tableau14[[#This Row],[Qte_commande]]</f>
        <v>142.80000000000001</v>
      </c>
      <c r="P1142" s="228">
        <f>ROUND(Tableau14[[#This Row],[Prix_Unit_TTC]],2)*Tableau14[[#This Row],[Qte_commande]]</f>
        <v>171.35999999999999</v>
      </c>
      <c r="Q1142" s="224">
        <v>12</v>
      </c>
      <c r="R1142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12.000000000000002</v>
      </c>
      <c r="U1142" s="224"/>
      <c r="V1142" s="224"/>
    </row>
    <row r="1143" spans="1:22" ht="14.65" customHeight="1" x14ac:dyDescent="0.2">
      <c r="A1143" s="225">
        <v>43367</v>
      </c>
      <c r="B1143" s="224" t="s">
        <v>711</v>
      </c>
      <c r="C1143" s="224" t="s">
        <v>542</v>
      </c>
      <c r="D1143" s="224" t="s">
        <v>209</v>
      </c>
      <c r="E1143" s="226"/>
      <c r="G1143" s="224" t="s">
        <v>13</v>
      </c>
      <c r="H1143" s="224" t="s">
        <v>289</v>
      </c>
      <c r="I1143" s="224" t="s">
        <v>931</v>
      </c>
      <c r="J1143" s="224">
        <v>100</v>
      </c>
      <c r="K1143" s="227">
        <f t="array" ref="K1143">IFERROR(INDEX([1]Grille_Tarifs_Modulable!$B$2:$B$204,MATCH(Tableau14[[#This Row],[Designation]]&amp;Tableau14[[#This Row],[CL]],[1]Grille_Tarifs_Modulable!$C$2:$C$204&amp;[1]Grille_Tarifs_Modulable!$F$2:$F$204,0)),0)</f>
        <v>0</v>
      </c>
      <c r="L1143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</v>
      </c>
      <c r="M1143" s="228">
        <f>IF(Tableau14[[#This Row],[Prix_Unit_HT]]=0,0,Tableau14[[#This Row],[Prix_Unit_HT]]+(Tableau14[[#This Row],[Prix_Unit_HT]]*VLOOKUP(Tableau14[[#This Row],[EAN]],[1]Grille_Tarifs_Modulable!$B$10:$Q$204,16,FALSE)))</f>
        <v>0</v>
      </c>
      <c r="N1143" s="224">
        <v>12</v>
      </c>
      <c r="O1143" s="228">
        <f>ROUND(Tableau14[[#This Row],[Prix_Unit_HT]],2)*Tableau14[[#This Row],[Qte_commande]]</f>
        <v>0</v>
      </c>
      <c r="P1143" s="228">
        <f>ROUND(Tableau14[[#This Row],[Prix_Unit_TTC]],2)*Tableau14[[#This Row],[Qte_commande]]</f>
        <v>0</v>
      </c>
      <c r="Q1143" s="224">
        <v>17.14</v>
      </c>
      <c r="R1143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17.142857142857142</v>
      </c>
      <c r="U1143" s="224"/>
      <c r="V1143" s="224"/>
    </row>
    <row r="1144" spans="1:22" ht="14.65" customHeight="1" x14ac:dyDescent="0.2">
      <c r="A1144" s="225">
        <v>43367</v>
      </c>
      <c r="B1144" s="224" t="s">
        <v>711</v>
      </c>
      <c r="C1144" s="224" t="s">
        <v>542</v>
      </c>
      <c r="D1144" s="224" t="s">
        <v>209</v>
      </c>
      <c r="E1144" s="226"/>
      <c r="G1144" s="224" t="s">
        <v>13</v>
      </c>
      <c r="H1144" s="224" t="s">
        <v>289</v>
      </c>
      <c r="I1144" s="224" t="s">
        <v>931</v>
      </c>
      <c r="J1144" s="224">
        <v>100</v>
      </c>
      <c r="K1144" s="227">
        <f t="array" ref="K1144">IFERROR(INDEX([1]Grille_Tarifs_Modulable!$B$2:$B$204,MATCH(Tableau14[[#This Row],[Designation]]&amp;Tableau14[[#This Row],[CL]],[1]Grille_Tarifs_Modulable!$C$2:$C$204&amp;[1]Grille_Tarifs_Modulable!$F$2:$F$204,0)),0)</f>
        <v>0</v>
      </c>
      <c r="L1144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</v>
      </c>
      <c r="M1144" s="228">
        <f>IF(Tableau14[[#This Row],[Prix_Unit_HT]]=0,0,Tableau14[[#This Row],[Prix_Unit_HT]]+(Tableau14[[#This Row],[Prix_Unit_HT]]*VLOOKUP(Tableau14[[#This Row],[EAN]],[1]Grille_Tarifs_Modulable!$B$10:$Q$204,16,FALSE)))</f>
        <v>0</v>
      </c>
      <c r="N1144" s="224">
        <v>24</v>
      </c>
      <c r="O1144" s="228">
        <f>ROUND(Tableau14[[#This Row],[Prix_Unit_HT]],2)*Tableau14[[#This Row],[Qte_commande]]</f>
        <v>0</v>
      </c>
      <c r="P1144" s="228">
        <f>ROUND(Tableau14[[#This Row],[Prix_Unit_TTC]],2)*Tableau14[[#This Row],[Qte_commande]]</f>
        <v>0</v>
      </c>
      <c r="Q1144" s="224">
        <v>34.29</v>
      </c>
      <c r="R1144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34.285714285714285</v>
      </c>
      <c r="U1144" s="224"/>
      <c r="V1144" s="224"/>
    </row>
    <row r="1145" spans="1:22" ht="14.65" customHeight="1" x14ac:dyDescent="0.2">
      <c r="A1145" s="225">
        <v>43367</v>
      </c>
      <c r="B1145" s="224" t="s">
        <v>335</v>
      </c>
      <c r="C1145" s="224" t="s">
        <v>336</v>
      </c>
      <c r="D1145" s="224" t="s">
        <v>330</v>
      </c>
      <c r="E1145" s="226"/>
      <c r="G1145" s="224" t="s">
        <v>13</v>
      </c>
      <c r="H1145" s="224" t="s">
        <v>196</v>
      </c>
      <c r="I1145" s="224" t="s">
        <v>64</v>
      </c>
      <c r="J1145" s="224">
        <v>20</v>
      </c>
      <c r="K1145" s="227">
        <f t="array" ref="K1145">IFERROR(INDEX([1]Grille_Tarifs_Modulable!$B$2:$B$204,MATCH(Tableau14[[#This Row],[Designation]]&amp;Tableau14[[#This Row],[CL]],[1]Grille_Tarifs_Modulable!$C$2:$C$204&amp;[1]Grille_Tarifs_Modulable!$F$2:$F$204,0)),0)</f>
        <v>4260310553849</v>
      </c>
      <c r="L1145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0.89</v>
      </c>
      <c r="M1145" s="228">
        <f>IF(Tableau14[[#This Row],[Prix_Unit_HT]]=0,0,Tableau14[[#This Row],[Prix_Unit_HT]]+(Tableau14[[#This Row],[Prix_Unit_HT]]*VLOOKUP(Tableau14[[#This Row],[EAN]],[1]Grille_Tarifs_Modulable!$B$10:$Q$204,16,FALSE)))</f>
        <v>0.93895000000000006</v>
      </c>
      <c r="N1145" s="224">
        <v>24</v>
      </c>
      <c r="O1145" s="228">
        <f>ROUND(Tableau14[[#This Row],[Prix_Unit_HT]],2)*Tableau14[[#This Row],[Qte_commande]]</f>
        <v>21.36</v>
      </c>
      <c r="P1145" s="228">
        <f>ROUND(Tableau14[[#This Row],[Prix_Unit_TTC]],2)*Tableau14[[#This Row],[Qte_commande]]</f>
        <v>22.56</v>
      </c>
      <c r="Q1145" s="224">
        <v>6.86</v>
      </c>
      <c r="R1145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6.8571428571428577</v>
      </c>
      <c r="U1145" s="224"/>
      <c r="V1145" s="224"/>
    </row>
    <row r="1146" spans="1:22" ht="14.65" customHeight="1" x14ac:dyDescent="0.2">
      <c r="A1146" s="225">
        <v>43370</v>
      </c>
      <c r="B1146" s="224" t="s">
        <v>274</v>
      </c>
      <c r="C1146" s="224" t="s">
        <v>272</v>
      </c>
      <c r="D1146" s="224" t="s">
        <v>180</v>
      </c>
      <c r="E1146" s="226"/>
      <c r="G1146" s="224" t="s">
        <v>1</v>
      </c>
      <c r="H1146" s="224" t="s">
        <v>196</v>
      </c>
      <c r="I1146" s="224" t="s">
        <v>63</v>
      </c>
      <c r="J1146" s="224">
        <v>20</v>
      </c>
      <c r="K1146" s="227">
        <f t="array" ref="K1146">IFERROR(INDEX([1]Grille_Tarifs_Modulable!$B$2:$B$204,MATCH(Tableau14[[#This Row],[Designation]]&amp;Tableau14[[#This Row],[CL]],[1]Grille_Tarifs_Modulable!$C$2:$C$204&amp;[1]Grille_Tarifs_Modulable!$F$2:$F$204,0)),0)</f>
        <v>4260310552941</v>
      </c>
      <c r="L1146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0.81</v>
      </c>
      <c r="M1146" s="228">
        <f>IF(Tableau14[[#This Row],[Prix_Unit_HT]]=0,0,Tableau14[[#This Row],[Prix_Unit_HT]]+(Tableau14[[#This Row],[Prix_Unit_HT]]*VLOOKUP(Tableau14[[#This Row],[EAN]],[1]Grille_Tarifs_Modulable!$B$10:$Q$204,16,FALSE)))</f>
        <v>0.85455000000000003</v>
      </c>
      <c r="N1146" s="224">
        <v>24</v>
      </c>
      <c r="O1146" s="228">
        <f>ROUND(Tableau14[[#This Row],[Prix_Unit_HT]],2)*Tableau14[[#This Row],[Qte_commande]]</f>
        <v>19.440000000000001</v>
      </c>
      <c r="P1146" s="228">
        <f>ROUND(Tableau14[[#This Row],[Prix_Unit_TTC]],2)*Tableau14[[#This Row],[Qte_commande]]</f>
        <v>20.399999999999999</v>
      </c>
      <c r="Q1146" s="224">
        <v>6.86</v>
      </c>
      <c r="R1146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6.8571428571428577</v>
      </c>
      <c r="U1146" s="224"/>
      <c r="V1146" s="224"/>
    </row>
    <row r="1147" spans="1:22" ht="14.65" customHeight="1" x14ac:dyDescent="0.2">
      <c r="A1147" s="225">
        <v>43370</v>
      </c>
      <c r="B1147" s="224" t="s">
        <v>360</v>
      </c>
      <c r="C1147" s="224" t="s">
        <v>361</v>
      </c>
      <c r="D1147" s="224" t="s">
        <v>180</v>
      </c>
      <c r="E1147" s="226"/>
      <c r="G1147" s="224" t="s">
        <v>13</v>
      </c>
      <c r="H1147" s="224" t="s">
        <v>196</v>
      </c>
      <c r="I1147" s="224" t="s">
        <v>65</v>
      </c>
      <c r="J1147" s="224">
        <v>20</v>
      </c>
      <c r="K1147" s="227">
        <f t="array" ref="K1147">IFERROR(INDEX([1]Grille_Tarifs_Modulable!$B$2:$B$204,MATCH(Tableau14[[#This Row],[Designation]]&amp;Tableau14[[#This Row],[CL]],[1]Grille_Tarifs_Modulable!$C$2:$C$204&amp;[1]Grille_Tarifs_Modulable!$F$2:$F$204,0)),0)</f>
        <v>4260310553863</v>
      </c>
      <c r="L1147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0.89</v>
      </c>
      <c r="M1147" s="228">
        <f>IF(Tableau14[[#This Row],[Prix_Unit_HT]]=0,0,Tableau14[[#This Row],[Prix_Unit_HT]]+(Tableau14[[#This Row],[Prix_Unit_HT]]*VLOOKUP(Tableau14[[#This Row],[EAN]],[1]Grille_Tarifs_Modulable!$B$10:$Q$204,16,FALSE)))</f>
        <v>0.93895000000000006</v>
      </c>
      <c r="N1147" s="224">
        <v>24</v>
      </c>
      <c r="O1147" s="228">
        <f>ROUND(Tableau14[[#This Row],[Prix_Unit_HT]],2)*Tableau14[[#This Row],[Qte_commande]]</f>
        <v>21.36</v>
      </c>
      <c r="P1147" s="228">
        <f>ROUND(Tableau14[[#This Row],[Prix_Unit_TTC]],2)*Tableau14[[#This Row],[Qte_commande]]</f>
        <v>22.56</v>
      </c>
      <c r="Q1147" s="224">
        <v>6.86</v>
      </c>
      <c r="R1147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6.8571428571428577</v>
      </c>
      <c r="U1147" s="224"/>
      <c r="V1147" s="224"/>
    </row>
    <row r="1148" spans="1:22" ht="14.65" customHeight="1" x14ac:dyDescent="0.2">
      <c r="A1148" s="225">
        <v>43370</v>
      </c>
      <c r="B1148" s="224" t="s">
        <v>274</v>
      </c>
      <c r="C1148" s="224" t="s">
        <v>272</v>
      </c>
      <c r="D1148" s="224" t="s">
        <v>180</v>
      </c>
      <c r="E1148" s="226"/>
      <c r="G1148" s="224" t="s">
        <v>1</v>
      </c>
      <c r="H1148" s="224" t="s">
        <v>289</v>
      </c>
      <c r="I1148" s="224" t="s">
        <v>35</v>
      </c>
      <c r="J1148" s="224">
        <v>70</v>
      </c>
      <c r="K1148" s="227">
        <f t="array" ref="K1148">IFERROR(INDEX([1]Grille_Tarifs_Modulable!$B$2:$B$204,MATCH(Tableau14[[#This Row],[Designation]]&amp;Tableau14[[#This Row],[CL]],[1]Grille_Tarifs_Modulable!$C$2:$C$204&amp;[1]Grille_Tarifs_Modulable!$F$2:$F$204,0)),0)</f>
        <v>3257150107012</v>
      </c>
      <c r="L1148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29.828643999999997</v>
      </c>
      <c r="M1148" s="228">
        <f>IF(Tableau14[[#This Row],[Prix_Unit_HT]]=0,0,Tableau14[[#This Row],[Prix_Unit_HT]]+(Tableau14[[#This Row],[Prix_Unit_HT]]*VLOOKUP(Tableau14[[#This Row],[EAN]],[1]Grille_Tarifs_Modulable!$B$10:$Q$204,16,FALSE)))</f>
        <v>35.794372799999998</v>
      </c>
      <c r="N1148" s="224">
        <v>6</v>
      </c>
      <c r="O1148" s="228">
        <f>ROUND(Tableau14[[#This Row],[Prix_Unit_HT]],2)*Tableau14[[#This Row],[Qte_commande]]</f>
        <v>178.98</v>
      </c>
      <c r="P1148" s="228">
        <f>ROUND(Tableau14[[#This Row],[Prix_Unit_TTC]],2)*Tableau14[[#This Row],[Qte_commande]]</f>
        <v>214.74</v>
      </c>
      <c r="Q1148" s="224">
        <v>6</v>
      </c>
      <c r="R1148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6.0000000000000009</v>
      </c>
      <c r="U1148" s="224"/>
      <c r="V1148" s="224"/>
    </row>
    <row r="1149" spans="1:22" ht="14.65" customHeight="1" x14ac:dyDescent="0.2">
      <c r="A1149" s="225">
        <v>43370</v>
      </c>
      <c r="B1149" s="224" t="s">
        <v>395</v>
      </c>
      <c r="C1149" s="224" t="s">
        <v>372</v>
      </c>
      <c r="D1149" s="224" t="s">
        <v>373</v>
      </c>
      <c r="E1149" s="226"/>
      <c r="G1149" s="224" t="s">
        <v>1</v>
      </c>
      <c r="H1149" s="224" t="s">
        <v>289</v>
      </c>
      <c r="I1149" s="224" t="s">
        <v>35</v>
      </c>
      <c r="J1149" s="224">
        <v>70</v>
      </c>
      <c r="K1149" s="227">
        <f t="array" ref="K1149">IFERROR(INDEX([1]Grille_Tarifs_Modulable!$B$2:$B$204,MATCH(Tableau14[[#This Row],[Designation]]&amp;Tableau14[[#This Row],[CL]],[1]Grille_Tarifs_Modulable!$C$2:$C$204&amp;[1]Grille_Tarifs_Modulable!$F$2:$F$204,0)),0)</f>
        <v>3257150107012</v>
      </c>
      <c r="L1149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29.828643999999997</v>
      </c>
      <c r="M1149" s="228">
        <f>IF(Tableau14[[#This Row],[Prix_Unit_HT]]=0,0,Tableau14[[#This Row],[Prix_Unit_HT]]+(Tableau14[[#This Row],[Prix_Unit_HT]]*VLOOKUP(Tableau14[[#This Row],[EAN]],[1]Grille_Tarifs_Modulable!$B$10:$Q$204,16,FALSE)))</f>
        <v>35.794372799999998</v>
      </c>
      <c r="N1149" s="224">
        <v>2</v>
      </c>
      <c r="O1149" s="228">
        <f>ROUND(Tableau14[[#This Row],[Prix_Unit_HT]],2)*Tableau14[[#This Row],[Qte_commande]]</f>
        <v>59.66</v>
      </c>
      <c r="P1149" s="228">
        <f>ROUND(Tableau14[[#This Row],[Prix_Unit_TTC]],2)*Tableau14[[#This Row],[Qte_commande]]</f>
        <v>71.58</v>
      </c>
      <c r="Q1149" s="224">
        <v>2</v>
      </c>
      <c r="R1149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2</v>
      </c>
      <c r="U1149" s="224"/>
      <c r="V1149" s="224"/>
    </row>
    <row r="1150" spans="1:22" ht="14.65" customHeight="1" x14ac:dyDescent="0.2">
      <c r="A1150" s="225">
        <v>43370</v>
      </c>
      <c r="B1150" s="224" t="s">
        <v>360</v>
      </c>
      <c r="C1150" s="224" t="s">
        <v>361</v>
      </c>
      <c r="D1150" s="224" t="s">
        <v>180</v>
      </c>
      <c r="E1150" s="226"/>
      <c r="G1150" s="224" t="s">
        <v>13</v>
      </c>
      <c r="H1150" s="224" t="s">
        <v>289</v>
      </c>
      <c r="I1150" s="224" t="s">
        <v>47</v>
      </c>
      <c r="J1150" s="224">
        <v>70</v>
      </c>
      <c r="K1150" s="227">
        <f t="array" ref="K1150">IFERROR(INDEX([1]Grille_Tarifs_Modulable!$B$2:$B$204,MATCH(Tableau14[[#This Row],[Designation]]&amp;Tableau14[[#This Row],[CL]],[1]Grille_Tarifs_Modulable!$C$2:$C$204&amp;[1]Grille_Tarifs_Modulable!$F$2:$F$204,0)),0)</f>
        <v>3257150673005</v>
      </c>
      <c r="L1150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26.848644</v>
      </c>
      <c r="M1150" s="228">
        <f>IF(Tableau14[[#This Row],[Prix_Unit_HT]]=0,0,Tableau14[[#This Row],[Prix_Unit_HT]]+(Tableau14[[#This Row],[Prix_Unit_HT]]*VLOOKUP(Tableau14[[#This Row],[EAN]],[1]Grille_Tarifs_Modulable!$B$10:$Q$204,16,FALSE)))</f>
        <v>32.218372799999997</v>
      </c>
      <c r="N1150" s="224">
        <v>3</v>
      </c>
      <c r="O1150" s="228">
        <f>ROUND(Tableau14[[#This Row],[Prix_Unit_HT]],2)*Tableau14[[#This Row],[Qte_commande]]</f>
        <v>80.550000000000011</v>
      </c>
      <c r="P1150" s="228">
        <f>ROUND(Tableau14[[#This Row],[Prix_Unit_TTC]],2)*Tableau14[[#This Row],[Qte_commande]]</f>
        <v>96.66</v>
      </c>
      <c r="Q1150" s="224">
        <v>3</v>
      </c>
      <c r="R1150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3.0000000000000004</v>
      </c>
      <c r="U1150" s="224"/>
      <c r="V1150" s="224"/>
    </row>
    <row r="1151" spans="1:22" ht="14.65" customHeight="1" x14ac:dyDescent="0.2">
      <c r="A1151" s="225">
        <v>43370</v>
      </c>
      <c r="B1151" s="224" t="s">
        <v>274</v>
      </c>
      <c r="C1151" s="224" t="s">
        <v>272</v>
      </c>
      <c r="D1151" s="224" t="s">
        <v>180</v>
      </c>
      <c r="E1151" s="226"/>
      <c r="G1151" s="224" t="s">
        <v>1</v>
      </c>
      <c r="H1151" s="224" t="s">
        <v>289</v>
      </c>
      <c r="I1151" s="224" t="s">
        <v>15</v>
      </c>
      <c r="J1151" s="224">
        <v>70</v>
      </c>
      <c r="K1151" s="227">
        <f t="array" ref="K1151">IFERROR(INDEX([1]Grille_Tarifs_Modulable!$B$2:$B$204,MATCH(Tableau14[[#This Row],[Designation]]&amp;Tableau14[[#This Row],[CL]],[1]Grille_Tarifs_Modulable!$C$2:$C$204&amp;[1]Grille_Tarifs_Modulable!$F$2:$F$204,0)),0)</f>
        <v>4067700013859</v>
      </c>
      <c r="L1151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12.532563499999998</v>
      </c>
      <c r="M1151" s="228">
        <f>IF(Tableau14[[#This Row],[Prix_Unit_HT]]=0,0,Tableau14[[#This Row],[Prix_Unit_HT]]+(Tableau14[[#This Row],[Prix_Unit_HT]]*VLOOKUP(Tableau14[[#This Row],[EAN]],[1]Grille_Tarifs_Modulable!$B$10:$Q$204,16,FALSE)))</f>
        <v>15.039076199999998</v>
      </c>
      <c r="N1151" s="224">
        <v>48</v>
      </c>
      <c r="O1151" s="228">
        <f>ROUND(Tableau14[[#This Row],[Prix_Unit_HT]],2)*Tableau14[[#This Row],[Qte_commande]]</f>
        <v>601.43999999999994</v>
      </c>
      <c r="P1151" s="228">
        <f>ROUND(Tableau14[[#This Row],[Prix_Unit_TTC]],2)*Tableau14[[#This Row],[Qte_commande]]</f>
        <v>721.92</v>
      </c>
      <c r="Q1151" s="224">
        <v>48</v>
      </c>
      <c r="R1151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48.000000000000007</v>
      </c>
      <c r="U1151" s="224"/>
      <c r="V1151" s="224"/>
    </row>
    <row r="1152" spans="1:22" ht="14.65" customHeight="1" x14ac:dyDescent="0.2">
      <c r="A1152" s="225">
        <v>43370</v>
      </c>
      <c r="B1152" s="224" t="s">
        <v>274</v>
      </c>
      <c r="C1152" s="224" t="s">
        <v>272</v>
      </c>
      <c r="D1152" s="224" t="s">
        <v>180</v>
      </c>
      <c r="E1152" s="226"/>
      <c r="G1152" s="224" t="s">
        <v>1</v>
      </c>
      <c r="H1152" s="224" t="s">
        <v>289</v>
      </c>
      <c r="I1152" s="224" t="s">
        <v>48</v>
      </c>
      <c r="J1152" s="224">
        <v>70</v>
      </c>
      <c r="K1152" s="227">
        <f t="array" ref="K1152">IFERROR(INDEX([1]Grille_Tarifs_Modulable!$B$2:$B$204,MATCH(Tableau14[[#This Row],[Designation]]&amp;Tableau14[[#This Row],[CL]],[1]Grille_Tarifs_Modulable!$C$2:$C$204&amp;[1]Grille_Tarifs_Modulable!$F$2:$F$204,0)),0)</f>
        <v>3257150673029</v>
      </c>
      <c r="L1152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17.769508399999999</v>
      </c>
      <c r="M1152" s="228">
        <f>IF(Tableau14[[#This Row],[Prix_Unit_HT]]=0,0,Tableau14[[#This Row],[Prix_Unit_HT]]+(Tableau14[[#This Row],[Prix_Unit_HT]]*VLOOKUP(Tableau14[[#This Row],[EAN]],[1]Grille_Tarifs_Modulable!$B$10:$Q$204,16,FALSE)))</f>
        <v>21.323410079999999</v>
      </c>
      <c r="N1152" s="224">
        <v>18</v>
      </c>
      <c r="O1152" s="228">
        <f>ROUND(Tableau14[[#This Row],[Prix_Unit_HT]],2)*Tableau14[[#This Row],[Qte_commande]]</f>
        <v>319.86</v>
      </c>
      <c r="P1152" s="228">
        <f>ROUND(Tableau14[[#This Row],[Prix_Unit_TTC]],2)*Tableau14[[#This Row],[Qte_commande]]</f>
        <v>383.76</v>
      </c>
      <c r="Q1152" s="224">
        <v>18</v>
      </c>
      <c r="R1152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18</v>
      </c>
      <c r="U1152" s="224"/>
      <c r="V1152" s="224"/>
    </row>
    <row r="1153" spans="1:22" ht="14.65" customHeight="1" x14ac:dyDescent="0.2">
      <c r="A1153" s="225">
        <v>43370</v>
      </c>
      <c r="B1153" s="224" t="s">
        <v>395</v>
      </c>
      <c r="C1153" s="224" t="s">
        <v>372</v>
      </c>
      <c r="D1153" s="224" t="s">
        <v>373</v>
      </c>
      <c r="E1153" s="226"/>
      <c r="G1153" s="224" t="s">
        <v>1</v>
      </c>
      <c r="H1153" s="224" t="s">
        <v>289</v>
      </c>
      <c r="I1153" s="224" t="s">
        <v>48</v>
      </c>
      <c r="J1153" s="224">
        <v>70</v>
      </c>
      <c r="K1153" s="227">
        <f t="array" ref="K1153">IFERROR(INDEX([1]Grille_Tarifs_Modulable!$B$2:$B$204,MATCH(Tableau14[[#This Row],[Designation]]&amp;Tableau14[[#This Row],[CL]],[1]Grille_Tarifs_Modulable!$C$2:$C$204&amp;[1]Grille_Tarifs_Modulable!$F$2:$F$204,0)),0)</f>
        <v>3257150673029</v>
      </c>
      <c r="L1153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17.769508399999999</v>
      </c>
      <c r="M1153" s="228">
        <f>IF(Tableau14[[#This Row],[Prix_Unit_HT]]=0,0,Tableau14[[#This Row],[Prix_Unit_HT]]+(Tableau14[[#This Row],[Prix_Unit_HT]]*VLOOKUP(Tableau14[[#This Row],[EAN]],[1]Grille_Tarifs_Modulable!$B$10:$Q$204,16,FALSE)))</f>
        <v>21.323410079999999</v>
      </c>
      <c r="N1153" s="224">
        <v>2</v>
      </c>
      <c r="O1153" s="228">
        <f>ROUND(Tableau14[[#This Row],[Prix_Unit_HT]],2)*Tableau14[[#This Row],[Qte_commande]]</f>
        <v>35.54</v>
      </c>
      <c r="P1153" s="228">
        <f>ROUND(Tableau14[[#This Row],[Prix_Unit_TTC]],2)*Tableau14[[#This Row],[Qte_commande]]</f>
        <v>42.64</v>
      </c>
      <c r="Q1153" s="224">
        <v>2</v>
      </c>
      <c r="R1153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2</v>
      </c>
      <c r="U1153" s="224"/>
      <c r="V1153" s="224"/>
    </row>
    <row r="1154" spans="1:22" ht="14.65" customHeight="1" x14ac:dyDescent="0.2">
      <c r="A1154" s="225">
        <v>43370</v>
      </c>
      <c r="B1154" s="224" t="s">
        <v>829</v>
      </c>
      <c r="C1154" s="224" t="s">
        <v>464</v>
      </c>
      <c r="D1154" s="224" t="s">
        <v>180</v>
      </c>
      <c r="E1154" s="226"/>
      <c r="G1154" s="224" t="s">
        <v>13</v>
      </c>
      <c r="H1154" s="224" t="s">
        <v>196</v>
      </c>
      <c r="I1154" s="224" t="s">
        <v>66</v>
      </c>
      <c r="J1154" s="224">
        <v>20</v>
      </c>
      <c r="K1154" s="227">
        <f t="array" ref="K1154">IFERROR(INDEX([1]Grille_Tarifs_Modulable!$B$2:$B$204,MATCH(Tableau14[[#This Row],[Designation]]&amp;Tableau14[[#This Row],[CL]],[1]Grille_Tarifs_Modulable!$C$2:$C$204&amp;[1]Grille_Tarifs_Modulable!$F$2:$F$204,0)),0)</f>
        <v>4260310554785</v>
      </c>
      <c r="L1154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0.89</v>
      </c>
      <c r="M1154" s="228">
        <f>IF(Tableau14[[#This Row],[Prix_Unit_HT]]=0,0,Tableau14[[#This Row],[Prix_Unit_HT]]+(Tableau14[[#This Row],[Prix_Unit_HT]]*VLOOKUP(Tableau14[[#This Row],[EAN]],[1]Grille_Tarifs_Modulable!$B$10:$Q$204,16,FALSE)))</f>
        <v>0.93895000000000006</v>
      </c>
      <c r="N1154" s="224">
        <v>240</v>
      </c>
      <c r="O1154" s="228">
        <f>ROUND(Tableau14[[#This Row],[Prix_Unit_HT]],2)*Tableau14[[#This Row],[Qte_commande]]</f>
        <v>213.6</v>
      </c>
      <c r="P1154" s="228">
        <f>ROUND(Tableau14[[#This Row],[Prix_Unit_TTC]],2)*Tableau14[[#This Row],[Qte_commande]]</f>
        <v>225.6</v>
      </c>
      <c r="Q1154" s="224">
        <v>68.569999999999993</v>
      </c>
      <c r="R1154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68.571428571428569</v>
      </c>
      <c r="U1154" s="224"/>
      <c r="V1154" s="224"/>
    </row>
    <row r="1155" spans="1:22" ht="14.65" customHeight="1" x14ac:dyDescent="0.2">
      <c r="A1155" s="225">
        <v>43370</v>
      </c>
      <c r="B1155" s="224" t="s">
        <v>395</v>
      </c>
      <c r="C1155" s="224" t="s">
        <v>372</v>
      </c>
      <c r="D1155" s="224" t="s">
        <v>373</v>
      </c>
      <c r="E1155" s="226"/>
      <c r="G1155" s="224" t="s">
        <v>1</v>
      </c>
      <c r="H1155" s="224" t="s">
        <v>289</v>
      </c>
      <c r="I1155" s="224" t="s">
        <v>30</v>
      </c>
      <c r="J1155" s="224">
        <v>70</v>
      </c>
      <c r="K1155" s="227">
        <f t="array" ref="K1155">IFERROR(INDEX([1]Grille_Tarifs_Modulable!$B$2:$B$204,MATCH(Tableau14[[#This Row],[Designation]]&amp;Tableau14[[#This Row],[CL]],[1]Grille_Tarifs_Modulable!$C$2:$C$204&amp;[1]Grille_Tarifs_Modulable!$F$2:$F$204,0)),0)</f>
        <v>3257150101904</v>
      </c>
      <c r="L1155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16.346482999999999</v>
      </c>
      <c r="M1155" s="228">
        <f>IF(Tableau14[[#This Row],[Prix_Unit_HT]]=0,0,Tableau14[[#This Row],[Prix_Unit_HT]]+(Tableau14[[#This Row],[Prix_Unit_HT]]*VLOOKUP(Tableau14[[#This Row],[EAN]],[1]Grille_Tarifs_Modulable!$B$10:$Q$204,16,FALSE)))</f>
        <v>19.6157796</v>
      </c>
      <c r="N1155" s="224">
        <v>6</v>
      </c>
      <c r="O1155" s="228">
        <f>ROUND(Tableau14[[#This Row],[Prix_Unit_HT]],2)*Tableau14[[#This Row],[Qte_commande]]</f>
        <v>98.100000000000009</v>
      </c>
      <c r="P1155" s="228">
        <f>ROUND(Tableau14[[#This Row],[Prix_Unit_TTC]],2)*Tableau14[[#This Row],[Qte_commande]]</f>
        <v>117.72</v>
      </c>
      <c r="Q1155" s="224">
        <v>6</v>
      </c>
      <c r="R1155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6.0000000000000009</v>
      </c>
      <c r="U1155" s="224"/>
      <c r="V1155" s="224"/>
    </row>
    <row r="1156" spans="1:22" ht="14.65" customHeight="1" x14ac:dyDescent="0.2">
      <c r="A1156" s="225">
        <v>43370</v>
      </c>
      <c r="B1156" s="224" t="s">
        <v>274</v>
      </c>
      <c r="C1156" s="224" t="s">
        <v>272</v>
      </c>
      <c r="D1156" s="224" t="s">
        <v>180</v>
      </c>
      <c r="E1156" s="226"/>
      <c r="G1156" s="224" t="s">
        <v>1</v>
      </c>
      <c r="H1156" s="224" t="s">
        <v>289</v>
      </c>
      <c r="I1156" s="224" t="s">
        <v>30</v>
      </c>
      <c r="J1156" s="224">
        <v>70</v>
      </c>
      <c r="K1156" s="227">
        <f t="array" ref="K1156">IFERROR(INDEX([1]Grille_Tarifs_Modulable!$B$2:$B$204,MATCH(Tableau14[[#This Row],[Designation]]&amp;Tableau14[[#This Row],[CL]],[1]Grille_Tarifs_Modulable!$C$2:$C$204&amp;[1]Grille_Tarifs_Modulable!$F$2:$F$204,0)),0)</f>
        <v>3257150101904</v>
      </c>
      <c r="L1156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16.346482999999999</v>
      </c>
      <c r="M1156" s="228">
        <f>IF(Tableau14[[#This Row],[Prix_Unit_HT]]=0,0,Tableau14[[#This Row],[Prix_Unit_HT]]+(Tableau14[[#This Row],[Prix_Unit_HT]]*VLOOKUP(Tableau14[[#This Row],[EAN]],[1]Grille_Tarifs_Modulable!$B$10:$Q$204,16,FALSE)))</f>
        <v>19.6157796</v>
      </c>
      <c r="N1156" s="224">
        <v>6</v>
      </c>
      <c r="O1156" s="228">
        <f>ROUND(Tableau14[[#This Row],[Prix_Unit_HT]],2)*Tableau14[[#This Row],[Qte_commande]]</f>
        <v>98.100000000000009</v>
      </c>
      <c r="P1156" s="228">
        <f>ROUND(Tableau14[[#This Row],[Prix_Unit_TTC]],2)*Tableau14[[#This Row],[Qte_commande]]</f>
        <v>117.72</v>
      </c>
      <c r="Q1156" s="224">
        <v>6</v>
      </c>
      <c r="R1156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6.0000000000000009</v>
      </c>
      <c r="U1156" s="224"/>
      <c r="V1156" s="224"/>
    </row>
    <row r="1157" spans="1:22" ht="14.65" customHeight="1" x14ac:dyDescent="0.2">
      <c r="A1157" s="225">
        <v>43370</v>
      </c>
      <c r="B1157" s="224" t="s">
        <v>360</v>
      </c>
      <c r="C1157" s="224" t="s">
        <v>361</v>
      </c>
      <c r="D1157" s="224" t="s">
        <v>180</v>
      </c>
      <c r="E1157" s="226"/>
      <c r="G1157" s="224" t="s">
        <v>13</v>
      </c>
      <c r="H1157" s="224" t="s">
        <v>289</v>
      </c>
      <c r="I1157" s="224" t="s">
        <v>30</v>
      </c>
      <c r="J1157" s="224">
        <v>70</v>
      </c>
      <c r="K1157" s="227">
        <f t="array" ref="K1157">IFERROR(INDEX([1]Grille_Tarifs_Modulable!$B$2:$B$204,MATCH(Tableau14[[#This Row],[Designation]]&amp;Tableau14[[#This Row],[CL]],[1]Grille_Tarifs_Modulable!$C$2:$C$204&amp;[1]Grille_Tarifs_Modulable!$F$2:$F$204,0)),0)</f>
        <v>3257150101904</v>
      </c>
      <c r="L1157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18.506483000000003</v>
      </c>
      <c r="M1157" s="228">
        <f>IF(Tableau14[[#This Row],[Prix_Unit_HT]]=0,0,Tableau14[[#This Row],[Prix_Unit_HT]]+(Tableau14[[#This Row],[Prix_Unit_HT]]*VLOOKUP(Tableau14[[#This Row],[EAN]],[1]Grille_Tarifs_Modulable!$B$10:$Q$204,16,FALSE)))</f>
        <v>22.207779600000002</v>
      </c>
      <c r="N1157" s="224">
        <v>6</v>
      </c>
      <c r="O1157" s="228">
        <f>ROUND(Tableau14[[#This Row],[Prix_Unit_HT]],2)*Tableau14[[#This Row],[Qte_commande]]</f>
        <v>111.06</v>
      </c>
      <c r="P1157" s="228">
        <f>ROUND(Tableau14[[#This Row],[Prix_Unit_TTC]],2)*Tableau14[[#This Row],[Qte_commande]]</f>
        <v>133.26</v>
      </c>
      <c r="Q1157" s="224">
        <v>6</v>
      </c>
      <c r="R1157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6.0000000000000009</v>
      </c>
      <c r="U1157" s="224"/>
      <c r="V1157" s="224"/>
    </row>
    <row r="1158" spans="1:22" ht="14.65" customHeight="1" x14ac:dyDescent="0.2">
      <c r="A1158" s="225">
        <v>43370</v>
      </c>
      <c r="B1158" s="224" t="s">
        <v>395</v>
      </c>
      <c r="C1158" s="224" t="s">
        <v>372</v>
      </c>
      <c r="D1158" s="224" t="s">
        <v>373</v>
      </c>
      <c r="E1158" s="226"/>
      <c r="G1158" s="224" t="s">
        <v>1</v>
      </c>
      <c r="H1158" s="224" t="s">
        <v>289</v>
      </c>
      <c r="I1158" s="224" t="s">
        <v>31</v>
      </c>
      <c r="J1158" s="224">
        <v>70</v>
      </c>
      <c r="K1158" s="227">
        <f t="array" ref="K1158">IFERROR(INDEX([1]Grille_Tarifs_Modulable!$B$2:$B$204,MATCH(Tableau14[[#This Row],[Designation]]&amp;Tableau14[[#This Row],[CL]],[1]Grille_Tarifs_Modulable!$C$2:$C$204&amp;[1]Grille_Tarifs_Modulable!$F$2:$F$204,0)),0)</f>
        <v>3257150102017</v>
      </c>
      <c r="L1158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14.694322</v>
      </c>
      <c r="M1158" s="228">
        <f>IF(Tableau14[[#This Row],[Prix_Unit_HT]]=0,0,Tableau14[[#This Row],[Prix_Unit_HT]]+(Tableau14[[#This Row],[Prix_Unit_HT]]*VLOOKUP(Tableau14[[#This Row],[EAN]],[1]Grille_Tarifs_Modulable!$B$10:$Q$204,16,FALSE)))</f>
        <v>17.6331864</v>
      </c>
      <c r="N1158" s="224">
        <v>2</v>
      </c>
      <c r="O1158" s="228">
        <f>ROUND(Tableau14[[#This Row],[Prix_Unit_HT]],2)*Tableau14[[#This Row],[Qte_commande]]</f>
        <v>29.38</v>
      </c>
      <c r="P1158" s="228">
        <f>ROUND(Tableau14[[#This Row],[Prix_Unit_TTC]],2)*Tableau14[[#This Row],[Qte_commande]]</f>
        <v>35.26</v>
      </c>
      <c r="Q1158" s="224">
        <v>2</v>
      </c>
      <c r="R1158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2</v>
      </c>
      <c r="U1158" s="224"/>
      <c r="V1158" s="224"/>
    </row>
    <row r="1159" spans="1:22" ht="14.65" customHeight="1" x14ac:dyDescent="0.2">
      <c r="A1159" s="225">
        <v>43370</v>
      </c>
      <c r="B1159" s="224" t="s">
        <v>360</v>
      </c>
      <c r="C1159" s="224" t="s">
        <v>361</v>
      </c>
      <c r="D1159" s="224" t="s">
        <v>180</v>
      </c>
      <c r="E1159" s="226"/>
      <c r="G1159" s="224" t="s">
        <v>13</v>
      </c>
      <c r="H1159" s="224" t="s">
        <v>289</v>
      </c>
      <c r="I1159" s="224" t="s">
        <v>31</v>
      </c>
      <c r="J1159" s="224">
        <v>70</v>
      </c>
      <c r="K1159" s="227">
        <f t="array" ref="K1159">IFERROR(INDEX([1]Grille_Tarifs_Modulable!$B$2:$B$204,MATCH(Tableau14[[#This Row],[Designation]]&amp;Tableau14[[#This Row],[CL]],[1]Grille_Tarifs_Modulable!$C$2:$C$204&amp;[1]Grille_Tarifs_Modulable!$F$2:$F$204,0)),0)</f>
        <v>3257150102017</v>
      </c>
      <c r="L1159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16.854322</v>
      </c>
      <c r="M1159" s="228">
        <f>IF(Tableau14[[#This Row],[Prix_Unit_HT]]=0,0,Tableau14[[#This Row],[Prix_Unit_HT]]+(Tableau14[[#This Row],[Prix_Unit_HT]]*VLOOKUP(Tableau14[[#This Row],[EAN]],[1]Grille_Tarifs_Modulable!$B$10:$Q$204,16,FALSE)))</f>
        <v>20.225186399999998</v>
      </c>
      <c r="N1159" s="224">
        <v>6</v>
      </c>
      <c r="O1159" s="228">
        <f>ROUND(Tableau14[[#This Row],[Prix_Unit_HT]],2)*Tableau14[[#This Row],[Qte_commande]]</f>
        <v>101.10000000000001</v>
      </c>
      <c r="P1159" s="228">
        <f>ROUND(Tableau14[[#This Row],[Prix_Unit_TTC]],2)*Tableau14[[#This Row],[Qte_commande]]</f>
        <v>121.38</v>
      </c>
      <c r="Q1159" s="224">
        <v>6</v>
      </c>
      <c r="R1159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6.0000000000000009</v>
      </c>
      <c r="U1159" s="224"/>
      <c r="V1159" s="224"/>
    </row>
    <row r="1160" spans="1:22" ht="14.65" customHeight="1" x14ac:dyDescent="0.2">
      <c r="A1160" s="225">
        <v>43370</v>
      </c>
      <c r="B1160" s="224" t="s">
        <v>395</v>
      </c>
      <c r="C1160" s="224" t="s">
        <v>372</v>
      </c>
      <c r="D1160" s="224" t="s">
        <v>373</v>
      </c>
      <c r="E1160" s="226"/>
      <c r="G1160" s="224" t="s">
        <v>1</v>
      </c>
      <c r="H1160" s="224" t="s">
        <v>196</v>
      </c>
      <c r="I1160" s="224" t="s">
        <v>64</v>
      </c>
      <c r="J1160" s="224">
        <v>20</v>
      </c>
      <c r="K1160" s="227">
        <f t="array" ref="K1160">IFERROR(INDEX([1]Grille_Tarifs_Modulable!$B$2:$B$204,MATCH(Tableau14[[#This Row],[Designation]]&amp;Tableau14[[#This Row],[CL]],[1]Grille_Tarifs_Modulable!$C$2:$C$204&amp;[1]Grille_Tarifs_Modulable!$F$2:$F$204,0)),0)</f>
        <v>4260310553849</v>
      </c>
      <c r="L1160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0.81</v>
      </c>
      <c r="M1160" s="228">
        <f>IF(Tableau14[[#This Row],[Prix_Unit_HT]]=0,0,Tableau14[[#This Row],[Prix_Unit_HT]]+(Tableau14[[#This Row],[Prix_Unit_HT]]*VLOOKUP(Tableau14[[#This Row],[EAN]],[1]Grille_Tarifs_Modulable!$B$10:$Q$204,16,FALSE)))</f>
        <v>0.85455000000000003</v>
      </c>
      <c r="N1160" s="224">
        <v>24</v>
      </c>
      <c r="O1160" s="228">
        <f>ROUND(Tableau14[[#This Row],[Prix_Unit_HT]],2)*Tableau14[[#This Row],[Qte_commande]]</f>
        <v>19.440000000000001</v>
      </c>
      <c r="P1160" s="228">
        <f>ROUND(Tableau14[[#This Row],[Prix_Unit_TTC]],2)*Tableau14[[#This Row],[Qte_commande]]</f>
        <v>20.399999999999999</v>
      </c>
      <c r="Q1160" s="224">
        <v>6.86</v>
      </c>
      <c r="R1160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6.8571428571428577</v>
      </c>
      <c r="U1160" s="224"/>
      <c r="V1160" s="224"/>
    </row>
    <row r="1161" spans="1:22" ht="14.65" customHeight="1" x14ac:dyDescent="0.2">
      <c r="A1161" s="225">
        <v>43370</v>
      </c>
      <c r="B1161" s="224" t="s">
        <v>274</v>
      </c>
      <c r="C1161" s="224" t="s">
        <v>272</v>
      </c>
      <c r="D1161" s="224" t="s">
        <v>180</v>
      </c>
      <c r="E1161" s="226"/>
      <c r="G1161" s="224" t="s">
        <v>1</v>
      </c>
      <c r="H1161" s="224" t="s">
        <v>196</v>
      </c>
      <c r="I1161" s="224" t="s">
        <v>64</v>
      </c>
      <c r="J1161" s="224">
        <v>20</v>
      </c>
      <c r="K1161" s="227">
        <f t="array" ref="K1161">IFERROR(INDEX([1]Grille_Tarifs_Modulable!$B$2:$B$204,MATCH(Tableau14[[#This Row],[Designation]]&amp;Tableau14[[#This Row],[CL]],[1]Grille_Tarifs_Modulable!$C$2:$C$204&amp;[1]Grille_Tarifs_Modulable!$F$2:$F$204,0)),0)</f>
        <v>4260310553849</v>
      </c>
      <c r="L1161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0.81</v>
      </c>
      <c r="M1161" s="228">
        <f>IF(Tableau14[[#This Row],[Prix_Unit_HT]]=0,0,Tableau14[[#This Row],[Prix_Unit_HT]]+(Tableau14[[#This Row],[Prix_Unit_HT]]*VLOOKUP(Tableau14[[#This Row],[EAN]],[1]Grille_Tarifs_Modulable!$B$10:$Q$204,16,FALSE)))</f>
        <v>0.85455000000000003</v>
      </c>
      <c r="N1161" s="224">
        <v>48</v>
      </c>
      <c r="O1161" s="228">
        <f>ROUND(Tableau14[[#This Row],[Prix_Unit_HT]],2)*Tableau14[[#This Row],[Qte_commande]]</f>
        <v>38.880000000000003</v>
      </c>
      <c r="P1161" s="228">
        <f>ROUND(Tableau14[[#This Row],[Prix_Unit_TTC]],2)*Tableau14[[#This Row],[Qte_commande]]</f>
        <v>40.799999999999997</v>
      </c>
      <c r="Q1161" s="224">
        <v>13.71</v>
      </c>
      <c r="R1161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13.714285714285715</v>
      </c>
      <c r="U1161" s="224"/>
      <c r="V1161" s="224"/>
    </row>
    <row r="1162" spans="1:22" ht="14.65" customHeight="1" x14ac:dyDescent="0.2">
      <c r="A1162" s="225">
        <v>43370</v>
      </c>
      <c r="B1162" s="224" t="s">
        <v>360</v>
      </c>
      <c r="C1162" s="224" t="s">
        <v>361</v>
      </c>
      <c r="D1162" s="224" t="s">
        <v>180</v>
      </c>
      <c r="E1162" s="226"/>
      <c r="G1162" s="224" t="s">
        <v>13</v>
      </c>
      <c r="H1162" s="224" t="s">
        <v>196</v>
      </c>
      <c r="I1162" s="224" t="s">
        <v>59</v>
      </c>
      <c r="J1162" s="224">
        <v>20</v>
      </c>
      <c r="K1162" s="227">
        <f t="array" ref="K1162">IFERROR(INDEX([1]Grille_Tarifs_Modulable!$B$2:$B$204,MATCH(Tableau14[[#This Row],[Designation]]&amp;Tableau14[[#This Row],[CL]],[1]Grille_Tarifs_Modulable!$C$2:$C$204&amp;[1]Grille_Tarifs_Modulable!$F$2:$F$204,0)),0)</f>
        <v>4260310553818</v>
      </c>
      <c r="L1162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0.89</v>
      </c>
      <c r="M1162" s="228">
        <f>IF(Tableau14[[#This Row],[Prix_Unit_HT]]=0,0,Tableau14[[#This Row],[Prix_Unit_HT]]+(Tableau14[[#This Row],[Prix_Unit_HT]]*VLOOKUP(Tableau14[[#This Row],[EAN]],[1]Grille_Tarifs_Modulable!$B$10:$Q$204,16,FALSE)))</f>
        <v>0.93895000000000006</v>
      </c>
      <c r="N1162" s="224">
        <v>24</v>
      </c>
      <c r="O1162" s="228">
        <f>ROUND(Tableau14[[#This Row],[Prix_Unit_HT]],2)*Tableau14[[#This Row],[Qte_commande]]</f>
        <v>21.36</v>
      </c>
      <c r="P1162" s="228">
        <f>ROUND(Tableau14[[#This Row],[Prix_Unit_TTC]],2)*Tableau14[[#This Row],[Qte_commande]]</f>
        <v>22.56</v>
      </c>
      <c r="Q1162" s="224">
        <v>6.86</v>
      </c>
      <c r="R1162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6.8571428571428577</v>
      </c>
      <c r="U1162" s="224"/>
      <c r="V1162" s="224"/>
    </row>
    <row r="1163" spans="1:22" ht="14.65" customHeight="1" x14ac:dyDescent="0.2">
      <c r="A1163" s="225">
        <v>43374</v>
      </c>
      <c r="B1163" s="224" t="s">
        <v>396</v>
      </c>
      <c r="C1163" s="224" t="s">
        <v>397</v>
      </c>
      <c r="D1163" s="224" t="s">
        <v>209</v>
      </c>
      <c r="E1163" s="226"/>
      <c r="G1163" s="224" t="s">
        <v>1</v>
      </c>
      <c r="H1163" s="224" t="s">
        <v>289</v>
      </c>
      <c r="I1163" s="224" t="s">
        <v>35</v>
      </c>
      <c r="J1163" s="224">
        <v>70</v>
      </c>
      <c r="K1163" s="227">
        <f t="array" ref="K1163">IFERROR(INDEX([1]Grille_Tarifs_Modulable!$B$2:$B$204,MATCH(Tableau14[[#This Row],[Designation]]&amp;Tableau14[[#This Row],[CL]],[1]Grille_Tarifs_Modulable!$C$2:$C$204&amp;[1]Grille_Tarifs_Modulable!$F$2:$F$204,0)),0)</f>
        <v>3257150107012</v>
      </c>
      <c r="L1163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29.828643999999997</v>
      </c>
      <c r="M1163" s="228">
        <f>IF(Tableau14[[#This Row],[Prix_Unit_HT]]=0,0,Tableau14[[#This Row],[Prix_Unit_HT]]+(Tableau14[[#This Row],[Prix_Unit_HT]]*VLOOKUP(Tableau14[[#This Row],[EAN]],[1]Grille_Tarifs_Modulable!$B$10:$Q$204,16,FALSE)))</f>
        <v>35.794372799999998</v>
      </c>
      <c r="N1163" s="224">
        <v>6</v>
      </c>
      <c r="O1163" s="228">
        <f>ROUND(Tableau14[[#This Row],[Prix_Unit_HT]],2)*Tableau14[[#This Row],[Qte_commande]]</f>
        <v>178.98</v>
      </c>
      <c r="P1163" s="228">
        <f>ROUND(Tableau14[[#This Row],[Prix_Unit_TTC]],2)*Tableau14[[#This Row],[Qte_commande]]</f>
        <v>214.74</v>
      </c>
      <c r="Q1163" s="224">
        <v>6</v>
      </c>
      <c r="R1163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6.0000000000000009</v>
      </c>
      <c r="U1163" s="224"/>
      <c r="V1163" s="224"/>
    </row>
    <row r="1164" spans="1:22" ht="14.65" customHeight="1" x14ac:dyDescent="0.2">
      <c r="A1164" s="225">
        <v>43374</v>
      </c>
      <c r="B1164" s="224" t="s">
        <v>396</v>
      </c>
      <c r="C1164" s="224" t="s">
        <v>397</v>
      </c>
      <c r="D1164" s="224" t="s">
        <v>209</v>
      </c>
      <c r="E1164" s="226"/>
      <c r="G1164" s="224" t="s">
        <v>1</v>
      </c>
      <c r="H1164" s="224" t="s">
        <v>289</v>
      </c>
      <c r="I1164" s="224" t="s">
        <v>15</v>
      </c>
      <c r="J1164" s="224">
        <v>70</v>
      </c>
      <c r="K1164" s="227">
        <f t="array" ref="K1164">IFERROR(INDEX([1]Grille_Tarifs_Modulable!$B$2:$B$204,MATCH(Tableau14[[#This Row],[Designation]]&amp;Tableau14[[#This Row],[CL]],[1]Grille_Tarifs_Modulable!$C$2:$C$204&amp;[1]Grille_Tarifs_Modulable!$F$2:$F$204,0)),0)</f>
        <v>4067700013859</v>
      </c>
      <c r="L1164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12.532563499999998</v>
      </c>
      <c r="M1164" s="228">
        <f>IF(Tableau14[[#This Row],[Prix_Unit_HT]]=0,0,Tableau14[[#This Row],[Prix_Unit_HT]]+(Tableau14[[#This Row],[Prix_Unit_HT]]*VLOOKUP(Tableau14[[#This Row],[EAN]],[1]Grille_Tarifs_Modulable!$B$10:$Q$204,16,FALSE)))</f>
        <v>15.039076199999998</v>
      </c>
      <c r="N1164" s="224">
        <v>48</v>
      </c>
      <c r="O1164" s="228">
        <f>ROUND(Tableau14[[#This Row],[Prix_Unit_HT]],2)*Tableau14[[#This Row],[Qte_commande]]</f>
        <v>601.43999999999994</v>
      </c>
      <c r="P1164" s="228">
        <f>ROUND(Tableau14[[#This Row],[Prix_Unit_TTC]],2)*Tableau14[[#This Row],[Qte_commande]]</f>
        <v>721.92</v>
      </c>
      <c r="Q1164" s="224">
        <v>48</v>
      </c>
      <c r="R1164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48.000000000000007</v>
      </c>
      <c r="U1164" s="224"/>
      <c r="V1164" s="224"/>
    </row>
    <row r="1165" spans="1:22" ht="14.65" customHeight="1" x14ac:dyDescent="0.2">
      <c r="A1165" s="225">
        <v>43374</v>
      </c>
      <c r="B1165" s="224" t="s">
        <v>396</v>
      </c>
      <c r="C1165" s="224" t="s">
        <v>397</v>
      </c>
      <c r="D1165" s="224" t="s">
        <v>209</v>
      </c>
      <c r="E1165" s="226"/>
      <c r="G1165" s="224" t="s">
        <v>1</v>
      </c>
      <c r="H1165" s="224" t="s">
        <v>289</v>
      </c>
      <c r="I1165" s="224" t="s">
        <v>30</v>
      </c>
      <c r="J1165" s="224">
        <v>70</v>
      </c>
      <c r="K1165" s="227">
        <f t="array" ref="K1165">IFERROR(INDEX([1]Grille_Tarifs_Modulable!$B$2:$B$204,MATCH(Tableau14[[#This Row],[Designation]]&amp;Tableau14[[#This Row],[CL]],[1]Grille_Tarifs_Modulable!$C$2:$C$204&amp;[1]Grille_Tarifs_Modulable!$F$2:$F$204,0)),0)</f>
        <v>3257150101904</v>
      </c>
      <c r="L1165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16.346482999999999</v>
      </c>
      <c r="M1165" s="228">
        <f>IF(Tableau14[[#This Row],[Prix_Unit_HT]]=0,0,Tableau14[[#This Row],[Prix_Unit_HT]]+(Tableau14[[#This Row],[Prix_Unit_HT]]*VLOOKUP(Tableau14[[#This Row],[EAN]],[1]Grille_Tarifs_Modulable!$B$10:$Q$204,16,FALSE)))</f>
        <v>19.6157796</v>
      </c>
      <c r="N1165" s="224">
        <v>6</v>
      </c>
      <c r="O1165" s="228">
        <f>ROUND(Tableau14[[#This Row],[Prix_Unit_HT]],2)*Tableau14[[#This Row],[Qte_commande]]</f>
        <v>98.100000000000009</v>
      </c>
      <c r="P1165" s="228">
        <f>ROUND(Tableau14[[#This Row],[Prix_Unit_TTC]],2)*Tableau14[[#This Row],[Qte_commande]]</f>
        <v>117.72</v>
      </c>
      <c r="Q1165" s="224">
        <v>6</v>
      </c>
      <c r="R1165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6.0000000000000009</v>
      </c>
      <c r="U1165" s="224"/>
      <c r="V1165" s="224"/>
    </row>
    <row r="1166" spans="1:22" ht="14.65" customHeight="1" x14ac:dyDescent="0.2">
      <c r="A1166" s="225">
        <v>43374</v>
      </c>
      <c r="B1166" s="224" t="s">
        <v>854</v>
      </c>
      <c r="C1166" s="224" t="s">
        <v>320</v>
      </c>
      <c r="D1166" s="224" t="s">
        <v>855</v>
      </c>
      <c r="E1166" s="226"/>
      <c r="G1166" s="224" t="s">
        <v>13</v>
      </c>
      <c r="H1166" s="224" t="s">
        <v>289</v>
      </c>
      <c r="I1166" s="224" t="s">
        <v>30</v>
      </c>
      <c r="J1166" s="224">
        <v>70</v>
      </c>
      <c r="K1166" s="227">
        <f t="array" ref="K1166">IFERROR(INDEX([1]Grille_Tarifs_Modulable!$B$2:$B$204,MATCH(Tableau14[[#This Row],[Designation]]&amp;Tableau14[[#This Row],[CL]],[1]Grille_Tarifs_Modulable!$C$2:$C$204&amp;[1]Grille_Tarifs_Modulable!$F$2:$F$204,0)),0)</f>
        <v>3257150101904</v>
      </c>
      <c r="L1166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18.506483000000003</v>
      </c>
      <c r="M1166" s="228">
        <f>IF(Tableau14[[#This Row],[Prix_Unit_HT]]=0,0,Tableau14[[#This Row],[Prix_Unit_HT]]+(Tableau14[[#This Row],[Prix_Unit_HT]]*VLOOKUP(Tableau14[[#This Row],[EAN]],[1]Grille_Tarifs_Modulable!$B$10:$Q$204,16,FALSE)))</f>
        <v>22.207779600000002</v>
      </c>
      <c r="N1166" s="224">
        <v>6</v>
      </c>
      <c r="O1166" s="228">
        <f>ROUND(Tableau14[[#This Row],[Prix_Unit_HT]],2)*Tableau14[[#This Row],[Qte_commande]]</f>
        <v>111.06</v>
      </c>
      <c r="P1166" s="228">
        <f>ROUND(Tableau14[[#This Row],[Prix_Unit_TTC]],2)*Tableau14[[#This Row],[Qte_commande]]</f>
        <v>133.26</v>
      </c>
      <c r="Q1166" s="224">
        <v>6</v>
      </c>
      <c r="R1166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6.0000000000000009</v>
      </c>
      <c r="U1166" s="224"/>
      <c r="V1166" s="224"/>
    </row>
    <row r="1167" spans="1:22" ht="14.65" customHeight="1" x14ac:dyDescent="0.2">
      <c r="A1167" s="225">
        <v>43374</v>
      </c>
      <c r="B1167" s="224" t="s">
        <v>396</v>
      </c>
      <c r="C1167" s="224" t="s">
        <v>397</v>
      </c>
      <c r="D1167" s="224" t="s">
        <v>209</v>
      </c>
      <c r="E1167" s="226"/>
      <c r="G1167" s="224" t="s">
        <v>1</v>
      </c>
      <c r="H1167" s="224" t="s">
        <v>289</v>
      </c>
      <c r="I1167" s="224" t="s">
        <v>36</v>
      </c>
      <c r="J1167" s="224">
        <v>70</v>
      </c>
      <c r="K1167" s="227">
        <f t="array" ref="K1167">IFERROR(INDEX([1]Grille_Tarifs_Modulable!$B$2:$B$204,MATCH(Tableau14[[#This Row],[Designation]]&amp;Tableau14[[#This Row],[CL]],[1]Grille_Tarifs_Modulable!$C$2:$C$204&amp;[1]Grille_Tarifs_Modulable!$F$2:$F$204,0)),0)</f>
        <v>3257150100792</v>
      </c>
      <c r="L1167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71.40864400000001</v>
      </c>
      <c r="M1167" s="228">
        <f>IF(Tableau14[[#This Row],[Prix_Unit_HT]]=0,0,Tableau14[[#This Row],[Prix_Unit_HT]]+(Tableau14[[#This Row],[Prix_Unit_HT]]*VLOOKUP(Tableau14[[#This Row],[EAN]],[1]Grille_Tarifs_Modulable!$B$10:$Q$204,16,FALSE)))</f>
        <v>85.690372800000006</v>
      </c>
      <c r="N1167" s="224">
        <v>1</v>
      </c>
      <c r="O1167" s="228">
        <f>ROUND(Tableau14[[#This Row],[Prix_Unit_HT]],2)*Tableau14[[#This Row],[Qte_commande]]</f>
        <v>71.41</v>
      </c>
      <c r="P1167" s="228">
        <f>ROUND(Tableau14[[#This Row],[Prix_Unit_TTC]],2)*Tableau14[[#This Row],[Qte_commande]]</f>
        <v>85.69</v>
      </c>
      <c r="Q1167" s="224">
        <v>1</v>
      </c>
      <c r="R1167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</v>
      </c>
      <c r="U1167" s="224"/>
      <c r="V1167" s="224"/>
    </row>
    <row r="1168" spans="1:22" ht="14.65" customHeight="1" x14ac:dyDescent="0.2">
      <c r="A1168" s="225">
        <v>43374</v>
      </c>
      <c r="B1168" s="224" t="s">
        <v>396</v>
      </c>
      <c r="C1168" s="224" t="s">
        <v>397</v>
      </c>
      <c r="D1168" s="224" t="s">
        <v>209</v>
      </c>
      <c r="E1168" s="226"/>
      <c r="G1168" s="224" t="s">
        <v>1</v>
      </c>
      <c r="H1168" s="224" t="s">
        <v>289</v>
      </c>
      <c r="I1168" s="224" t="s">
        <v>931</v>
      </c>
      <c r="J1168" s="224">
        <v>100</v>
      </c>
      <c r="K1168" s="227">
        <f t="array" ref="K1168">IFERROR(INDEX([1]Grille_Tarifs_Modulable!$B$2:$B$204,MATCH(Tableau14[[#This Row],[Designation]]&amp;Tableau14[[#This Row],[CL]],[1]Grille_Tarifs_Modulable!$C$2:$C$204&amp;[1]Grille_Tarifs_Modulable!$F$2:$F$204,0)),0)</f>
        <v>0</v>
      </c>
      <c r="L1168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</v>
      </c>
      <c r="M1168" s="228">
        <f>IF(Tableau14[[#This Row],[Prix_Unit_HT]]=0,0,Tableau14[[#This Row],[Prix_Unit_HT]]+(Tableau14[[#This Row],[Prix_Unit_HT]]*VLOOKUP(Tableau14[[#This Row],[EAN]],[1]Grille_Tarifs_Modulable!$B$10:$Q$204,16,FALSE)))</f>
        <v>0</v>
      </c>
      <c r="N1168" s="224">
        <v>6</v>
      </c>
      <c r="O1168" s="228">
        <f>ROUND(Tableau14[[#This Row],[Prix_Unit_HT]],2)*Tableau14[[#This Row],[Qte_commande]]</f>
        <v>0</v>
      </c>
      <c r="P1168" s="228">
        <f>ROUND(Tableau14[[#This Row],[Prix_Unit_TTC]],2)*Tableau14[[#This Row],[Qte_commande]]</f>
        <v>0</v>
      </c>
      <c r="Q1168" s="224">
        <v>8.57</v>
      </c>
      <c r="R1168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8.5714285714285712</v>
      </c>
      <c r="U1168" s="224"/>
      <c r="V1168" s="224"/>
    </row>
    <row r="1169" spans="1:22" ht="14.65" customHeight="1" x14ac:dyDescent="0.2">
      <c r="A1169" s="225">
        <v>43376</v>
      </c>
      <c r="B1169" s="224" t="s">
        <v>520</v>
      </c>
      <c r="C1169" s="224" t="s">
        <v>272</v>
      </c>
      <c r="D1169" s="224" t="s">
        <v>180</v>
      </c>
      <c r="E1169" s="226"/>
      <c r="G1169" s="224" t="s">
        <v>1</v>
      </c>
      <c r="H1169" s="224" t="s">
        <v>289</v>
      </c>
      <c r="I1169" s="224" t="s">
        <v>47</v>
      </c>
      <c r="J1169" s="224">
        <v>70</v>
      </c>
      <c r="K1169" s="227">
        <f t="array" ref="K1169">IFERROR(INDEX([1]Grille_Tarifs_Modulable!$B$2:$B$204,MATCH(Tableau14[[#This Row],[Designation]]&amp;Tableau14[[#This Row],[CL]],[1]Grille_Tarifs_Modulable!$C$2:$C$204&amp;[1]Grille_Tarifs_Modulable!$F$2:$F$204,0)),0)</f>
        <v>3257150673005</v>
      </c>
      <c r="L1169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20.158644000000002</v>
      </c>
      <c r="M1169" s="228">
        <f>IF(Tableau14[[#This Row],[Prix_Unit_HT]]=0,0,Tableau14[[#This Row],[Prix_Unit_HT]]+(Tableau14[[#This Row],[Prix_Unit_HT]]*VLOOKUP(Tableau14[[#This Row],[EAN]],[1]Grille_Tarifs_Modulable!$B$10:$Q$204,16,FALSE)))</f>
        <v>24.190372800000002</v>
      </c>
      <c r="N1169" s="224">
        <v>12</v>
      </c>
      <c r="O1169" s="228">
        <f>ROUND(Tableau14[[#This Row],[Prix_Unit_HT]],2)*Tableau14[[#This Row],[Qte_commande]]</f>
        <v>241.92000000000002</v>
      </c>
      <c r="P1169" s="228">
        <f>ROUND(Tableau14[[#This Row],[Prix_Unit_TTC]],2)*Tableau14[[#This Row],[Qte_commande]]</f>
        <v>290.28000000000003</v>
      </c>
      <c r="Q1169" s="224">
        <v>12</v>
      </c>
      <c r="R1169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12.000000000000002</v>
      </c>
      <c r="U1169" s="224"/>
      <c r="V1169" s="224"/>
    </row>
    <row r="1170" spans="1:22" ht="14.65" customHeight="1" x14ac:dyDescent="0.2">
      <c r="A1170" s="225">
        <v>43376</v>
      </c>
      <c r="B1170" s="224" t="s">
        <v>712</v>
      </c>
      <c r="C1170" s="224" t="s">
        <v>530</v>
      </c>
      <c r="D1170" s="224" t="s">
        <v>531</v>
      </c>
      <c r="E1170" s="226"/>
      <c r="G1170" s="224" t="s">
        <v>1</v>
      </c>
      <c r="H1170" s="224" t="s">
        <v>289</v>
      </c>
      <c r="I1170" s="224" t="s">
        <v>15</v>
      </c>
      <c r="J1170" s="224">
        <v>70</v>
      </c>
      <c r="K1170" s="227">
        <f t="array" ref="K1170">IFERROR(INDEX([1]Grille_Tarifs_Modulable!$B$2:$B$204,MATCH(Tableau14[[#This Row],[Designation]]&amp;Tableau14[[#This Row],[CL]],[1]Grille_Tarifs_Modulable!$C$2:$C$204&amp;[1]Grille_Tarifs_Modulable!$F$2:$F$204,0)),0)</f>
        <v>4067700013859</v>
      </c>
      <c r="L1170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12.532563499999998</v>
      </c>
      <c r="M1170" s="228">
        <f>IF(Tableau14[[#This Row],[Prix_Unit_HT]]=0,0,Tableau14[[#This Row],[Prix_Unit_HT]]+(Tableau14[[#This Row],[Prix_Unit_HT]]*VLOOKUP(Tableau14[[#This Row],[EAN]],[1]Grille_Tarifs_Modulable!$B$10:$Q$204,16,FALSE)))</f>
        <v>15.039076199999998</v>
      </c>
      <c r="N1170" s="224">
        <v>150</v>
      </c>
      <c r="O1170" s="228">
        <f>ROUND(Tableau14[[#This Row],[Prix_Unit_HT]],2)*Tableau14[[#This Row],[Qte_commande]]</f>
        <v>1879.5</v>
      </c>
      <c r="P1170" s="228">
        <f>ROUND(Tableau14[[#This Row],[Prix_Unit_TTC]],2)*Tableau14[[#This Row],[Qte_commande]]</f>
        <v>2256</v>
      </c>
      <c r="Q1170" s="224">
        <v>150</v>
      </c>
      <c r="R1170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150</v>
      </c>
      <c r="U1170" s="224"/>
      <c r="V1170" s="224"/>
    </row>
    <row r="1171" spans="1:22" ht="14.65" customHeight="1" x14ac:dyDescent="0.2">
      <c r="A1171" s="225">
        <v>43376</v>
      </c>
      <c r="B1171" s="224" t="s">
        <v>713</v>
      </c>
      <c r="C1171" s="224" t="s">
        <v>378</v>
      </c>
      <c r="D1171" s="224" t="s">
        <v>429</v>
      </c>
      <c r="E1171" s="226"/>
      <c r="G1171" s="224" t="s">
        <v>1</v>
      </c>
      <c r="H1171" s="224" t="s">
        <v>289</v>
      </c>
      <c r="I1171" s="224" t="s">
        <v>15</v>
      </c>
      <c r="J1171" s="224">
        <v>175</v>
      </c>
      <c r="K1171" s="227">
        <f t="array" ref="K1171">IFERROR(INDEX([1]Grille_Tarifs_Modulable!$B$2:$B$204,MATCH(Tableau14[[#This Row],[Designation]]&amp;Tableau14[[#This Row],[CL]],[1]Grille_Tarifs_Modulable!$C$2:$C$204&amp;[1]Grille_Tarifs_Modulable!$F$2:$F$204,0)),0)</f>
        <v>4067700013835</v>
      </c>
      <c r="L1171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28.916408750000002</v>
      </c>
      <c r="M1171" s="228">
        <f>IF(Tableau14[[#This Row],[Prix_Unit_HT]]=0,0,Tableau14[[#This Row],[Prix_Unit_HT]]+(Tableau14[[#This Row],[Prix_Unit_HT]]*VLOOKUP(Tableau14[[#This Row],[EAN]],[1]Grille_Tarifs_Modulable!$B$10:$Q$204,16,FALSE)))</f>
        <v>34.699690500000003</v>
      </c>
      <c r="N1171" s="224">
        <v>48</v>
      </c>
      <c r="O1171" s="228">
        <f>ROUND(Tableau14[[#This Row],[Prix_Unit_HT]],2)*Tableau14[[#This Row],[Qte_commande]]</f>
        <v>1388.16</v>
      </c>
      <c r="P1171" s="228">
        <f>ROUND(Tableau14[[#This Row],[Prix_Unit_TTC]],2)*Tableau14[[#This Row],[Qte_commande]]</f>
        <v>1665.6000000000001</v>
      </c>
      <c r="Q1171" s="224">
        <v>120</v>
      </c>
      <c r="R1171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120.00000000000001</v>
      </c>
      <c r="U1171" s="224"/>
      <c r="V1171" s="224"/>
    </row>
    <row r="1172" spans="1:22" ht="14.65" customHeight="1" x14ac:dyDescent="0.2">
      <c r="A1172" s="225">
        <v>43376</v>
      </c>
      <c r="B1172" s="224" t="s">
        <v>713</v>
      </c>
      <c r="C1172" s="224" t="s">
        <v>378</v>
      </c>
      <c r="D1172" s="224" t="s">
        <v>429</v>
      </c>
      <c r="E1172" s="226"/>
      <c r="G1172" s="224" t="s">
        <v>1</v>
      </c>
      <c r="H1172" s="224" t="s">
        <v>289</v>
      </c>
      <c r="I1172" s="224" t="s">
        <v>804</v>
      </c>
      <c r="J1172" s="224">
        <v>70</v>
      </c>
      <c r="K1172" s="227">
        <f t="array" ref="K1172">IFERROR(INDEX([1]Grille_Tarifs_Modulable!$B$2:$B$204,MATCH(Tableau14[[#This Row],[Designation]]&amp;Tableau14[[#This Row],[CL]],[1]Grille_Tarifs_Modulable!$C$2:$C$204&amp;[1]Grille_Tarifs_Modulable!$F$2:$F$204,0)),0)</f>
        <v>0</v>
      </c>
      <c r="L1172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</v>
      </c>
      <c r="M1172" s="228">
        <f>IF(Tableau14[[#This Row],[Prix_Unit_HT]]=0,0,Tableau14[[#This Row],[Prix_Unit_HT]]+(Tableau14[[#This Row],[Prix_Unit_HT]]*VLOOKUP(Tableau14[[#This Row],[EAN]],[1]Grille_Tarifs_Modulable!$B$10:$Q$204,16,FALSE)))</f>
        <v>0</v>
      </c>
      <c r="N1172" s="224">
        <v>6</v>
      </c>
      <c r="O1172" s="228">
        <f>ROUND(Tableau14[[#This Row],[Prix_Unit_HT]],2)*Tableau14[[#This Row],[Qte_commande]]</f>
        <v>0</v>
      </c>
      <c r="P1172" s="228">
        <f>ROUND(Tableau14[[#This Row],[Prix_Unit_TTC]],2)*Tableau14[[#This Row],[Qte_commande]]</f>
        <v>0</v>
      </c>
      <c r="Q1172" s="224">
        <v>6</v>
      </c>
      <c r="R1172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6.0000000000000009</v>
      </c>
      <c r="U1172" s="224"/>
      <c r="V1172" s="224"/>
    </row>
    <row r="1173" spans="1:22" ht="14.65" customHeight="1" x14ac:dyDescent="0.2">
      <c r="A1173" s="225">
        <v>43376</v>
      </c>
      <c r="B1173" s="224" t="s">
        <v>713</v>
      </c>
      <c r="C1173" s="224" t="s">
        <v>378</v>
      </c>
      <c r="D1173" s="224" t="s">
        <v>429</v>
      </c>
      <c r="E1173" s="226"/>
      <c r="G1173" s="224" t="s">
        <v>1</v>
      </c>
      <c r="H1173" s="224" t="s">
        <v>289</v>
      </c>
      <c r="I1173" s="224" t="s">
        <v>30</v>
      </c>
      <c r="J1173" s="224">
        <v>70</v>
      </c>
      <c r="K1173" s="227">
        <f t="array" ref="K1173">IFERROR(INDEX([1]Grille_Tarifs_Modulable!$B$2:$B$204,MATCH(Tableau14[[#This Row],[Designation]]&amp;Tableau14[[#This Row],[CL]],[1]Grille_Tarifs_Modulable!$C$2:$C$204&amp;[1]Grille_Tarifs_Modulable!$F$2:$F$204,0)),0)</f>
        <v>3257150101904</v>
      </c>
      <c r="L1173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16.346482999999999</v>
      </c>
      <c r="M1173" s="228">
        <f>IF(Tableau14[[#This Row],[Prix_Unit_HT]]=0,0,Tableau14[[#This Row],[Prix_Unit_HT]]+(Tableau14[[#This Row],[Prix_Unit_HT]]*VLOOKUP(Tableau14[[#This Row],[EAN]],[1]Grille_Tarifs_Modulable!$B$10:$Q$204,16,FALSE)))</f>
        <v>19.6157796</v>
      </c>
      <c r="N1173" s="224">
        <v>6</v>
      </c>
      <c r="O1173" s="228">
        <f>ROUND(Tableau14[[#This Row],[Prix_Unit_HT]],2)*Tableau14[[#This Row],[Qte_commande]]</f>
        <v>98.100000000000009</v>
      </c>
      <c r="P1173" s="228">
        <f>ROUND(Tableau14[[#This Row],[Prix_Unit_TTC]],2)*Tableau14[[#This Row],[Qte_commande]]</f>
        <v>117.72</v>
      </c>
      <c r="Q1173" s="224">
        <v>6</v>
      </c>
      <c r="R1173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6.0000000000000009</v>
      </c>
      <c r="U1173" s="224"/>
      <c r="V1173" s="224"/>
    </row>
    <row r="1174" spans="1:22" ht="14.65" customHeight="1" x14ac:dyDescent="0.2">
      <c r="A1174" s="225">
        <v>43376</v>
      </c>
      <c r="B1174" s="224" t="s">
        <v>713</v>
      </c>
      <c r="C1174" s="224" t="s">
        <v>378</v>
      </c>
      <c r="D1174" s="224" t="s">
        <v>429</v>
      </c>
      <c r="E1174" s="226"/>
      <c r="G1174" s="224" t="s">
        <v>1</v>
      </c>
      <c r="H1174" s="224" t="s">
        <v>289</v>
      </c>
      <c r="I1174" s="224" t="s">
        <v>31</v>
      </c>
      <c r="J1174" s="224">
        <v>70</v>
      </c>
      <c r="K1174" s="227">
        <f t="array" ref="K1174">IFERROR(INDEX([1]Grille_Tarifs_Modulable!$B$2:$B$204,MATCH(Tableau14[[#This Row],[Designation]]&amp;Tableau14[[#This Row],[CL]],[1]Grille_Tarifs_Modulable!$C$2:$C$204&amp;[1]Grille_Tarifs_Modulable!$F$2:$F$204,0)),0)</f>
        <v>3257150102017</v>
      </c>
      <c r="L1174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14.694322</v>
      </c>
      <c r="M1174" s="228">
        <f>IF(Tableau14[[#This Row],[Prix_Unit_HT]]=0,0,Tableau14[[#This Row],[Prix_Unit_HT]]+(Tableau14[[#This Row],[Prix_Unit_HT]]*VLOOKUP(Tableau14[[#This Row],[EAN]],[1]Grille_Tarifs_Modulable!$B$10:$Q$204,16,FALSE)))</f>
        <v>17.6331864</v>
      </c>
      <c r="N1174" s="224">
        <v>6</v>
      </c>
      <c r="O1174" s="228">
        <f>ROUND(Tableau14[[#This Row],[Prix_Unit_HT]],2)*Tableau14[[#This Row],[Qte_commande]]</f>
        <v>88.14</v>
      </c>
      <c r="P1174" s="228">
        <f>ROUND(Tableau14[[#This Row],[Prix_Unit_TTC]],2)*Tableau14[[#This Row],[Qte_commande]]</f>
        <v>105.78</v>
      </c>
      <c r="Q1174" s="224">
        <v>6</v>
      </c>
      <c r="R1174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6.0000000000000009</v>
      </c>
      <c r="U1174" s="224"/>
      <c r="V1174" s="224"/>
    </row>
    <row r="1175" spans="1:22" ht="14.65" customHeight="1" x14ac:dyDescent="0.2">
      <c r="A1175" s="225">
        <v>43376</v>
      </c>
      <c r="B1175" s="224" t="s">
        <v>713</v>
      </c>
      <c r="C1175" s="224" t="s">
        <v>378</v>
      </c>
      <c r="D1175" s="224" t="s">
        <v>429</v>
      </c>
      <c r="E1175" s="226"/>
      <c r="G1175" s="224" t="s">
        <v>1</v>
      </c>
      <c r="H1175" s="224" t="s">
        <v>289</v>
      </c>
      <c r="I1175" s="224" t="s">
        <v>25</v>
      </c>
      <c r="J1175" s="224">
        <v>70</v>
      </c>
      <c r="K1175" s="227">
        <f t="array" ref="K1175">IFERROR(INDEX([1]Grille_Tarifs_Modulable!$B$2:$B$204,MATCH(Tableau14[[#This Row],[Designation]]&amp;Tableau14[[#This Row],[CL]],[1]Grille_Tarifs_Modulable!$C$2:$C$204&amp;[1]Grille_Tarifs_Modulable!$F$2:$F$204,0)),0)</f>
        <v>8500000917015</v>
      </c>
      <c r="L1175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11.8982118</v>
      </c>
      <c r="M1175" s="228">
        <f>IF(Tableau14[[#This Row],[Prix_Unit_HT]]=0,0,Tableau14[[#This Row],[Prix_Unit_HT]]+(Tableau14[[#This Row],[Prix_Unit_HT]]*VLOOKUP(Tableau14[[#This Row],[EAN]],[1]Grille_Tarifs_Modulable!$B$10:$Q$204,16,FALSE)))</f>
        <v>14.27785416</v>
      </c>
      <c r="N1175" s="224">
        <v>12</v>
      </c>
      <c r="O1175" s="228">
        <f>ROUND(Tableau14[[#This Row],[Prix_Unit_HT]],2)*Tableau14[[#This Row],[Qte_commande]]</f>
        <v>142.80000000000001</v>
      </c>
      <c r="P1175" s="228">
        <f>ROUND(Tableau14[[#This Row],[Prix_Unit_TTC]],2)*Tableau14[[#This Row],[Qte_commande]]</f>
        <v>171.35999999999999</v>
      </c>
      <c r="Q1175" s="224">
        <v>12</v>
      </c>
      <c r="R1175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12.000000000000002</v>
      </c>
      <c r="U1175" s="224"/>
      <c r="V1175" s="224"/>
    </row>
    <row r="1176" spans="1:22" ht="14.65" customHeight="1" x14ac:dyDescent="0.2">
      <c r="A1176" s="225">
        <v>43376</v>
      </c>
      <c r="B1176" s="224" t="s">
        <v>713</v>
      </c>
      <c r="C1176" s="224" t="s">
        <v>378</v>
      </c>
      <c r="D1176" s="224" t="s">
        <v>429</v>
      </c>
      <c r="E1176" s="226"/>
      <c r="G1176" s="224" t="s">
        <v>1</v>
      </c>
      <c r="H1176" s="224" t="s">
        <v>289</v>
      </c>
      <c r="I1176" s="224" t="s">
        <v>24</v>
      </c>
      <c r="J1176" s="224">
        <v>70</v>
      </c>
      <c r="K1176" s="227">
        <f t="array" ref="K1176">IFERROR(INDEX([1]Grille_Tarifs_Modulable!$B$2:$B$204,MATCH(Tableau14[[#This Row],[Designation]]&amp;Tableau14[[#This Row],[CL]],[1]Grille_Tarifs_Modulable!$C$2:$C$204&amp;[1]Grille_Tarifs_Modulable!$F$2:$F$204,0)),0)</f>
        <v>8500000917008</v>
      </c>
      <c r="L1176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11.028211800000001</v>
      </c>
      <c r="M1176" s="228">
        <f>IF(Tableau14[[#This Row],[Prix_Unit_HT]]=0,0,Tableau14[[#This Row],[Prix_Unit_HT]]+(Tableau14[[#This Row],[Prix_Unit_HT]]*VLOOKUP(Tableau14[[#This Row],[EAN]],[1]Grille_Tarifs_Modulable!$B$10:$Q$204,16,FALSE)))</f>
        <v>13.233854160000002</v>
      </c>
      <c r="N1176" s="224">
        <v>12</v>
      </c>
      <c r="O1176" s="228">
        <f>ROUND(Tableau14[[#This Row],[Prix_Unit_HT]],2)*Tableau14[[#This Row],[Qte_commande]]</f>
        <v>132.35999999999999</v>
      </c>
      <c r="P1176" s="228">
        <f>ROUND(Tableau14[[#This Row],[Prix_Unit_TTC]],2)*Tableau14[[#This Row],[Qte_commande]]</f>
        <v>158.76</v>
      </c>
      <c r="Q1176" s="224">
        <v>12</v>
      </c>
      <c r="R1176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12.000000000000002</v>
      </c>
      <c r="U1176" s="224"/>
      <c r="V1176" s="224"/>
    </row>
    <row r="1177" spans="1:22" ht="14.65" customHeight="1" x14ac:dyDescent="0.2">
      <c r="A1177" s="225">
        <v>43377</v>
      </c>
      <c r="B1177" s="224" t="s">
        <v>337</v>
      </c>
      <c r="C1177" s="224" t="s">
        <v>320</v>
      </c>
      <c r="D1177" s="224" t="s">
        <v>270</v>
      </c>
      <c r="E1177" s="226"/>
      <c r="G1177" s="224" t="s">
        <v>1</v>
      </c>
      <c r="H1177" s="224" t="s">
        <v>289</v>
      </c>
      <c r="I1177" s="224" t="s">
        <v>22</v>
      </c>
      <c r="J1177" s="224">
        <v>70</v>
      </c>
      <c r="K1177" s="227">
        <f t="array" ref="K1177">IFERROR(INDEX([1]Grille_Tarifs_Modulable!$B$2:$B$204,MATCH(Tableau14[[#This Row],[Designation]]&amp;Tableau14[[#This Row],[CL]],[1]Grille_Tarifs_Modulable!$C$2:$C$204&amp;[1]Grille_Tarifs_Modulable!$F$2:$F$204,0)),0)</f>
        <v>4055800060200</v>
      </c>
      <c r="L1177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17.408644000000002</v>
      </c>
      <c r="M1177" s="228">
        <f>IF(Tableau14[[#This Row],[Prix_Unit_HT]]=0,0,Tableau14[[#This Row],[Prix_Unit_HT]]+(Tableau14[[#This Row],[Prix_Unit_HT]]*VLOOKUP(Tableau14[[#This Row],[EAN]],[1]Grille_Tarifs_Modulable!$B$10:$Q$204,16,FALSE)))</f>
        <v>20.890372800000002</v>
      </c>
      <c r="N1177" s="224">
        <v>6</v>
      </c>
      <c r="O1177" s="228">
        <f>ROUND(Tableau14[[#This Row],[Prix_Unit_HT]],2)*Tableau14[[#This Row],[Qte_commande]]</f>
        <v>104.46000000000001</v>
      </c>
      <c r="P1177" s="228">
        <f>ROUND(Tableau14[[#This Row],[Prix_Unit_TTC]],2)*Tableau14[[#This Row],[Qte_commande]]</f>
        <v>125.34</v>
      </c>
      <c r="Q1177" s="224">
        <v>6</v>
      </c>
      <c r="R1177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6.0000000000000009</v>
      </c>
      <c r="U1177" s="224"/>
      <c r="V1177" s="224"/>
    </row>
    <row r="1178" spans="1:22" ht="14.65" customHeight="1" x14ac:dyDescent="0.2">
      <c r="A1178" s="225">
        <v>43377</v>
      </c>
      <c r="B1178" s="224" t="s">
        <v>398</v>
      </c>
      <c r="C1178" s="224" t="s">
        <v>202</v>
      </c>
      <c r="D1178" s="224" t="s">
        <v>203</v>
      </c>
      <c r="E1178" s="226"/>
      <c r="G1178" s="224" t="s">
        <v>1</v>
      </c>
      <c r="H1178" s="224" t="s">
        <v>289</v>
      </c>
      <c r="I1178" s="224" t="s">
        <v>35</v>
      </c>
      <c r="J1178" s="224">
        <v>70</v>
      </c>
      <c r="K1178" s="227">
        <f t="array" ref="K1178">IFERROR(INDEX([1]Grille_Tarifs_Modulable!$B$2:$B$204,MATCH(Tableau14[[#This Row],[Designation]]&amp;Tableau14[[#This Row],[CL]],[1]Grille_Tarifs_Modulable!$C$2:$C$204&amp;[1]Grille_Tarifs_Modulable!$F$2:$F$204,0)),0)</f>
        <v>3257150107012</v>
      </c>
      <c r="L1178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29.828643999999997</v>
      </c>
      <c r="M1178" s="228">
        <f>IF(Tableau14[[#This Row],[Prix_Unit_HT]]=0,0,Tableau14[[#This Row],[Prix_Unit_HT]]+(Tableau14[[#This Row],[Prix_Unit_HT]]*VLOOKUP(Tableau14[[#This Row],[EAN]],[1]Grille_Tarifs_Modulable!$B$10:$Q$204,16,FALSE)))</f>
        <v>35.794372799999998</v>
      </c>
      <c r="N1178" s="224">
        <v>6</v>
      </c>
      <c r="O1178" s="228">
        <f>ROUND(Tableau14[[#This Row],[Prix_Unit_HT]],2)*Tableau14[[#This Row],[Qte_commande]]</f>
        <v>178.98</v>
      </c>
      <c r="P1178" s="228">
        <f>ROUND(Tableau14[[#This Row],[Prix_Unit_TTC]],2)*Tableau14[[#This Row],[Qte_commande]]</f>
        <v>214.74</v>
      </c>
      <c r="Q1178" s="224">
        <v>6</v>
      </c>
      <c r="R1178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6.0000000000000009</v>
      </c>
      <c r="U1178" s="224"/>
      <c r="V1178" s="224"/>
    </row>
    <row r="1179" spans="1:22" ht="14.65" customHeight="1" x14ac:dyDescent="0.2">
      <c r="A1179" s="225">
        <v>43377</v>
      </c>
      <c r="B1179" s="224" t="s">
        <v>714</v>
      </c>
      <c r="C1179" s="224" t="s">
        <v>715</v>
      </c>
      <c r="D1179" s="224" t="s">
        <v>406</v>
      </c>
      <c r="E1179" s="226"/>
      <c r="G1179" s="224" t="s">
        <v>1</v>
      </c>
      <c r="H1179" s="224" t="s">
        <v>289</v>
      </c>
      <c r="I1179" s="224" t="s">
        <v>15</v>
      </c>
      <c r="J1179" s="224">
        <v>70</v>
      </c>
      <c r="K1179" s="227">
        <f t="array" ref="K1179">IFERROR(INDEX([1]Grille_Tarifs_Modulable!$B$2:$B$204,MATCH(Tableau14[[#This Row],[Designation]]&amp;Tableau14[[#This Row],[CL]],[1]Grille_Tarifs_Modulable!$C$2:$C$204&amp;[1]Grille_Tarifs_Modulable!$F$2:$F$204,0)),0)</f>
        <v>4067700013859</v>
      </c>
      <c r="L1179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12.532563499999998</v>
      </c>
      <c r="M1179" s="228">
        <f>IF(Tableau14[[#This Row],[Prix_Unit_HT]]=0,0,Tableau14[[#This Row],[Prix_Unit_HT]]+(Tableau14[[#This Row],[Prix_Unit_HT]]*VLOOKUP(Tableau14[[#This Row],[EAN]],[1]Grille_Tarifs_Modulable!$B$10:$Q$204,16,FALSE)))</f>
        <v>15.039076199999998</v>
      </c>
      <c r="N1179" s="224">
        <v>12</v>
      </c>
      <c r="O1179" s="228">
        <f>ROUND(Tableau14[[#This Row],[Prix_Unit_HT]],2)*Tableau14[[#This Row],[Qte_commande]]</f>
        <v>150.35999999999999</v>
      </c>
      <c r="P1179" s="228">
        <f>ROUND(Tableau14[[#This Row],[Prix_Unit_TTC]],2)*Tableau14[[#This Row],[Qte_commande]]</f>
        <v>180.48</v>
      </c>
      <c r="Q1179" s="224">
        <v>12</v>
      </c>
      <c r="R1179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12.000000000000002</v>
      </c>
      <c r="U1179" s="224"/>
      <c r="V1179" s="224"/>
    </row>
    <row r="1180" spans="1:22" ht="14.65" customHeight="1" x14ac:dyDescent="0.2">
      <c r="A1180" s="225">
        <v>43377</v>
      </c>
      <c r="B1180" s="224" t="s">
        <v>714</v>
      </c>
      <c r="C1180" s="224" t="s">
        <v>715</v>
      </c>
      <c r="D1180" s="224" t="s">
        <v>406</v>
      </c>
      <c r="E1180" s="226"/>
      <c r="G1180" s="224" t="s">
        <v>1</v>
      </c>
      <c r="H1180" s="224" t="s">
        <v>289</v>
      </c>
      <c r="I1180" s="224" t="s">
        <v>15</v>
      </c>
      <c r="J1180" s="224">
        <v>100</v>
      </c>
      <c r="K1180" s="227">
        <f t="array" ref="K1180">IFERROR(INDEX([1]Grille_Tarifs_Modulable!$B$2:$B$204,MATCH(Tableau14[[#This Row],[Designation]]&amp;Tableau14[[#This Row],[CL]],[1]Grille_Tarifs_Modulable!$C$2:$C$204&amp;[1]Grille_Tarifs_Modulable!$F$2:$F$204,0)),0)</f>
        <v>4067700013842</v>
      </c>
      <c r="L1180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17.100804999999998</v>
      </c>
      <c r="M1180" s="228">
        <f>IF(Tableau14[[#This Row],[Prix_Unit_HT]]=0,0,Tableau14[[#This Row],[Prix_Unit_HT]]+(Tableau14[[#This Row],[Prix_Unit_HT]]*VLOOKUP(Tableau14[[#This Row],[EAN]],[1]Grille_Tarifs_Modulable!$B$10:$Q$204,16,FALSE)))</f>
        <v>20.520965999999998</v>
      </c>
      <c r="N1180" s="224">
        <v>12</v>
      </c>
      <c r="O1180" s="228">
        <f>ROUND(Tableau14[[#This Row],[Prix_Unit_HT]],2)*Tableau14[[#This Row],[Qte_commande]]</f>
        <v>205.20000000000002</v>
      </c>
      <c r="P1180" s="228">
        <f>ROUND(Tableau14[[#This Row],[Prix_Unit_TTC]],2)*Tableau14[[#This Row],[Qte_commande]]</f>
        <v>246.24</v>
      </c>
      <c r="Q1180" s="224">
        <v>17.14</v>
      </c>
      <c r="R1180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17.142857142857142</v>
      </c>
      <c r="U1180" s="224"/>
      <c r="V1180" s="224"/>
    </row>
    <row r="1181" spans="1:22" ht="14.65" customHeight="1" x14ac:dyDescent="0.2">
      <c r="A1181" s="225">
        <v>43377</v>
      </c>
      <c r="B1181" s="224" t="s">
        <v>716</v>
      </c>
      <c r="C1181" s="224" t="s">
        <v>308</v>
      </c>
      <c r="D1181" s="224" t="s">
        <v>309</v>
      </c>
      <c r="E1181" s="226"/>
      <c r="G1181" s="224" t="s">
        <v>1</v>
      </c>
      <c r="H1181" s="224" t="s">
        <v>289</v>
      </c>
      <c r="I1181" s="224" t="s">
        <v>15</v>
      </c>
      <c r="J1181" s="224">
        <v>100</v>
      </c>
      <c r="K1181" s="227">
        <f t="array" ref="K1181">IFERROR(INDEX([1]Grille_Tarifs_Modulable!$B$2:$B$204,MATCH(Tableau14[[#This Row],[Designation]]&amp;Tableau14[[#This Row],[CL]],[1]Grille_Tarifs_Modulable!$C$2:$C$204&amp;[1]Grille_Tarifs_Modulable!$F$2:$F$204,0)),0)</f>
        <v>4067700013842</v>
      </c>
      <c r="L1181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17.100804999999998</v>
      </c>
      <c r="M1181" s="228">
        <f>IF(Tableau14[[#This Row],[Prix_Unit_HT]]=0,0,Tableau14[[#This Row],[Prix_Unit_HT]]+(Tableau14[[#This Row],[Prix_Unit_HT]]*VLOOKUP(Tableau14[[#This Row],[EAN]],[1]Grille_Tarifs_Modulable!$B$10:$Q$204,16,FALSE)))</f>
        <v>20.520965999999998</v>
      </c>
      <c r="N1181" s="224">
        <v>240</v>
      </c>
      <c r="O1181" s="228">
        <f>ROUND(Tableau14[[#This Row],[Prix_Unit_HT]],2)*Tableau14[[#This Row],[Qte_commande]]</f>
        <v>4104</v>
      </c>
      <c r="P1181" s="228">
        <f>ROUND(Tableau14[[#This Row],[Prix_Unit_TTC]],2)*Tableau14[[#This Row],[Qte_commande]]</f>
        <v>4924.8</v>
      </c>
      <c r="Q1181" s="224">
        <v>342.86</v>
      </c>
      <c r="R1181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342.85714285714289</v>
      </c>
      <c r="U1181" s="224"/>
      <c r="V1181" s="224"/>
    </row>
    <row r="1182" spans="1:22" ht="14.65" customHeight="1" x14ac:dyDescent="0.2">
      <c r="A1182" s="225">
        <v>43377</v>
      </c>
      <c r="B1182" s="224" t="s">
        <v>714</v>
      </c>
      <c r="C1182" s="224" t="s">
        <v>715</v>
      </c>
      <c r="D1182" s="224" t="s">
        <v>406</v>
      </c>
      <c r="E1182" s="226"/>
      <c r="G1182" s="224" t="s">
        <v>1</v>
      </c>
      <c r="H1182" s="224" t="s">
        <v>289</v>
      </c>
      <c r="I1182" s="224" t="s">
        <v>30</v>
      </c>
      <c r="J1182" s="224">
        <v>70</v>
      </c>
      <c r="K1182" s="227">
        <f t="array" ref="K1182">IFERROR(INDEX([1]Grille_Tarifs_Modulable!$B$2:$B$204,MATCH(Tableau14[[#This Row],[Designation]]&amp;Tableau14[[#This Row],[CL]],[1]Grille_Tarifs_Modulable!$C$2:$C$204&amp;[1]Grille_Tarifs_Modulable!$F$2:$F$204,0)),0)</f>
        <v>3257150101904</v>
      </c>
      <c r="L1182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16.346482999999999</v>
      </c>
      <c r="M1182" s="228">
        <f>IF(Tableau14[[#This Row],[Prix_Unit_HT]]=0,0,Tableau14[[#This Row],[Prix_Unit_HT]]+(Tableau14[[#This Row],[Prix_Unit_HT]]*VLOOKUP(Tableau14[[#This Row],[EAN]],[1]Grille_Tarifs_Modulable!$B$10:$Q$204,16,FALSE)))</f>
        <v>19.6157796</v>
      </c>
      <c r="N1182" s="224">
        <v>6</v>
      </c>
      <c r="O1182" s="228">
        <f>ROUND(Tableau14[[#This Row],[Prix_Unit_HT]],2)*Tableau14[[#This Row],[Qte_commande]]</f>
        <v>98.100000000000009</v>
      </c>
      <c r="P1182" s="228">
        <f>ROUND(Tableau14[[#This Row],[Prix_Unit_TTC]],2)*Tableau14[[#This Row],[Qte_commande]]</f>
        <v>117.72</v>
      </c>
      <c r="Q1182" s="224">
        <v>6</v>
      </c>
      <c r="R1182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6.0000000000000009</v>
      </c>
      <c r="U1182" s="224"/>
      <c r="V1182" s="224"/>
    </row>
    <row r="1183" spans="1:22" ht="14.65" customHeight="1" x14ac:dyDescent="0.2">
      <c r="A1183" s="225">
        <v>43377</v>
      </c>
      <c r="B1183" s="224" t="s">
        <v>714</v>
      </c>
      <c r="C1183" s="224" t="s">
        <v>715</v>
      </c>
      <c r="D1183" s="224" t="s">
        <v>406</v>
      </c>
      <c r="E1183" s="226"/>
      <c r="G1183" s="224" t="s">
        <v>1</v>
      </c>
      <c r="H1183" s="224" t="s">
        <v>289</v>
      </c>
      <c r="I1183" s="224" t="s">
        <v>31</v>
      </c>
      <c r="J1183" s="224">
        <v>70</v>
      </c>
      <c r="K1183" s="227">
        <f t="array" ref="K1183">IFERROR(INDEX([1]Grille_Tarifs_Modulable!$B$2:$B$204,MATCH(Tableau14[[#This Row],[Designation]]&amp;Tableau14[[#This Row],[CL]],[1]Grille_Tarifs_Modulable!$C$2:$C$204&amp;[1]Grille_Tarifs_Modulable!$F$2:$F$204,0)),0)</f>
        <v>3257150102017</v>
      </c>
      <c r="L1183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14.694322</v>
      </c>
      <c r="M1183" s="228">
        <f>IF(Tableau14[[#This Row],[Prix_Unit_HT]]=0,0,Tableau14[[#This Row],[Prix_Unit_HT]]+(Tableau14[[#This Row],[Prix_Unit_HT]]*VLOOKUP(Tableau14[[#This Row],[EAN]],[1]Grille_Tarifs_Modulable!$B$10:$Q$204,16,FALSE)))</f>
        <v>17.6331864</v>
      </c>
      <c r="N1183" s="224">
        <v>6</v>
      </c>
      <c r="O1183" s="228">
        <f>ROUND(Tableau14[[#This Row],[Prix_Unit_HT]],2)*Tableau14[[#This Row],[Qte_commande]]</f>
        <v>88.14</v>
      </c>
      <c r="P1183" s="228">
        <f>ROUND(Tableau14[[#This Row],[Prix_Unit_TTC]],2)*Tableau14[[#This Row],[Qte_commande]]</f>
        <v>105.78</v>
      </c>
      <c r="Q1183" s="224">
        <v>6</v>
      </c>
      <c r="R1183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6.0000000000000009</v>
      </c>
      <c r="U1183" s="224"/>
      <c r="V1183" s="224"/>
    </row>
    <row r="1184" spans="1:22" ht="14.65" customHeight="1" x14ac:dyDescent="0.2">
      <c r="A1184" s="225">
        <v>43382</v>
      </c>
      <c r="B1184" s="224" t="s">
        <v>856</v>
      </c>
      <c r="C1184" s="224" t="s">
        <v>320</v>
      </c>
      <c r="D1184" s="224" t="s">
        <v>855</v>
      </c>
      <c r="E1184" s="226"/>
      <c r="G1184" s="224" t="s">
        <v>13</v>
      </c>
      <c r="H1184" s="224" t="s">
        <v>289</v>
      </c>
      <c r="I1184" s="224" t="s">
        <v>30</v>
      </c>
      <c r="J1184" s="224">
        <v>70</v>
      </c>
      <c r="K1184" s="227">
        <f t="array" ref="K1184">IFERROR(INDEX([1]Grille_Tarifs_Modulable!$B$2:$B$204,MATCH(Tableau14[[#This Row],[Designation]]&amp;Tableau14[[#This Row],[CL]],[1]Grille_Tarifs_Modulable!$C$2:$C$204&amp;[1]Grille_Tarifs_Modulable!$F$2:$F$204,0)),0)</f>
        <v>3257150101904</v>
      </c>
      <c r="L1184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18.506483000000003</v>
      </c>
      <c r="M1184" s="228">
        <f>IF(Tableau14[[#This Row],[Prix_Unit_HT]]=0,0,Tableau14[[#This Row],[Prix_Unit_HT]]+(Tableau14[[#This Row],[Prix_Unit_HT]]*VLOOKUP(Tableau14[[#This Row],[EAN]],[1]Grille_Tarifs_Modulable!$B$10:$Q$204,16,FALSE)))</f>
        <v>22.207779600000002</v>
      </c>
      <c r="N1184" s="224">
        <v>-6</v>
      </c>
      <c r="O1184" s="228">
        <f>ROUND(Tableau14[[#This Row],[Prix_Unit_HT]],2)*Tableau14[[#This Row],[Qte_commande]]</f>
        <v>-111.06</v>
      </c>
      <c r="P1184" s="228">
        <f>ROUND(Tableau14[[#This Row],[Prix_Unit_TTC]],2)*Tableau14[[#This Row],[Qte_commande]]</f>
        <v>-133.26</v>
      </c>
      <c r="Q1184" s="224">
        <v>-6</v>
      </c>
      <c r="R1184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-6.0000000000000009</v>
      </c>
      <c r="U1184" s="224"/>
      <c r="V1184" s="224"/>
    </row>
    <row r="1185" spans="1:22" ht="14.65" customHeight="1" x14ac:dyDescent="0.2">
      <c r="A1185" s="225">
        <v>43382</v>
      </c>
      <c r="B1185" s="224" t="s">
        <v>891</v>
      </c>
      <c r="C1185" s="224" t="s">
        <v>320</v>
      </c>
      <c r="D1185" s="224" t="s">
        <v>855</v>
      </c>
      <c r="E1185" s="226"/>
      <c r="G1185" s="224" t="s">
        <v>13</v>
      </c>
      <c r="H1185" s="224" t="s">
        <v>289</v>
      </c>
      <c r="I1185" s="224" t="s">
        <v>31</v>
      </c>
      <c r="J1185" s="224">
        <v>70</v>
      </c>
      <c r="K1185" s="227">
        <f t="array" ref="K1185">IFERROR(INDEX([1]Grille_Tarifs_Modulable!$B$2:$B$204,MATCH(Tableau14[[#This Row],[Designation]]&amp;Tableau14[[#This Row],[CL]],[1]Grille_Tarifs_Modulable!$C$2:$C$204&amp;[1]Grille_Tarifs_Modulable!$F$2:$F$204,0)),0)</f>
        <v>3257150102017</v>
      </c>
      <c r="L1185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16.854322</v>
      </c>
      <c r="M1185" s="228">
        <f>IF(Tableau14[[#This Row],[Prix_Unit_HT]]=0,0,Tableau14[[#This Row],[Prix_Unit_HT]]+(Tableau14[[#This Row],[Prix_Unit_HT]]*VLOOKUP(Tableau14[[#This Row],[EAN]],[1]Grille_Tarifs_Modulable!$B$10:$Q$204,16,FALSE)))</f>
        <v>20.225186399999998</v>
      </c>
      <c r="N1185" s="224">
        <v>6</v>
      </c>
      <c r="O1185" s="228">
        <f>ROUND(Tableau14[[#This Row],[Prix_Unit_HT]],2)*Tableau14[[#This Row],[Qte_commande]]</f>
        <v>101.10000000000001</v>
      </c>
      <c r="P1185" s="228">
        <f>ROUND(Tableau14[[#This Row],[Prix_Unit_TTC]],2)*Tableau14[[#This Row],[Qte_commande]]</f>
        <v>121.38</v>
      </c>
      <c r="Q1185" s="224">
        <v>6</v>
      </c>
      <c r="R1185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6.0000000000000009</v>
      </c>
      <c r="U1185" s="224"/>
      <c r="V1185" s="224"/>
    </row>
    <row r="1186" spans="1:22" ht="14.65" customHeight="1" x14ac:dyDescent="0.2">
      <c r="A1186" s="225">
        <v>43383</v>
      </c>
      <c r="B1186" s="224" t="s">
        <v>1184</v>
      </c>
      <c r="C1186" s="224" t="s">
        <v>1185</v>
      </c>
      <c r="D1186" s="224" t="s">
        <v>233</v>
      </c>
      <c r="E1186" s="226"/>
      <c r="G1186" s="224" t="s">
        <v>13</v>
      </c>
      <c r="H1186" s="224" t="s">
        <v>451</v>
      </c>
      <c r="I1186" s="224" t="s">
        <v>69</v>
      </c>
      <c r="J1186" s="227">
        <v>3</v>
      </c>
      <c r="K1186" s="227">
        <f t="array" ref="K1186">IFERROR(INDEX([1]Grille_Tarifs_Modulable!$B$2:$B$204,MATCH(Tableau14[[#This Row],[Designation]]&amp;Tableau14[[#This Row],[CL]],[1]Grille_Tarifs_Modulable!$C$2:$C$204&amp;[1]Grille_Tarifs_Modulable!$F$2:$F$204,0)),0)</f>
        <v>121</v>
      </c>
      <c r="L1186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299</v>
      </c>
      <c r="M1186" s="228">
        <f>IF(Tableau14[[#This Row],[Prix_Unit_HT]]=0,0,Tableau14[[#This Row],[Prix_Unit_HT]]+(Tableau14[[#This Row],[Prix_Unit_HT]]*VLOOKUP(Tableau14[[#This Row],[EAN]],[1]Grille_Tarifs_Modulable!$B$10:$Q$204,16,FALSE)))</f>
        <v>358.8</v>
      </c>
      <c r="N1186" s="224">
        <v>2</v>
      </c>
      <c r="O1186" s="228">
        <f>ROUND(Tableau14[[#This Row],[Prix_Unit_HT]],2)*Tableau14[[#This Row],[Qte_commande]]</f>
        <v>598</v>
      </c>
      <c r="P1186" s="228">
        <f>ROUND(Tableau14[[#This Row],[Prix_Unit_TTC]],2)*Tableau14[[#This Row],[Qte_commande]]</f>
        <v>717.6</v>
      </c>
      <c r="Q1186" s="224">
        <v>2</v>
      </c>
      <c r="R1186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2</v>
      </c>
      <c r="U1186" s="224"/>
      <c r="V1186" s="224"/>
    </row>
    <row r="1187" spans="1:22" ht="14.65" customHeight="1" x14ac:dyDescent="0.2">
      <c r="A1187" s="225">
        <v>43383</v>
      </c>
      <c r="B1187" s="224" t="s">
        <v>1186</v>
      </c>
      <c r="C1187" s="224" t="s">
        <v>1187</v>
      </c>
      <c r="D1187" s="224" t="s">
        <v>1188</v>
      </c>
      <c r="E1187" s="226"/>
      <c r="G1187" s="224" t="s">
        <v>13</v>
      </c>
      <c r="H1187" s="224" t="s">
        <v>451</v>
      </c>
      <c r="I1187" s="224" t="s">
        <v>69</v>
      </c>
      <c r="J1187" s="227">
        <v>3</v>
      </c>
      <c r="K1187" s="227">
        <f t="array" ref="K1187">IFERROR(INDEX([1]Grille_Tarifs_Modulable!$B$2:$B$204,MATCH(Tableau14[[#This Row],[Designation]]&amp;Tableau14[[#This Row],[CL]],[1]Grille_Tarifs_Modulable!$C$2:$C$204&amp;[1]Grille_Tarifs_Modulable!$F$2:$F$204,0)),0)</f>
        <v>121</v>
      </c>
      <c r="L1187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299</v>
      </c>
      <c r="M1187" s="228">
        <f>IF(Tableau14[[#This Row],[Prix_Unit_HT]]=0,0,Tableau14[[#This Row],[Prix_Unit_HT]]+(Tableau14[[#This Row],[Prix_Unit_HT]]*VLOOKUP(Tableau14[[#This Row],[EAN]],[1]Grille_Tarifs_Modulable!$B$10:$Q$204,16,FALSE)))</f>
        <v>358.8</v>
      </c>
      <c r="N1187" s="224">
        <v>1</v>
      </c>
      <c r="O1187" s="228">
        <f>ROUND(Tableau14[[#This Row],[Prix_Unit_HT]],2)*Tableau14[[#This Row],[Qte_commande]]</f>
        <v>299</v>
      </c>
      <c r="P1187" s="228">
        <f>ROUND(Tableau14[[#This Row],[Prix_Unit_TTC]],2)*Tableau14[[#This Row],[Qte_commande]]</f>
        <v>358.8</v>
      </c>
      <c r="Q1187" s="224">
        <v>1</v>
      </c>
      <c r="R1187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</v>
      </c>
      <c r="U1187" s="224"/>
      <c r="V1187" s="224"/>
    </row>
    <row r="1188" spans="1:22" ht="14.65" customHeight="1" x14ac:dyDescent="0.2">
      <c r="A1188" s="225">
        <v>43383</v>
      </c>
      <c r="B1188" s="224" t="s">
        <v>1189</v>
      </c>
      <c r="C1188" s="224" t="s">
        <v>1190</v>
      </c>
      <c r="D1188" s="224" t="s">
        <v>209</v>
      </c>
      <c r="E1188" s="226"/>
      <c r="G1188" s="224" t="s">
        <v>13</v>
      </c>
      <c r="H1188" s="224" t="s">
        <v>451</v>
      </c>
      <c r="I1188" s="224" t="s">
        <v>69</v>
      </c>
      <c r="J1188" s="227">
        <v>3</v>
      </c>
      <c r="K1188" s="227">
        <f t="array" ref="K1188">IFERROR(INDEX([1]Grille_Tarifs_Modulable!$B$2:$B$204,MATCH(Tableau14[[#This Row],[Designation]]&amp;Tableau14[[#This Row],[CL]],[1]Grille_Tarifs_Modulable!$C$2:$C$204&amp;[1]Grille_Tarifs_Modulable!$F$2:$F$204,0)),0)</f>
        <v>121</v>
      </c>
      <c r="L1188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299</v>
      </c>
      <c r="M1188" s="228">
        <f>IF(Tableau14[[#This Row],[Prix_Unit_HT]]=0,0,Tableau14[[#This Row],[Prix_Unit_HT]]+(Tableau14[[#This Row],[Prix_Unit_HT]]*VLOOKUP(Tableau14[[#This Row],[EAN]],[1]Grille_Tarifs_Modulable!$B$10:$Q$204,16,FALSE)))</f>
        <v>358.8</v>
      </c>
      <c r="N1188" s="224">
        <v>1</v>
      </c>
      <c r="O1188" s="228">
        <f>ROUND(Tableau14[[#This Row],[Prix_Unit_HT]],2)*Tableau14[[#This Row],[Qte_commande]]</f>
        <v>299</v>
      </c>
      <c r="P1188" s="228">
        <f>ROUND(Tableau14[[#This Row],[Prix_Unit_TTC]],2)*Tableau14[[#This Row],[Qte_commande]]</f>
        <v>358.8</v>
      </c>
      <c r="Q1188" s="224">
        <v>1</v>
      </c>
      <c r="R1188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</v>
      </c>
      <c r="U1188" s="224"/>
      <c r="V1188" s="224"/>
    </row>
    <row r="1189" spans="1:22" ht="14.65" customHeight="1" x14ac:dyDescent="0.2">
      <c r="A1189" s="225">
        <v>43383</v>
      </c>
      <c r="B1189" s="224" t="s">
        <v>1191</v>
      </c>
      <c r="C1189" s="224" t="s">
        <v>464</v>
      </c>
      <c r="D1189" s="224" t="s">
        <v>180</v>
      </c>
      <c r="E1189" s="226"/>
      <c r="G1189" s="224" t="s">
        <v>13</v>
      </c>
      <c r="H1189" s="224" t="s">
        <v>451</v>
      </c>
      <c r="I1189" s="224" t="s">
        <v>69</v>
      </c>
      <c r="J1189" s="227">
        <v>3</v>
      </c>
      <c r="K1189" s="227">
        <f t="array" ref="K1189">IFERROR(INDEX([1]Grille_Tarifs_Modulable!$B$2:$B$204,MATCH(Tableau14[[#This Row],[Designation]]&amp;Tableau14[[#This Row],[CL]],[1]Grille_Tarifs_Modulable!$C$2:$C$204&amp;[1]Grille_Tarifs_Modulable!$F$2:$F$204,0)),0)</f>
        <v>121</v>
      </c>
      <c r="L1189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299</v>
      </c>
      <c r="M1189" s="228">
        <f>IF(Tableau14[[#This Row],[Prix_Unit_HT]]=0,0,Tableau14[[#This Row],[Prix_Unit_HT]]+(Tableau14[[#This Row],[Prix_Unit_HT]]*VLOOKUP(Tableau14[[#This Row],[EAN]],[1]Grille_Tarifs_Modulable!$B$10:$Q$204,16,FALSE)))</f>
        <v>358.8</v>
      </c>
      <c r="N1189" s="224">
        <v>1</v>
      </c>
      <c r="O1189" s="228">
        <f>ROUND(Tableau14[[#This Row],[Prix_Unit_HT]],2)*Tableau14[[#This Row],[Qte_commande]]</f>
        <v>299</v>
      </c>
      <c r="P1189" s="228">
        <f>ROUND(Tableau14[[#This Row],[Prix_Unit_TTC]],2)*Tableau14[[#This Row],[Qte_commande]]</f>
        <v>358.8</v>
      </c>
      <c r="Q1189" s="224">
        <v>1</v>
      </c>
      <c r="R1189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</v>
      </c>
      <c r="U1189" s="224"/>
      <c r="V1189" s="224"/>
    </row>
    <row r="1190" spans="1:22" ht="14.65" customHeight="1" x14ac:dyDescent="0.2">
      <c r="A1190" s="225">
        <v>43383</v>
      </c>
      <c r="B1190" s="224" t="s">
        <v>1192</v>
      </c>
      <c r="C1190" s="224" t="s">
        <v>1107</v>
      </c>
      <c r="D1190" s="224" t="s">
        <v>233</v>
      </c>
      <c r="E1190" s="226"/>
      <c r="G1190" s="224" t="s">
        <v>13</v>
      </c>
      <c r="H1190" s="224" t="s">
        <v>451</v>
      </c>
      <c r="I1190" s="224" t="s">
        <v>69</v>
      </c>
      <c r="J1190" s="227">
        <v>3</v>
      </c>
      <c r="K1190" s="227">
        <f t="array" ref="K1190">IFERROR(INDEX([1]Grille_Tarifs_Modulable!$B$2:$B$204,MATCH(Tableau14[[#This Row],[Designation]]&amp;Tableau14[[#This Row],[CL]],[1]Grille_Tarifs_Modulable!$C$2:$C$204&amp;[1]Grille_Tarifs_Modulable!$F$2:$F$204,0)),0)</f>
        <v>121</v>
      </c>
      <c r="L1190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299</v>
      </c>
      <c r="M1190" s="228">
        <f>IF(Tableau14[[#This Row],[Prix_Unit_HT]]=0,0,Tableau14[[#This Row],[Prix_Unit_HT]]+(Tableau14[[#This Row],[Prix_Unit_HT]]*VLOOKUP(Tableau14[[#This Row],[EAN]],[1]Grille_Tarifs_Modulable!$B$10:$Q$204,16,FALSE)))</f>
        <v>358.8</v>
      </c>
      <c r="N1190" s="224">
        <v>1</v>
      </c>
      <c r="O1190" s="228">
        <f>ROUND(Tableau14[[#This Row],[Prix_Unit_HT]],2)*Tableau14[[#This Row],[Qte_commande]]</f>
        <v>299</v>
      </c>
      <c r="P1190" s="228">
        <f>ROUND(Tableau14[[#This Row],[Prix_Unit_TTC]],2)*Tableau14[[#This Row],[Qte_commande]]</f>
        <v>358.8</v>
      </c>
      <c r="Q1190" s="224">
        <v>1</v>
      </c>
      <c r="R1190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</v>
      </c>
      <c r="U1190" s="224"/>
      <c r="V1190" s="224"/>
    </row>
    <row r="1191" spans="1:22" ht="14.65" customHeight="1" x14ac:dyDescent="0.2">
      <c r="A1191" s="225">
        <v>43383</v>
      </c>
      <c r="B1191" s="224" t="s">
        <v>1193</v>
      </c>
      <c r="C1191" s="224" t="s">
        <v>1167</v>
      </c>
      <c r="D1191" s="224" t="s">
        <v>1168</v>
      </c>
      <c r="E1191" s="226"/>
      <c r="G1191" s="224" t="s">
        <v>13</v>
      </c>
      <c r="H1191" s="224" t="s">
        <v>451</v>
      </c>
      <c r="I1191" s="224" t="s">
        <v>69</v>
      </c>
      <c r="J1191" s="227">
        <v>3</v>
      </c>
      <c r="K1191" s="227">
        <f t="array" ref="K1191">IFERROR(INDEX([1]Grille_Tarifs_Modulable!$B$2:$B$204,MATCH(Tableau14[[#This Row],[Designation]]&amp;Tableau14[[#This Row],[CL]],[1]Grille_Tarifs_Modulable!$C$2:$C$204&amp;[1]Grille_Tarifs_Modulable!$F$2:$F$204,0)),0)</f>
        <v>121</v>
      </c>
      <c r="L1191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299</v>
      </c>
      <c r="M1191" s="228">
        <f>IF(Tableau14[[#This Row],[Prix_Unit_HT]]=0,0,Tableau14[[#This Row],[Prix_Unit_HT]]+(Tableau14[[#This Row],[Prix_Unit_HT]]*VLOOKUP(Tableau14[[#This Row],[EAN]],[1]Grille_Tarifs_Modulable!$B$10:$Q$204,16,FALSE)))</f>
        <v>358.8</v>
      </c>
      <c r="N1191" s="224">
        <v>1</v>
      </c>
      <c r="O1191" s="228">
        <f>ROUND(Tableau14[[#This Row],[Prix_Unit_HT]],2)*Tableau14[[#This Row],[Qte_commande]]</f>
        <v>299</v>
      </c>
      <c r="P1191" s="228">
        <f>ROUND(Tableau14[[#This Row],[Prix_Unit_TTC]],2)*Tableau14[[#This Row],[Qte_commande]]</f>
        <v>358.8</v>
      </c>
      <c r="Q1191" s="224">
        <v>1</v>
      </c>
      <c r="R1191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</v>
      </c>
      <c r="U1191" s="224"/>
      <c r="V1191" s="224"/>
    </row>
    <row r="1192" spans="1:22" ht="14.65" customHeight="1" x14ac:dyDescent="0.2">
      <c r="A1192" s="225">
        <v>43383</v>
      </c>
      <c r="B1192" s="224" t="s">
        <v>1194</v>
      </c>
      <c r="C1192" s="224" t="s">
        <v>1175</v>
      </c>
      <c r="D1192" s="224" t="s">
        <v>1176</v>
      </c>
      <c r="E1192" s="226"/>
      <c r="G1192" s="224" t="s">
        <v>13</v>
      </c>
      <c r="H1192" s="224" t="s">
        <v>451</v>
      </c>
      <c r="I1192" s="224" t="s">
        <v>69</v>
      </c>
      <c r="J1192" s="227">
        <v>3</v>
      </c>
      <c r="K1192" s="227">
        <f t="array" ref="K1192">IFERROR(INDEX([1]Grille_Tarifs_Modulable!$B$2:$B$204,MATCH(Tableau14[[#This Row],[Designation]]&amp;Tableau14[[#This Row],[CL]],[1]Grille_Tarifs_Modulable!$C$2:$C$204&amp;[1]Grille_Tarifs_Modulable!$F$2:$F$204,0)),0)</f>
        <v>121</v>
      </c>
      <c r="L1192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299</v>
      </c>
      <c r="M1192" s="228">
        <f>IF(Tableau14[[#This Row],[Prix_Unit_HT]]=0,0,Tableau14[[#This Row],[Prix_Unit_HT]]+(Tableau14[[#This Row],[Prix_Unit_HT]]*VLOOKUP(Tableau14[[#This Row],[EAN]],[1]Grille_Tarifs_Modulable!$B$10:$Q$204,16,FALSE)))</f>
        <v>358.8</v>
      </c>
      <c r="N1192" s="224">
        <v>4</v>
      </c>
      <c r="O1192" s="228">
        <f>ROUND(Tableau14[[#This Row],[Prix_Unit_HT]],2)*Tableau14[[#This Row],[Qte_commande]]</f>
        <v>1196</v>
      </c>
      <c r="P1192" s="228">
        <f>ROUND(Tableau14[[#This Row],[Prix_Unit_TTC]],2)*Tableau14[[#This Row],[Qte_commande]]</f>
        <v>1435.2</v>
      </c>
      <c r="Q1192" s="224">
        <v>4</v>
      </c>
      <c r="R1192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4</v>
      </c>
      <c r="U1192" s="224"/>
      <c r="V1192" s="224"/>
    </row>
    <row r="1193" spans="1:22" ht="14.65" customHeight="1" x14ac:dyDescent="0.2">
      <c r="A1193" s="225">
        <v>43383</v>
      </c>
      <c r="B1193" s="224" t="s">
        <v>1195</v>
      </c>
      <c r="C1193" s="224" t="s">
        <v>383</v>
      </c>
      <c r="D1193" s="224" t="s">
        <v>343</v>
      </c>
      <c r="E1193" s="226"/>
      <c r="G1193" s="224" t="s">
        <v>13</v>
      </c>
      <c r="H1193" s="224" t="s">
        <v>451</v>
      </c>
      <c r="I1193" s="224" t="s">
        <v>69</v>
      </c>
      <c r="J1193" s="227">
        <v>3</v>
      </c>
      <c r="K1193" s="227">
        <f t="array" ref="K1193">IFERROR(INDEX([1]Grille_Tarifs_Modulable!$B$2:$B$204,MATCH(Tableau14[[#This Row],[Designation]]&amp;Tableau14[[#This Row],[CL]],[1]Grille_Tarifs_Modulable!$C$2:$C$204&amp;[1]Grille_Tarifs_Modulable!$F$2:$F$204,0)),0)</f>
        <v>121</v>
      </c>
      <c r="L1193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299</v>
      </c>
      <c r="M1193" s="228">
        <f>IF(Tableau14[[#This Row],[Prix_Unit_HT]]=0,0,Tableau14[[#This Row],[Prix_Unit_HT]]+(Tableau14[[#This Row],[Prix_Unit_HT]]*VLOOKUP(Tableau14[[#This Row],[EAN]],[1]Grille_Tarifs_Modulable!$B$10:$Q$204,16,FALSE)))</f>
        <v>358.8</v>
      </c>
      <c r="N1193" s="224">
        <v>1</v>
      </c>
      <c r="O1193" s="228">
        <f>ROUND(Tableau14[[#This Row],[Prix_Unit_HT]],2)*Tableau14[[#This Row],[Qte_commande]]</f>
        <v>299</v>
      </c>
      <c r="P1193" s="228">
        <f>ROUND(Tableau14[[#This Row],[Prix_Unit_TTC]],2)*Tableau14[[#This Row],[Qte_commande]]</f>
        <v>358.8</v>
      </c>
      <c r="Q1193" s="224">
        <v>1</v>
      </c>
      <c r="R1193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</v>
      </c>
      <c r="U1193" s="224"/>
      <c r="V1193" s="224"/>
    </row>
    <row r="1194" spans="1:22" ht="14.65" customHeight="1" x14ac:dyDescent="0.2">
      <c r="A1194" s="225">
        <v>43383</v>
      </c>
      <c r="B1194" s="224" t="s">
        <v>1196</v>
      </c>
      <c r="C1194" s="224" t="s">
        <v>160</v>
      </c>
      <c r="D1194" s="224" t="s">
        <v>330</v>
      </c>
      <c r="E1194" s="226"/>
      <c r="G1194" s="224" t="s">
        <v>13</v>
      </c>
      <c r="H1194" s="224" t="s">
        <v>451</v>
      </c>
      <c r="I1194" s="224" t="s">
        <v>69</v>
      </c>
      <c r="J1194" s="227">
        <v>3</v>
      </c>
      <c r="K1194" s="227">
        <f t="array" ref="K1194">IFERROR(INDEX([1]Grille_Tarifs_Modulable!$B$2:$B$204,MATCH(Tableau14[[#This Row],[Designation]]&amp;Tableau14[[#This Row],[CL]],[1]Grille_Tarifs_Modulable!$C$2:$C$204&amp;[1]Grille_Tarifs_Modulable!$F$2:$F$204,0)),0)</f>
        <v>121</v>
      </c>
      <c r="L1194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299</v>
      </c>
      <c r="M1194" s="228">
        <f>IF(Tableau14[[#This Row],[Prix_Unit_HT]]=0,0,Tableau14[[#This Row],[Prix_Unit_HT]]+(Tableau14[[#This Row],[Prix_Unit_HT]]*VLOOKUP(Tableau14[[#This Row],[EAN]],[1]Grille_Tarifs_Modulable!$B$10:$Q$204,16,FALSE)))</f>
        <v>358.8</v>
      </c>
      <c r="N1194" s="224">
        <v>1</v>
      </c>
      <c r="O1194" s="228">
        <f>ROUND(Tableau14[[#This Row],[Prix_Unit_HT]],2)*Tableau14[[#This Row],[Qte_commande]]</f>
        <v>299</v>
      </c>
      <c r="P1194" s="228">
        <f>ROUND(Tableau14[[#This Row],[Prix_Unit_TTC]],2)*Tableau14[[#This Row],[Qte_commande]]</f>
        <v>358.8</v>
      </c>
      <c r="Q1194" s="224">
        <v>1</v>
      </c>
      <c r="R1194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</v>
      </c>
      <c r="U1194" s="224"/>
      <c r="V1194" s="224"/>
    </row>
    <row r="1195" spans="1:22" ht="14.65" customHeight="1" x14ac:dyDescent="0.2">
      <c r="A1195" s="225">
        <v>43383</v>
      </c>
      <c r="B1195" s="224" t="s">
        <v>1197</v>
      </c>
      <c r="C1195" s="224" t="s">
        <v>1067</v>
      </c>
      <c r="D1195" s="224" t="s">
        <v>1068</v>
      </c>
      <c r="E1195" s="226"/>
      <c r="G1195" s="224" t="s">
        <v>13</v>
      </c>
      <c r="H1195" s="224" t="s">
        <v>451</v>
      </c>
      <c r="I1195" s="224" t="s">
        <v>69</v>
      </c>
      <c r="J1195" s="227">
        <v>3</v>
      </c>
      <c r="K1195" s="227">
        <f t="array" ref="K1195">IFERROR(INDEX([1]Grille_Tarifs_Modulable!$B$2:$B$204,MATCH(Tableau14[[#This Row],[Designation]]&amp;Tableau14[[#This Row],[CL]],[1]Grille_Tarifs_Modulable!$C$2:$C$204&amp;[1]Grille_Tarifs_Modulable!$F$2:$F$204,0)),0)</f>
        <v>121</v>
      </c>
      <c r="L1195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299</v>
      </c>
      <c r="M1195" s="228">
        <f>IF(Tableau14[[#This Row],[Prix_Unit_HT]]=0,0,Tableau14[[#This Row],[Prix_Unit_HT]]+(Tableau14[[#This Row],[Prix_Unit_HT]]*VLOOKUP(Tableau14[[#This Row],[EAN]],[1]Grille_Tarifs_Modulable!$B$10:$Q$204,16,FALSE)))</f>
        <v>358.8</v>
      </c>
      <c r="N1195" s="224">
        <v>1</v>
      </c>
      <c r="O1195" s="228">
        <f>ROUND(Tableau14[[#This Row],[Prix_Unit_HT]],2)*Tableau14[[#This Row],[Qte_commande]]</f>
        <v>299</v>
      </c>
      <c r="P1195" s="228">
        <f>ROUND(Tableau14[[#This Row],[Prix_Unit_TTC]],2)*Tableau14[[#This Row],[Qte_commande]]</f>
        <v>358.8</v>
      </c>
      <c r="Q1195" s="224">
        <v>1</v>
      </c>
      <c r="R1195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</v>
      </c>
      <c r="U1195" s="224"/>
      <c r="V1195" s="224"/>
    </row>
    <row r="1196" spans="1:22" ht="14.65" customHeight="1" x14ac:dyDescent="0.2">
      <c r="A1196" s="225">
        <v>43383</v>
      </c>
      <c r="B1196" s="224" t="s">
        <v>1198</v>
      </c>
      <c r="C1196" s="224" t="s">
        <v>823</v>
      </c>
      <c r="D1196" s="224" t="s">
        <v>209</v>
      </c>
      <c r="E1196" s="226"/>
      <c r="G1196" s="224" t="s">
        <v>13</v>
      </c>
      <c r="H1196" s="224" t="s">
        <v>451</v>
      </c>
      <c r="I1196" s="224" t="s">
        <v>69</v>
      </c>
      <c r="J1196" s="227">
        <v>3</v>
      </c>
      <c r="K1196" s="227">
        <f t="array" ref="K1196">IFERROR(INDEX([1]Grille_Tarifs_Modulable!$B$2:$B$204,MATCH(Tableau14[[#This Row],[Designation]]&amp;Tableau14[[#This Row],[CL]],[1]Grille_Tarifs_Modulable!$C$2:$C$204&amp;[1]Grille_Tarifs_Modulable!$F$2:$F$204,0)),0)</f>
        <v>121</v>
      </c>
      <c r="L1196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299</v>
      </c>
      <c r="M1196" s="228">
        <f>IF(Tableau14[[#This Row],[Prix_Unit_HT]]=0,0,Tableau14[[#This Row],[Prix_Unit_HT]]+(Tableau14[[#This Row],[Prix_Unit_HT]]*VLOOKUP(Tableau14[[#This Row],[EAN]],[1]Grille_Tarifs_Modulable!$B$10:$Q$204,16,FALSE)))</f>
        <v>358.8</v>
      </c>
      <c r="N1196" s="224">
        <v>1</v>
      </c>
      <c r="O1196" s="228">
        <f>ROUND(Tableau14[[#This Row],[Prix_Unit_HT]],2)*Tableau14[[#This Row],[Qte_commande]]</f>
        <v>299</v>
      </c>
      <c r="P1196" s="228">
        <f>ROUND(Tableau14[[#This Row],[Prix_Unit_TTC]],2)*Tableau14[[#This Row],[Qte_commande]]</f>
        <v>358.8</v>
      </c>
      <c r="Q1196" s="224">
        <v>1</v>
      </c>
      <c r="R1196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</v>
      </c>
      <c r="U1196" s="224"/>
      <c r="V1196" s="224"/>
    </row>
    <row r="1197" spans="1:22" ht="14.65" customHeight="1" x14ac:dyDescent="0.2">
      <c r="A1197" s="225">
        <v>43383</v>
      </c>
      <c r="B1197" s="224" t="s">
        <v>1199</v>
      </c>
      <c r="C1197" s="224" t="s">
        <v>159</v>
      </c>
      <c r="D1197" s="224" t="s">
        <v>209</v>
      </c>
      <c r="E1197" s="226"/>
      <c r="G1197" s="224" t="s">
        <v>13</v>
      </c>
      <c r="H1197" s="224" t="s">
        <v>451</v>
      </c>
      <c r="I1197" s="224" t="s">
        <v>69</v>
      </c>
      <c r="J1197" s="227">
        <v>3</v>
      </c>
      <c r="K1197" s="227">
        <f t="array" ref="K1197">IFERROR(INDEX([1]Grille_Tarifs_Modulable!$B$2:$B$204,MATCH(Tableau14[[#This Row],[Designation]]&amp;Tableau14[[#This Row],[CL]],[1]Grille_Tarifs_Modulable!$C$2:$C$204&amp;[1]Grille_Tarifs_Modulable!$F$2:$F$204,0)),0)</f>
        <v>121</v>
      </c>
      <c r="L1197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299</v>
      </c>
      <c r="M1197" s="228">
        <f>IF(Tableau14[[#This Row],[Prix_Unit_HT]]=0,0,Tableau14[[#This Row],[Prix_Unit_HT]]+(Tableau14[[#This Row],[Prix_Unit_HT]]*VLOOKUP(Tableau14[[#This Row],[EAN]],[1]Grille_Tarifs_Modulable!$B$10:$Q$204,16,FALSE)))</f>
        <v>358.8</v>
      </c>
      <c r="N1197" s="224">
        <v>1</v>
      </c>
      <c r="O1197" s="228">
        <f>ROUND(Tableau14[[#This Row],[Prix_Unit_HT]],2)*Tableau14[[#This Row],[Qte_commande]]</f>
        <v>299</v>
      </c>
      <c r="P1197" s="228">
        <f>ROUND(Tableau14[[#This Row],[Prix_Unit_TTC]],2)*Tableau14[[#This Row],[Qte_commande]]</f>
        <v>358.8</v>
      </c>
      <c r="Q1197" s="224">
        <v>1</v>
      </c>
      <c r="R1197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</v>
      </c>
      <c r="U1197" s="224"/>
      <c r="V1197" s="224"/>
    </row>
    <row r="1198" spans="1:22" ht="14.65" customHeight="1" x14ac:dyDescent="0.2">
      <c r="A1198" s="225">
        <v>43383</v>
      </c>
      <c r="B1198" s="224" t="s">
        <v>1200</v>
      </c>
      <c r="C1198" s="224" t="s">
        <v>1179</v>
      </c>
      <c r="D1198" s="224" t="s">
        <v>180</v>
      </c>
      <c r="E1198" s="226"/>
      <c r="G1198" s="224" t="s">
        <v>13</v>
      </c>
      <c r="H1198" s="224" t="s">
        <v>451</v>
      </c>
      <c r="I1198" s="224" t="s">
        <v>69</v>
      </c>
      <c r="J1198" s="227">
        <v>3</v>
      </c>
      <c r="K1198" s="227">
        <f t="array" ref="K1198">IFERROR(INDEX([1]Grille_Tarifs_Modulable!$B$2:$B$204,MATCH(Tableau14[[#This Row],[Designation]]&amp;Tableau14[[#This Row],[CL]],[1]Grille_Tarifs_Modulable!$C$2:$C$204&amp;[1]Grille_Tarifs_Modulable!$F$2:$F$204,0)),0)</f>
        <v>121</v>
      </c>
      <c r="L1198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299</v>
      </c>
      <c r="M1198" s="228">
        <f>IF(Tableau14[[#This Row],[Prix_Unit_HT]]=0,0,Tableau14[[#This Row],[Prix_Unit_HT]]+(Tableau14[[#This Row],[Prix_Unit_HT]]*VLOOKUP(Tableau14[[#This Row],[EAN]],[1]Grille_Tarifs_Modulable!$B$10:$Q$204,16,FALSE)))</f>
        <v>358.8</v>
      </c>
      <c r="N1198" s="224">
        <v>4</v>
      </c>
      <c r="O1198" s="228">
        <f>ROUND(Tableau14[[#This Row],[Prix_Unit_HT]],2)*Tableau14[[#This Row],[Qte_commande]]</f>
        <v>1196</v>
      </c>
      <c r="P1198" s="228">
        <f>ROUND(Tableau14[[#This Row],[Prix_Unit_TTC]],2)*Tableau14[[#This Row],[Qte_commande]]</f>
        <v>1435.2</v>
      </c>
      <c r="Q1198" s="224">
        <v>4</v>
      </c>
      <c r="R1198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4</v>
      </c>
      <c r="U1198" s="224"/>
      <c r="V1198" s="224"/>
    </row>
    <row r="1199" spans="1:22" ht="14.65" customHeight="1" x14ac:dyDescent="0.2">
      <c r="A1199" s="225">
        <v>43383</v>
      </c>
      <c r="B1199" s="224" t="s">
        <v>1201</v>
      </c>
      <c r="C1199" s="224" t="s">
        <v>391</v>
      </c>
      <c r="D1199" s="224" t="s">
        <v>209</v>
      </c>
      <c r="E1199" s="226"/>
      <c r="G1199" s="224" t="s">
        <v>13</v>
      </c>
      <c r="H1199" s="224" t="s">
        <v>451</v>
      </c>
      <c r="I1199" s="224" t="s">
        <v>69</v>
      </c>
      <c r="J1199" s="227">
        <v>3</v>
      </c>
      <c r="K1199" s="227">
        <f t="array" ref="K1199">IFERROR(INDEX([1]Grille_Tarifs_Modulable!$B$2:$B$204,MATCH(Tableau14[[#This Row],[Designation]]&amp;Tableau14[[#This Row],[CL]],[1]Grille_Tarifs_Modulable!$C$2:$C$204&amp;[1]Grille_Tarifs_Modulable!$F$2:$F$204,0)),0)</f>
        <v>121</v>
      </c>
      <c r="L1199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299</v>
      </c>
      <c r="M1199" s="228">
        <f>IF(Tableau14[[#This Row],[Prix_Unit_HT]]=0,0,Tableau14[[#This Row],[Prix_Unit_HT]]+(Tableau14[[#This Row],[Prix_Unit_HT]]*VLOOKUP(Tableau14[[#This Row],[EAN]],[1]Grille_Tarifs_Modulable!$B$10:$Q$204,16,FALSE)))</f>
        <v>358.8</v>
      </c>
      <c r="N1199" s="224">
        <v>1</v>
      </c>
      <c r="O1199" s="228">
        <f>ROUND(Tableau14[[#This Row],[Prix_Unit_HT]],2)*Tableau14[[#This Row],[Qte_commande]]</f>
        <v>299</v>
      </c>
      <c r="P1199" s="228">
        <f>ROUND(Tableau14[[#This Row],[Prix_Unit_TTC]],2)*Tableau14[[#This Row],[Qte_commande]]</f>
        <v>358.8</v>
      </c>
      <c r="Q1199" s="224">
        <v>1</v>
      </c>
      <c r="R1199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</v>
      </c>
      <c r="U1199" s="224"/>
      <c r="V1199" s="224"/>
    </row>
    <row r="1200" spans="1:22" ht="14.65" customHeight="1" x14ac:dyDescent="0.2">
      <c r="A1200" s="225">
        <v>43383</v>
      </c>
      <c r="B1200" s="224" t="s">
        <v>1202</v>
      </c>
      <c r="C1200" s="224" t="s">
        <v>1203</v>
      </c>
      <c r="D1200" s="224" t="s">
        <v>233</v>
      </c>
      <c r="E1200" s="226"/>
      <c r="G1200" s="224" t="s">
        <v>13</v>
      </c>
      <c r="H1200" s="224" t="s">
        <v>451</v>
      </c>
      <c r="I1200" s="224" t="s">
        <v>69</v>
      </c>
      <c r="J1200" s="227">
        <v>3</v>
      </c>
      <c r="K1200" s="227">
        <f t="array" ref="K1200">IFERROR(INDEX([1]Grille_Tarifs_Modulable!$B$2:$B$204,MATCH(Tableau14[[#This Row],[Designation]]&amp;Tableau14[[#This Row],[CL]],[1]Grille_Tarifs_Modulable!$C$2:$C$204&amp;[1]Grille_Tarifs_Modulable!$F$2:$F$204,0)),0)</f>
        <v>121</v>
      </c>
      <c r="L1200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299</v>
      </c>
      <c r="M1200" s="228">
        <f>IF(Tableau14[[#This Row],[Prix_Unit_HT]]=0,0,Tableau14[[#This Row],[Prix_Unit_HT]]+(Tableau14[[#This Row],[Prix_Unit_HT]]*VLOOKUP(Tableau14[[#This Row],[EAN]],[1]Grille_Tarifs_Modulable!$B$10:$Q$204,16,FALSE)))</f>
        <v>358.8</v>
      </c>
      <c r="N1200" s="224">
        <v>1</v>
      </c>
      <c r="O1200" s="228">
        <f>ROUND(Tableau14[[#This Row],[Prix_Unit_HT]],2)*Tableau14[[#This Row],[Qte_commande]]</f>
        <v>299</v>
      </c>
      <c r="P1200" s="228">
        <f>ROUND(Tableau14[[#This Row],[Prix_Unit_TTC]],2)*Tableau14[[#This Row],[Qte_commande]]</f>
        <v>358.8</v>
      </c>
      <c r="Q1200" s="224">
        <v>1</v>
      </c>
      <c r="R1200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</v>
      </c>
      <c r="U1200" s="224"/>
      <c r="V1200" s="224"/>
    </row>
    <row r="1201" spans="1:22" ht="14.65" customHeight="1" x14ac:dyDescent="0.2">
      <c r="A1201" s="225">
        <v>43383</v>
      </c>
      <c r="B1201" s="224" t="s">
        <v>1204</v>
      </c>
      <c r="C1201" s="224" t="s">
        <v>858</v>
      </c>
      <c r="D1201" s="224" t="s">
        <v>859</v>
      </c>
      <c r="E1201" s="226"/>
      <c r="G1201" s="224" t="s">
        <v>13</v>
      </c>
      <c r="H1201" s="224" t="s">
        <v>451</v>
      </c>
      <c r="I1201" s="224" t="s">
        <v>69</v>
      </c>
      <c r="J1201" s="227">
        <v>3</v>
      </c>
      <c r="K1201" s="227">
        <f t="array" ref="K1201">IFERROR(INDEX([1]Grille_Tarifs_Modulable!$B$2:$B$204,MATCH(Tableau14[[#This Row],[Designation]]&amp;Tableau14[[#This Row],[CL]],[1]Grille_Tarifs_Modulable!$C$2:$C$204&amp;[1]Grille_Tarifs_Modulable!$F$2:$F$204,0)),0)</f>
        <v>121</v>
      </c>
      <c r="L1201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299</v>
      </c>
      <c r="M1201" s="228">
        <f>IF(Tableau14[[#This Row],[Prix_Unit_HT]]=0,0,Tableau14[[#This Row],[Prix_Unit_HT]]+(Tableau14[[#This Row],[Prix_Unit_HT]]*VLOOKUP(Tableau14[[#This Row],[EAN]],[1]Grille_Tarifs_Modulable!$B$10:$Q$204,16,FALSE)))</f>
        <v>358.8</v>
      </c>
      <c r="N1201" s="224">
        <v>1</v>
      </c>
      <c r="O1201" s="228">
        <f>ROUND(Tableau14[[#This Row],[Prix_Unit_HT]],2)*Tableau14[[#This Row],[Qte_commande]]</f>
        <v>299</v>
      </c>
      <c r="P1201" s="228">
        <f>ROUND(Tableau14[[#This Row],[Prix_Unit_TTC]],2)*Tableau14[[#This Row],[Qte_commande]]</f>
        <v>358.8</v>
      </c>
      <c r="Q1201" s="224">
        <v>1</v>
      </c>
      <c r="R1201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</v>
      </c>
      <c r="U1201" s="224"/>
      <c r="V1201" s="224"/>
    </row>
    <row r="1202" spans="1:22" ht="14.65" customHeight="1" x14ac:dyDescent="0.2">
      <c r="A1202" s="225">
        <v>43383</v>
      </c>
      <c r="B1202" s="224" t="s">
        <v>1205</v>
      </c>
      <c r="C1202" s="224" t="s">
        <v>887</v>
      </c>
      <c r="D1202" s="224" t="s">
        <v>887</v>
      </c>
      <c r="E1202" s="226"/>
      <c r="G1202" s="224" t="s">
        <v>13</v>
      </c>
      <c r="H1202" s="224" t="s">
        <v>451</v>
      </c>
      <c r="I1202" s="224" t="s">
        <v>69</v>
      </c>
      <c r="J1202" s="227">
        <v>3</v>
      </c>
      <c r="K1202" s="227">
        <f t="array" ref="K1202">IFERROR(INDEX([1]Grille_Tarifs_Modulable!$B$2:$B$204,MATCH(Tableau14[[#This Row],[Designation]]&amp;Tableau14[[#This Row],[CL]],[1]Grille_Tarifs_Modulable!$C$2:$C$204&amp;[1]Grille_Tarifs_Modulable!$F$2:$F$204,0)),0)</f>
        <v>121</v>
      </c>
      <c r="L1202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299</v>
      </c>
      <c r="M1202" s="228">
        <f>IF(Tableau14[[#This Row],[Prix_Unit_HT]]=0,0,Tableau14[[#This Row],[Prix_Unit_HT]]+(Tableau14[[#This Row],[Prix_Unit_HT]]*VLOOKUP(Tableau14[[#This Row],[EAN]],[1]Grille_Tarifs_Modulable!$B$10:$Q$204,16,FALSE)))</f>
        <v>358.8</v>
      </c>
      <c r="N1202" s="224">
        <v>1</v>
      </c>
      <c r="O1202" s="228">
        <f>ROUND(Tableau14[[#This Row],[Prix_Unit_HT]],2)*Tableau14[[#This Row],[Qte_commande]]</f>
        <v>299</v>
      </c>
      <c r="P1202" s="228">
        <f>ROUND(Tableau14[[#This Row],[Prix_Unit_TTC]],2)*Tableau14[[#This Row],[Qte_commande]]</f>
        <v>358.8</v>
      </c>
      <c r="Q1202" s="224">
        <v>1</v>
      </c>
      <c r="R1202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</v>
      </c>
      <c r="U1202" s="224"/>
      <c r="V1202" s="224"/>
    </row>
    <row r="1203" spans="1:22" ht="14.65" customHeight="1" x14ac:dyDescent="0.2">
      <c r="A1203" s="225">
        <v>43383</v>
      </c>
      <c r="B1203" s="224" t="s">
        <v>1206</v>
      </c>
      <c r="C1203" s="224" t="s">
        <v>1207</v>
      </c>
      <c r="D1203" s="224" t="s">
        <v>233</v>
      </c>
      <c r="E1203" s="226"/>
      <c r="G1203" s="224" t="s">
        <v>13</v>
      </c>
      <c r="H1203" s="224" t="s">
        <v>451</v>
      </c>
      <c r="I1203" s="224" t="s">
        <v>69</v>
      </c>
      <c r="J1203" s="227">
        <v>3</v>
      </c>
      <c r="K1203" s="227">
        <f t="array" ref="K1203">IFERROR(INDEX([1]Grille_Tarifs_Modulable!$B$2:$B$204,MATCH(Tableau14[[#This Row],[Designation]]&amp;Tableau14[[#This Row],[CL]],[1]Grille_Tarifs_Modulable!$C$2:$C$204&amp;[1]Grille_Tarifs_Modulable!$F$2:$F$204,0)),0)</f>
        <v>121</v>
      </c>
      <c r="L1203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299</v>
      </c>
      <c r="M1203" s="228">
        <f>IF(Tableau14[[#This Row],[Prix_Unit_HT]]=0,0,Tableau14[[#This Row],[Prix_Unit_HT]]+(Tableau14[[#This Row],[Prix_Unit_HT]]*VLOOKUP(Tableau14[[#This Row],[EAN]],[1]Grille_Tarifs_Modulable!$B$10:$Q$204,16,FALSE)))</f>
        <v>358.8</v>
      </c>
      <c r="N1203" s="224">
        <v>1</v>
      </c>
      <c r="O1203" s="228">
        <f>ROUND(Tableau14[[#This Row],[Prix_Unit_HT]],2)*Tableau14[[#This Row],[Qte_commande]]</f>
        <v>299</v>
      </c>
      <c r="P1203" s="228">
        <f>ROUND(Tableau14[[#This Row],[Prix_Unit_TTC]],2)*Tableau14[[#This Row],[Qte_commande]]</f>
        <v>358.8</v>
      </c>
      <c r="Q1203" s="224">
        <v>1</v>
      </c>
      <c r="R1203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</v>
      </c>
      <c r="U1203" s="224"/>
      <c r="V1203" s="224"/>
    </row>
    <row r="1204" spans="1:22" ht="14.65" customHeight="1" x14ac:dyDescent="0.2">
      <c r="A1204" s="225">
        <v>43389</v>
      </c>
      <c r="B1204" s="224" t="s">
        <v>857</v>
      </c>
      <c r="C1204" s="224" t="s">
        <v>858</v>
      </c>
      <c r="D1204" s="224" t="s">
        <v>859</v>
      </c>
      <c r="E1204" s="226"/>
      <c r="G1204" s="224" t="s">
        <v>13</v>
      </c>
      <c r="H1204" s="224" t="s">
        <v>289</v>
      </c>
      <c r="I1204" s="224" t="s">
        <v>30</v>
      </c>
      <c r="J1204" s="224">
        <v>70</v>
      </c>
      <c r="K1204" s="227">
        <f t="array" ref="K1204">IFERROR(INDEX([1]Grille_Tarifs_Modulable!$B$2:$B$204,MATCH(Tableau14[[#This Row],[Designation]]&amp;Tableau14[[#This Row],[CL]],[1]Grille_Tarifs_Modulable!$C$2:$C$204&amp;[1]Grille_Tarifs_Modulable!$F$2:$F$204,0)),0)</f>
        <v>3257150101904</v>
      </c>
      <c r="L1204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18.506483000000003</v>
      </c>
      <c r="M1204" s="228">
        <f>IF(Tableau14[[#This Row],[Prix_Unit_HT]]=0,0,Tableau14[[#This Row],[Prix_Unit_HT]]+(Tableau14[[#This Row],[Prix_Unit_HT]]*VLOOKUP(Tableau14[[#This Row],[EAN]],[1]Grille_Tarifs_Modulable!$B$10:$Q$204,16,FALSE)))</f>
        <v>22.207779600000002</v>
      </c>
      <c r="N1204" s="224">
        <v>6</v>
      </c>
      <c r="O1204" s="228">
        <f>ROUND(Tableau14[[#This Row],[Prix_Unit_HT]],2)*Tableau14[[#This Row],[Qte_commande]]</f>
        <v>111.06</v>
      </c>
      <c r="P1204" s="228">
        <f>ROUND(Tableau14[[#This Row],[Prix_Unit_TTC]],2)*Tableau14[[#This Row],[Qte_commande]]</f>
        <v>133.26</v>
      </c>
      <c r="Q1204" s="224">
        <v>6</v>
      </c>
      <c r="R1204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6.0000000000000009</v>
      </c>
      <c r="U1204" s="224"/>
      <c r="V1204" s="224"/>
    </row>
    <row r="1205" spans="1:22" ht="14.65" customHeight="1" x14ac:dyDescent="0.2">
      <c r="A1205" s="225">
        <v>43389</v>
      </c>
      <c r="B1205" s="224" t="s">
        <v>857</v>
      </c>
      <c r="C1205" s="224" t="s">
        <v>858</v>
      </c>
      <c r="D1205" s="224" t="s">
        <v>859</v>
      </c>
      <c r="E1205" s="226"/>
      <c r="G1205" s="224" t="s">
        <v>13</v>
      </c>
      <c r="H1205" s="224" t="s">
        <v>289</v>
      </c>
      <c r="I1205" s="224" t="s">
        <v>36</v>
      </c>
      <c r="J1205" s="224">
        <v>70</v>
      </c>
      <c r="K1205" s="227">
        <f t="array" ref="K1205">IFERROR(INDEX([1]Grille_Tarifs_Modulable!$B$2:$B$204,MATCH(Tableau14[[#This Row],[Designation]]&amp;Tableau14[[#This Row],[CL]],[1]Grille_Tarifs_Modulable!$C$2:$C$204&amp;[1]Grille_Tarifs_Modulable!$F$2:$F$204,0)),0)</f>
        <v>3257150100792</v>
      </c>
      <c r="L1205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78.608643999999998</v>
      </c>
      <c r="M1205" s="228">
        <f>IF(Tableau14[[#This Row],[Prix_Unit_HT]]=0,0,Tableau14[[#This Row],[Prix_Unit_HT]]+(Tableau14[[#This Row],[Prix_Unit_HT]]*VLOOKUP(Tableau14[[#This Row],[EAN]],[1]Grille_Tarifs_Modulable!$B$10:$Q$204,16,FALSE)))</f>
        <v>94.330372799999992</v>
      </c>
      <c r="N1205" s="224">
        <v>1</v>
      </c>
      <c r="O1205" s="228">
        <f>ROUND(Tableau14[[#This Row],[Prix_Unit_HT]],2)*Tableau14[[#This Row],[Qte_commande]]</f>
        <v>78.61</v>
      </c>
      <c r="P1205" s="228">
        <f>ROUND(Tableau14[[#This Row],[Prix_Unit_TTC]],2)*Tableau14[[#This Row],[Qte_commande]]</f>
        <v>94.33</v>
      </c>
      <c r="Q1205" s="224">
        <v>1</v>
      </c>
      <c r="R1205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</v>
      </c>
      <c r="U1205" s="224"/>
      <c r="V1205" s="224"/>
    </row>
    <row r="1206" spans="1:22" ht="14.65" customHeight="1" x14ac:dyDescent="0.2">
      <c r="A1206" s="225">
        <v>43389</v>
      </c>
      <c r="B1206" s="224" t="s">
        <v>857</v>
      </c>
      <c r="C1206" s="224" t="s">
        <v>858</v>
      </c>
      <c r="D1206" s="224" t="s">
        <v>859</v>
      </c>
      <c r="E1206" s="226"/>
      <c r="G1206" s="224" t="s">
        <v>13</v>
      </c>
      <c r="H1206" s="224" t="s">
        <v>289</v>
      </c>
      <c r="I1206" s="224" t="s">
        <v>31</v>
      </c>
      <c r="J1206" s="224">
        <v>70</v>
      </c>
      <c r="K1206" s="227">
        <f t="array" ref="K1206">IFERROR(INDEX([1]Grille_Tarifs_Modulable!$B$2:$B$204,MATCH(Tableau14[[#This Row],[Designation]]&amp;Tableau14[[#This Row],[CL]],[1]Grille_Tarifs_Modulable!$C$2:$C$204&amp;[1]Grille_Tarifs_Modulable!$F$2:$F$204,0)),0)</f>
        <v>3257150102017</v>
      </c>
      <c r="L1206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16.854322</v>
      </c>
      <c r="M1206" s="228">
        <f>IF(Tableau14[[#This Row],[Prix_Unit_HT]]=0,0,Tableau14[[#This Row],[Prix_Unit_HT]]+(Tableau14[[#This Row],[Prix_Unit_HT]]*VLOOKUP(Tableau14[[#This Row],[EAN]],[1]Grille_Tarifs_Modulable!$B$10:$Q$204,16,FALSE)))</f>
        <v>20.225186399999998</v>
      </c>
      <c r="N1206" s="224">
        <v>6</v>
      </c>
      <c r="O1206" s="228">
        <f>ROUND(Tableau14[[#This Row],[Prix_Unit_HT]],2)*Tableau14[[#This Row],[Qte_commande]]</f>
        <v>101.10000000000001</v>
      </c>
      <c r="P1206" s="228">
        <f>ROUND(Tableau14[[#This Row],[Prix_Unit_TTC]],2)*Tableau14[[#This Row],[Qte_commande]]</f>
        <v>121.38</v>
      </c>
      <c r="Q1206" s="224">
        <v>6</v>
      </c>
      <c r="R1206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6.0000000000000009</v>
      </c>
      <c r="U1206" s="224"/>
      <c r="V1206" s="224"/>
    </row>
    <row r="1207" spans="1:22" ht="14.65" customHeight="1" x14ac:dyDescent="0.2">
      <c r="A1207" s="225">
        <v>43391</v>
      </c>
      <c r="B1207" s="224" t="s">
        <v>362</v>
      </c>
      <c r="C1207" s="224" t="s">
        <v>265</v>
      </c>
      <c r="D1207" s="224" t="s">
        <v>266</v>
      </c>
      <c r="E1207" s="226"/>
      <c r="G1207" s="224" t="s">
        <v>1</v>
      </c>
      <c r="H1207" s="224" t="s">
        <v>196</v>
      </c>
      <c r="I1207" s="224" t="s">
        <v>65</v>
      </c>
      <c r="J1207" s="224">
        <v>20</v>
      </c>
      <c r="K1207" s="227">
        <f t="array" ref="K1207">IFERROR(INDEX([1]Grille_Tarifs_Modulable!$B$2:$B$204,MATCH(Tableau14[[#This Row],[Designation]]&amp;Tableau14[[#This Row],[CL]],[1]Grille_Tarifs_Modulable!$C$2:$C$204&amp;[1]Grille_Tarifs_Modulable!$F$2:$F$204,0)),0)</f>
        <v>4260310553863</v>
      </c>
      <c r="L1207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0.81</v>
      </c>
      <c r="M1207" s="228">
        <f>IF(Tableau14[[#This Row],[Prix_Unit_HT]]=0,0,Tableau14[[#This Row],[Prix_Unit_HT]]+(Tableau14[[#This Row],[Prix_Unit_HT]]*VLOOKUP(Tableau14[[#This Row],[EAN]],[1]Grille_Tarifs_Modulable!$B$10:$Q$204,16,FALSE)))</f>
        <v>0.85455000000000003</v>
      </c>
      <c r="N1207" s="224">
        <v>144</v>
      </c>
      <c r="O1207" s="228">
        <f>ROUND(Tableau14[[#This Row],[Prix_Unit_HT]],2)*Tableau14[[#This Row],[Qte_commande]]</f>
        <v>116.64000000000001</v>
      </c>
      <c r="P1207" s="228">
        <f>ROUND(Tableau14[[#This Row],[Prix_Unit_TTC]],2)*Tableau14[[#This Row],[Qte_commande]]</f>
        <v>122.39999999999999</v>
      </c>
      <c r="Q1207" s="224">
        <v>41.14</v>
      </c>
      <c r="R1207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41.142857142857146</v>
      </c>
      <c r="U1207" s="224"/>
      <c r="V1207" s="224"/>
    </row>
    <row r="1208" spans="1:22" ht="14.65" customHeight="1" x14ac:dyDescent="0.2">
      <c r="A1208" s="225">
        <v>43391</v>
      </c>
      <c r="B1208" s="224" t="s">
        <v>362</v>
      </c>
      <c r="C1208" s="224" t="s">
        <v>265</v>
      </c>
      <c r="D1208" s="224" t="s">
        <v>266</v>
      </c>
      <c r="E1208" s="226"/>
      <c r="G1208" s="224" t="s">
        <v>1</v>
      </c>
      <c r="H1208" s="224" t="s">
        <v>289</v>
      </c>
      <c r="I1208" s="224" t="s">
        <v>15</v>
      </c>
      <c r="J1208" s="224">
        <v>70</v>
      </c>
      <c r="K1208" s="227">
        <f t="array" ref="K1208">IFERROR(INDEX([1]Grille_Tarifs_Modulable!$B$2:$B$204,MATCH(Tableau14[[#This Row],[Designation]]&amp;Tableau14[[#This Row],[CL]],[1]Grille_Tarifs_Modulable!$C$2:$C$204&amp;[1]Grille_Tarifs_Modulable!$F$2:$F$204,0)),0)</f>
        <v>4067700013859</v>
      </c>
      <c r="L1208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12.532563499999998</v>
      </c>
      <c r="M1208" s="228">
        <f>IF(Tableau14[[#This Row],[Prix_Unit_HT]]=0,0,Tableau14[[#This Row],[Prix_Unit_HT]]+(Tableau14[[#This Row],[Prix_Unit_HT]]*VLOOKUP(Tableau14[[#This Row],[EAN]],[1]Grille_Tarifs_Modulable!$B$10:$Q$204,16,FALSE)))</f>
        <v>15.039076199999998</v>
      </c>
      <c r="N1208" s="224">
        <v>240</v>
      </c>
      <c r="O1208" s="228">
        <f>ROUND(Tableau14[[#This Row],[Prix_Unit_HT]],2)*Tableau14[[#This Row],[Qte_commande]]</f>
        <v>3007.2</v>
      </c>
      <c r="P1208" s="228">
        <f>ROUND(Tableau14[[#This Row],[Prix_Unit_TTC]],2)*Tableau14[[#This Row],[Qte_commande]]</f>
        <v>3609.6</v>
      </c>
      <c r="Q1208" s="224">
        <v>240</v>
      </c>
      <c r="R1208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240.00000000000003</v>
      </c>
      <c r="U1208" s="224"/>
      <c r="V1208" s="224"/>
    </row>
    <row r="1209" spans="1:22" ht="14.65" customHeight="1" x14ac:dyDescent="0.2">
      <c r="A1209" s="225">
        <v>43391</v>
      </c>
      <c r="B1209" s="224" t="s">
        <v>717</v>
      </c>
      <c r="C1209" s="224" t="s">
        <v>530</v>
      </c>
      <c r="D1209" s="224" t="s">
        <v>531</v>
      </c>
      <c r="E1209" s="226"/>
      <c r="G1209" s="224" t="s">
        <v>1</v>
      </c>
      <c r="H1209" s="224" t="s">
        <v>289</v>
      </c>
      <c r="I1209" s="224" t="s">
        <v>15</v>
      </c>
      <c r="J1209" s="224">
        <v>70</v>
      </c>
      <c r="K1209" s="227">
        <f t="array" ref="K1209">IFERROR(INDEX([1]Grille_Tarifs_Modulable!$B$2:$B$204,MATCH(Tableau14[[#This Row],[Designation]]&amp;Tableau14[[#This Row],[CL]],[1]Grille_Tarifs_Modulable!$C$2:$C$204&amp;[1]Grille_Tarifs_Modulable!$F$2:$F$204,0)),0)</f>
        <v>4067700013859</v>
      </c>
      <c r="L1209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12.532563499999998</v>
      </c>
      <c r="M1209" s="228">
        <f>IF(Tableau14[[#This Row],[Prix_Unit_HT]]=0,0,Tableau14[[#This Row],[Prix_Unit_HT]]+(Tableau14[[#This Row],[Prix_Unit_HT]]*VLOOKUP(Tableau14[[#This Row],[EAN]],[1]Grille_Tarifs_Modulable!$B$10:$Q$204,16,FALSE)))</f>
        <v>15.039076199999998</v>
      </c>
      <c r="N1209" s="224">
        <v>150</v>
      </c>
      <c r="O1209" s="228">
        <f>ROUND(Tableau14[[#This Row],[Prix_Unit_HT]],2)*Tableau14[[#This Row],[Qte_commande]]</f>
        <v>1879.5</v>
      </c>
      <c r="P1209" s="228">
        <f>ROUND(Tableau14[[#This Row],[Prix_Unit_TTC]],2)*Tableau14[[#This Row],[Qte_commande]]</f>
        <v>2256</v>
      </c>
      <c r="Q1209" s="224">
        <v>150</v>
      </c>
      <c r="R1209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150</v>
      </c>
      <c r="U1209" s="224"/>
      <c r="V1209" s="224"/>
    </row>
    <row r="1210" spans="1:22" ht="14.65" customHeight="1" x14ac:dyDescent="0.2">
      <c r="A1210" s="225">
        <v>43391</v>
      </c>
      <c r="B1210" s="224" t="s">
        <v>362</v>
      </c>
      <c r="C1210" s="224" t="s">
        <v>265</v>
      </c>
      <c r="D1210" s="224" t="s">
        <v>266</v>
      </c>
      <c r="E1210" s="226"/>
      <c r="G1210" s="224" t="s">
        <v>1</v>
      </c>
      <c r="H1210" s="224" t="s">
        <v>196</v>
      </c>
      <c r="I1210" s="224" t="s">
        <v>64</v>
      </c>
      <c r="J1210" s="224">
        <v>20</v>
      </c>
      <c r="K1210" s="227">
        <f t="array" ref="K1210">IFERROR(INDEX([1]Grille_Tarifs_Modulable!$B$2:$B$204,MATCH(Tableau14[[#This Row],[Designation]]&amp;Tableau14[[#This Row],[CL]],[1]Grille_Tarifs_Modulable!$C$2:$C$204&amp;[1]Grille_Tarifs_Modulable!$F$2:$F$204,0)),0)</f>
        <v>4260310553849</v>
      </c>
      <c r="L1210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0.81</v>
      </c>
      <c r="M1210" s="228">
        <f>IF(Tableau14[[#This Row],[Prix_Unit_HT]]=0,0,Tableau14[[#This Row],[Prix_Unit_HT]]+(Tableau14[[#This Row],[Prix_Unit_HT]]*VLOOKUP(Tableau14[[#This Row],[EAN]],[1]Grille_Tarifs_Modulable!$B$10:$Q$204,16,FALSE)))</f>
        <v>0.85455000000000003</v>
      </c>
      <c r="N1210" s="224">
        <v>72</v>
      </c>
      <c r="O1210" s="228">
        <f>ROUND(Tableau14[[#This Row],[Prix_Unit_HT]],2)*Tableau14[[#This Row],[Qte_commande]]</f>
        <v>58.320000000000007</v>
      </c>
      <c r="P1210" s="228">
        <f>ROUND(Tableau14[[#This Row],[Prix_Unit_TTC]],2)*Tableau14[[#This Row],[Qte_commande]]</f>
        <v>61.199999999999996</v>
      </c>
      <c r="Q1210" s="224">
        <v>20.57</v>
      </c>
      <c r="R1210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20.571428571428573</v>
      </c>
      <c r="U1210" s="224"/>
      <c r="V1210" s="224"/>
    </row>
    <row r="1211" spans="1:22" ht="14.65" customHeight="1" x14ac:dyDescent="0.2">
      <c r="A1211" s="225">
        <v>43391</v>
      </c>
      <c r="B1211" s="224" t="s">
        <v>362</v>
      </c>
      <c r="C1211" s="224" t="s">
        <v>265</v>
      </c>
      <c r="D1211" s="224" t="s">
        <v>266</v>
      </c>
      <c r="E1211" s="226"/>
      <c r="G1211" s="224" t="s">
        <v>1</v>
      </c>
      <c r="H1211" s="224" t="s">
        <v>196</v>
      </c>
      <c r="I1211" s="224" t="s">
        <v>59</v>
      </c>
      <c r="J1211" s="224">
        <v>20</v>
      </c>
      <c r="K1211" s="227">
        <f t="array" ref="K1211">IFERROR(INDEX([1]Grille_Tarifs_Modulable!$B$2:$B$204,MATCH(Tableau14[[#This Row],[Designation]]&amp;Tableau14[[#This Row],[CL]],[1]Grille_Tarifs_Modulable!$C$2:$C$204&amp;[1]Grille_Tarifs_Modulable!$F$2:$F$204,0)),0)</f>
        <v>4260310553818</v>
      </c>
      <c r="L1211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0.81</v>
      </c>
      <c r="M1211" s="228">
        <f>IF(Tableau14[[#This Row],[Prix_Unit_HT]]=0,0,Tableau14[[#This Row],[Prix_Unit_HT]]+(Tableau14[[#This Row],[Prix_Unit_HT]]*VLOOKUP(Tableau14[[#This Row],[EAN]],[1]Grille_Tarifs_Modulable!$B$10:$Q$204,16,FALSE)))</f>
        <v>0.85455000000000003</v>
      </c>
      <c r="N1211" s="224">
        <v>144</v>
      </c>
      <c r="O1211" s="228">
        <f>ROUND(Tableau14[[#This Row],[Prix_Unit_HT]],2)*Tableau14[[#This Row],[Qte_commande]]</f>
        <v>116.64000000000001</v>
      </c>
      <c r="P1211" s="228">
        <f>ROUND(Tableau14[[#This Row],[Prix_Unit_TTC]],2)*Tableau14[[#This Row],[Qte_commande]]</f>
        <v>122.39999999999999</v>
      </c>
      <c r="Q1211" s="224">
        <v>41.14</v>
      </c>
      <c r="R1211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41.142857142857146</v>
      </c>
      <c r="U1211" s="224"/>
      <c r="V1211" s="224"/>
    </row>
    <row r="1212" spans="1:22" ht="14.65" customHeight="1" x14ac:dyDescent="0.2">
      <c r="A1212" s="225">
        <v>43396</v>
      </c>
      <c r="B1212" s="224" t="s">
        <v>338</v>
      </c>
      <c r="C1212" s="224" t="s">
        <v>198</v>
      </c>
      <c r="D1212" s="224" t="s">
        <v>199</v>
      </c>
      <c r="E1212" s="226"/>
      <c r="G1212" s="224" t="s">
        <v>1</v>
      </c>
      <c r="H1212" s="224" t="s">
        <v>289</v>
      </c>
      <c r="I1212" s="224" t="s">
        <v>22</v>
      </c>
      <c r="J1212" s="224">
        <v>70</v>
      </c>
      <c r="K1212" s="227">
        <f t="array" ref="K1212">IFERROR(INDEX([1]Grille_Tarifs_Modulable!$B$2:$B$204,MATCH(Tableau14[[#This Row],[Designation]]&amp;Tableau14[[#This Row],[CL]],[1]Grille_Tarifs_Modulable!$C$2:$C$204&amp;[1]Grille_Tarifs_Modulable!$F$2:$F$204,0)),0)</f>
        <v>4055800060200</v>
      </c>
      <c r="L1212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17.408644000000002</v>
      </c>
      <c r="M1212" s="228">
        <f>IF(Tableau14[[#This Row],[Prix_Unit_HT]]=0,0,Tableau14[[#This Row],[Prix_Unit_HT]]+(Tableau14[[#This Row],[Prix_Unit_HT]]*VLOOKUP(Tableau14[[#This Row],[EAN]],[1]Grille_Tarifs_Modulable!$B$10:$Q$204,16,FALSE)))</f>
        <v>20.890372800000002</v>
      </c>
      <c r="N1212" s="224">
        <v>2</v>
      </c>
      <c r="O1212" s="228">
        <f>ROUND(Tableau14[[#This Row],[Prix_Unit_HT]],2)*Tableau14[[#This Row],[Qte_commande]]</f>
        <v>34.82</v>
      </c>
      <c r="P1212" s="228">
        <f>ROUND(Tableau14[[#This Row],[Prix_Unit_TTC]],2)*Tableau14[[#This Row],[Qte_commande]]</f>
        <v>41.78</v>
      </c>
      <c r="Q1212" s="224">
        <v>2</v>
      </c>
      <c r="R1212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2</v>
      </c>
      <c r="U1212" s="224"/>
      <c r="V1212" s="224"/>
    </row>
    <row r="1213" spans="1:22" ht="14.65" customHeight="1" x14ac:dyDescent="0.2">
      <c r="A1213" s="225">
        <v>43396</v>
      </c>
      <c r="B1213" s="224" t="s">
        <v>338</v>
      </c>
      <c r="C1213" s="224" t="s">
        <v>198</v>
      </c>
      <c r="D1213" s="224" t="s">
        <v>199</v>
      </c>
      <c r="E1213" s="226"/>
      <c r="G1213" s="224" t="s">
        <v>1</v>
      </c>
      <c r="H1213" s="224" t="s">
        <v>289</v>
      </c>
      <c r="I1213" s="224" t="s">
        <v>22</v>
      </c>
      <c r="J1213" s="224">
        <v>70</v>
      </c>
      <c r="K1213" s="227">
        <f t="array" ref="K1213">IFERROR(INDEX([1]Grille_Tarifs_Modulable!$B$2:$B$204,MATCH(Tableau14[[#This Row],[Designation]]&amp;Tableau14[[#This Row],[CL]],[1]Grille_Tarifs_Modulable!$C$2:$C$204&amp;[1]Grille_Tarifs_Modulable!$F$2:$F$204,0)),0)</f>
        <v>4055800060200</v>
      </c>
      <c r="L1213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17.408644000000002</v>
      </c>
      <c r="M1213" s="228">
        <f>IF(Tableau14[[#This Row],[Prix_Unit_HT]]=0,0,Tableau14[[#This Row],[Prix_Unit_HT]]+(Tableau14[[#This Row],[Prix_Unit_HT]]*VLOOKUP(Tableau14[[#This Row],[EAN]],[1]Grille_Tarifs_Modulable!$B$10:$Q$204,16,FALSE)))</f>
        <v>20.890372800000002</v>
      </c>
      <c r="N1213" s="224">
        <v>30</v>
      </c>
      <c r="O1213" s="228">
        <f>ROUND(Tableau14[[#This Row],[Prix_Unit_HT]],2)*Tableau14[[#This Row],[Qte_commande]]</f>
        <v>522.29999999999995</v>
      </c>
      <c r="P1213" s="228">
        <f>ROUND(Tableau14[[#This Row],[Prix_Unit_TTC]],2)*Tableau14[[#This Row],[Qte_commande]]</f>
        <v>626.70000000000005</v>
      </c>
      <c r="Q1213" s="224">
        <v>30</v>
      </c>
      <c r="R1213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30.000000000000004</v>
      </c>
      <c r="U1213" s="224"/>
      <c r="V1213" s="224"/>
    </row>
    <row r="1214" spans="1:22" ht="14.65" customHeight="1" x14ac:dyDescent="0.2">
      <c r="A1214" s="225">
        <v>43396</v>
      </c>
      <c r="B1214" s="224" t="s">
        <v>521</v>
      </c>
      <c r="C1214" s="224" t="s">
        <v>522</v>
      </c>
      <c r="D1214" s="224" t="s">
        <v>523</v>
      </c>
      <c r="E1214" s="226"/>
      <c r="G1214" s="224" t="s">
        <v>13</v>
      </c>
      <c r="H1214" s="224" t="s">
        <v>289</v>
      </c>
      <c r="I1214" s="224" t="s">
        <v>47</v>
      </c>
      <c r="J1214" s="224">
        <v>70</v>
      </c>
      <c r="K1214" s="227">
        <f t="array" ref="K1214">IFERROR(INDEX([1]Grille_Tarifs_Modulable!$B$2:$B$204,MATCH(Tableau14[[#This Row],[Designation]]&amp;Tableau14[[#This Row],[CL]],[1]Grille_Tarifs_Modulable!$C$2:$C$204&amp;[1]Grille_Tarifs_Modulable!$F$2:$F$204,0)),0)</f>
        <v>3257150673005</v>
      </c>
      <c r="L1214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26.848644</v>
      </c>
      <c r="M1214" s="228">
        <f>IF(Tableau14[[#This Row],[Prix_Unit_HT]]=0,0,Tableau14[[#This Row],[Prix_Unit_HT]]+(Tableau14[[#This Row],[Prix_Unit_HT]]*VLOOKUP(Tableau14[[#This Row],[EAN]],[1]Grille_Tarifs_Modulable!$B$10:$Q$204,16,FALSE)))</f>
        <v>32.218372799999997</v>
      </c>
      <c r="N1214" s="224">
        <v>3</v>
      </c>
      <c r="O1214" s="228">
        <f>ROUND(Tableau14[[#This Row],[Prix_Unit_HT]],2)*Tableau14[[#This Row],[Qte_commande]]</f>
        <v>80.550000000000011</v>
      </c>
      <c r="P1214" s="228">
        <f>ROUND(Tableau14[[#This Row],[Prix_Unit_TTC]],2)*Tableau14[[#This Row],[Qte_commande]]</f>
        <v>96.66</v>
      </c>
      <c r="Q1214" s="224">
        <v>3</v>
      </c>
      <c r="R1214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3.0000000000000004</v>
      </c>
      <c r="U1214" s="224"/>
      <c r="V1214" s="224"/>
    </row>
    <row r="1215" spans="1:22" ht="14.65" customHeight="1" x14ac:dyDescent="0.2">
      <c r="A1215" s="225">
        <v>43396</v>
      </c>
      <c r="B1215" s="224" t="s">
        <v>338</v>
      </c>
      <c r="C1215" s="224" t="s">
        <v>198</v>
      </c>
      <c r="D1215" s="224" t="s">
        <v>199</v>
      </c>
      <c r="E1215" s="226"/>
      <c r="G1215" s="224" t="s">
        <v>1</v>
      </c>
      <c r="H1215" s="224" t="s">
        <v>289</v>
      </c>
      <c r="I1215" s="224" t="s">
        <v>15</v>
      </c>
      <c r="J1215" s="224">
        <v>175</v>
      </c>
      <c r="K1215" s="227">
        <f t="array" ref="K1215">IFERROR(INDEX([1]Grille_Tarifs_Modulable!$B$2:$B$204,MATCH(Tableau14[[#This Row],[Designation]]&amp;Tableau14[[#This Row],[CL]],[1]Grille_Tarifs_Modulable!$C$2:$C$204&amp;[1]Grille_Tarifs_Modulable!$F$2:$F$204,0)),0)</f>
        <v>4067700013835</v>
      </c>
      <c r="L1215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28.916408750000002</v>
      </c>
      <c r="M1215" s="228">
        <f>IF(Tableau14[[#This Row],[Prix_Unit_HT]]=0,0,Tableau14[[#This Row],[Prix_Unit_HT]]+(Tableau14[[#This Row],[Prix_Unit_HT]]*VLOOKUP(Tableau14[[#This Row],[EAN]],[1]Grille_Tarifs_Modulable!$B$10:$Q$204,16,FALSE)))</f>
        <v>34.699690500000003</v>
      </c>
      <c r="N1215" s="224">
        <v>30</v>
      </c>
      <c r="O1215" s="228">
        <f>ROUND(Tableau14[[#This Row],[Prix_Unit_HT]],2)*Tableau14[[#This Row],[Qte_commande]]</f>
        <v>867.6</v>
      </c>
      <c r="P1215" s="228">
        <f>ROUND(Tableau14[[#This Row],[Prix_Unit_TTC]],2)*Tableau14[[#This Row],[Qte_commande]]</f>
        <v>1041</v>
      </c>
      <c r="Q1215" s="224">
        <v>75</v>
      </c>
      <c r="R1215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75</v>
      </c>
      <c r="U1215" s="224"/>
      <c r="V1215" s="224"/>
    </row>
    <row r="1216" spans="1:22" ht="14.65" customHeight="1" x14ac:dyDescent="0.2">
      <c r="A1216" s="225">
        <v>43396</v>
      </c>
      <c r="B1216" s="224" t="s">
        <v>338</v>
      </c>
      <c r="C1216" s="224" t="s">
        <v>198</v>
      </c>
      <c r="D1216" s="224" t="s">
        <v>199</v>
      </c>
      <c r="E1216" s="226"/>
      <c r="G1216" s="224" t="s">
        <v>1</v>
      </c>
      <c r="H1216" s="224" t="s">
        <v>289</v>
      </c>
      <c r="I1216" s="224" t="s">
        <v>15</v>
      </c>
      <c r="J1216" s="224">
        <v>175</v>
      </c>
      <c r="K1216" s="227">
        <f t="array" ref="K1216">IFERROR(INDEX([1]Grille_Tarifs_Modulable!$B$2:$B$204,MATCH(Tableau14[[#This Row],[Designation]]&amp;Tableau14[[#This Row],[CL]],[1]Grille_Tarifs_Modulable!$C$2:$C$204&amp;[1]Grille_Tarifs_Modulable!$F$2:$F$204,0)),0)</f>
        <v>4067700013835</v>
      </c>
      <c r="L1216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28.916408750000002</v>
      </c>
      <c r="M1216" s="228">
        <f>IF(Tableau14[[#This Row],[Prix_Unit_HT]]=0,0,Tableau14[[#This Row],[Prix_Unit_HT]]+(Tableau14[[#This Row],[Prix_Unit_HT]]*VLOOKUP(Tableau14[[#This Row],[EAN]],[1]Grille_Tarifs_Modulable!$B$10:$Q$204,16,FALSE)))</f>
        <v>34.699690500000003</v>
      </c>
      <c r="N1216" s="224">
        <v>12</v>
      </c>
      <c r="O1216" s="228">
        <f>ROUND(Tableau14[[#This Row],[Prix_Unit_HT]],2)*Tableau14[[#This Row],[Qte_commande]]</f>
        <v>347.04</v>
      </c>
      <c r="P1216" s="228">
        <f>ROUND(Tableau14[[#This Row],[Prix_Unit_TTC]],2)*Tableau14[[#This Row],[Qte_commande]]</f>
        <v>416.40000000000003</v>
      </c>
      <c r="Q1216" s="224">
        <v>30</v>
      </c>
      <c r="R1216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30.000000000000004</v>
      </c>
      <c r="U1216" s="224"/>
      <c r="V1216" s="224"/>
    </row>
    <row r="1217" spans="1:22" ht="14.65" customHeight="1" x14ac:dyDescent="0.2">
      <c r="A1217" s="225">
        <v>43396</v>
      </c>
      <c r="B1217" s="224" t="s">
        <v>521</v>
      </c>
      <c r="C1217" s="224" t="s">
        <v>522</v>
      </c>
      <c r="D1217" s="224" t="s">
        <v>523</v>
      </c>
      <c r="E1217" s="226"/>
      <c r="G1217" s="224" t="s">
        <v>13</v>
      </c>
      <c r="H1217" s="224" t="s">
        <v>289</v>
      </c>
      <c r="I1217" s="224" t="s">
        <v>30</v>
      </c>
      <c r="J1217" s="224">
        <v>70</v>
      </c>
      <c r="K1217" s="227">
        <f t="array" ref="K1217">IFERROR(INDEX([1]Grille_Tarifs_Modulable!$B$2:$B$204,MATCH(Tableau14[[#This Row],[Designation]]&amp;Tableau14[[#This Row],[CL]],[1]Grille_Tarifs_Modulable!$C$2:$C$204&amp;[1]Grille_Tarifs_Modulable!$F$2:$F$204,0)),0)</f>
        <v>3257150101904</v>
      </c>
      <c r="L1217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18.506483000000003</v>
      </c>
      <c r="M1217" s="228">
        <f>IF(Tableau14[[#This Row],[Prix_Unit_HT]]=0,0,Tableau14[[#This Row],[Prix_Unit_HT]]+(Tableau14[[#This Row],[Prix_Unit_HT]]*VLOOKUP(Tableau14[[#This Row],[EAN]],[1]Grille_Tarifs_Modulable!$B$10:$Q$204,16,FALSE)))</f>
        <v>22.207779600000002</v>
      </c>
      <c r="N1217" s="224">
        <v>6</v>
      </c>
      <c r="O1217" s="228">
        <f>ROUND(Tableau14[[#This Row],[Prix_Unit_HT]],2)*Tableau14[[#This Row],[Qte_commande]]</f>
        <v>111.06</v>
      </c>
      <c r="P1217" s="228">
        <f>ROUND(Tableau14[[#This Row],[Prix_Unit_TTC]],2)*Tableau14[[#This Row],[Qte_commande]]</f>
        <v>133.26</v>
      </c>
      <c r="Q1217" s="224">
        <v>6</v>
      </c>
      <c r="R1217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6.0000000000000009</v>
      </c>
      <c r="U1217" s="224"/>
      <c r="V1217" s="224"/>
    </row>
    <row r="1218" spans="1:22" ht="14.65" customHeight="1" x14ac:dyDescent="0.2">
      <c r="A1218" s="225">
        <v>43396</v>
      </c>
      <c r="B1218" s="224" t="s">
        <v>338</v>
      </c>
      <c r="C1218" s="224" t="s">
        <v>198</v>
      </c>
      <c r="D1218" s="224" t="s">
        <v>199</v>
      </c>
      <c r="E1218" s="226"/>
      <c r="G1218" s="224" t="s">
        <v>1</v>
      </c>
      <c r="H1218" s="224" t="s">
        <v>289</v>
      </c>
      <c r="I1218" s="224" t="s">
        <v>32</v>
      </c>
      <c r="J1218" s="224">
        <v>70</v>
      </c>
      <c r="K1218" s="227">
        <f t="array" ref="K1218">IFERROR(INDEX([1]Grille_Tarifs_Modulable!$B$2:$B$204,MATCH(Tableau14[[#This Row],[Designation]]&amp;Tableau14[[#This Row],[CL]],[1]Grille_Tarifs_Modulable!$C$2:$C$204&amp;[1]Grille_Tarifs_Modulable!$F$2:$F$204,0)),0)</f>
        <v>3257150100228</v>
      </c>
      <c r="L1218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19.998643999999999</v>
      </c>
      <c r="M1218" s="228">
        <f>IF(Tableau14[[#This Row],[Prix_Unit_HT]]=0,0,Tableau14[[#This Row],[Prix_Unit_HT]]+(Tableau14[[#This Row],[Prix_Unit_HT]]*VLOOKUP(Tableau14[[#This Row],[EAN]],[1]Grille_Tarifs_Modulable!$B$10:$Q$204,16,FALSE)))</f>
        <v>23.998372799999999</v>
      </c>
      <c r="N1218" s="224">
        <v>6</v>
      </c>
      <c r="O1218" s="228">
        <f>ROUND(Tableau14[[#This Row],[Prix_Unit_HT]],2)*Tableau14[[#This Row],[Qte_commande]]</f>
        <v>120</v>
      </c>
      <c r="P1218" s="228">
        <f>ROUND(Tableau14[[#This Row],[Prix_Unit_TTC]],2)*Tableau14[[#This Row],[Qte_commande]]</f>
        <v>144</v>
      </c>
      <c r="Q1218" s="224">
        <v>6</v>
      </c>
      <c r="R1218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6.0000000000000009</v>
      </c>
      <c r="U1218" s="224"/>
      <c r="V1218" s="224"/>
    </row>
    <row r="1219" spans="1:22" ht="14.65" customHeight="1" x14ac:dyDescent="0.2">
      <c r="A1219" s="225">
        <v>43396</v>
      </c>
      <c r="B1219" s="224" t="s">
        <v>521</v>
      </c>
      <c r="C1219" s="224" t="s">
        <v>522</v>
      </c>
      <c r="D1219" s="224" t="s">
        <v>523</v>
      </c>
      <c r="E1219" s="226"/>
      <c r="G1219" s="224" t="s">
        <v>13</v>
      </c>
      <c r="H1219" s="224" t="s">
        <v>289</v>
      </c>
      <c r="I1219" s="224" t="s">
        <v>31</v>
      </c>
      <c r="J1219" s="224">
        <v>70</v>
      </c>
      <c r="K1219" s="227">
        <f t="array" ref="K1219">IFERROR(INDEX([1]Grille_Tarifs_Modulable!$B$2:$B$204,MATCH(Tableau14[[#This Row],[Designation]]&amp;Tableau14[[#This Row],[CL]],[1]Grille_Tarifs_Modulable!$C$2:$C$204&amp;[1]Grille_Tarifs_Modulable!$F$2:$F$204,0)),0)</f>
        <v>3257150102017</v>
      </c>
      <c r="L1219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16.854322</v>
      </c>
      <c r="M1219" s="228">
        <f>IF(Tableau14[[#This Row],[Prix_Unit_HT]]=0,0,Tableau14[[#This Row],[Prix_Unit_HT]]+(Tableau14[[#This Row],[Prix_Unit_HT]]*VLOOKUP(Tableau14[[#This Row],[EAN]],[1]Grille_Tarifs_Modulable!$B$10:$Q$204,16,FALSE)))</f>
        <v>20.225186399999998</v>
      </c>
      <c r="N1219" s="224">
        <v>6</v>
      </c>
      <c r="O1219" s="228">
        <f>ROUND(Tableau14[[#This Row],[Prix_Unit_HT]],2)*Tableau14[[#This Row],[Qte_commande]]</f>
        <v>101.10000000000001</v>
      </c>
      <c r="P1219" s="228">
        <f>ROUND(Tableau14[[#This Row],[Prix_Unit_TTC]],2)*Tableau14[[#This Row],[Qte_commande]]</f>
        <v>121.38</v>
      </c>
      <c r="Q1219" s="224">
        <v>6</v>
      </c>
      <c r="R1219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6.0000000000000009</v>
      </c>
      <c r="U1219" s="224"/>
      <c r="V1219" s="224"/>
    </row>
    <row r="1220" spans="1:22" ht="14.65" customHeight="1" x14ac:dyDescent="0.2">
      <c r="A1220" s="225">
        <v>43396</v>
      </c>
      <c r="B1220" s="224" t="s">
        <v>338</v>
      </c>
      <c r="C1220" s="224" t="s">
        <v>198</v>
      </c>
      <c r="D1220" s="224" t="s">
        <v>199</v>
      </c>
      <c r="E1220" s="226"/>
      <c r="G1220" s="224" t="s">
        <v>1</v>
      </c>
      <c r="H1220" s="224" t="s">
        <v>289</v>
      </c>
      <c r="I1220" s="224" t="s">
        <v>44</v>
      </c>
      <c r="J1220" s="224">
        <v>50</v>
      </c>
      <c r="K1220" s="227">
        <f t="array" ref="K1220">IFERROR(INDEX([1]Grille_Tarifs_Modulable!$B$2:$B$204,MATCH(Tableau14[[#This Row],[Designation]]&amp;Tableau14[[#This Row],[CL]],[1]Grille_Tarifs_Modulable!$C$2:$C$204&amp;[1]Grille_Tarifs_Modulable!$F$2:$F$204,0)),0)</f>
        <v>4260270192645</v>
      </c>
      <c r="L1220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25.192506000000002</v>
      </c>
      <c r="M1220" s="228">
        <f>IF(Tableau14[[#This Row],[Prix_Unit_HT]]=0,0,Tableau14[[#This Row],[Prix_Unit_HT]]+(Tableau14[[#This Row],[Prix_Unit_HT]]*VLOOKUP(Tableau14[[#This Row],[EAN]],[1]Grille_Tarifs_Modulable!$B$10:$Q$204,16,FALSE)))</f>
        <v>30.231007200000001</v>
      </c>
      <c r="N1220" s="224">
        <v>6</v>
      </c>
      <c r="O1220" s="228">
        <f>ROUND(Tableau14[[#This Row],[Prix_Unit_HT]],2)*Tableau14[[#This Row],[Qte_commande]]</f>
        <v>151.14000000000001</v>
      </c>
      <c r="P1220" s="228">
        <f>ROUND(Tableau14[[#This Row],[Prix_Unit_TTC]],2)*Tableau14[[#This Row],[Qte_commande]]</f>
        <v>181.38</v>
      </c>
      <c r="Q1220" s="224">
        <v>4.29</v>
      </c>
      <c r="R1220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4.2857142857142856</v>
      </c>
      <c r="U1220" s="224"/>
      <c r="V1220" s="224"/>
    </row>
    <row r="1221" spans="1:22" ht="14.65" customHeight="1" x14ac:dyDescent="0.2">
      <c r="A1221" s="225">
        <v>43396</v>
      </c>
      <c r="B1221" s="224" t="s">
        <v>960</v>
      </c>
      <c r="C1221" s="224" t="s">
        <v>251</v>
      </c>
      <c r="D1221" s="224" t="s">
        <v>180</v>
      </c>
      <c r="E1221" s="226"/>
      <c r="G1221" s="224" t="s">
        <v>13</v>
      </c>
      <c r="H1221" s="224" t="s">
        <v>196</v>
      </c>
      <c r="I1221" s="224" t="s">
        <v>64</v>
      </c>
      <c r="J1221" s="224">
        <v>20</v>
      </c>
      <c r="K1221" s="227">
        <f t="array" ref="K1221">IFERROR(INDEX([1]Grille_Tarifs_Modulable!$B$2:$B$204,MATCH(Tableau14[[#This Row],[Designation]]&amp;Tableau14[[#This Row],[CL]],[1]Grille_Tarifs_Modulable!$C$2:$C$204&amp;[1]Grille_Tarifs_Modulable!$F$2:$F$204,0)),0)</f>
        <v>4260310553849</v>
      </c>
      <c r="L1221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0.89</v>
      </c>
      <c r="M1221" s="228">
        <f>IF(Tableau14[[#This Row],[Prix_Unit_HT]]=0,0,Tableau14[[#This Row],[Prix_Unit_HT]]+(Tableau14[[#This Row],[Prix_Unit_HT]]*VLOOKUP(Tableau14[[#This Row],[EAN]],[1]Grille_Tarifs_Modulable!$B$10:$Q$204,16,FALSE)))</f>
        <v>0.93895000000000006</v>
      </c>
      <c r="N1221" s="224">
        <v>24</v>
      </c>
      <c r="O1221" s="228">
        <f>ROUND(Tableau14[[#This Row],[Prix_Unit_HT]],2)*Tableau14[[#This Row],[Qte_commande]]</f>
        <v>21.36</v>
      </c>
      <c r="P1221" s="228">
        <f>ROUND(Tableau14[[#This Row],[Prix_Unit_TTC]],2)*Tableau14[[#This Row],[Qte_commande]]</f>
        <v>22.56</v>
      </c>
      <c r="Q1221" s="224">
        <v>6.86</v>
      </c>
      <c r="R1221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6.8571428571428577</v>
      </c>
      <c r="U1221" s="224"/>
      <c r="V1221" s="224"/>
    </row>
    <row r="1222" spans="1:22" ht="14.65" customHeight="1" x14ac:dyDescent="0.2">
      <c r="A1222" s="225">
        <v>43404</v>
      </c>
      <c r="B1222" s="224" t="s">
        <v>339</v>
      </c>
      <c r="C1222" s="224" t="s">
        <v>308</v>
      </c>
      <c r="D1222" s="224" t="s">
        <v>309</v>
      </c>
      <c r="E1222" s="226"/>
      <c r="G1222" s="224" t="s">
        <v>1</v>
      </c>
      <c r="H1222" s="224" t="s">
        <v>289</v>
      </c>
      <c r="I1222" s="224" t="s">
        <v>22</v>
      </c>
      <c r="J1222" s="224">
        <v>70</v>
      </c>
      <c r="K1222" s="227">
        <f t="array" ref="K1222">IFERROR(INDEX([1]Grille_Tarifs_Modulable!$B$2:$B$204,MATCH(Tableau14[[#This Row],[Designation]]&amp;Tableau14[[#This Row],[CL]],[1]Grille_Tarifs_Modulable!$C$2:$C$204&amp;[1]Grille_Tarifs_Modulable!$F$2:$F$204,0)),0)</f>
        <v>4055800060200</v>
      </c>
      <c r="L1222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17.408644000000002</v>
      </c>
      <c r="M1222" s="228">
        <f>IF(Tableau14[[#This Row],[Prix_Unit_HT]]=0,0,Tableau14[[#This Row],[Prix_Unit_HT]]+(Tableau14[[#This Row],[Prix_Unit_HT]]*VLOOKUP(Tableau14[[#This Row],[EAN]],[1]Grille_Tarifs_Modulable!$B$10:$Q$204,16,FALSE)))</f>
        <v>20.890372800000002</v>
      </c>
      <c r="N1222" s="224">
        <v>6</v>
      </c>
      <c r="O1222" s="228">
        <f>ROUND(Tableau14[[#This Row],[Prix_Unit_HT]],2)*Tableau14[[#This Row],[Qte_commande]]</f>
        <v>104.46000000000001</v>
      </c>
      <c r="P1222" s="228">
        <f>ROUND(Tableau14[[#This Row],[Prix_Unit_TTC]],2)*Tableau14[[#This Row],[Qte_commande]]</f>
        <v>125.34</v>
      </c>
      <c r="Q1222" s="224">
        <v>6</v>
      </c>
      <c r="R1222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6.0000000000000009</v>
      </c>
      <c r="U1222" s="224"/>
      <c r="V1222" s="224"/>
    </row>
    <row r="1223" spans="1:22" ht="14.65" customHeight="1" x14ac:dyDescent="0.2">
      <c r="A1223" s="225">
        <v>43404</v>
      </c>
      <c r="B1223" s="224" t="s">
        <v>339</v>
      </c>
      <c r="C1223" s="224" t="s">
        <v>308</v>
      </c>
      <c r="D1223" s="224" t="s">
        <v>309</v>
      </c>
      <c r="E1223" s="226"/>
      <c r="G1223" s="224" t="s">
        <v>1</v>
      </c>
      <c r="H1223" s="224" t="s">
        <v>289</v>
      </c>
      <c r="I1223" s="224" t="s">
        <v>15</v>
      </c>
      <c r="J1223" s="224">
        <v>100</v>
      </c>
      <c r="K1223" s="227">
        <f t="array" ref="K1223">IFERROR(INDEX([1]Grille_Tarifs_Modulable!$B$2:$B$204,MATCH(Tableau14[[#This Row],[Designation]]&amp;Tableau14[[#This Row],[CL]],[1]Grille_Tarifs_Modulable!$C$2:$C$204&amp;[1]Grille_Tarifs_Modulable!$F$2:$F$204,0)),0)</f>
        <v>4067700013842</v>
      </c>
      <c r="L1223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17.100804999999998</v>
      </c>
      <c r="M1223" s="228">
        <f>IF(Tableau14[[#This Row],[Prix_Unit_HT]]=0,0,Tableau14[[#This Row],[Prix_Unit_HT]]+(Tableau14[[#This Row],[Prix_Unit_HT]]*VLOOKUP(Tableau14[[#This Row],[EAN]],[1]Grille_Tarifs_Modulable!$B$10:$Q$204,16,FALSE)))</f>
        <v>20.520965999999998</v>
      </c>
      <c r="N1223" s="224">
        <v>174</v>
      </c>
      <c r="O1223" s="228">
        <f>ROUND(Tableau14[[#This Row],[Prix_Unit_HT]],2)*Tableau14[[#This Row],[Qte_commande]]</f>
        <v>2975.4</v>
      </c>
      <c r="P1223" s="228">
        <f>ROUND(Tableau14[[#This Row],[Prix_Unit_TTC]],2)*Tableau14[[#This Row],[Qte_commande]]</f>
        <v>3570.48</v>
      </c>
      <c r="Q1223" s="224">
        <v>248.57</v>
      </c>
      <c r="R1223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248.57142857142858</v>
      </c>
      <c r="U1223" s="224"/>
      <c r="V1223" s="224"/>
    </row>
    <row r="1224" spans="1:22" ht="14.65" customHeight="1" x14ac:dyDescent="0.2">
      <c r="A1224" s="225">
        <v>43404</v>
      </c>
      <c r="B1224" s="224" t="s">
        <v>339</v>
      </c>
      <c r="C1224" s="224" t="s">
        <v>308</v>
      </c>
      <c r="D1224" s="224" t="s">
        <v>309</v>
      </c>
      <c r="E1224" s="226"/>
      <c r="G1224" s="224" t="s">
        <v>1</v>
      </c>
      <c r="H1224" s="224" t="s">
        <v>289</v>
      </c>
      <c r="I1224" s="224" t="s">
        <v>15</v>
      </c>
      <c r="J1224" s="224">
        <v>100</v>
      </c>
      <c r="K1224" s="227">
        <f t="array" ref="K1224">IFERROR(INDEX([1]Grille_Tarifs_Modulable!$B$2:$B$204,MATCH(Tableau14[[#This Row],[Designation]]&amp;Tableau14[[#This Row],[CL]],[1]Grille_Tarifs_Modulable!$C$2:$C$204&amp;[1]Grille_Tarifs_Modulable!$F$2:$F$204,0)),0)</f>
        <v>4067700013842</v>
      </c>
      <c r="L1224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17.100804999999998</v>
      </c>
      <c r="M1224" s="228">
        <f>IF(Tableau14[[#This Row],[Prix_Unit_HT]]=0,0,Tableau14[[#This Row],[Prix_Unit_HT]]+(Tableau14[[#This Row],[Prix_Unit_HT]]*VLOOKUP(Tableau14[[#This Row],[EAN]],[1]Grille_Tarifs_Modulable!$B$10:$Q$204,16,FALSE)))</f>
        <v>20.520965999999998</v>
      </c>
      <c r="N1224" s="224">
        <v>66</v>
      </c>
      <c r="O1224" s="228">
        <f>ROUND(Tableau14[[#This Row],[Prix_Unit_HT]],2)*Tableau14[[#This Row],[Qte_commande]]</f>
        <v>1128.6000000000001</v>
      </c>
      <c r="P1224" s="228">
        <f>ROUND(Tableau14[[#This Row],[Prix_Unit_TTC]],2)*Tableau14[[#This Row],[Qte_commande]]</f>
        <v>1354.32</v>
      </c>
      <c r="Q1224" s="224">
        <v>94.29</v>
      </c>
      <c r="R1224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94.285714285714292</v>
      </c>
      <c r="U1224" s="224"/>
      <c r="V1224" s="224"/>
    </row>
    <row r="1225" spans="1:22" ht="14.65" customHeight="1" x14ac:dyDescent="0.2">
      <c r="A1225" s="225">
        <v>43410</v>
      </c>
      <c r="B1225" s="224" t="s">
        <v>1208</v>
      </c>
      <c r="C1225" s="224" t="s">
        <v>1209</v>
      </c>
      <c r="D1225" s="224" t="s">
        <v>1210</v>
      </c>
      <c r="E1225" s="226"/>
      <c r="G1225" s="224" t="s">
        <v>13</v>
      </c>
      <c r="H1225" s="224" t="s">
        <v>451</v>
      </c>
      <c r="I1225" s="224" t="s">
        <v>69</v>
      </c>
      <c r="J1225" s="227">
        <v>3</v>
      </c>
      <c r="K1225" s="227">
        <f t="array" ref="K1225">IFERROR(INDEX([1]Grille_Tarifs_Modulable!$B$2:$B$204,MATCH(Tableau14[[#This Row],[Designation]]&amp;Tableau14[[#This Row],[CL]],[1]Grille_Tarifs_Modulable!$C$2:$C$204&amp;[1]Grille_Tarifs_Modulable!$F$2:$F$204,0)),0)</f>
        <v>121</v>
      </c>
      <c r="L1225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299</v>
      </c>
      <c r="M1225" s="228">
        <f>IF(Tableau14[[#This Row],[Prix_Unit_HT]]=0,0,Tableau14[[#This Row],[Prix_Unit_HT]]+(Tableau14[[#This Row],[Prix_Unit_HT]]*VLOOKUP(Tableau14[[#This Row],[EAN]],[1]Grille_Tarifs_Modulable!$B$10:$Q$204,16,FALSE)))</f>
        <v>358.8</v>
      </c>
      <c r="N1225" s="224">
        <v>2</v>
      </c>
      <c r="O1225" s="228">
        <f>ROUND(Tableau14[[#This Row],[Prix_Unit_HT]],2)*Tableau14[[#This Row],[Qte_commande]]</f>
        <v>598</v>
      </c>
      <c r="P1225" s="228">
        <f>ROUND(Tableau14[[#This Row],[Prix_Unit_TTC]],2)*Tableau14[[#This Row],[Qte_commande]]</f>
        <v>717.6</v>
      </c>
      <c r="Q1225" s="224">
        <v>2</v>
      </c>
      <c r="R1225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2</v>
      </c>
      <c r="U1225" s="224"/>
      <c r="V1225" s="224"/>
    </row>
    <row r="1226" spans="1:22" ht="14.65" customHeight="1" x14ac:dyDescent="0.2">
      <c r="A1226" s="225">
        <v>43410</v>
      </c>
      <c r="B1226" s="224" t="s">
        <v>1211</v>
      </c>
      <c r="C1226" s="224" t="s">
        <v>1062</v>
      </c>
      <c r="D1226" s="224" t="s">
        <v>1063</v>
      </c>
      <c r="E1226" s="226"/>
      <c r="G1226" s="224" t="s">
        <v>13</v>
      </c>
      <c r="H1226" s="224" t="s">
        <v>451</v>
      </c>
      <c r="I1226" s="224" t="s">
        <v>69</v>
      </c>
      <c r="J1226" s="227">
        <v>3</v>
      </c>
      <c r="K1226" s="227">
        <f t="array" ref="K1226">IFERROR(INDEX([1]Grille_Tarifs_Modulable!$B$2:$B$204,MATCH(Tableau14[[#This Row],[Designation]]&amp;Tableau14[[#This Row],[CL]],[1]Grille_Tarifs_Modulable!$C$2:$C$204&amp;[1]Grille_Tarifs_Modulable!$F$2:$F$204,0)),0)</f>
        <v>121</v>
      </c>
      <c r="L1226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299</v>
      </c>
      <c r="M1226" s="228">
        <f>IF(Tableau14[[#This Row],[Prix_Unit_HT]]=0,0,Tableau14[[#This Row],[Prix_Unit_HT]]+(Tableau14[[#This Row],[Prix_Unit_HT]]*VLOOKUP(Tableau14[[#This Row],[EAN]],[1]Grille_Tarifs_Modulable!$B$10:$Q$204,16,FALSE)))</f>
        <v>358.8</v>
      </c>
      <c r="N1226" s="224">
        <v>1</v>
      </c>
      <c r="O1226" s="228">
        <f>ROUND(Tableau14[[#This Row],[Prix_Unit_HT]],2)*Tableau14[[#This Row],[Qte_commande]]</f>
        <v>299</v>
      </c>
      <c r="P1226" s="228">
        <f>ROUND(Tableau14[[#This Row],[Prix_Unit_TTC]],2)*Tableau14[[#This Row],[Qte_commande]]</f>
        <v>358.8</v>
      </c>
      <c r="Q1226" s="224">
        <v>1</v>
      </c>
      <c r="R1226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</v>
      </c>
      <c r="U1226" s="224"/>
      <c r="V1226" s="224"/>
    </row>
    <row r="1227" spans="1:22" ht="14.65" customHeight="1" x14ac:dyDescent="0.2">
      <c r="A1227" s="225">
        <v>43410</v>
      </c>
      <c r="B1227" s="224" t="s">
        <v>1212</v>
      </c>
      <c r="C1227" s="224" t="s">
        <v>1164</v>
      </c>
      <c r="D1227" s="224" t="s">
        <v>1165</v>
      </c>
      <c r="E1227" s="226"/>
      <c r="G1227" s="224" t="s">
        <v>13</v>
      </c>
      <c r="H1227" s="224" t="s">
        <v>451</v>
      </c>
      <c r="I1227" s="224" t="s">
        <v>69</v>
      </c>
      <c r="J1227" s="227">
        <v>3</v>
      </c>
      <c r="K1227" s="227">
        <f t="array" ref="K1227">IFERROR(INDEX([1]Grille_Tarifs_Modulable!$B$2:$B$204,MATCH(Tableau14[[#This Row],[Designation]]&amp;Tableau14[[#This Row],[CL]],[1]Grille_Tarifs_Modulable!$C$2:$C$204&amp;[1]Grille_Tarifs_Modulable!$F$2:$F$204,0)),0)</f>
        <v>121</v>
      </c>
      <c r="L1227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299</v>
      </c>
      <c r="M1227" s="228">
        <f>IF(Tableau14[[#This Row],[Prix_Unit_HT]]=0,0,Tableau14[[#This Row],[Prix_Unit_HT]]+(Tableau14[[#This Row],[Prix_Unit_HT]]*VLOOKUP(Tableau14[[#This Row],[EAN]],[1]Grille_Tarifs_Modulable!$B$10:$Q$204,16,FALSE)))</f>
        <v>358.8</v>
      </c>
      <c r="N1227" s="224">
        <v>4</v>
      </c>
      <c r="O1227" s="228">
        <f>ROUND(Tableau14[[#This Row],[Prix_Unit_HT]],2)*Tableau14[[#This Row],[Qte_commande]]</f>
        <v>1196</v>
      </c>
      <c r="P1227" s="228">
        <f>ROUND(Tableau14[[#This Row],[Prix_Unit_TTC]],2)*Tableau14[[#This Row],[Qte_commande]]</f>
        <v>1435.2</v>
      </c>
      <c r="Q1227" s="224">
        <v>4</v>
      </c>
      <c r="R1227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4</v>
      </c>
      <c r="U1227" s="224"/>
      <c r="V1227" s="224"/>
    </row>
    <row r="1228" spans="1:22" ht="14.65" customHeight="1" x14ac:dyDescent="0.2">
      <c r="A1228" s="225">
        <v>43410</v>
      </c>
      <c r="B1228" s="224" t="s">
        <v>1213</v>
      </c>
      <c r="C1228" s="224" t="s">
        <v>1214</v>
      </c>
      <c r="D1228" s="224" t="s">
        <v>1215</v>
      </c>
      <c r="E1228" s="226"/>
      <c r="G1228" s="224" t="s">
        <v>13</v>
      </c>
      <c r="H1228" s="224" t="s">
        <v>451</v>
      </c>
      <c r="I1228" s="224" t="s">
        <v>69</v>
      </c>
      <c r="J1228" s="227">
        <v>3</v>
      </c>
      <c r="K1228" s="227">
        <f t="array" ref="K1228">IFERROR(INDEX([1]Grille_Tarifs_Modulable!$B$2:$B$204,MATCH(Tableau14[[#This Row],[Designation]]&amp;Tableau14[[#This Row],[CL]],[1]Grille_Tarifs_Modulable!$C$2:$C$204&amp;[1]Grille_Tarifs_Modulable!$F$2:$F$204,0)),0)</f>
        <v>121</v>
      </c>
      <c r="L1228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299</v>
      </c>
      <c r="M1228" s="228">
        <f>IF(Tableau14[[#This Row],[Prix_Unit_HT]]=0,0,Tableau14[[#This Row],[Prix_Unit_HT]]+(Tableau14[[#This Row],[Prix_Unit_HT]]*VLOOKUP(Tableau14[[#This Row],[EAN]],[1]Grille_Tarifs_Modulable!$B$10:$Q$204,16,FALSE)))</f>
        <v>358.8</v>
      </c>
      <c r="N1228" s="224">
        <v>2</v>
      </c>
      <c r="O1228" s="228">
        <f>ROUND(Tableau14[[#This Row],[Prix_Unit_HT]],2)*Tableau14[[#This Row],[Qte_commande]]</f>
        <v>598</v>
      </c>
      <c r="P1228" s="228">
        <f>ROUND(Tableau14[[#This Row],[Prix_Unit_TTC]],2)*Tableau14[[#This Row],[Qte_commande]]</f>
        <v>717.6</v>
      </c>
      <c r="Q1228" s="224">
        <v>2</v>
      </c>
      <c r="R1228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2</v>
      </c>
      <c r="U1228" s="224"/>
      <c r="V1228" s="224"/>
    </row>
    <row r="1229" spans="1:22" ht="14.65" customHeight="1" x14ac:dyDescent="0.2">
      <c r="A1229" s="225">
        <v>43410</v>
      </c>
      <c r="B1229" s="224" t="s">
        <v>1216</v>
      </c>
      <c r="C1229" s="224" t="s">
        <v>1014</v>
      </c>
      <c r="D1229" s="224" t="s">
        <v>1015</v>
      </c>
      <c r="E1229" s="226"/>
      <c r="G1229" s="224" t="s">
        <v>13</v>
      </c>
      <c r="H1229" s="224" t="s">
        <v>451</v>
      </c>
      <c r="I1229" s="224" t="s">
        <v>69</v>
      </c>
      <c r="J1229" s="227">
        <v>3</v>
      </c>
      <c r="K1229" s="227">
        <f t="array" ref="K1229">IFERROR(INDEX([1]Grille_Tarifs_Modulable!$B$2:$B$204,MATCH(Tableau14[[#This Row],[Designation]]&amp;Tableau14[[#This Row],[CL]],[1]Grille_Tarifs_Modulable!$C$2:$C$204&amp;[1]Grille_Tarifs_Modulable!$F$2:$F$204,0)),0)</f>
        <v>121</v>
      </c>
      <c r="L1229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299</v>
      </c>
      <c r="M1229" s="228">
        <f>IF(Tableau14[[#This Row],[Prix_Unit_HT]]=0,0,Tableau14[[#This Row],[Prix_Unit_HT]]+(Tableau14[[#This Row],[Prix_Unit_HT]]*VLOOKUP(Tableau14[[#This Row],[EAN]],[1]Grille_Tarifs_Modulable!$B$10:$Q$204,16,FALSE)))</f>
        <v>358.8</v>
      </c>
      <c r="N1229" s="224">
        <v>1</v>
      </c>
      <c r="O1229" s="228">
        <f>ROUND(Tableau14[[#This Row],[Prix_Unit_HT]],2)*Tableau14[[#This Row],[Qte_commande]]</f>
        <v>299</v>
      </c>
      <c r="P1229" s="228">
        <f>ROUND(Tableau14[[#This Row],[Prix_Unit_TTC]],2)*Tableau14[[#This Row],[Qte_commande]]</f>
        <v>358.8</v>
      </c>
      <c r="Q1229" s="224">
        <v>1</v>
      </c>
      <c r="R1229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</v>
      </c>
      <c r="U1229" s="224"/>
      <c r="V1229" s="224"/>
    </row>
    <row r="1230" spans="1:22" ht="14.65" customHeight="1" x14ac:dyDescent="0.2">
      <c r="A1230" s="225">
        <v>43410</v>
      </c>
      <c r="B1230" s="224" t="s">
        <v>1217</v>
      </c>
      <c r="C1230" s="224" t="s">
        <v>205</v>
      </c>
      <c r="D1230" s="224" t="s">
        <v>206</v>
      </c>
      <c r="E1230" s="226"/>
      <c r="G1230" s="224" t="s">
        <v>13</v>
      </c>
      <c r="H1230" s="224" t="s">
        <v>451</v>
      </c>
      <c r="I1230" s="224" t="s">
        <v>69</v>
      </c>
      <c r="J1230" s="227">
        <v>3</v>
      </c>
      <c r="K1230" s="227">
        <f t="array" ref="K1230">IFERROR(INDEX([1]Grille_Tarifs_Modulable!$B$2:$B$204,MATCH(Tableau14[[#This Row],[Designation]]&amp;Tableau14[[#This Row],[CL]],[1]Grille_Tarifs_Modulable!$C$2:$C$204&amp;[1]Grille_Tarifs_Modulable!$F$2:$F$204,0)),0)</f>
        <v>121</v>
      </c>
      <c r="L1230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299</v>
      </c>
      <c r="M1230" s="228">
        <f>IF(Tableau14[[#This Row],[Prix_Unit_HT]]=0,0,Tableau14[[#This Row],[Prix_Unit_HT]]+(Tableau14[[#This Row],[Prix_Unit_HT]]*VLOOKUP(Tableau14[[#This Row],[EAN]],[1]Grille_Tarifs_Modulable!$B$10:$Q$204,16,FALSE)))</f>
        <v>358.8</v>
      </c>
      <c r="N1230" s="224">
        <v>1</v>
      </c>
      <c r="O1230" s="228">
        <f>ROUND(Tableau14[[#This Row],[Prix_Unit_HT]],2)*Tableau14[[#This Row],[Qte_commande]]</f>
        <v>299</v>
      </c>
      <c r="P1230" s="228">
        <f>ROUND(Tableau14[[#This Row],[Prix_Unit_TTC]],2)*Tableau14[[#This Row],[Qte_commande]]</f>
        <v>358.8</v>
      </c>
      <c r="Q1230" s="224">
        <v>1</v>
      </c>
      <c r="R1230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</v>
      </c>
      <c r="U1230" s="224"/>
      <c r="V1230" s="224"/>
    </row>
    <row r="1231" spans="1:22" ht="14.65" customHeight="1" x14ac:dyDescent="0.2">
      <c r="A1231" s="225">
        <v>43411</v>
      </c>
      <c r="B1231" s="224" t="s">
        <v>718</v>
      </c>
      <c r="C1231" s="224" t="s">
        <v>530</v>
      </c>
      <c r="D1231" s="224" t="s">
        <v>531</v>
      </c>
      <c r="E1231" s="226"/>
      <c r="G1231" s="224" t="s">
        <v>1</v>
      </c>
      <c r="H1231" s="224" t="s">
        <v>289</v>
      </c>
      <c r="I1231" s="224" t="s">
        <v>15</v>
      </c>
      <c r="J1231" s="224">
        <v>70</v>
      </c>
      <c r="K1231" s="227">
        <f t="array" ref="K1231">IFERROR(INDEX([1]Grille_Tarifs_Modulable!$B$2:$B$204,MATCH(Tableau14[[#This Row],[Designation]]&amp;Tableau14[[#This Row],[CL]],[1]Grille_Tarifs_Modulable!$C$2:$C$204&amp;[1]Grille_Tarifs_Modulable!$F$2:$F$204,0)),0)</f>
        <v>4067700013859</v>
      </c>
      <c r="L1231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12.532563499999998</v>
      </c>
      <c r="M1231" s="228">
        <f>IF(Tableau14[[#This Row],[Prix_Unit_HT]]=0,0,Tableau14[[#This Row],[Prix_Unit_HT]]+(Tableau14[[#This Row],[Prix_Unit_HT]]*VLOOKUP(Tableau14[[#This Row],[EAN]],[1]Grille_Tarifs_Modulable!$B$10:$Q$204,16,FALSE)))</f>
        <v>15.039076199999998</v>
      </c>
      <c r="N1231" s="224">
        <v>150</v>
      </c>
      <c r="O1231" s="228">
        <f>ROUND(Tableau14[[#This Row],[Prix_Unit_HT]],2)*Tableau14[[#This Row],[Qte_commande]]</f>
        <v>1879.5</v>
      </c>
      <c r="P1231" s="228">
        <f>ROUND(Tableau14[[#This Row],[Prix_Unit_TTC]],2)*Tableau14[[#This Row],[Qte_commande]]</f>
        <v>2256</v>
      </c>
      <c r="Q1231" s="224">
        <v>150</v>
      </c>
      <c r="R1231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150</v>
      </c>
      <c r="U1231" s="224"/>
      <c r="V1231" s="224"/>
    </row>
    <row r="1232" spans="1:22" ht="14.65" customHeight="1" x14ac:dyDescent="0.2">
      <c r="A1232" s="225">
        <v>43412</v>
      </c>
      <c r="B1232" s="224" t="s">
        <v>1218</v>
      </c>
      <c r="C1232" s="224" t="s">
        <v>219</v>
      </c>
      <c r="D1232" s="224" t="s">
        <v>220</v>
      </c>
      <c r="E1232" s="226"/>
      <c r="G1232" s="224" t="s">
        <v>13</v>
      </c>
      <c r="H1232" s="224" t="s">
        <v>451</v>
      </c>
      <c r="I1232" s="224" t="s">
        <v>69</v>
      </c>
      <c r="J1232" s="227">
        <v>3</v>
      </c>
      <c r="K1232" s="227">
        <f t="array" ref="K1232">IFERROR(INDEX([1]Grille_Tarifs_Modulable!$B$2:$B$204,MATCH(Tableau14[[#This Row],[Designation]]&amp;Tableau14[[#This Row],[CL]],[1]Grille_Tarifs_Modulable!$C$2:$C$204&amp;[1]Grille_Tarifs_Modulable!$F$2:$F$204,0)),0)</f>
        <v>121</v>
      </c>
      <c r="L1232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299</v>
      </c>
      <c r="M1232" s="228">
        <f>IF(Tableau14[[#This Row],[Prix_Unit_HT]]=0,0,Tableau14[[#This Row],[Prix_Unit_HT]]+(Tableau14[[#This Row],[Prix_Unit_HT]]*VLOOKUP(Tableau14[[#This Row],[EAN]],[1]Grille_Tarifs_Modulable!$B$10:$Q$204,16,FALSE)))</f>
        <v>358.8</v>
      </c>
      <c r="N1232" s="224">
        <v>2</v>
      </c>
      <c r="O1232" s="228">
        <f>ROUND(Tableau14[[#This Row],[Prix_Unit_HT]],2)*Tableau14[[#This Row],[Qte_commande]]</f>
        <v>598</v>
      </c>
      <c r="P1232" s="228">
        <f>ROUND(Tableau14[[#This Row],[Prix_Unit_TTC]],2)*Tableau14[[#This Row],[Qte_commande]]</f>
        <v>717.6</v>
      </c>
      <c r="Q1232" s="224">
        <v>2</v>
      </c>
      <c r="R1232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2</v>
      </c>
      <c r="U1232" s="224"/>
      <c r="V1232" s="224"/>
    </row>
    <row r="1233" spans="1:22" ht="14.65" customHeight="1" x14ac:dyDescent="0.2">
      <c r="A1233" s="225">
        <v>43413</v>
      </c>
      <c r="B1233" s="224" t="s">
        <v>244</v>
      </c>
      <c r="C1233" s="224" t="s">
        <v>214</v>
      </c>
      <c r="D1233" s="224" t="s">
        <v>215</v>
      </c>
      <c r="E1233" s="226"/>
      <c r="G1233" s="224" t="s">
        <v>1</v>
      </c>
      <c r="H1233" s="224" t="s">
        <v>196</v>
      </c>
      <c r="I1233" s="224" t="s">
        <v>62</v>
      </c>
      <c r="J1233" s="224">
        <v>20</v>
      </c>
      <c r="K1233" s="227">
        <f t="array" ref="K1233">IFERROR(INDEX([1]Grille_Tarifs_Modulable!$B$2:$B$204,MATCH(Tableau14[[#This Row],[Designation]]&amp;Tableau14[[#This Row],[CL]],[1]Grille_Tarifs_Modulable!$C$2:$C$204&amp;[1]Grille_Tarifs_Modulable!$F$2:$F$204,0)),0)</f>
        <v>4260310550305</v>
      </c>
      <c r="L1233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0.81</v>
      </c>
      <c r="M1233" s="228">
        <f>IF(Tableau14[[#This Row],[Prix_Unit_HT]]=0,0,Tableau14[[#This Row],[Prix_Unit_HT]]+(Tableau14[[#This Row],[Prix_Unit_HT]]*VLOOKUP(Tableau14[[#This Row],[EAN]],[1]Grille_Tarifs_Modulable!$B$10:$Q$204,16,FALSE)))</f>
        <v>0.85455000000000003</v>
      </c>
      <c r="N1233" s="224">
        <v>96</v>
      </c>
      <c r="O1233" s="228">
        <f>ROUND(Tableau14[[#This Row],[Prix_Unit_HT]],2)*Tableau14[[#This Row],[Qte_commande]]</f>
        <v>77.760000000000005</v>
      </c>
      <c r="P1233" s="228">
        <f>ROUND(Tableau14[[#This Row],[Prix_Unit_TTC]],2)*Tableau14[[#This Row],[Qte_commande]]</f>
        <v>81.599999999999994</v>
      </c>
      <c r="Q1233" s="224">
        <v>27.43</v>
      </c>
      <c r="R1233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27.428571428571431</v>
      </c>
      <c r="U1233" s="224"/>
      <c r="V1233" s="224"/>
    </row>
    <row r="1234" spans="1:22" ht="14.65" customHeight="1" x14ac:dyDescent="0.2">
      <c r="A1234" s="225">
        <v>43413</v>
      </c>
      <c r="B1234" s="224" t="s">
        <v>244</v>
      </c>
      <c r="C1234" s="224" t="s">
        <v>214</v>
      </c>
      <c r="D1234" s="224" t="s">
        <v>215</v>
      </c>
      <c r="E1234" s="226"/>
      <c r="G1234" s="224" t="s">
        <v>1</v>
      </c>
      <c r="H1234" s="224" t="s">
        <v>196</v>
      </c>
      <c r="I1234" s="224" t="s">
        <v>60</v>
      </c>
      <c r="J1234" s="224">
        <v>20</v>
      </c>
      <c r="K1234" s="227">
        <f t="array" ref="K1234">IFERROR(INDEX([1]Grille_Tarifs_Modulable!$B$2:$B$204,MATCH(Tableau14[[#This Row],[Designation]]&amp;Tableau14[[#This Row],[CL]],[1]Grille_Tarifs_Modulable!$C$2:$C$204&amp;[1]Grille_Tarifs_Modulable!$F$2:$F$204,0)),0)</f>
        <v>4260310553832</v>
      </c>
      <c r="L1234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0.81</v>
      </c>
      <c r="M1234" s="228">
        <f>IF(Tableau14[[#This Row],[Prix_Unit_HT]]=0,0,Tableau14[[#This Row],[Prix_Unit_HT]]+(Tableau14[[#This Row],[Prix_Unit_HT]]*VLOOKUP(Tableau14[[#This Row],[EAN]],[1]Grille_Tarifs_Modulable!$B$10:$Q$204,16,FALSE)))</f>
        <v>0.85455000000000003</v>
      </c>
      <c r="N1234" s="224">
        <v>48</v>
      </c>
      <c r="O1234" s="228">
        <f>ROUND(Tableau14[[#This Row],[Prix_Unit_HT]],2)*Tableau14[[#This Row],[Qte_commande]]</f>
        <v>38.880000000000003</v>
      </c>
      <c r="P1234" s="228">
        <f>ROUND(Tableau14[[#This Row],[Prix_Unit_TTC]],2)*Tableau14[[#This Row],[Qte_commande]]</f>
        <v>40.799999999999997</v>
      </c>
      <c r="Q1234" s="224">
        <v>13.71</v>
      </c>
      <c r="R1234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13.714285714285715</v>
      </c>
      <c r="U1234" s="224"/>
      <c r="V1234" s="224"/>
    </row>
    <row r="1235" spans="1:22" ht="14.65" customHeight="1" x14ac:dyDescent="0.2">
      <c r="A1235" s="225">
        <v>43413</v>
      </c>
      <c r="B1235" s="224" t="s">
        <v>244</v>
      </c>
      <c r="C1235" s="224" t="s">
        <v>214</v>
      </c>
      <c r="D1235" s="224" t="s">
        <v>215</v>
      </c>
      <c r="E1235" s="226"/>
      <c r="G1235" s="224" t="s">
        <v>1</v>
      </c>
      <c r="H1235" s="224" t="s">
        <v>289</v>
      </c>
      <c r="I1235" s="224" t="s">
        <v>20</v>
      </c>
      <c r="J1235" s="224">
        <v>70</v>
      </c>
      <c r="K1235" s="227">
        <f t="array" ref="K1235">IFERROR(INDEX([1]Grille_Tarifs_Modulable!$B$2:$B$204,MATCH(Tableau14[[#This Row],[Designation]]&amp;Tableau14[[#This Row],[CL]],[1]Grille_Tarifs_Modulable!$C$2:$C$204&amp;[1]Grille_Tarifs_Modulable!$F$2:$F$204,0)),0)</f>
        <v>8017450002104</v>
      </c>
      <c r="L1235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14.266482999999999</v>
      </c>
      <c r="M1235" s="228">
        <f>IF(Tableau14[[#This Row],[Prix_Unit_HT]]=0,0,Tableau14[[#This Row],[Prix_Unit_HT]]+(Tableau14[[#This Row],[Prix_Unit_HT]]*VLOOKUP(Tableau14[[#This Row],[EAN]],[1]Grille_Tarifs_Modulable!$B$10:$Q$204,16,FALSE)))</f>
        <v>17.119779600000001</v>
      </c>
      <c r="N1235" s="224">
        <v>12</v>
      </c>
      <c r="O1235" s="228">
        <f>ROUND(Tableau14[[#This Row],[Prix_Unit_HT]],2)*Tableau14[[#This Row],[Qte_commande]]</f>
        <v>171.24</v>
      </c>
      <c r="P1235" s="228">
        <f>ROUND(Tableau14[[#This Row],[Prix_Unit_TTC]],2)*Tableau14[[#This Row],[Qte_commande]]</f>
        <v>205.44</v>
      </c>
      <c r="Q1235" s="224">
        <v>12</v>
      </c>
      <c r="R1235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12.000000000000002</v>
      </c>
      <c r="U1235" s="224"/>
      <c r="V1235" s="224"/>
    </row>
    <row r="1236" spans="1:22" ht="14.65" customHeight="1" x14ac:dyDescent="0.2">
      <c r="A1236" s="225">
        <v>43413</v>
      </c>
      <c r="B1236" s="224" t="s">
        <v>244</v>
      </c>
      <c r="C1236" s="224" t="s">
        <v>214</v>
      </c>
      <c r="D1236" s="224" t="s">
        <v>215</v>
      </c>
      <c r="E1236" s="226"/>
      <c r="G1236" s="224" t="s">
        <v>13</v>
      </c>
      <c r="H1236" s="224" t="s">
        <v>196</v>
      </c>
      <c r="I1236" s="224" t="s">
        <v>66</v>
      </c>
      <c r="J1236" s="224">
        <v>20</v>
      </c>
      <c r="K1236" s="227">
        <f t="array" ref="K1236">IFERROR(INDEX([1]Grille_Tarifs_Modulable!$B$2:$B$204,MATCH(Tableau14[[#This Row],[Designation]]&amp;Tableau14[[#This Row],[CL]],[1]Grille_Tarifs_Modulable!$C$2:$C$204&amp;[1]Grille_Tarifs_Modulable!$F$2:$F$204,0)),0)</f>
        <v>4260310554785</v>
      </c>
      <c r="L1236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0.89</v>
      </c>
      <c r="M1236" s="228">
        <f>IF(Tableau14[[#This Row],[Prix_Unit_HT]]=0,0,Tableau14[[#This Row],[Prix_Unit_HT]]+(Tableau14[[#This Row],[Prix_Unit_HT]]*VLOOKUP(Tableau14[[#This Row],[EAN]],[1]Grille_Tarifs_Modulable!$B$10:$Q$204,16,FALSE)))</f>
        <v>0.93895000000000006</v>
      </c>
      <c r="N1236" s="224">
        <v>24</v>
      </c>
      <c r="O1236" s="228">
        <f>ROUND(Tableau14[[#This Row],[Prix_Unit_HT]],2)*Tableau14[[#This Row],[Qte_commande]]</f>
        <v>21.36</v>
      </c>
      <c r="P1236" s="228">
        <f>ROUND(Tableau14[[#This Row],[Prix_Unit_TTC]],2)*Tableau14[[#This Row],[Qte_commande]]</f>
        <v>22.56</v>
      </c>
      <c r="Q1236" s="224">
        <v>6.86</v>
      </c>
      <c r="R1236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6.8571428571428577</v>
      </c>
      <c r="U1236" s="224"/>
      <c r="V1236" s="224"/>
    </row>
    <row r="1237" spans="1:22" ht="14.65" customHeight="1" x14ac:dyDescent="0.2">
      <c r="A1237" s="225">
        <v>43413</v>
      </c>
      <c r="B1237" s="224" t="s">
        <v>860</v>
      </c>
      <c r="C1237" s="224" t="s">
        <v>211</v>
      </c>
      <c r="D1237" s="224" t="s">
        <v>212</v>
      </c>
      <c r="E1237" s="226"/>
      <c r="G1237" s="224" t="s">
        <v>1</v>
      </c>
      <c r="H1237" s="224" t="s">
        <v>289</v>
      </c>
      <c r="I1237" s="224" t="s">
        <v>30</v>
      </c>
      <c r="J1237" s="224">
        <v>70</v>
      </c>
      <c r="K1237" s="227">
        <f t="array" ref="K1237">IFERROR(INDEX([1]Grille_Tarifs_Modulable!$B$2:$B$204,MATCH(Tableau14[[#This Row],[Designation]]&amp;Tableau14[[#This Row],[CL]],[1]Grille_Tarifs_Modulable!$C$2:$C$204&amp;[1]Grille_Tarifs_Modulable!$F$2:$F$204,0)),0)</f>
        <v>3257150101904</v>
      </c>
      <c r="L1237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16.346482999999999</v>
      </c>
      <c r="M1237" s="228">
        <f>IF(Tableau14[[#This Row],[Prix_Unit_HT]]=0,0,Tableau14[[#This Row],[Prix_Unit_HT]]+(Tableau14[[#This Row],[Prix_Unit_HT]]*VLOOKUP(Tableau14[[#This Row],[EAN]],[1]Grille_Tarifs_Modulable!$B$10:$Q$204,16,FALSE)))</f>
        <v>19.6157796</v>
      </c>
      <c r="N1237" s="224">
        <v>6</v>
      </c>
      <c r="O1237" s="228">
        <f>ROUND(Tableau14[[#This Row],[Prix_Unit_HT]],2)*Tableau14[[#This Row],[Qte_commande]]</f>
        <v>98.100000000000009</v>
      </c>
      <c r="P1237" s="228">
        <f>ROUND(Tableau14[[#This Row],[Prix_Unit_TTC]],2)*Tableau14[[#This Row],[Qte_commande]]</f>
        <v>117.72</v>
      </c>
      <c r="Q1237" s="224">
        <v>6</v>
      </c>
      <c r="R1237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6.0000000000000009</v>
      </c>
      <c r="U1237" s="224"/>
      <c r="V1237" s="224"/>
    </row>
    <row r="1238" spans="1:22" ht="14.65" customHeight="1" x14ac:dyDescent="0.2">
      <c r="A1238" s="225">
        <v>43413</v>
      </c>
      <c r="B1238" s="224" t="s">
        <v>244</v>
      </c>
      <c r="C1238" s="224" t="s">
        <v>214</v>
      </c>
      <c r="D1238" s="224" t="s">
        <v>215</v>
      </c>
      <c r="E1238" s="226"/>
      <c r="G1238" s="224" t="s">
        <v>1</v>
      </c>
      <c r="H1238" s="224" t="s">
        <v>289</v>
      </c>
      <c r="I1238" s="224" t="s">
        <v>44</v>
      </c>
      <c r="J1238" s="224">
        <v>50</v>
      </c>
      <c r="K1238" s="227">
        <f t="array" ref="K1238">IFERROR(INDEX([1]Grille_Tarifs_Modulable!$B$2:$B$204,MATCH(Tableau14[[#This Row],[Designation]]&amp;Tableau14[[#This Row],[CL]],[1]Grille_Tarifs_Modulable!$C$2:$C$204&amp;[1]Grille_Tarifs_Modulable!$F$2:$F$204,0)),0)</f>
        <v>4260270192645</v>
      </c>
      <c r="L1238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25.192506000000002</v>
      </c>
      <c r="M1238" s="228">
        <f>IF(Tableau14[[#This Row],[Prix_Unit_HT]]=0,0,Tableau14[[#This Row],[Prix_Unit_HT]]+(Tableau14[[#This Row],[Prix_Unit_HT]]*VLOOKUP(Tableau14[[#This Row],[EAN]],[1]Grille_Tarifs_Modulable!$B$10:$Q$204,16,FALSE)))</f>
        <v>30.231007200000001</v>
      </c>
      <c r="N1238" s="224">
        <v>6</v>
      </c>
      <c r="O1238" s="228">
        <f>ROUND(Tableau14[[#This Row],[Prix_Unit_HT]],2)*Tableau14[[#This Row],[Qte_commande]]</f>
        <v>151.14000000000001</v>
      </c>
      <c r="P1238" s="228">
        <f>ROUND(Tableau14[[#This Row],[Prix_Unit_TTC]],2)*Tableau14[[#This Row],[Qte_commande]]</f>
        <v>181.38</v>
      </c>
      <c r="Q1238" s="224">
        <v>4.29</v>
      </c>
      <c r="R1238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4.2857142857142856</v>
      </c>
      <c r="U1238" s="224"/>
      <c r="V1238" s="224"/>
    </row>
    <row r="1239" spans="1:22" ht="14.65" customHeight="1" x14ac:dyDescent="0.2">
      <c r="A1239" s="225">
        <v>43413</v>
      </c>
      <c r="B1239" s="224" t="s">
        <v>860</v>
      </c>
      <c r="C1239" s="224" t="s">
        <v>211</v>
      </c>
      <c r="D1239" s="224" t="s">
        <v>212</v>
      </c>
      <c r="E1239" s="226"/>
      <c r="G1239" s="224" t="s">
        <v>1</v>
      </c>
      <c r="H1239" s="224" t="s">
        <v>289</v>
      </c>
      <c r="I1239" s="224" t="s">
        <v>25</v>
      </c>
      <c r="J1239" s="224">
        <v>70</v>
      </c>
      <c r="K1239" s="227">
        <f t="array" ref="K1239">IFERROR(INDEX([1]Grille_Tarifs_Modulable!$B$2:$B$204,MATCH(Tableau14[[#This Row],[Designation]]&amp;Tableau14[[#This Row],[CL]],[1]Grille_Tarifs_Modulable!$C$2:$C$204&amp;[1]Grille_Tarifs_Modulable!$F$2:$F$204,0)),0)</f>
        <v>8500000917015</v>
      </c>
      <c r="L1239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11.8982118</v>
      </c>
      <c r="M1239" s="228">
        <f>IF(Tableau14[[#This Row],[Prix_Unit_HT]]=0,0,Tableau14[[#This Row],[Prix_Unit_HT]]+(Tableau14[[#This Row],[Prix_Unit_HT]]*VLOOKUP(Tableau14[[#This Row],[EAN]],[1]Grille_Tarifs_Modulable!$B$10:$Q$204,16,FALSE)))</f>
        <v>14.27785416</v>
      </c>
      <c r="N1239" s="224">
        <v>24</v>
      </c>
      <c r="O1239" s="228">
        <f>ROUND(Tableau14[[#This Row],[Prix_Unit_HT]],2)*Tableau14[[#This Row],[Qte_commande]]</f>
        <v>285.60000000000002</v>
      </c>
      <c r="P1239" s="228">
        <f>ROUND(Tableau14[[#This Row],[Prix_Unit_TTC]],2)*Tableau14[[#This Row],[Qte_commande]]</f>
        <v>342.71999999999997</v>
      </c>
      <c r="Q1239" s="224">
        <v>24</v>
      </c>
      <c r="R1239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24.000000000000004</v>
      </c>
      <c r="U1239" s="224"/>
      <c r="V1239" s="224"/>
    </row>
    <row r="1240" spans="1:22" ht="14.65" customHeight="1" x14ac:dyDescent="0.2">
      <c r="A1240" s="225">
        <v>43413</v>
      </c>
      <c r="B1240" s="224" t="s">
        <v>860</v>
      </c>
      <c r="C1240" s="224" t="s">
        <v>211</v>
      </c>
      <c r="D1240" s="224" t="s">
        <v>212</v>
      </c>
      <c r="E1240" s="226"/>
      <c r="G1240" s="224" t="s">
        <v>1</v>
      </c>
      <c r="H1240" s="224" t="s">
        <v>289</v>
      </c>
      <c r="I1240" s="224" t="s">
        <v>42</v>
      </c>
      <c r="J1240" s="224">
        <v>70</v>
      </c>
      <c r="K1240" s="227">
        <f t="array" ref="K1240">IFERROR(INDEX([1]Grille_Tarifs_Modulable!$B$2:$B$204,MATCH(Tableau14[[#This Row],[Designation]]&amp;Tableau14[[#This Row],[CL]],[1]Grille_Tarifs_Modulable!$C$2:$C$204&amp;[1]Grille_Tarifs_Modulable!$F$2:$F$204,0)),0)</f>
        <v>3257150688009</v>
      </c>
      <c r="L1240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12.556915199999999</v>
      </c>
      <c r="M1240" s="228">
        <f>IF(Tableau14[[#This Row],[Prix_Unit_HT]]=0,0,Tableau14[[#This Row],[Prix_Unit_HT]]+(Tableau14[[#This Row],[Prix_Unit_HT]]*VLOOKUP(Tableau14[[#This Row],[EAN]],[1]Grille_Tarifs_Modulable!$B$10:$Q$204,16,FALSE)))</f>
        <v>15.068298239999999</v>
      </c>
      <c r="N1240" s="224">
        <v>24</v>
      </c>
      <c r="O1240" s="228">
        <f>ROUND(Tableau14[[#This Row],[Prix_Unit_HT]],2)*Tableau14[[#This Row],[Qte_commande]]</f>
        <v>301.44</v>
      </c>
      <c r="P1240" s="228">
        <f>ROUND(Tableau14[[#This Row],[Prix_Unit_TTC]],2)*Tableau14[[#This Row],[Qte_commande]]</f>
        <v>361.68</v>
      </c>
      <c r="Q1240" s="224">
        <v>24</v>
      </c>
      <c r="R1240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24.000000000000004</v>
      </c>
      <c r="U1240" s="224"/>
      <c r="V1240" s="224"/>
    </row>
    <row r="1241" spans="1:22" ht="14.65" customHeight="1" x14ac:dyDescent="0.2">
      <c r="A1241" s="225">
        <v>43413</v>
      </c>
      <c r="B1241" s="224" t="s">
        <v>244</v>
      </c>
      <c r="C1241" s="224" t="s">
        <v>214</v>
      </c>
      <c r="D1241" s="224" t="s">
        <v>215</v>
      </c>
      <c r="E1241" s="226"/>
      <c r="G1241" s="224" t="s">
        <v>1</v>
      </c>
      <c r="H1241" s="224" t="s">
        <v>196</v>
      </c>
      <c r="I1241" s="224" t="s">
        <v>64</v>
      </c>
      <c r="J1241" s="224">
        <v>20</v>
      </c>
      <c r="K1241" s="227">
        <f t="array" ref="K1241">IFERROR(INDEX([1]Grille_Tarifs_Modulable!$B$2:$B$204,MATCH(Tableau14[[#This Row],[Designation]]&amp;Tableau14[[#This Row],[CL]],[1]Grille_Tarifs_Modulable!$C$2:$C$204&amp;[1]Grille_Tarifs_Modulable!$F$2:$F$204,0)),0)</f>
        <v>4260310553849</v>
      </c>
      <c r="L1241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0.81</v>
      </c>
      <c r="M1241" s="228">
        <f>IF(Tableau14[[#This Row],[Prix_Unit_HT]]=0,0,Tableau14[[#This Row],[Prix_Unit_HT]]+(Tableau14[[#This Row],[Prix_Unit_HT]]*VLOOKUP(Tableau14[[#This Row],[EAN]],[1]Grille_Tarifs_Modulable!$B$10:$Q$204,16,FALSE)))</f>
        <v>0.85455000000000003</v>
      </c>
      <c r="N1241" s="224">
        <v>48</v>
      </c>
      <c r="O1241" s="228">
        <f>ROUND(Tableau14[[#This Row],[Prix_Unit_HT]],2)*Tableau14[[#This Row],[Qte_commande]]</f>
        <v>38.880000000000003</v>
      </c>
      <c r="P1241" s="228">
        <f>ROUND(Tableau14[[#This Row],[Prix_Unit_TTC]],2)*Tableau14[[#This Row],[Qte_commande]]</f>
        <v>40.799999999999997</v>
      </c>
      <c r="Q1241" s="224">
        <v>13.71</v>
      </c>
      <c r="R1241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13.714285714285715</v>
      </c>
      <c r="U1241" s="224"/>
      <c r="V1241" s="224"/>
    </row>
    <row r="1242" spans="1:22" ht="14.65" customHeight="1" x14ac:dyDescent="0.2">
      <c r="A1242" s="225">
        <v>43413</v>
      </c>
      <c r="B1242" s="224" t="s">
        <v>244</v>
      </c>
      <c r="C1242" s="224" t="s">
        <v>214</v>
      </c>
      <c r="D1242" s="224" t="s">
        <v>215</v>
      </c>
      <c r="E1242" s="226"/>
      <c r="G1242" s="224" t="s">
        <v>1</v>
      </c>
      <c r="H1242" s="224" t="s">
        <v>196</v>
      </c>
      <c r="I1242" s="224" t="s">
        <v>59</v>
      </c>
      <c r="J1242" s="224">
        <v>20</v>
      </c>
      <c r="K1242" s="227">
        <f t="array" ref="K1242">IFERROR(INDEX([1]Grille_Tarifs_Modulable!$B$2:$B$204,MATCH(Tableau14[[#This Row],[Designation]]&amp;Tableau14[[#This Row],[CL]],[1]Grille_Tarifs_Modulable!$C$2:$C$204&amp;[1]Grille_Tarifs_Modulable!$F$2:$F$204,0)),0)</f>
        <v>4260310553818</v>
      </c>
      <c r="L1242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0.81</v>
      </c>
      <c r="M1242" s="228">
        <f>IF(Tableau14[[#This Row],[Prix_Unit_HT]]=0,0,Tableau14[[#This Row],[Prix_Unit_HT]]+(Tableau14[[#This Row],[Prix_Unit_HT]]*VLOOKUP(Tableau14[[#This Row],[EAN]],[1]Grille_Tarifs_Modulable!$B$10:$Q$204,16,FALSE)))</f>
        <v>0.85455000000000003</v>
      </c>
      <c r="N1242" s="224">
        <v>192</v>
      </c>
      <c r="O1242" s="228">
        <f>ROUND(Tableau14[[#This Row],[Prix_Unit_HT]],2)*Tableau14[[#This Row],[Qte_commande]]</f>
        <v>155.52000000000001</v>
      </c>
      <c r="P1242" s="228">
        <f>ROUND(Tableau14[[#This Row],[Prix_Unit_TTC]],2)*Tableau14[[#This Row],[Qte_commande]]</f>
        <v>163.19999999999999</v>
      </c>
      <c r="Q1242" s="224">
        <v>54.86</v>
      </c>
      <c r="R1242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54.857142857142861</v>
      </c>
      <c r="U1242" s="224"/>
      <c r="V1242" s="224"/>
    </row>
    <row r="1243" spans="1:22" ht="14.65" customHeight="1" x14ac:dyDescent="0.2">
      <c r="A1243" s="225">
        <v>43416</v>
      </c>
      <c r="B1243" s="224" t="s">
        <v>399</v>
      </c>
      <c r="C1243" s="224" t="s">
        <v>202</v>
      </c>
      <c r="D1243" s="224" t="s">
        <v>203</v>
      </c>
      <c r="E1243" s="226"/>
      <c r="G1243" s="224" t="s">
        <v>1</v>
      </c>
      <c r="H1243" s="224" t="s">
        <v>289</v>
      </c>
      <c r="I1243" s="224" t="s">
        <v>35</v>
      </c>
      <c r="J1243" s="224">
        <v>70</v>
      </c>
      <c r="K1243" s="227">
        <f t="array" ref="K1243">IFERROR(INDEX([1]Grille_Tarifs_Modulable!$B$2:$B$204,MATCH(Tableau14[[#This Row],[Designation]]&amp;Tableau14[[#This Row],[CL]],[1]Grille_Tarifs_Modulable!$C$2:$C$204&amp;[1]Grille_Tarifs_Modulable!$F$2:$F$204,0)),0)</f>
        <v>3257150107012</v>
      </c>
      <c r="L1243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29.828643999999997</v>
      </c>
      <c r="M1243" s="228">
        <f>IF(Tableau14[[#This Row],[Prix_Unit_HT]]=0,0,Tableau14[[#This Row],[Prix_Unit_HT]]+(Tableau14[[#This Row],[Prix_Unit_HT]]*VLOOKUP(Tableau14[[#This Row],[EAN]],[1]Grille_Tarifs_Modulable!$B$10:$Q$204,16,FALSE)))</f>
        <v>35.794372799999998</v>
      </c>
      <c r="N1243" s="224">
        <v>12</v>
      </c>
      <c r="O1243" s="228">
        <f>ROUND(Tableau14[[#This Row],[Prix_Unit_HT]],2)*Tableau14[[#This Row],[Qte_commande]]</f>
        <v>357.96</v>
      </c>
      <c r="P1243" s="228">
        <f>ROUND(Tableau14[[#This Row],[Prix_Unit_TTC]],2)*Tableau14[[#This Row],[Qte_commande]]</f>
        <v>429.48</v>
      </c>
      <c r="Q1243" s="224">
        <v>12</v>
      </c>
      <c r="R1243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12.000000000000002</v>
      </c>
      <c r="U1243" s="224"/>
      <c r="V1243" s="224"/>
    </row>
    <row r="1244" spans="1:22" ht="14.65" customHeight="1" x14ac:dyDescent="0.2">
      <c r="A1244" s="225">
        <v>43416</v>
      </c>
      <c r="B1244" s="224" t="s">
        <v>399</v>
      </c>
      <c r="C1244" s="224" t="s">
        <v>202</v>
      </c>
      <c r="D1244" s="224" t="s">
        <v>203</v>
      </c>
      <c r="E1244" s="226"/>
      <c r="G1244" s="224" t="s">
        <v>1</v>
      </c>
      <c r="H1244" s="224" t="s">
        <v>289</v>
      </c>
      <c r="I1244" s="224" t="s">
        <v>30</v>
      </c>
      <c r="J1244" s="224">
        <v>70</v>
      </c>
      <c r="K1244" s="227">
        <f t="array" ref="K1244">IFERROR(INDEX([1]Grille_Tarifs_Modulable!$B$2:$B$204,MATCH(Tableau14[[#This Row],[Designation]]&amp;Tableau14[[#This Row],[CL]],[1]Grille_Tarifs_Modulable!$C$2:$C$204&amp;[1]Grille_Tarifs_Modulable!$F$2:$F$204,0)),0)</f>
        <v>3257150101904</v>
      </c>
      <c r="L1244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16.346482999999999</v>
      </c>
      <c r="M1244" s="228">
        <f>IF(Tableau14[[#This Row],[Prix_Unit_HT]]=0,0,Tableau14[[#This Row],[Prix_Unit_HT]]+(Tableau14[[#This Row],[Prix_Unit_HT]]*VLOOKUP(Tableau14[[#This Row],[EAN]],[1]Grille_Tarifs_Modulable!$B$10:$Q$204,16,FALSE)))</f>
        <v>19.6157796</v>
      </c>
      <c r="N1244" s="224">
        <v>12</v>
      </c>
      <c r="O1244" s="228">
        <f>ROUND(Tableau14[[#This Row],[Prix_Unit_HT]],2)*Tableau14[[#This Row],[Qte_commande]]</f>
        <v>196.20000000000002</v>
      </c>
      <c r="P1244" s="228">
        <f>ROUND(Tableau14[[#This Row],[Prix_Unit_TTC]],2)*Tableau14[[#This Row],[Qte_commande]]</f>
        <v>235.44</v>
      </c>
      <c r="Q1244" s="224">
        <v>12</v>
      </c>
      <c r="R1244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12.000000000000002</v>
      </c>
      <c r="U1244" s="224"/>
      <c r="V1244" s="224"/>
    </row>
    <row r="1245" spans="1:22" ht="14.65" customHeight="1" x14ac:dyDescent="0.2">
      <c r="A1245" s="225">
        <v>43416</v>
      </c>
      <c r="B1245" s="224" t="s">
        <v>399</v>
      </c>
      <c r="C1245" s="224" t="s">
        <v>202</v>
      </c>
      <c r="D1245" s="224" t="s">
        <v>203</v>
      </c>
      <c r="E1245" s="226"/>
      <c r="G1245" s="224" t="s">
        <v>1</v>
      </c>
      <c r="H1245" s="224" t="s">
        <v>289</v>
      </c>
      <c r="I1245" s="224" t="s">
        <v>32</v>
      </c>
      <c r="J1245" s="224">
        <v>70</v>
      </c>
      <c r="K1245" s="227">
        <f t="array" ref="K1245">IFERROR(INDEX([1]Grille_Tarifs_Modulable!$B$2:$B$204,MATCH(Tableau14[[#This Row],[Designation]]&amp;Tableau14[[#This Row],[CL]],[1]Grille_Tarifs_Modulable!$C$2:$C$204&amp;[1]Grille_Tarifs_Modulable!$F$2:$F$204,0)),0)</f>
        <v>3257150100228</v>
      </c>
      <c r="L1245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19.998643999999999</v>
      </c>
      <c r="M1245" s="228">
        <f>IF(Tableau14[[#This Row],[Prix_Unit_HT]]=0,0,Tableau14[[#This Row],[Prix_Unit_HT]]+(Tableau14[[#This Row],[Prix_Unit_HT]]*VLOOKUP(Tableau14[[#This Row],[EAN]],[1]Grille_Tarifs_Modulable!$B$10:$Q$204,16,FALSE)))</f>
        <v>23.998372799999999</v>
      </c>
      <c r="N1245" s="224">
        <v>6</v>
      </c>
      <c r="O1245" s="228">
        <f>ROUND(Tableau14[[#This Row],[Prix_Unit_HT]],2)*Tableau14[[#This Row],[Qte_commande]]</f>
        <v>120</v>
      </c>
      <c r="P1245" s="228">
        <f>ROUND(Tableau14[[#This Row],[Prix_Unit_TTC]],2)*Tableau14[[#This Row],[Qte_commande]]</f>
        <v>144</v>
      </c>
      <c r="Q1245" s="224">
        <v>6</v>
      </c>
      <c r="R1245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6.0000000000000009</v>
      </c>
      <c r="U1245" s="224"/>
      <c r="V1245" s="224"/>
    </row>
    <row r="1246" spans="1:22" ht="14.65" customHeight="1" x14ac:dyDescent="0.2">
      <c r="A1246" s="225">
        <v>43416</v>
      </c>
      <c r="B1246" s="224" t="s">
        <v>399</v>
      </c>
      <c r="C1246" s="224" t="s">
        <v>202</v>
      </c>
      <c r="D1246" s="224" t="s">
        <v>203</v>
      </c>
      <c r="E1246" s="226"/>
      <c r="G1246" s="224" t="s">
        <v>1</v>
      </c>
      <c r="H1246" s="224" t="s">
        <v>289</v>
      </c>
      <c r="I1246" s="224" t="s">
        <v>34</v>
      </c>
      <c r="J1246" s="224">
        <v>70</v>
      </c>
      <c r="K1246" s="227">
        <f t="array" ref="K1246">IFERROR(INDEX([1]Grille_Tarifs_Modulable!$B$2:$B$204,MATCH(Tableau14[[#This Row],[Designation]]&amp;Tableau14[[#This Row],[CL]],[1]Grille_Tarifs_Modulable!$C$2:$C$204&amp;[1]Grille_Tarifs_Modulable!$F$2:$F$204,0)),0)</f>
        <v>3257150100167</v>
      </c>
      <c r="L1246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27.618644000000003</v>
      </c>
      <c r="M1246" s="228">
        <f>IF(Tableau14[[#This Row],[Prix_Unit_HT]]=0,0,Tableau14[[#This Row],[Prix_Unit_HT]]+(Tableau14[[#This Row],[Prix_Unit_HT]]*VLOOKUP(Tableau14[[#This Row],[EAN]],[1]Grille_Tarifs_Modulable!$B$10:$Q$204,16,FALSE)))</f>
        <v>33.142372800000004</v>
      </c>
      <c r="N1246" s="224">
        <v>6</v>
      </c>
      <c r="O1246" s="228">
        <f>ROUND(Tableau14[[#This Row],[Prix_Unit_HT]],2)*Tableau14[[#This Row],[Qte_commande]]</f>
        <v>165.72</v>
      </c>
      <c r="P1246" s="228">
        <f>ROUND(Tableau14[[#This Row],[Prix_Unit_TTC]],2)*Tableau14[[#This Row],[Qte_commande]]</f>
        <v>198.84</v>
      </c>
      <c r="Q1246" s="224">
        <v>6</v>
      </c>
      <c r="R1246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6.0000000000000009</v>
      </c>
      <c r="U1246" s="224"/>
      <c r="V1246" s="224"/>
    </row>
    <row r="1247" spans="1:22" ht="14.65" customHeight="1" x14ac:dyDescent="0.2">
      <c r="A1247" s="225">
        <v>43416</v>
      </c>
      <c r="B1247" s="224" t="s">
        <v>399</v>
      </c>
      <c r="C1247" s="224" t="s">
        <v>202</v>
      </c>
      <c r="D1247" s="224" t="s">
        <v>203</v>
      </c>
      <c r="E1247" s="226"/>
      <c r="G1247" s="224" t="s">
        <v>1</v>
      </c>
      <c r="H1247" s="224" t="s">
        <v>289</v>
      </c>
      <c r="I1247" s="224" t="s">
        <v>31</v>
      </c>
      <c r="J1247" s="224">
        <v>70</v>
      </c>
      <c r="K1247" s="227">
        <f t="array" ref="K1247">IFERROR(INDEX([1]Grille_Tarifs_Modulable!$B$2:$B$204,MATCH(Tableau14[[#This Row],[Designation]]&amp;Tableau14[[#This Row],[CL]],[1]Grille_Tarifs_Modulable!$C$2:$C$204&amp;[1]Grille_Tarifs_Modulable!$F$2:$F$204,0)),0)</f>
        <v>3257150102017</v>
      </c>
      <c r="L1247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14.694322</v>
      </c>
      <c r="M1247" s="228">
        <f>IF(Tableau14[[#This Row],[Prix_Unit_HT]]=0,0,Tableau14[[#This Row],[Prix_Unit_HT]]+(Tableau14[[#This Row],[Prix_Unit_HT]]*VLOOKUP(Tableau14[[#This Row],[EAN]],[1]Grille_Tarifs_Modulable!$B$10:$Q$204,16,FALSE)))</f>
        <v>17.6331864</v>
      </c>
      <c r="N1247" s="224">
        <v>12</v>
      </c>
      <c r="O1247" s="228">
        <f>ROUND(Tableau14[[#This Row],[Prix_Unit_HT]],2)*Tableau14[[#This Row],[Qte_commande]]</f>
        <v>176.28</v>
      </c>
      <c r="P1247" s="228">
        <f>ROUND(Tableau14[[#This Row],[Prix_Unit_TTC]],2)*Tableau14[[#This Row],[Qte_commande]]</f>
        <v>211.56</v>
      </c>
      <c r="Q1247" s="224">
        <v>12</v>
      </c>
      <c r="R1247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12.000000000000002</v>
      </c>
      <c r="U1247" s="224"/>
      <c r="V1247" s="224"/>
    </row>
    <row r="1248" spans="1:22" ht="14.65" customHeight="1" x14ac:dyDescent="0.2">
      <c r="A1248" s="225">
        <v>43417</v>
      </c>
      <c r="B1248" s="224" t="s">
        <v>1219</v>
      </c>
      <c r="C1248" s="224" t="s">
        <v>473</v>
      </c>
      <c r="D1248" s="224" t="s">
        <v>474</v>
      </c>
      <c r="E1248" s="226"/>
      <c r="G1248" s="224" t="s">
        <v>13</v>
      </c>
      <c r="H1248" s="224" t="s">
        <v>451</v>
      </c>
      <c r="I1248" s="224" t="s">
        <v>69</v>
      </c>
      <c r="J1248" s="227">
        <v>3</v>
      </c>
      <c r="K1248" s="227">
        <f t="array" ref="K1248">IFERROR(INDEX([1]Grille_Tarifs_Modulable!$B$2:$B$204,MATCH(Tableau14[[#This Row],[Designation]]&amp;Tableau14[[#This Row],[CL]],[1]Grille_Tarifs_Modulable!$C$2:$C$204&amp;[1]Grille_Tarifs_Modulable!$F$2:$F$204,0)),0)</f>
        <v>121</v>
      </c>
      <c r="L1248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299</v>
      </c>
      <c r="M1248" s="228">
        <f>IF(Tableau14[[#This Row],[Prix_Unit_HT]]=0,0,Tableau14[[#This Row],[Prix_Unit_HT]]+(Tableau14[[#This Row],[Prix_Unit_HT]]*VLOOKUP(Tableau14[[#This Row],[EAN]],[1]Grille_Tarifs_Modulable!$B$10:$Q$204,16,FALSE)))</f>
        <v>358.8</v>
      </c>
      <c r="N1248" s="224">
        <v>6</v>
      </c>
      <c r="O1248" s="228">
        <f>ROUND(Tableau14[[#This Row],[Prix_Unit_HT]],2)*Tableau14[[#This Row],[Qte_commande]]</f>
        <v>1794</v>
      </c>
      <c r="P1248" s="228">
        <f>ROUND(Tableau14[[#This Row],[Prix_Unit_TTC]],2)*Tableau14[[#This Row],[Qte_commande]]</f>
        <v>2152.8000000000002</v>
      </c>
      <c r="Q1248" s="224">
        <v>6</v>
      </c>
      <c r="R1248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</v>
      </c>
      <c r="U1248" s="224"/>
      <c r="V1248" s="224"/>
    </row>
    <row r="1249" spans="1:22" ht="14.65" customHeight="1" x14ac:dyDescent="0.2">
      <c r="A1249" s="225">
        <v>43418</v>
      </c>
      <c r="B1249" s="224" t="s">
        <v>719</v>
      </c>
      <c r="C1249" s="224" t="s">
        <v>639</v>
      </c>
      <c r="D1249" s="224" t="s">
        <v>373</v>
      </c>
      <c r="E1249" s="226"/>
      <c r="G1249" s="224" t="s">
        <v>1</v>
      </c>
      <c r="H1249" s="224" t="s">
        <v>289</v>
      </c>
      <c r="I1249" s="224" t="s">
        <v>15</v>
      </c>
      <c r="J1249" s="224">
        <v>70</v>
      </c>
      <c r="K1249" s="227">
        <f t="array" ref="K1249">IFERROR(INDEX([1]Grille_Tarifs_Modulable!$B$2:$B$204,MATCH(Tableau14[[#This Row],[Designation]]&amp;Tableau14[[#This Row],[CL]],[1]Grille_Tarifs_Modulable!$C$2:$C$204&amp;[1]Grille_Tarifs_Modulable!$F$2:$F$204,0)),0)</f>
        <v>4067700013859</v>
      </c>
      <c r="L1249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12.532563499999998</v>
      </c>
      <c r="M1249" s="228">
        <f>IF(Tableau14[[#This Row],[Prix_Unit_HT]]=0,0,Tableau14[[#This Row],[Prix_Unit_HT]]+(Tableau14[[#This Row],[Prix_Unit_HT]]*VLOOKUP(Tableau14[[#This Row],[EAN]],[1]Grille_Tarifs_Modulable!$B$10:$Q$204,16,FALSE)))</f>
        <v>15.039076199999998</v>
      </c>
      <c r="N1249" s="224">
        <v>120</v>
      </c>
      <c r="O1249" s="228">
        <f>ROUND(Tableau14[[#This Row],[Prix_Unit_HT]],2)*Tableau14[[#This Row],[Qte_commande]]</f>
        <v>1503.6</v>
      </c>
      <c r="P1249" s="228">
        <f>ROUND(Tableau14[[#This Row],[Prix_Unit_TTC]],2)*Tableau14[[#This Row],[Qte_commande]]</f>
        <v>1804.8</v>
      </c>
      <c r="Q1249" s="224">
        <v>120</v>
      </c>
      <c r="R1249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120.00000000000001</v>
      </c>
      <c r="U1249" s="224"/>
      <c r="V1249" s="224"/>
    </row>
    <row r="1250" spans="1:22" ht="14.65" customHeight="1" x14ac:dyDescent="0.2">
      <c r="A1250" s="225">
        <v>43418</v>
      </c>
      <c r="B1250" s="224" t="s">
        <v>720</v>
      </c>
      <c r="C1250" s="224" t="s">
        <v>194</v>
      </c>
      <c r="D1250" s="224" t="s">
        <v>641</v>
      </c>
      <c r="E1250" s="226"/>
      <c r="G1250" s="224" t="s">
        <v>1</v>
      </c>
      <c r="H1250" s="224" t="s">
        <v>289</v>
      </c>
      <c r="I1250" s="224" t="s">
        <v>15</v>
      </c>
      <c r="J1250" s="224">
        <v>175</v>
      </c>
      <c r="K1250" s="227">
        <f t="array" ref="K1250">IFERROR(INDEX([1]Grille_Tarifs_Modulable!$B$2:$B$204,MATCH(Tableau14[[#This Row],[Designation]]&amp;Tableau14[[#This Row],[CL]],[1]Grille_Tarifs_Modulable!$C$2:$C$204&amp;[1]Grille_Tarifs_Modulable!$F$2:$F$204,0)),0)</f>
        <v>4067700013835</v>
      </c>
      <c r="L1250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28.916408750000002</v>
      </c>
      <c r="M1250" s="228">
        <f>IF(Tableau14[[#This Row],[Prix_Unit_HT]]=0,0,Tableau14[[#This Row],[Prix_Unit_HT]]+(Tableau14[[#This Row],[Prix_Unit_HT]]*VLOOKUP(Tableau14[[#This Row],[EAN]],[1]Grille_Tarifs_Modulable!$B$10:$Q$204,16,FALSE)))</f>
        <v>34.699690500000003</v>
      </c>
      <c r="N1250" s="224">
        <v>72</v>
      </c>
      <c r="O1250" s="228">
        <f>ROUND(Tableau14[[#This Row],[Prix_Unit_HT]],2)*Tableau14[[#This Row],[Qte_commande]]</f>
        <v>2082.2400000000002</v>
      </c>
      <c r="P1250" s="228">
        <f>ROUND(Tableau14[[#This Row],[Prix_Unit_TTC]],2)*Tableau14[[#This Row],[Qte_commande]]</f>
        <v>2498.4</v>
      </c>
      <c r="Q1250" s="224">
        <v>180</v>
      </c>
      <c r="R1250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180</v>
      </c>
      <c r="U1250" s="224"/>
      <c r="V1250" s="224"/>
    </row>
    <row r="1251" spans="1:22" ht="14.65" customHeight="1" x14ac:dyDescent="0.2">
      <c r="A1251" s="225">
        <v>43418</v>
      </c>
      <c r="B1251" s="224" t="s">
        <v>719</v>
      </c>
      <c r="C1251" s="224" t="s">
        <v>639</v>
      </c>
      <c r="D1251" s="224" t="s">
        <v>373</v>
      </c>
      <c r="E1251" s="226"/>
      <c r="G1251" s="224" t="s">
        <v>1</v>
      </c>
      <c r="H1251" s="224" t="s">
        <v>289</v>
      </c>
      <c r="I1251" s="224" t="s">
        <v>42</v>
      </c>
      <c r="J1251" s="224">
        <v>70</v>
      </c>
      <c r="K1251" s="227">
        <f t="array" ref="K1251">IFERROR(INDEX([1]Grille_Tarifs_Modulable!$B$2:$B$204,MATCH(Tableau14[[#This Row],[Designation]]&amp;Tableau14[[#This Row],[CL]],[1]Grille_Tarifs_Modulable!$C$2:$C$204&amp;[1]Grille_Tarifs_Modulable!$F$2:$F$204,0)),0)</f>
        <v>3257150688009</v>
      </c>
      <c r="L1251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12.556915199999999</v>
      </c>
      <c r="M1251" s="228">
        <f>IF(Tableau14[[#This Row],[Prix_Unit_HT]]=0,0,Tableau14[[#This Row],[Prix_Unit_HT]]+(Tableau14[[#This Row],[Prix_Unit_HT]]*VLOOKUP(Tableau14[[#This Row],[EAN]],[1]Grille_Tarifs_Modulable!$B$10:$Q$204,16,FALSE)))</f>
        <v>15.068298239999999</v>
      </c>
      <c r="N1251" s="224">
        <v>72</v>
      </c>
      <c r="O1251" s="228">
        <f>ROUND(Tableau14[[#This Row],[Prix_Unit_HT]],2)*Tableau14[[#This Row],[Qte_commande]]</f>
        <v>904.32</v>
      </c>
      <c r="P1251" s="228">
        <f>ROUND(Tableau14[[#This Row],[Prix_Unit_TTC]],2)*Tableau14[[#This Row],[Qte_commande]]</f>
        <v>1085.04</v>
      </c>
      <c r="Q1251" s="224">
        <v>72</v>
      </c>
      <c r="R1251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72</v>
      </c>
      <c r="U1251" s="224"/>
      <c r="V1251" s="224"/>
    </row>
    <row r="1252" spans="1:22" ht="14.65" customHeight="1" x14ac:dyDescent="0.2">
      <c r="A1252" s="225">
        <v>43419</v>
      </c>
      <c r="B1252" s="224" t="s">
        <v>721</v>
      </c>
      <c r="C1252" s="224" t="s">
        <v>265</v>
      </c>
      <c r="D1252" s="224" t="s">
        <v>266</v>
      </c>
      <c r="E1252" s="226"/>
      <c r="G1252" s="224" t="s">
        <v>1</v>
      </c>
      <c r="H1252" s="224" t="s">
        <v>289</v>
      </c>
      <c r="I1252" s="224" t="s">
        <v>15</v>
      </c>
      <c r="J1252" s="224">
        <v>70</v>
      </c>
      <c r="K1252" s="227">
        <f t="array" ref="K1252">IFERROR(INDEX([1]Grille_Tarifs_Modulable!$B$2:$B$204,MATCH(Tableau14[[#This Row],[Designation]]&amp;Tableau14[[#This Row],[CL]],[1]Grille_Tarifs_Modulable!$C$2:$C$204&amp;[1]Grille_Tarifs_Modulable!$F$2:$F$204,0)),0)</f>
        <v>4067700013859</v>
      </c>
      <c r="L1252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12.532563499999998</v>
      </c>
      <c r="M1252" s="228">
        <f>IF(Tableau14[[#This Row],[Prix_Unit_HT]]=0,0,Tableau14[[#This Row],[Prix_Unit_HT]]+(Tableau14[[#This Row],[Prix_Unit_HT]]*VLOOKUP(Tableau14[[#This Row],[EAN]],[1]Grille_Tarifs_Modulable!$B$10:$Q$204,16,FALSE)))</f>
        <v>15.039076199999998</v>
      </c>
      <c r="N1252" s="224">
        <v>120</v>
      </c>
      <c r="O1252" s="228">
        <f>ROUND(Tableau14[[#This Row],[Prix_Unit_HT]],2)*Tableau14[[#This Row],[Qte_commande]]</f>
        <v>1503.6</v>
      </c>
      <c r="P1252" s="228">
        <f>ROUND(Tableau14[[#This Row],[Prix_Unit_TTC]],2)*Tableau14[[#This Row],[Qte_commande]]</f>
        <v>1804.8</v>
      </c>
      <c r="Q1252" s="224">
        <v>120</v>
      </c>
      <c r="R1252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120.00000000000001</v>
      </c>
      <c r="U1252" s="224"/>
      <c r="V1252" s="224"/>
    </row>
    <row r="1253" spans="1:22" ht="14.65" customHeight="1" x14ac:dyDescent="0.2">
      <c r="A1253" s="225">
        <v>43419</v>
      </c>
      <c r="B1253" s="224" t="s">
        <v>721</v>
      </c>
      <c r="C1253" s="224" t="s">
        <v>265</v>
      </c>
      <c r="D1253" s="224" t="s">
        <v>266</v>
      </c>
      <c r="E1253" s="226"/>
      <c r="G1253" s="224" t="s">
        <v>1</v>
      </c>
      <c r="H1253" s="224" t="s">
        <v>289</v>
      </c>
      <c r="I1253" s="224" t="s">
        <v>15</v>
      </c>
      <c r="J1253" s="224">
        <v>70</v>
      </c>
      <c r="K1253" s="227">
        <f t="array" ref="K1253">IFERROR(INDEX([1]Grille_Tarifs_Modulable!$B$2:$B$204,MATCH(Tableau14[[#This Row],[Designation]]&amp;Tableau14[[#This Row],[CL]],[1]Grille_Tarifs_Modulable!$C$2:$C$204&amp;[1]Grille_Tarifs_Modulable!$F$2:$F$204,0)),0)</f>
        <v>4067700013859</v>
      </c>
      <c r="L1253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12.532563499999998</v>
      </c>
      <c r="M1253" s="228">
        <f>IF(Tableau14[[#This Row],[Prix_Unit_HT]]=0,0,Tableau14[[#This Row],[Prix_Unit_HT]]+(Tableau14[[#This Row],[Prix_Unit_HT]]*VLOOKUP(Tableau14[[#This Row],[EAN]],[1]Grille_Tarifs_Modulable!$B$10:$Q$204,16,FALSE)))</f>
        <v>15.039076199999998</v>
      </c>
      <c r="N1253" s="224">
        <v>120</v>
      </c>
      <c r="O1253" s="228">
        <f>ROUND(Tableau14[[#This Row],[Prix_Unit_HT]],2)*Tableau14[[#This Row],[Qte_commande]]</f>
        <v>1503.6</v>
      </c>
      <c r="P1253" s="228">
        <f>ROUND(Tableau14[[#This Row],[Prix_Unit_TTC]],2)*Tableau14[[#This Row],[Qte_commande]]</f>
        <v>1804.8</v>
      </c>
      <c r="Q1253" s="224">
        <v>120</v>
      </c>
      <c r="R1253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120.00000000000001</v>
      </c>
      <c r="U1253" s="224"/>
      <c r="V1253" s="224"/>
    </row>
    <row r="1254" spans="1:22" ht="14.65" customHeight="1" x14ac:dyDescent="0.2">
      <c r="A1254" s="225">
        <v>43419</v>
      </c>
      <c r="B1254" s="224" t="s">
        <v>722</v>
      </c>
      <c r="C1254" s="224" t="s">
        <v>211</v>
      </c>
      <c r="D1254" s="224" t="s">
        <v>212</v>
      </c>
      <c r="E1254" s="226"/>
      <c r="G1254" s="224" t="s">
        <v>1</v>
      </c>
      <c r="H1254" s="224" t="s">
        <v>289</v>
      </c>
      <c r="I1254" s="224" t="s">
        <v>15</v>
      </c>
      <c r="J1254" s="224">
        <v>100</v>
      </c>
      <c r="K1254" s="227">
        <f t="array" ref="K1254">IFERROR(INDEX([1]Grille_Tarifs_Modulable!$B$2:$B$204,MATCH(Tableau14[[#This Row],[Designation]]&amp;Tableau14[[#This Row],[CL]],[1]Grille_Tarifs_Modulable!$C$2:$C$204&amp;[1]Grille_Tarifs_Modulable!$F$2:$F$204,0)),0)</f>
        <v>4067700013842</v>
      </c>
      <c r="L1254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17.100804999999998</v>
      </c>
      <c r="M1254" s="228">
        <f>IF(Tableau14[[#This Row],[Prix_Unit_HT]]=0,0,Tableau14[[#This Row],[Prix_Unit_HT]]+(Tableau14[[#This Row],[Prix_Unit_HT]]*VLOOKUP(Tableau14[[#This Row],[EAN]],[1]Grille_Tarifs_Modulable!$B$10:$Q$204,16,FALSE)))</f>
        <v>20.520965999999998</v>
      </c>
      <c r="N1254" s="224">
        <v>180</v>
      </c>
      <c r="O1254" s="228">
        <f>ROUND(Tableau14[[#This Row],[Prix_Unit_HT]],2)*Tableau14[[#This Row],[Qte_commande]]</f>
        <v>3078.0000000000005</v>
      </c>
      <c r="P1254" s="228">
        <f>ROUND(Tableau14[[#This Row],[Prix_Unit_TTC]],2)*Tableau14[[#This Row],[Qte_commande]]</f>
        <v>3693.6</v>
      </c>
      <c r="Q1254" s="224">
        <v>257.14</v>
      </c>
      <c r="R1254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257.14285714285717</v>
      </c>
      <c r="U1254" s="224"/>
      <c r="V1254" s="224"/>
    </row>
    <row r="1255" spans="1:22" ht="14.65" customHeight="1" x14ac:dyDescent="0.2">
      <c r="A1255" s="225">
        <v>43419</v>
      </c>
      <c r="B1255" s="224" t="s">
        <v>721</v>
      </c>
      <c r="C1255" s="224" t="s">
        <v>265</v>
      </c>
      <c r="D1255" s="224" t="s">
        <v>266</v>
      </c>
      <c r="E1255" s="226"/>
      <c r="G1255" s="224" t="s">
        <v>1</v>
      </c>
      <c r="H1255" s="224" t="s">
        <v>289</v>
      </c>
      <c r="I1255" s="224" t="s">
        <v>44</v>
      </c>
      <c r="J1255" s="224">
        <v>50</v>
      </c>
      <c r="K1255" s="227">
        <f t="array" ref="K1255">IFERROR(INDEX([1]Grille_Tarifs_Modulable!$B$2:$B$204,MATCH(Tableau14[[#This Row],[Designation]]&amp;Tableau14[[#This Row],[CL]],[1]Grille_Tarifs_Modulable!$C$2:$C$204&amp;[1]Grille_Tarifs_Modulable!$F$2:$F$204,0)),0)</f>
        <v>4260270192645</v>
      </c>
      <c r="L1255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25.192506000000002</v>
      </c>
      <c r="M1255" s="228">
        <f>IF(Tableau14[[#This Row],[Prix_Unit_HT]]=0,0,Tableau14[[#This Row],[Prix_Unit_HT]]+(Tableau14[[#This Row],[Prix_Unit_HT]]*VLOOKUP(Tableau14[[#This Row],[EAN]],[1]Grille_Tarifs_Modulable!$B$10:$Q$204,16,FALSE)))</f>
        <v>30.231007200000001</v>
      </c>
      <c r="N1255" s="224">
        <v>12</v>
      </c>
      <c r="O1255" s="228">
        <f>ROUND(Tableau14[[#This Row],[Prix_Unit_HT]],2)*Tableau14[[#This Row],[Qte_commande]]</f>
        <v>302.28000000000003</v>
      </c>
      <c r="P1255" s="228">
        <f>ROUND(Tableau14[[#This Row],[Prix_Unit_TTC]],2)*Tableau14[[#This Row],[Qte_commande]]</f>
        <v>362.76</v>
      </c>
      <c r="Q1255" s="224">
        <v>8.57</v>
      </c>
      <c r="R1255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8.5714285714285712</v>
      </c>
      <c r="U1255" s="224"/>
      <c r="V1255" s="224"/>
    </row>
    <row r="1256" spans="1:22" ht="14.65" customHeight="1" x14ac:dyDescent="0.2">
      <c r="A1256" s="225">
        <v>43419</v>
      </c>
      <c r="B1256" s="224" t="s">
        <v>721</v>
      </c>
      <c r="C1256" s="224" t="s">
        <v>265</v>
      </c>
      <c r="D1256" s="224" t="s">
        <v>266</v>
      </c>
      <c r="E1256" s="226"/>
      <c r="G1256" s="224" t="s">
        <v>1</v>
      </c>
      <c r="H1256" s="224" t="s">
        <v>196</v>
      </c>
      <c r="I1256" s="224" t="s">
        <v>64</v>
      </c>
      <c r="J1256" s="224">
        <v>20</v>
      </c>
      <c r="K1256" s="227">
        <f t="array" ref="K1256">IFERROR(INDEX([1]Grille_Tarifs_Modulable!$B$2:$B$204,MATCH(Tableau14[[#This Row],[Designation]]&amp;Tableau14[[#This Row],[CL]],[1]Grille_Tarifs_Modulable!$C$2:$C$204&amp;[1]Grille_Tarifs_Modulable!$F$2:$F$204,0)),0)</f>
        <v>4260310553849</v>
      </c>
      <c r="L1256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0.81</v>
      </c>
      <c r="M1256" s="228">
        <f>IF(Tableau14[[#This Row],[Prix_Unit_HT]]=0,0,Tableau14[[#This Row],[Prix_Unit_HT]]+(Tableau14[[#This Row],[Prix_Unit_HT]]*VLOOKUP(Tableau14[[#This Row],[EAN]],[1]Grille_Tarifs_Modulable!$B$10:$Q$204,16,FALSE)))</f>
        <v>0.85455000000000003</v>
      </c>
      <c r="N1256" s="224">
        <v>144</v>
      </c>
      <c r="O1256" s="228">
        <f>ROUND(Tableau14[[#This Row],[Prix_Unit_HT]],2)*Tableau14[[#This Row],[Qte_commande]]</f>
        <v>116.64000000000001</v>
      </c>
      <c r="P1256" s="228">
        <f>ROUND(Tableau14[[#This Row],[Prix_Unit_TTC]],2)*Tableau14[[#This Row],[Qte_commande]]</f>
        <v>122.39999999999999</v>
      </c>
      <c r="Q1256" s="224">
        <v>41.14</v>
      </c>
      <c r="R1256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41.142857142857146</v>
      </c>
      <c r="U1256" s="224"/>
      <c r="V1256" s="224"/>
    </row>
    <row r="1257" spans="1:22" ht="14.65" customHeight="1" x14ac:dyDescent="0.2">
      <c r="A1257" s="225">
        <v>43419</v>
      </c>
      <c r="B1257" s="224" t="s">
        <v>721</v>
      </c>
      <c r="C1257" s="224" t="s">
        <v>265</v>
      </c>
      <c r="D1257" s="224" t="s">
        <v>266</v>
      </c>
      <c r="E1257" s="226"/>
      <c r="G1257" s="224" t="s">
        <v>1</v>
      </c>
      <c r="H1257" s="224" t="s">
        <v>196</v>
      </c>
      <c r="I1257" s="224" t="s">
        <v>59</v>
      </c>
      <c r="J1257" s="224">
        <v>20</v>
      </c>
      <c r="K1257" s="227">
        <f t="array" ref="K1257">IFERROR(INDEX([1]Grille_Tarifs_Modulable!$B$2:$B$204,MATCH(Tableau14[[#This Row],[Designation]]&amp;Tableau14[[#This Row],[CL]],[1]Grille_Tarifs_Modulable!$C$2:$C$204&amp;[1]Grille_Tarifs_Modulable!$F$2:$F$204,0)),0)</f>
        <v>4260310553818</v>
      </c>
      <c r="L1257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0.81</v>
      </c>
      <c r="M1257" s="228">
        <f>IF(Tableau14[[#This Row],[Prix_Unit_HT]]=0,0,Tableau14[[#This Row],[Prix_Unit_HT]]+(Tableau14[[#This Row],[Prix_Unit_HT]]*VLOOKUP(Tableau14[[#This Row],[EAN]],[1]Grille_Tarifs_Modulable!$B$10:$Q$204,16,FALSE)))</f>
        <v>0.85455000000000003</v>
      </c>
      <c r="N1257" s="224">
        <v>240</v>
      </c>
      <c r="O1257" s="228">
        <f>ROUND(Tableau14[[#This Row],[Prix_Unit_HT]],2)*Tableau14[[#This Row],[Qte_commande]]</f>
        <v>194.4</v>
      </c>
      <c r="P1257" s="228">
        <f>ROUND(Tableau14[[#This Row],[Prix_Unit_TTC]],2)*Tableau14[[#This Row],[Qte_commande]]</f>
        <v>204</v>
      </c>
      <c r="Q1257" s="224">
        <v>68.569999999999993</v>
      </c>
      <c r="R1257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68.571428571428569</v>
      </c>
      <c r="U1257" s="224"/>
      <c r="V1257" s="224"/>
    </row>
    <row r="1258" spans="1:22" ht="14.65" customHeight="1" x14ac:dyDescent="0.2">
      <c r="A1258" s="225">
        <v>43420</v>
      </c>
      <c r="B1258" s="224" t="s">
        <v>400</v>
      </c>
      <c r="C1258" s="224" t="s">
        <v>401</v>
      </c>
      <c r="D1258" s="224" t="s">
        <v>402</v>
      </c>
      <c r="E1258" s="226"/>
      <c r="G1258" s="224" t="s">
        <v>1</v>
      </c>
      <c r="H1258" s="224" t="s">
        <v>289</v>
      </c>
      <c r="I1258" s="224" t="s">
        <v>35</v>
      </c>
      <c r="J1258" s="224">
        <v>70</v>
      </c>
      <c r="K1258" s="227">
        <f t="array" ref="K1258">IFERROR(INDEX([1]Grille_Tarifs_Modulable!$B$2:$B$204,MATCH(Tableau14[[#This Row],[Designation]]&amp;Tableau14[[#This Row],[CL]],[1]Grille_Tarifs_Modulable!$C$2:$C$204&amp;[1]Grille_Tarifs_Modulable!$F$2:$F$204,0)),0)</f>
        <v>3257150107012</v>
      </c>
      <c r="L1258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29.828643999999997</v>
      </c>
      <c r="M1258" s="228">
        <f>IF(Tableau14[[#This Row],[Prix_Unit_HT]]=0,0,Tableau14[[#This Row],[Prix_Unit_HT]]+(Tableau14[[#This Row],[Prix_Unit_HT]]*VLOOKUP(Tableau14[[#This Row],[EAN]],[1]Grille_Tarifs_Modulable!$B$10:$Q$204,16,FALSE)))</f>
        <v>35.794372799999998</v>
      </c>
      <c r="N1258" s="224">
        <v>12</v>
      </c>
      <c r="O1258" s="228">
        <f>ROUND(Tableau14[[#This Row],[Prix_Unit_HT]],2)*Tableau14[[#This Row],[Qte_commande]]</f>
        <v>357.96</v>
      </c>
      <c r="P1258" s="228">
        <f>ROUND(Tableau14[[#This Row],[Prix_Unit_TTC]],2)*Tableau14[[#This Row],[Qte_commande]]</f>
        <v>429.48</v>
      </c>
      <c r="Q1258" s="224">
        <v>12</v>
      </c>
      <c r="R1258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12.000000000000002</v>
      </c>
      <c r="U1258" s="224"/>
      <c r="V1258" s="224"/>
    </row>
    <row r="1259" spans="1:22" ht="14.65" customHeight="1" x14ac:dyDescent="0.2">
      <c r="A1259" s="225">
        <v>43420</v>
      </c>
      <c r="B1259" s="224" t="s">
        <v>403</v>
      </c>
      <c r="C1259" s="224" t="s">
        <v>348</v>
      </c>
      <c r="D1259" s="224" t="s">
        <v>155</v>
      </c>
      <c r="E1259" s="226"/>
      <c r="G1259" s="224" t="s">
        <v>1</v>
      </c>
      <c r="H1259" s="224" t="s">
        <v>289</v>
      </c>
      <c r="I1259" s="224" t="s">
        <v>35</v>
      </c>
      <c r="J1259" s="224">
        <v>70</v>
      </c>
      <c r="K1259" s="227">
        <f t="array" ref="K1259">IFERROR(INDEX([1]Grille_Tarifs_Modulable!$B$2:$B$204,MATCH(Tableau14[[#This Row],[Designation]]&amp;Tableau14[[#This Row],[CL]],[1]Grille_Tarifs_Modulable!$C$2:$C$204&amp;[1]Grille_Tarifs_Modulable!$F$2:$F$204,0)),0)</f>
        <v>3257150107012</v>
      </c>
      <c r="L1259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29.828643999999997</v>
      </c>
      <c r="M1259" s="228">
        <f>IF(Tableau14[[#This Row],[Prix_Unit_HT]]=0,0,Tableau14[[#This Row],[Prix_Unit_HT]]+(Tableau14[[#This Row],[Prix_Unit_HT]]*VLOOKUP(Tableau14[[#This Row],[EAN]],[1]Grille_Tarifs_Modulable!$B$10:$Q$204,16,FALSE)))</f>
        <v>35.794372799999998</v>
      </c>
      <c r="N1259" s="224">
        <v>12</v>
      </c>
      <c r="O1259" s="228">
        <f>ROUND(Tableau14[[#This Row],[Prix_Unit_HT]],2)*Tableau14[[#This Row],[Qte_commande]]</f>
        <v>357.96</v>
      </c>
      <c r="P1259" s="228">
        <f>ROUND(Tableau14[[#This Row],[Prix_Unit_TTC]],2)*Tableau14[[#This Row],[Qte_commande]]</f>
        <v>429.48</v>
      </c>
      <c r="Q1259" s="224">
        <v>12</v>
      </c>
      <c r="R1259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12.000000000000002</v>
      </c>
      <c r="U1259" s="224"/>
      <c r="V1259" s="224"/>
    </row>
    <row r="1260" spans="1:22" ht="14.65" customHeight="1" x14ac:dyDescent="0.2">
      <c r="A1260" s="225">
        <v>43420</v>
      </c>
      <c r="B1260" s="224" t="s">
        <v>403</v>
      </c>
      <c r="C1260" s="224" t="s">
        <v>348</v>
      </c>
      <c r="D1260" s="224" t="s">
        <v>155</v>
      </c>
      <c r="E1260" s="226"/>
      <c r="G1260" s="224" t="s">
        <v>1</v>
      </c>
      <c r="H1260" s="224" t="s">
        <v>289</v>
      </c>
      <c r="I1260" s="224" t="s">
        <v>47</v>
      </c>
      <c r="J1260" s="224">
        <v>70</v>
      </c>
      <c r="K1260" s="227">
        <f t="array" ref="K1260">IFERROR(INDEX([1]Grille_Tarifs_Modulable!$B$2:$B$204,MATCH(Tableau14[[#This Row],[Designation]]&amp;Tableau14[[#This Row],[CL]],[1]Grille_Tarifs_Modulable!$C$2:$C$204&amp;[1]Grille_Tarifs_Modulable!$F$2:$F$204,0)),0)</f>
        <v>3257150673005</v>
      </c>
      <c r="L1260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20.158644000000002</v>
      </c>
      <c r="M1260" s="228">
        <f>IF(Tableau14[[#This Row],[Prix_Unit_HT]]=0,0,Tableau14[[#This Row],[Prix_Unit_HT]]+(Tableau14[[#This Row],[Prix_Unit_HT]]*VLOOKUP(Tableau14[[#This Row],[EAN]],[1]Grille_Tarifs_Modulable!$B$10:$Q$204,16,FALSE)))</f>
        <v>24.190372800000002</v>
      </c>
      <c r="N1260" s="224">
        <v>12</v>
      </c>
      <c r="O1260" s="228">
        <f>ROUND(Tableau14[[#This Row],[Prix_Unit_HT]],2)*Tableau14[[#This Row],[Qte_commande]]</f>
        <v>241.92000000000002</v>
      </c>
      <c r="P1260" s="228">
        <f>ROUND(Tableau14[[#This Row],[Prix_Unit_TTC]],2)*Tableau14[[#This Row],[Qte_commande]]</f>
        <v>290.28000000000003</v>
      </c>
      <c r="Q1260" s="224">
        <v>12</v>
      </c>
      <c r="R1260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12.000000000000002</v>
      </c>
      <c r="U1260" s="224"/>
      <c r="V1260" s="224"/>
    </row>
    <row r="1261" spans="1:22" ht="14.65" customHeight="1" x14ac:dyDescent="0.2">
      <c r="A1261" s="225">
        <v>43420</v>
      </c>
      <c r="B1261" s="224" t="s">
        <v>400</v>
      </c>
      <c r="C1261" s="224" t="s">
        <v>401</v>
      </c>
      <c r="D1261" s="224" t="s">
        <v>402</v>
      </c>
      <c r="E1261" s="226"/>
      <c r="G1261" s="224" t="s">
        <v>1</v>
      </c>
      <c r="H1261" s="224" t="s">
        <v>289</v>
      </c>
      <c r="I1261" s="224" t="s">
        <v>15</v>
      </c>
      <c r="J1261" s="224">
        <v>70</v>
      </c>
      <c r="K1261" s="227">
        <f t="array" ref="K1261">IFERROR(INDEX([1]Grille_Tarifs_Modulable!$B$2:$B$204,MATCH(Tableau14[[#This Row],[Designation]]&amp;Tableau14[[#This Row],[CL]],[1]Grille_Tarifs_Modulable!$C$2:$C$204&amp;[1]Grille_Tarifs_Modulable!$F$2:$F$204,0)),0)</f>
        <v>4067700013859</v>
      </c>
      <c r="L1261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12.532563499999998</v>
      </c>
      <c r="M1261" s="228">
        <f>IF(Tableau14[[#This Row],[Prix_Unit_HT]]=0,0,Tableau14[[#This Row],[Prix_Unit_HT]]+(Tableau14[[#This Row],[Prix_Unit_HT]]*VLOOKUP(Tableau14[[#This Row],[EAN]],[1]Grille_Tarifs_Modulable!$B$10:$Q$204,16,FALSE)))</f>
        <v>15.039076199999998</v>
      </c>
      <c r="N1261" s="224">
        <v>96</v>
      </c>
      <c r="O1261" s="228">
        <f>ROUND(Tableau14[[#This Row],[Prix_Unit_HT]],2)*Tableau14[[#This Row],[Qte_commande]]</f>
        <v>1202.8799999999999</v>
      </c>
      <c r="P1261" s="228">
        <f>ROUND(Tableau14[[#This Row],[Prix_Unit_TTC]],2)*Tableau14[[#This Row],[Qte_commande]]</f>
        <v>1443.84</v>
      </c>
      <c r="Q1261" s="224">
        <v>96</v>
      </c>
      <c r="R1261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96.000000000000014</v>
      </c>
      <c r="U1261" s="224"/>
      <c r="V1261" s="224"/>
    </row>
    <row r="1262" spans="1:22" ht="14.65" customHeight="1" x14ac:dyDescent="0.2">
      <c r="A1262" s="225">
        <v>43420</v>
      </c>
      <c r="B1262" s="224" t="s">
        <v>400</v>
      </c>
      <c r="C1262" s="224" t="s">
        <v>401</v>
      </c>
      <c r="D1262" s="224" t="s">
        <v>402</v>
      </c>
      <c r="E1262" s="226"/>
      <c r="G1262" s="224" t="s">
        <v>1</v>
      </c>
      <c r="H1262" s="224" t="s">
        <v>289</v>
      </c>
      <c r="I1262" s="224" t="s">
        <v>15</v>
      </c>
      <c r="J1262" s="224">
        <v>175</v>
      </c>
      <c r="K1262" s="227">
        <f t="array" ref="K1262">IFERROR(INDEX([1]Grille_Tarifs_Modulable!$B$2:$B$204,MATCH(Tableau14[[#This Row],[Designation]]&amp;Tableau14[[#This Row],[CL]],[1]Grille_Tarifs_Modulable!$C$2:$C$204&amp;[1]Grille_Tarifs_Modulable!$F$2:$F$204,0)),0)</f>
        <v>4067700013835</v>
      </c>
      <c r="L1262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28.916408750000002</v>
      </c>
      <c r="M1262" s="228">
        <f>IF(Tableau14[[#This Row],[Prix_Unit_HT]]=0,0,Tableau14[[#This Row],[Prix_Unit_HT]]+(Tableau14[[#This Row],[Prix_Unit_HT]]*VLOOKUP(Tableau14[[#This Row],[EAN]],[1]Grille_Tarifs_Modulable!$B$10:$Q$204,16,FALSE)))</f>
        <v>34.699690500000003</v>
      </c>
      <c r="N1262" s="224">
        <v>36</v>
      </c>
      <c r="O1262" s="228">
        <f>ROUND(Tableau14[[#This Row],[Prix_Unit_HT]],2)*Tableau14[[#This Row],[Qte_commande]]</f>
        <v>1041.1200000000001</v>
      </c>
      <c r="P1262" s="228">
        <f>ROUND(Tableau14[[#This Row],[Prix_Unit_TTC]],2)*Tableau14[[#This Row],[Qte_commande]]</f>
        <v>1249.2</v>
      </c>
      <c r="Q1262" s="224">
        <v>90</v>
      </c>
      <c r="R1262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90</v>
      </c>
      <c r="U1262" s="224"/>
      <c r="V1262" s="224"/>
    </row>
    <row r="1263" spans="1:22" ht="14.65" customHeight="1" x14ac:dyDescent="0.2">
      <c r="A1263" s="225">
        <v>43420</v>
      </c>
      <c r="B1263" s="224" t="s">
        <v>403</v>
      </c>
      <c r="C1263" s="224" t="s">
        <v>348</v>
      </c>
      <c r="D1263" s="224" t="s">
        <v>155</v>
      </c>
      <c r="E1263" s="226"/>
      <c r="G1263" s="224" t="s">
        <v>1</v>
      </c>
      <c r="H1263" s="224" t="s">
        <v>289</v>
      </c>
      <c r="I1263" s="224" t="s">
        <v>15</v>
      </c>
      <c r="J1263" s="224">
        <v>175</v>
      </c>
      <c r="K1263" s="227">
        <f t="array" ref="K1263">IFERROR(INDEX([1]Grille_Tarifs_Modulable!$B$2:$B$204,MATCH(Tableau14[[#This Row],[Designation]]&amp;Tableau14[[#This Row],[CL]],[1]Grille_Tarifs_Modulable!$C$2:$C$204&amp;[1]Grille_Tarifs_Modulable!$F$2:$F$204,0)),0)</f>
        <v>4067700013835</v>
      </c>
      <c r="L1263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28.916408750000002</v>
      </c>
      <c r="M1263" s="228">
        <f>IF(Tableau14[[#This Row],[Prix_Unit_HT]]=0,0,Tableau14[[#This Row],[Prix_Unit_HT]]+(Tableau14[[#This Row],[Prix_Unit_HT]]*VLOOKUP(Tableau14[[#This Row],[EAN]],[1]Grille_Tarifs_Modulable!$B$10:$Q$204,16,FALSE)))</f>
        <v>34.699690500000003</v>
      </c>
      <c r="N1263" s="224">
        <v>6</v>
      </c>
      <c r="O1263" s="228">
        <f>ROUND(Tableau14[[#This Row],[Prix_Unit_HT]],2)*Tableau14[[#This Row],[Qte_commande]]</f>
        <v>173.52</v>
      </c>
      <c r="P1263" s="228">
        <f>ROUND(Tableau14[[#This Row],[Prix_Unit_TTC]],2)*Tableau14[[#This Row],[Qte_commande]]</f>
        <v>208.20000000000002</v>
      </c>
      <c r="Q1263" s="224">
        <v>15</v>
      </c>
      <c r="R1263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15.000000000000002</v>
      </c>
      <c r="U1263" s="224"/>
      <c r="V1263" s="224"/>
    </row>
    <row r="1264" spans="1:22" ht="14.65" customHeight="1" x14ac:dyDescent="0.2">
      <c r="A1264" s="225">
        <v>43420</v>
      </c>
      <c r="B1264" s="224" t="s">
        <v>400</v>
      </c>
      <c r="C1264" s="224" t="s">
        <v>401</v>
      </c>
      <c r="D1264" s="224" t="s">
        <v>402</v>
      </c>
      <c r="E1264" s="226"/>
      <c r="G1264" s="224" t="s">
        <v>1</v>
      </c>
      <c r="H1264" s="224" t="s">
        <v>289</v>
      </c>
      <c r="I1264" s="224" t="s">
        <v>30</v>
      </c>
      <c r="J1264" s="224">
        <v>70</v>
      </c>
      <c r="K1264" s="227">
        <f t="array" ref="K1264">IFERROR(INDEX([1]Grille_Tarifs_Modulable!$B$2:$B$204,MATCH(Tableau14[[#This Row],[Designation]]&amp;Tableau14[[#This Row],[CL]],[1]Grille_Tarifs_Modulable!$C$2:$C$204&amp;[1]Grille_Tarifs_Modulable!$F$2:$F$204,0)),0)</f>
        <v>3257150101904</v>
      </c>
      <c r="L1264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16.346482999999999</v>
      </c>
      <c r="M1264" s="228">
        <f>IF(Tableau14[[#This Row],[Prix_Unit_HT]]=0,0,Tableau14[[#This Row],[Prix_Unit_HT]]+(Tableau14[[#This Row],[Prix_Unit_HT]]*VLOOKUP(Tableau14[[#This Row],[EAN]],[1]Grille_Tarifs_Modulable!$B$10:$Q$204,16,FALSE)))</f>
        <v>19.6157796</v>
      </c>
      <c r="N1264" s="224">
        <v>12</v>
      </c>
      <c r="O1264" s="228">
        <f>ROUND(Tableau14[[#This Row],[Prix_Unit_HT]],2)*Tableau14[[#This Row],[Qte_commande]]</f>
        <v>196.20000000000002</v>
      </c>
      <c r="P1264" s="228">
        <f>ROUND(Tableau14[[#This Row],[Prix_Unit_TTC]],2)*Tableau14[[#This Row],[Qte_commande]]</f>
        <v>235.44</v>
      </c>
      <c r="Q1264" s="224">
        <v>12</v>
      </c>
      <c r="R1264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12.000000000000002</v>
      </c>
      <c r="U1264" s="224"/>
      <c r="V1264" s="224"/>
    </row>
    <row r="1265" spans="1:22" ht="14.65" customHeight="1" x14ac:dyDescent="0.2">
      <c r="A1265" s="225">
        <v>43420</v>
      </c>
      <c r="B1265" s="224" t="s">
        <v>403</v>
      </c>
      <c r="C1265" s="224" t="s">
        <v>348</v>
      </c>
      <c r="D1265" s="224" t="s">
        <v>155</v>
      </c>
      <c r="E1265" s="226"/>
      <c r="G1265" s="224" t="s">
        <v>1</v>
      </c>
      <c r="H1265" s="224" t="s">
        <v>289</v>
      </c>
      <c r="I1265" s="224" t="s">
        <v>30</v>
      </c>
      <c r="J1265" s="224">
        <v>70</v>
      </c>
      <c r="K1265" s="227">
        <f t="array" ref="K1265">IFERROR(INDEX([1]Grille_Tarifs_Modulable!$B$2:$B$204,MATCH(Tableau14[[#This Row],[Designation]]&amp;Tableau14[[#This Row],[CL]],[1]Grille_Tarifs_Modulable!$C$2:$C$204&amp;[1]Grille_Tarifs_Modulable!$F$2:$F$204,0)),0)</f>
        <v>3257150101904</v>
      </c>
      <c r="L1265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16.346482999999999</v>
      </c>
      <c r="M1265" s="228">
        <f>IF(Tableau14[[#This Row],[Prix_Unit_HT]]=0,0,Tableau14[[#This Row],[Prix_Unit_HT]]+(Tableau14[[#This Row],[Prix_Unit_HT]]*VLOOKUP(Tableau14[[#This Row],[EAN]],[1]Grille_Tarifs_Modulable!$B$10:$Q$204,16,FALSE)))</f>
        <v>19.6157796</v>
      </c>
      <c r="N1265" s="224">
        <v>6</v>
      </c>
      <c r="O1265" s="228">
        <f>ROUND(Tableau14[[#This Row],[Prix_Unit_HT]],2)*Tableau14[[#This Row],[Qte_commande]]</f>
        <v>98.100000000000009</v>
      </c>
      <c r="P1265" s="228">
        <f>ROUND(Tableau14[[#This Row],[Prix_Unit_TTC]],2)*Tableau14[[#This Row],[Qte_commande]]</f>
        <v>117.72</v>
      </c>
      <c r="Q1265" s="224">
        <v>6</v>
      </c>
      <c r="R1265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6.0000000000000009</v>
      </c>
      <c r="U1265" s="224"/>
      <c r="V1265" s="224"/>
    </row>
    <row r="1266" spans="1:22" ht="14.65" customHeight="1" x14ac:dyDescent="0.2">
      <c r="A1266" s="225">
        <v>43420</v>
      </c>
      <c r="B1266" s="224" t="s">
        <v>403</v>
      </c>
      <c r="C1266" s="224" t="s">
        <v>348</v>
      </c>
      <c r="D1266" s="224" t="s">
        <v>155</v>
      </c>
      <c r="E1266" s="226"/>
      <c r="G1266" s="224" t="s">
        <v>1</v>
      </c>
      <c r="H1266" s="224" t="s">
        <v>289</v>
      </c>
      <c r="I1266" s="224" t="s">
        <v>32</v>
      </c>
      <c r="J1266" s="224">
        <v>70</v>
      </c>
      <c r="K1266" s="227">
        <f t="array" ref="K1266">IFERROR(INDEX([1]Grille_Tarifs_Modulable!$B$2:$B$204,MATCH(Tableau14[[#This Row],[Designation]]&amp;Tableau14[[#This Row],[CL]],[1]Grille_Tarifs_Modulable!$C$2:$C$204&amp;[1]Grille_Tarifs_Modulable!$F$2:$F$204,0)),0)</f>
        <v>3257150100228</v>
      </c>
      <c r="L1266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19.998643999999999</v>
      </c>
      <c r="M1266" s="228">
        <f>IF(Tableau14[[#This Row],[Prix_Unit_HT]]=0,0,Tableau14[[#This Row],[Prix_Unit_HT]]+(Tableau14[[#This Row],[Prix_Unit_HT]]*VLOOKUP(Tableau14[[#This Row],[EAN]],[1]Grille_Tarifs_Modulable!$B$10:$Q$204,16,FALSE)))</f>
        <v>23.998372799999999</v>
      </c>
      <c r="N1266" s="224">
        <v>12</v>
      </c>
      <c r="O1266" s="228">
        <f>ROUND(Tableau14[[#This Row],[Prix_Unit_HT]],2)*Tableau14[[#This Row],[Qte_commande]]</f>
        <v>240</v>
      </c>
      <c r="P1266" s="228">
        <f>ROUND(Tableau14[[#This Row],[Prix_Unit_TTC]],2)*Tableau14[[#This Row],[Qte_commande]]</f>
        <v>288</v>
      </c>
      <c r="Q1266" s="224">
        <v>12</v>
      </c>
      <c r="R1266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12.000000000000002</v>
      </c>
      <c r="U1266" s="224"/>
      <c r="V1266" s="224"/>
    </row>
    <row r="1267" spans="1:22" ht="14.65" customHeight="1" x14ac:dyDescent="0.2">
      <c r="A1267" s="225">
        <v>43420</v>
      </c>
      <c r="B1267" s="224" t="s">
        <v>403</v>
      </c>
      <c r="C1267" s="224" t="s">
        <v>348</v>
      </c>
      <c r="D1267" s="224" t="s">
        <v>155</v>
      </c>
      <c r="E1267" s="226"/>
      <c r="G1267" s="224" t="s">
        <v>1</v>
      </c>
      <c r="H1267" s="224" t="s">
        <v>289</v>
      </c>
      <c r="I1267" s="224" t="s">
        <v>36</v>
      </c>
      <c r="J1267" s="224">
        <v>70</v>
      </c>
      <c r="K1267" s="227">
        <f t="array" ref="K1267">IFERROR(INDEX([1]Grille_Tarifs_Modulable!$B$2:$B$204,MATCH(Tableau14[[#This Row],[Designation]]&amp;Tableau14[[#This Row],[CL]],[1]Grille_Tarifs_Modulable!$C$2:$C$204&amp;[1]Grille_Tarifs_Modulable!$F$2:$F$204,0)),0)</f>
        <v>3257150100792</v>
      </c>
      <c r="L1267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71.40864400000001</v>
      </c>
      <c r="M1267" s="228">
        <f>IF(Tableau14[[#This Row],[Prix_Unit_HT]]=0,0,Tableau14[[#This Row],[Prix_Unit_HT]]+(Tableau14[[#This Row],[Prix_Unit_HT]]*VLOOKUP(Tableau14[[#This Row],[EAN]],[1]Grille_Tarifs_Modulable!$B$10:$Q$204,16,FALSE)))</f>
        <v>85.690372800000006</v>
      </c>
      <c r="N1267" s="224">
        <v>6</v>
      </c>
      <c r="O1267" s="228">
        <f>ROUND(Tableau14[[#This Row],[Prix_Unit_HT]],2)*Tableau14[[#This Row],[Qte_commande]]</f>
        <v>428.46</v>
      </c>
      <c r="P1267" s="228">
        <f>ROUND(Tableau14[[#This Row],[Prix_Unit_TTC]],2)*Tableau14[[#This Row],[Qte_commande]]</f>
        <v>514.14</v>
      </c>
      <c r="Q1267" s="224">
        <v>6</v>
      </c>
      <c r="R1267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6.0000000000000009</v>
      </c>
      <c r="U1267" s="224"/>
      <c r="V1267" s="224"/>
    </row>
    <row r="1268" spans="1:22" ht="14.65" customHeight="1" x14ac:dyDescent="0.2">
      <c r="A1268" s="225">
        <v>43420</v>
      </c>
      <c r="B1268" s="224" t="s">
        <v>400</v>
      </c>
      <c r="C1268" s="224" t="s">
        <v>401</v>
      </c>
      <c r="D1268" s="224" t="s">
        <v>402</v>
      </c>
      <c r="E1268" s="226"/>
      <c r="G1268" s="224" t="s">
        <v>1</v>
      </c>
      <c r="H1268" s="224" t="s">
        <v>289</v>
      </c>
      <c r="I1268" s="224" t="s">
        <v>31</v>
      </c>
      <c r="J1268" s="224">
        <v>70</v>
      </c>
      <c r="K1268" s="227">
        <f t="array" ref="K1268">IFERROR(INDEX([1]Grille_Tarifs_Modulable!$B$2:$B$204,MATCH(Tableau14[[#This Row],[Designation]]&amp;Tableau14[[#This Row],[CL]],[1]Grille_Tarifs_Modulable!$C$2:$C$204&amp;[1]Grille_Tarifs_Modulable!$F$2:$F$204,0)),0)</f>
        <v>3257150102017</v>
      </c>
      <c r="L1268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14.694322</v>
      </c>
      <c r="M1268" s="228">
        <f>IF(Tableau14[[#This Row],[Prix_Unit_HT]]=0,0,Tableau14[[#This Row],[Prix_Unit_HT]]+(Tableau14[[#This Row],[Prix_Unit_HT]]*VLOOKUP(Tableau14[[#This Row],[EAN]],[1]Grille_Tarifs_Modulable!$B$10:$Q$204,16,FALSE)))</f>
        <v>17.6331864</v>
      </c>
      <c r="N1268" s="224">
        <v>12</v>
      </c>
      <c r="O1268" s="228">
        <f>ROUND(Tableau14[[#This Row],[Prix_Unit_HT]],2)*Tableau14[[#This Row],[Qte_commande]]</f>
        <v>176.28</v>
      </c>
      <c r="P1268" s="228">
        <f>ROUND(Tableau14[[#This Row],[Prix_Unit_TTC]],2)*Tableau14[[#This Row],[Qte_commande]]</f>
        <v>211.56</v>
      </c>
      <c r="Q1268" s="224">
        <v>12</v>
      </c>
      <c r="R1268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12.000000000000002</v>
      </c>
      <c r="U1268" s="224"/>
      <c r="V1268" s="224"/>
    </row>
    <row r="1269" spans="1:22" ht="14.65" customHeight="1" x14ac:dyDescent="0.2">
      <c r="A1269" s="225">
        <v>43420</v>
      </c>
      <c r="B1269" s="224" t="s">
        <v>403</v>
      </c>
      <c r="C1269" s="224" t="s">
        <v>348</v>
      </c>
      <c r="D1269" s="224" t="s">
        <v>155</v>
      </c>
      <c r="E1269" s="226"/>
      <c r="G1269" s="224" t="s">
        <v>1</v>
      </c>
      <c r="H1269" s="224" t="s">
        <v>289</v>
      </c>
      <c r="I1269" s="224" t="s">
        <v>31</v>
      </c>
      <c r="J1269" s="224">
        <v>70</v>
      </c>
      <c r="K1269" s="227">
        <f t="array" ref="K1269">IFERROR(INDEX([1]Grille_Tarifs_Modulable!$B$2:$B$204,MATCH(Tableau14[[#This Row],[Designation]]&amp;Tableau14[[#This Row],[CL]],[1]Grille_Tarifs_Modulable!$C$2:$C$204&amp;[1]Grille_Tarifs_Modulable!$F$2:$F$204,0)),0)</f>
        <v>3257150102017</v>
      </c>
      <c r="L1269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14.694322</v>
      </c>
      <c r="M1269" s="228">
        <f>IF(Tableau14[[#This Row],[Prix_Unit_HT]]=0,0,Tableau14[[#This Row],[Prix_Unit_HT]]+(Tableau14[[#This Row],[Prix_Unit_HT]]*VLOOKUP(Tableau14[[#This Row],[EAN]],[1]Grille_Tarifs_Modulable!$B$10:$Q$204,16,FALSE)))</f>
        <v>17.6331864</v>
      </c>
      <c r="N1269" s="224">
        <v>6</v>
      </c>
      <c r="O1269" s="228">
        <f>ROUND(Tableau14[[#This Row],[Prix_Unit_HT]],2)*Tableau14[[#This Row],[Qte_commande]]</f>
        <v>88.14</v>
      </c>
      <c r="P1269" s="228">
        <f>ROUND(Tableau14[[#This Row],[Prix_Unit_TTC]],2)*Tableau14[[#This Row],[Qte_commande]]</f>
        <v>105.78</v>
      </c>
      <c r="Q1269" s="224">
        <v>6</v>
      </c>
      <c r="R1269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6.0000000000000009</v>
      </c>
      <c r="U1269" s="224"/>
      <c r="V1269" s="224"/>
    </row>
    <row r="1270" spans="1:22" ht="14.65" customHeight="1" x14ac:dyDescent="0.2">
      <c r="A1270" s="225">
        <v>43420</v>
      </c>
      <c r="B1270" s="224" t="s">
        <v>403</v>
      </c>
      <c r="C1270" s="224" t="s">
        <v>348</v>
      </c>
      <c r="D1270" s="224" t="s">
        <v>155</v>
      </c>
      <c r="E1270" s="226"/>
      <c r="G1270" s="224" t="s">
        <v>1</v>
      </c>
      <c r="H1270" s="224" t="s">
        <v>289</v>
      </c>
      <c r="I1270" s="224" t="s">
        <v>52</v>
      </c>
      <c r="J1270" s="224">
        <v>75</v>
      </c>
      <c r="K1270" s="227">
        <f t="array" ref="K1270">IFERROR(INDEX([1]Grille_Tarifs_Modulable!$B$2:$B$204,MATCH(Tableau14[[#This Row],[Designation]]&amp;Tableau14[[#This Row],[CL]],[1]Grille_Tarifs_Modulable!$C$2:$C$204&amp;[1]Grille_Tarifs_Modulable!$F$2:$F$204,0)),0)</f>
        <v>7503011641413</v>
      </c>
      <c r="L1270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25.257707249999999</v>
      </c>
      <c r="M1270" s="228">
        <f>IF(Tableau14[[#This Row],[Prix_Unit_HT]]=0,0,Tableau14[[#This Row],[Prix_Unit_HT]]+(Tableau14[[#This Row],[Prix_Unit_HT]]*VLOOKUP(Tableau14[[#This Row],[EAN]],[1]Grille_Tarifs_Modulable!$B$10:$Q$204,16,FALSE)))</f>
        <v>30.309248699999998</v>
      </c>
      <c r="N1270" s="224">
        <v>12</v>
      </c>
      <c r="O1270" s="228">
        <f>ROUND(Tableau14[[#This Row],[Prix_Unit_HT]],2)*Tableau14[[#This Row],[Qte_commande]]</f>
        <v>303.12</v>
      </c>
      <c r="P1270" s="228">
        <f>ROUND(Tableau14[[#This Row],[Prix_Unit_TTC]],2)*Tableau14[[#This Row],[Qte_commande]]</f>
        <v>363.71999999999997</v>
      </c>
      <c r="Q1270" s="224">
        <v>12</v>
      </c>
      <c r="R1270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12.857142857142858</v>
      </c>
      <c r="U1270" s="224"/>
      <c r="V1270" s="224"/>
    </row>
    <row r="1271" spans="1:22" ht="14.65" customHeight="1" x14ac:dyDescent="0.2">
      <c r="A1271" s="225">
        <v>43420</v>
      </c>
      <c r="B1271" s="224" t="s">
        <v>400</v>
      </c>
      <c r="C1271" s="224" t="s">
        <v>401</v>
      </c>
      <c r="D1271" s="224" t="s">
        <v>402</v>
      </c>
      <c r="E1271" s="226"/>
      <c r="G1271" s="224" t="s">
        <v>1</v>
      </c>
      <c r="H1271" s="224" t="s">
        <v>289</v>
      </c>
      <c r="I1271" s="224" t="s">
        <v>44</v>
      </c>
      <c r="J1271" s="224">
        <v>50</v>
      </c>
      <c r="K1271" s="227">
        <f t="array" ref="K1271">IFERROR(INDEX([1]Grille_Tarifs_Modulable!$B$2:$B$204,MATCH(Tableau14[[#This Row],[Designation]]&amp;Tableau14[[#This Row],[CL]],[1]Grille_Tarifs_Modulable!$C$2:$C$204&amp;[1]Grille_Tarifs_Modulable!$F$2:$F$204,0)),0)</f>
        <v>4260270192645</v>
      </c>
      <c r="L1271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25.192506000000002</v>
      </c>
      <c r="M1271" s="228">
        <f>IF(Tableau14[[#This Row],[Prix_Unit_HT]]=0,0,Tableau14[[#This Row],[Prix_Unit_HT]]+(Tableau14[[#This Row],[Prix_Unit_HT]]*VLOOKUP(Tableau14[[#This Row],[EAN]],[1]Grille_Tarifs_Modulable!$B$10:$Q$204,16,FALSE)))</f>
        <v>30.231007200000001</v>
      </c>
      <c r="N1271" s="224">
        <v>12</v>
      </c>
      <c r="O1271" s="228">
        <f>ROUND(Tableau14[[#This Row],[Prix_Unit_HT]],2)*Tableau14[[#This Row],[Qte_commande]]</f>
        <v>302.28000000000003</v>
      </c>
      <c r="P1271" s="228">
        <f>ROUND(Tableau14[[#This Row],[Prix_Unit_TTC]],2)*Tableau14[[#This Row],[Qte_commande]]</f>
        <v>362.76</v>
      </c>
      <c r="Q1271" s="224">
        <v>8.57</v>
      </c>
      <c r="R1271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8.5714285714285712</v>
      </c>
      <c r="U1271" s="224"/>
      <c r="V1271" s="224"/>
    </row>
    <row r="1272" spans="1:22" ht="14.65" customHeight="1" x14ac:dyDescent="0.2">
      <c r="A1272" s="225">
        <v>43420</v>
      </c>
      <c r="B1272" s="224" t="s">
        <v>403</v>
      </c>
      <c r="C1272" s="224" t="s">
        <v>348</v>
      </c>
      <c r="D1272" s="224" t="s">
        <v>155</v>
      </c>
      <c r="E1272" s="226"/>
      <c r="G1272" s="224" t="s">
        <v>1</v>
      </c>
      <c r="H1272" s="224" t="s">
        <v>289</v>
      </c>
      <c r="I1272" s="224" t="s">
        <v>44</v>
      </c>
      <c r="J1272" s="224">
        <v>50</v>
      </c>
      <c r="K1272" s="227">
        <f t="array" ref="K1272">IFERROR(INDEX([1]Grille_Tarifs_Modulable!$B$2:$B$204,MATCH(Tableau14[[#This Row],[Designation]]&amp;Tableau14[[#This Row],[CL]],[1]Grille_Tarifs_Modulable!$C$2:$C$204&amp;[1]Grille_Tarifs_Modulable!$F$2:$F$204,0)),0)</f>
        <v>4260270192645</v>
      </c>
      <c r="L1272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25.192506000000002</v>
      </c>
      <c r="M1272" s="228">
        <f>IF(Tableau14[[#This Row],[Prix_Unit_HT]]=0,0,Tableau14[[#This Row],[Prix_Unit_HT]]+(Tableau14[[#This Row],[Prix_Unit_HT]]*VLOOKUP(Tableau14[[#This Row],[EAN]],[1]Grille_Tarifs_Modulable!$B$10:$Q$204,16,FALSE)))</f>
        <v>30.231007200000001</v>
      </c>
      <c r="N1272" s="224">
        <v>12</v>
      </c>
      <c r="O1272" s="228">
        <f>ROUND(Tableau14[[#This Row],[Prix_Unit_HT]],2)*Tableau14[[#This Row],[Qte_commande]]</f>
        <v>302.28000000000003</v>
      </c>
      <c r="P1272" s="228">
        <f>ROUND(Tableau14[[#This Row],[Prix_Unit_TTC]],2)*Tableau14[[#This Row],[Qte_commande]]</f>
        <v>362.76</v>
      </c>
      <c r="Q1272" s="224">
        <v>8.57</v>
      </c>
      <c r="R1272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8.5714285714285712</v>
      </c>
      <c r="U1272" s="224"/>
      <c r="V1272" s="224"/>
    </row>
    <row r="1273" spans="1:22" ht="14.65" customHeight="1" x14ac:dyDescent="0.2">
      <c r="A1273" s="225">
        <v>43420</v>
      </c>
      <c r="B1273" s="224" t="s">
        <v>400</v>
      </c>
      <c r="C1273" s="224" t="s">
        <v>401</v>
      </c>
      <c r="D1273" s="224" t="s">
        <v>402</v>
      </c>
      <c r="E1273" s="226"/>
      <c r="G1273" s="224" t="s">
        <v>1</v>
      </c>
      <c r="H1273" s="224" t="s">
        <v>289</v>
      </c>
      <c r="I1273" s="224" t="s">
        <v>25</v>
      </c>
      <c r="J1273" s="224">
        <v>70</v>
      </c>
      <c r="K1273" s="227">
        <f t="array" ref="K1273">IFERROR(INDEX([1]Grille_Tarifs_Modulable!$B$2:$B$204,MATCH(Tableau14[[#This Row],[Designation]]&amp;Tableau14[[#This Row],[CL]],[1]Grille_Tarifs_Modulable!$C$2:$C$204&amp;[1]Grille_Tarifs_Modulable!$F$2:$F$204,0)),0)</f>
        <v>8500000917015</v>
      </c>
      <c r="L1273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11.8982118</v>
      </c>
      <c r="M1273" s="228">
        <f>IF(Tableau14[[#This Row],[Prix_Unit_HT]]=0,0,Tableau14[[#This Row],[Prix_Unit_HT]]+(Tableau14[[#This Row],[Prix_Unit_HT]]*VLOOKUP(Tableau14[[#This Row],[EAN]],[1]Grille_Tarifs_Modulable!$B$10:$Q$204,16,FALSE)))</f>
        <v>14.27785416</v>
      </c>
      <c r="N1273" s="224">
        <v>12</v>
      </c>
      <c r="O1273" s="228">
        <f>ROUND(Tableau14[[#This Row],[Prix_Unit_HT]],2)*Tableau14[[#This Row],[Qte_commande]]</f>
        <v>142.80000000000001</v>
      </c>
      <c r="P1273" s="228">
        <f>ROUND(Tableau14[[#This Row],[Prix_Unit_TTC]],2)*Tableau14[[#This Row],[Qte_commande]]</f>
        <v>171.35999999999999</v>
      </c>
      <c r="Q1273" s="224">
        <v>12</v>
      </c>
      <c r="R1273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12.000000000000002</v>
      </c>
      <c r="U1273" s="224"/>
      <c r="V1273" s="224"/>
    </row>
    <row r="1274" spans="1:22" ht="14.65" customHeight="1" x14ac:dyDescent="0.2">
      <c r="A1274" s="225">
        <v>43420</v>
      </c>
      <c r="B1274" s="224" t="s">
        <v>400</v>
      </c>
      <c r="C1274" s="224" t="s">
        <v>401</v>
      </c>
      <c r="D1274" s="224" t="s">
        <v>402</v>
      </c>
      <c r="E1274" s="226"/>
      <c r="G1274" s="224" t="s">
        <v>1</v>
      </c>
      <c r="H1274" s="224" t="s">
        <v>196</v>
      </c>
      <c r="I1274" s="224" t="s">
        <v>64</v>
      </c>
      <c r="J1274" s="224">
        <v>20</v>
      </c>
      <c r="K1274" s="227">
        <f t="array" ref="K1274">IFERROR(INDEX([1]Grille_Tarifs_Modulable!$B$2:$B$204,MATCH(Tableau14[[#This Row],[Designation]]&amp;Tableau14[[#This Row],[CL]],[1]Grille_Tarifs_Modulable!$C$2:$C$204&amp;[1]Grille_Tarifs_Modulable!$F$2:$F$204,0)),0)</f>
        <v>4260310553849</v>
      </c>
      <c r="L1274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0.81</v>
      </c>
      <c r="M1274" s="228">
        <f>IF(Tableau14[[#This Row],[Prix_Unit_HT]]=0,0,Tableau14[[#This Row],[Prix_Unit_HT]]+(Tableau14[[#This Row],[Prix_Unit_HT]]*VLOOKUP(Tableau14[[#This Row],[EAN]],[1]Grille_Tarifs_Modulable!$B$10:$Q$204,16,FALSE)))</f>
        <v>0.85455000000000003</v>
      </c>
      <c r="N1274" s="224">
        <v>24</v>
      </c>
      <c r="O1274" s="228">
        <f>ROUND(Tableau14[[#This Row],[Prix_Unit_HT]],2)*Tableau14[[#This Row],[Qte_commande]]</f>
        <v>19.440000000000001</v>
      </c>
      <c r="P1274" s="228">
        <f>ROUND(Tableau14[[#This Row],[Prix_Unit_TTC]],2)*Tableau14[[#This Row],[Qte_commande]]</f>
        <v>20.399999999999999</v>
      </c>
      <c r="Q1274" s="224">
        <v>6.86</v>
      </c>
      <c r="R1274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6.8571428571428577</v>
      </c>
      <c r="U1274" s="224"/>
      <c r="V1274" s="224"/>
    </row>
    <row r="1275" spans="1:22" ht="14.65" customHeight="1" x14ac:dyDescent="0.2">
      <c r="A1275" s="225">
        <v>43420</v>
      </c>
      <c r="B1275" s="224" t="s">
        <v>403</v>
      </c>
      <c r="C1275" s="224" t="s">
        <v>348</v>
      </c>
      <c r="D1275" s="224" t="s">
        <v>155</v>
      </c>
      <c r="E1275" s="226"/>
      <c r="G1275" s="224" t="s">
        <v>1</v>
      </c>
      <c r="H1275" s="224" t="s">
        <v>196</v>
      </c>
      <c r="I1275" s="224" t="s">
        <v>64</v>
      </c>
      <c r="J1275" s="224">
        <v>20</v>
      </c>
      <c r="K1275" s="227">
        <f t="array" ref="K1275">IFERROR(INDEX([1]Grille_Tarifs_Modulable!$B$2:$B$204,MATCH(Tableau14[[#This Row],[Designation]]&amp;Tableau14[[#This Row],[CL]],[1]Grille_Tarifs_Modulable!$C$2:$C$204&amp;[1]Grille_Tarifs_Modulable!$F$2:$F$204,0)),0)</f>
        <v>4260310553849</v>
      </c>
      <c r="L1275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0.81</v>
      </c>
      <c r="M1275" s="228">
        <f>IF(Tableau14[[#This Row],[Prix_Unit_HT]]=0,0,Tableau14[[#This Row],[Prix_Unit_HT]]+(Tableau14[[#This Row],[Prix_Unit_HT]]*VLOOKUP(Tableau14[[#This Row],[EAN]],[1]Grille_Tarifs_Modulable!$B$10:$Q$204,16,FALSE)))</f>
        <v>0.85455000000000003</v>
      </c>
      <c r="N1275" s="224">
        <v>24</v>
      </c>
      <c r="O1275" s="228">
        <f>ROUND(Tableau14[[#This Row],[Prix_Unit_HT]],2)*Tableau14[[#This Row],[Qte_commande]]</f>
        <v>19.440000000000001</v>
      </c>
      <c r="P1275" s="228">
        <f>ROUND(Tableau14[[#This Row],[Prix_Unit_TTC]],2)*Tableau14[[#This Row],[Qte_commande]]</f>
        <v>20.399999999999999</v>
      </c>
      <c r="Q1275" s="224">
        <v>6.86</v>
      </c>
      <c r="R1275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6.8571428571428577</v>
      </c>
      <c r="U1275" s="224"/>
      <c r="V1275" s="224"/>
    </row>
    <row r="1276" spans="1:22" ht="14.65" customHeight="1" x14ac:dyDescent="0.2">
      <c r="A1276" s="225">
        <v>43420</v>
      </c>
      <c r="B1276" s="224" t="s">
        <v>403</v>
      </c>
      <c r="C1276" s="224" t="s">
        <v>348</v>
      </c>
      <c r="D1276" s="224" t="s">
        <v>155</v>
      </c>
      <c r="E1276" s="226"/>
      <c r="G1276" s="224" t="s">
        <v>1</v>
      </c>
      <c r="H1276" s="224" t="s">
        <v>196</v>
      </c>
      <c r="I1276" s="224" t="s">
        <v>59</v>
      </c>
      <c r="J1276" s="224">
        <v>20</v>
      </c>
      <c r="K1276" s="227">
        <f t="array" ref="K1276">IFERROR(INDEX([1]Grille_Tarifs_Modulable!$B$2:$B$204,MATCH(Tableau14[[#This Row],[Designation]]&amp;Tableau14[[#This Row],[CL]],[1]Grille_Tarifs_Modulable!$C$2:$C$204&amp;[1]Grille_Tarifs_Modulable!$F$2:$F$204,0)),0)</f>
        <v>4260310553818</v>
      </c>
      <c r="L1276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0.81</v>
      </c>
      <c r="M1276" s="228">
        <f>IF(Tableau14[[#This Row],[Prix_Unit_HT]]=0,0,Tableau14[[#This Row],[Prix_Unit_HT]]+(Tableau14[[#This Row],[Prix_Unit_HT]]*VLOOKUP(Tableau14[[#This Row],[EAN]],[1]Grille_Tarifs_Modulable!$B$10:$Q$204,16,FALSE)))</f>
        <v>0.85455000000000003</v>
      </c>
      <c r="N1276" s="224">
        <v>24</v>
      </c>
      <c r="O1276" s="228">
        <f>ROUND(Tableau14[[#This Row],[Prix_Unit_HT]],2)*Tableau14[[#This Row],[Qte_commande]]</f>
        <v>19.440000000000001</v>
      </c>
      <c r="P1276" s="228">
        <f>ROUND(Tableau14[[#This Row],[Prix_Unit_TTC]],2)*Tableau14[[#This Row],[Qte_commande]]</f>
        <v>20.399999999999999</v>
      </c>
      <c r="Q1276" s="224">
        <v>6.86</v>
      </c>
      <c r="R1276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6.8571428571428577</v>
      </c>
      <c r="U1276" s="224"/>
      <c r="V1276" s="224"/>
    </row>
    <row r="1277" spans="1:22" ht="14.65" customHeight="1" x14ac:dyDescent="0.2">
      <c r="A1277" s="225">
        <v>43427</v>
      </c>
      <c r="B1277" s="224" t="s">
        <v>404</v>
      </c>
      <c r="C1277" s="224" t="s">
        <v>405</v>
      </c>
      <c r="D1277" s="224" t="s">
        <v>406</v>
      </c>
      <c r="E1277" s="226"/>
      <c r="G1277" s="224" t="s">
        <v>13</v>
      </c>
      <c r="H1277" s="224" t="s">
        <v>289</v>
      </c>
      <c r="I1277" s="224" t="s">
        <v>35</v>
      </c>
      <c r="J1277" s="224">
        <v>70</v>
      </c>
      <c r="K1277" s="227">
        <f t="array" ref="K1277">IFERROR(INDEX([1]Grille_Tarifs_Modulable!$B$2:$B$204,MATCH(Tableau14[[#This Row],[Designation]]&amp;Tableau14[[#This Row],[CL]],[1]Grille_Tarifs_Modulable!$C$2:$C$204&amp;[1]Grille_Tarifs_Modulable!$F$2:$F$204,0)),0)</f>
        <v>3257150107012</v>
      </c>
      <c r="L1277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32.408644000000002</v>
      </c>
      <c r="M1277" s="228">
        <f>IF(Tableau14[[#This Row],[Prix_Unit_HT]]=0,0,Tableau14[[#This Row],[Prix_Unit_HT]]+(Tableau14[[#This Row],[Prix_Unit_HT]]*VLOOKUP(Tableau14[[#This Row],[EAN]],[1]Grille_Tarifs_Modulable!$B$10:$Q$204,16,FALSE)))</f>
        <v>38.890372800000002</v>
      </c>
      <c r="N1277" s="224">
        <v>6</v>
      </c>
      <c r="O1277" s="228">
        <f>ROUND(Tableau14[[#This Row],[Prix_Unit_HT]],2)*Tableau14[[#This Row],[Qte_commande]]</f>
        <v>194.45999999999998</v>
      </c>
      <c r="P1277" s="228">
        <f>ROUND(Tableau14[[#This Row],[Prix_Unit_TTC]],2)*Tableau14[[#This Row],[Qte_commande]]</f>
        <v>233.34</v>
      </c>
      <c r="Q1277" s="224">
        <v>6</v>
      </c>
      <c r="R1277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6.0000000000000009</v>
      </c>
      <c r="U1277" s="224"/>
      <c r="V1277" s="224"/>
    </row>
    <row r="1278" spans="1:22" ht="14.65" customHeight="1" x14ac:dyDescent="0.2">
      <c r="A1278" s="225">
        <v>43427</v>
      </c>
      <c r="B1278" s="224" t="s">
        <v>404</v>
      </c>
      <c r="C1278" s="224" t="s">
        <v>405</v>
      </c>
      <c r="D1278" s="224" t="s">
        <v>406</v>
      </c>
      <c r="E1278" s="226"/>
      <c r="G1278" s="224" t="s">
        <v>13</v>
      </c>
      <c r="H1278" s="224" t="s">
        <v>196</v>
      </c>
      <c r="I1278" s="224" t="s">
        <v>60</v>
      </c>
      <c r="J1278" s="224">
        <v>20</v>
      </c>
      <c r="K1278" s="227">
        <f t="array" ref="K1278">IFERROR(INDEX([1]Grille_Tarifs_Modulable!$B$2:$B$204,MATCH(Tableau14[[#This Row],[Designation]]&amp;Tableau14[[#This Row],[CL]],[1]Grille_Tarifs_Modulable!$C$2:$C$204&amp;[1]Grille_Tarifs_Modulable!$F$2:$F$204,0)),0)</f>
        <v>4260310553832</v>
      </c>
      <c r="L1278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0.89</v>
      </c>
      <c r="M1278" s="228">
        <f>IF(Tableau14[[#This Row],[Prix_Unit_HT]]=0,0,Tableau14[[#This Row],[Prix_Unit_HT]]+(Tableau14[[#This Row],[Prix_Unit_HT]]*VLOOKUP(Tableau14[[#This Row],[EAN]],[1]Grille_Tarifs_Modulable!$B$10:$Q$204,16,FALSE)))</f>
        <v>0.93895000000000006</v>
      </c>
      <c r="N1278" s="224">
        <v>24</v>
      </c>
      <c r="O1278" s="228">
        <f>ROUND(Tableau14[[#This Row],[Prix_Unit_HT]],2)*Tableau14[[#This Row],[Qte_commande]]</f>
        <v>21.36</v>
      </c>
      <c r="P1278" s="228">
        <f>ROUND(Tableau14[[#This Row],[Prix_Unit_TTC]],2)*Tableau14[[#This Row],[Qte_commande]]</f>
        <v>22.56</v>
      </c>
      <c r="Q1278" s="224">
        <v>6.86</v>
      </c>
      <c r="R1278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6.8571428571428577</v>
      </c>
      <c r="U1278" s="224"/>
      <c r="V1278" s="224"/>
    </row>
    <row r="1279" spans="1:22" ht="14.65" customHeight="1" x14ac:dyDescent="0.2">
      <c r="A1279" s="225">
        <v>43427</v>
      </c>
      <c r="B1279" s="224" t="s">
        <v>723</v>
      </c>
      <c r="C1279" s="224" t="s">
        <v>542</v>
      </c>
      <c r="D1279" s="224" t="s">
        <v>209</v>
      </c>
      <c r="E1279" s="226"/>
      <c r="G1279" s="224" t="s">
        <v>13</v>
      </c>
      <c r="H1279" s="224" t="s">
        <v>289</v>
      </c>
      <c r="I1279" s="224" t="s">
        <v>15</v>
      </c>
      <c r="J1279" s="224">
        <v>175</v>
      </c>
      <c r="K1279" s="227">
        <f t="array" ref="K1279">IFERROR(INDEX([1]Grille_Tarifs_Modulable!$B$2:$B$204,MATCH(Tableau14[[#This Row],[Designation]]&amp;Tableau14[[#This Row],[CL]],[1]Grille_Tarifs_Modulable!$C$2:$C$204&amp;[1]Grille_Tarifs_Modulable!$F$2:$F$204,0)),0)</f>
        <v>4067700013835</v>
      </c>
      <c r="L1279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32.266408749999997</v>
      </c>
      <c r="M1279" s="228">
        <f>IF(Tableau14[[#This Row],[Prix_Unit_HT]]=0,0,Tableau14[[#This Row],[Prix_Unit_HT]]+(Tableau14[[#This Row],[Prix_Unit_HT]]*VLOOKUP(Tableau14[[#This Row],[EAN]],[1]Grille_Tarifs_Modulable!$B$10:$Q$204,16,FALSE)))</f>
        <v>38.719690499999999</v>
      </c>
      <c r="N1279" s="224">
        <v>12</v>
      </c>
      <c r="O1279" s="228">
        <f>ROUND(Tableau14[[#This Row],[Prix_Unit_HT]],2)*Tableau14[[#This Row],[Qte_commande]]</f>
        <v>387.24</v>
      </c>
      <c r="P1279" s="228">
        <f>ROUND(Tableau14[[#This Row],[Prix_Unit_TTC]],2)*Tableau14[[#This Row],[Qte_commande]]</f>
        <v>464.64</v>
      </c>
      <c r="Q1279" s="224">
        <v>30</v>
      </c>
      <c r="R1279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30.000000000000004</v>
      </c>
      <c r="U1279" s="224"/>
      <c r="V1279" s="224"/>
    </row>
    <row r="1280" spans="1:22" ht="14.65" customHeight="1" x14ac:dyDescent="0.2">
      <c r="A1280" s="225">
        <v>43427</v>
      </c>
      <c r="B1280" s="224" t="s">
        <v>870</v>
      </c>
      <c r="C1280" s="224" t="s">
        <v>579</v>
      </c>
      <c r="D1280" s="224" t="s">
        <v>580</v>
      </c>
      <c r="E1280" s="226"/>
      <c r="G1280" s="224" t="s">
        <v>13</v>
      </c>
      <c r="H1280" s="224" t="s">
        <v>289</v>
      </c>
      <c r="I1280" s="224" t="s">
        <v>32</v>
      </c>
      <c r="J1280" s="224">
        <v>70</v>
      </c>
      <c r="K1280" s="227">
        <f t="array" ref="K1280">IFERROR(INDEX([1]Grille_Tarifs_Modulable!$B$2:$B$204,MATCH(Tableau14[[#This Row],[Designation]]&amp;Tableau14[[#This Row],[CL]],[1]Grille_Tarifs_Modulable!$C$2:$C$204&amp;[1]Grille_Tarifs_Modulable!$F$2:$F$204,0)),0)</f>
        <v>3257150100228</v>
      </c>
      <c r="L1280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21.488644000000001</v>
      </c>
      <c r="M1280" s="228">
        <f>IF(Tableau14[[#This Row],[Prix_Unit_HT]]=0,0,Tableau14[[#This Row],[Prix_Unit_HT]]+(Tableau14[[#This Row],[Prix_Unit_HT]]*VLOOKUP(Tableau14[[#This Row],[EAN]],[1]Grille_Tarifs_Modulable!$B$10:$Q$204,16,FALSE)))</f>
        <v>25.786372800000002</v>
      </c>
      <c r="N1280" s="224">
        <v>12</v>
      </c>
      <c r="O1280" s="228">
        <f>ROUND(Tableau14[[#This Row],[Prix_Unit_HT]],2)*Tableau14[[#This Row],[Qte_commande]]</f>
        <v>257.88</v>
      </c>
      <c r="P1280" s="228">
        <f>ROUND(Tableau14[[#This Row],[Prix_Unit_TTC]],2)*Tableau14[[#This Row],[Qte_commande]]</f>
        <v>309.48</v>
      </c>
      <c r="Q1280" s="224">
        <v>12</v>
      </c>
      <c r="R1280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12.000000000000002</v>
      </c>
      <c r="U1280" s="224"/>
      <c r="V1280" s="224"/>
    </row>
    <row r="1281" spans="1:22" ht="14.65" customHeight="1" x14ac:dyDescent="0.2">
      <c r="A1281" s="225">
        <v>43427</v>
      </c>
      <c r="B1281" s="224" t="s">
        <v>404</v>
      </c>
      <c r="C1281" s="224" t="s">
        <v>405</v>
      </c>
      <c r="D1281" s="224" t="s">
        <v>406</v>
      </c>
      <c r="E1281" s="226"/>
      <c r="G1281" s="224" t="s">
        <v>13</v>
      </c>
      <c r="H1281" s="224" t="s">
        <v>289</v>
      </c>
      <c r="I1281" s="224" t="s">
        <v>44</v>
      </c>
      <c r="J1281" s="224">
        <v>50</v>
      </c>
      <c r="K1281" s="227">
        <f t="array" ref="K1281">IFERROR(INDEX([1]Grille_Tarifs_Modulable!$B$2:$B$204,MATCH(Tableau14[[#This Row],[Designation]]&amp;Tableau14[[#This Row],[CL]],[1]Grille_Tarifs_Modulable!$C$2:$C$204&amp;[1]Grille_Tarifs_Modulable!$F$2:$F$204,0)),0)</f>
        <v>4260270192645</v>
      </c>
      <c r="L1281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28.052506000000001</v>
      </c>
      <c r="M1281" s="228">
        <f>IF(Tableau14[[#This Row],[Prix_Unit_HT]]=0,0,Tableau14[[#This Row],[Prix_Unit_HT]]+(Tableau14[[#This Row],[Prix_Unit_HT]]*VLOOKUP(Tableau14[[#This Row],[EAN]],[1]Grille_Tarifs_Modulable!$B$10:$Q$204,16,FALSE)))</f>
        <v>33.663007200000003</v>
      </c>
      <c r="N1281" s="224">
        <v>6</v>
      </c>
      <c r="O1281" s="228">
        <f>ROUND(Tableau14[[#This Row],[Prix_Unit_HT]],2)*Tableau14[[#This Row],[Qte_commande]]</f>
        <v>168.3</v>
      </c>
      <c r="P1281" s="228">
        <f>ROUND(Tableau14[[#This Row],[Prix_Unit_TTC]],2)*Tableau14[[#This Row],[Qte_commande]]</f>
        <v>201.95999999999998</v>
      </c>
      <c r="Q1281" s="224">
        <v>4.29</v>
      </c>
      <c r="R1281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4.2857142857142856</v>
      </c>
      <c r="U1281" s="224"/>
      <c r="V1281" s="224"/>
    </row>
    <row r="1282" spans="1:22" ht="14.65" customHeight="1" x14ac:dyDescent="0.2">
      <c r="A1282" s="225">
        <v>43427</v>
      </c>
      <c r="B1282" s="224" t="s">
        <v>723</v>
      </c>
      <c r="C1282" s="224" t="s">
        <v>542</v>
      </c>
      <c r="D1282" s="224" t="s">
        <v>209</v>
      </c>
      <c r="E1282" s="226"/>
      <c r="G1282" s="224" t="s">
        <v>13</v>
      </c>
      <c r="H1282" s="224" t="s">
        <v>289</v>
      </c>
      <c r="I1282" s="224" t="s">
        <v>931</v>
      </c>
      <c r="J1282" s="224">
        <v>100</v>
      </c>
      <c r="K1282" s="227">
        <f t="array" ref="K1282">IFERROR(INDEX([1]Grille_Tarifs_Modulable!$B$2:$B$204,MATCH(Tableau14[[#This Row],[Designation]]&amp;Tableau14[[#This Row],[CL]],[1]Grille_Tarifs_Modulable!$C$2:$C$204&amp;[1]Grille_Tarifs_Modulable!$F$2:$F$204,0)),0)</f>
        <v>0</v>
      </c>
      <c r="L1282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</v>
      </c>
      <c r="M1282" s="228">
        <f>IF(Tableau14[[#This Row],[Prix_Unit_HT]]=0,0,Tableau14[[#This Row],[Prix_Unit_HT]]+(Tableau14[[#This Row],[Prix_Unit_HT]]*VLOOKUP(Tableau14[[#This Row],[EAN]],[1]Grille_Tarifs_Modulable!$B$10:$Q$204,16,FALSE)))</f>
        <v>0</v>
      </c>
      <c r="N1282" s="224">
        <v>36</v>
      </c>
      <c r="O1282" s="228">
        <f>ROUND(Tableau14[[#This Row],[Prix_Unit_HT]],2)*Tableau14[[#This Row],[Qte_commande]]</f>
        <v>0</v>
      </c>
      <c r="P1282" s="228">
        <f>ROUND(Tableau14[[#This Row],[Prix_Unit_TTC]],2)*Tableau14[[#This Row],[Qte_commande]]</f>
        <v>0</v>
      </c>
      <c r="Q1282" s="224">
        <v>51.43</v>
      </c>
      <c r="R1282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51.428571428571431</v>
      </c>
      <c r="U1282" s="224"/>
      <c r="V1282" s="224"/>
    </row>
    <row r="1283" spans="1:22" ht="14.65" customHeight="1" x14ac:dyDescent="0.2">
      <c r="A1283" s="225">
        <v>43427</v>
      </c>
      <c r="B1283" s="224" t="s">
        <v>404</v>
      </c>
      <c r="C1283" s="224" t="s">
        <v>405</v>
      </c>
      <c r="D1283" s="224" t="s">
        <v>406</v>
      </c>
      <c r="E1283" s="226"/>
      <c r="G1283" s="224" t="s">
        <v>13</v>
      </c>
      <c r="H1283" s="224" t="s">
        <v>196</v>
      </c>
      <c r="I1283" s="224" t="s">
        <v>64</v>
      </c>
      <c r="J1283" s="224">
        <v>20</v>
      </c>
      <c r="K1283" s="227">
        <f t="array" ref="K1283">IFERROR(INDEX([1]Grille_Tarifs_Modulable!$B$2:$B$204,MATCH(Tableau14[[#This Row],[Designation]]&amp;Tableau14[[#This Row],[CL]],[1]Grille_Tarifs_Modulable!$C$2:$C$204&amp;[1]Grille_Tarifs_Modulable!$F$2:$F$204,0)),0)</f>
        <v>4260310553849</v>
      </c>
      <c r="L1283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0.89</v>
      </c>
      <c r="M1283" s="228">
        <f>IF(Tableau14[[#This Row],[Prix_Unit_HT]]=0,0,Tableau14[[#This Row],[Prix_Unit_HT]]+(Tableau14[[#This Row],[Prix_Unit_HT]]*VLOOKUP(Tableau14[[#This Row],[EAN]],[1]Grille_Tarifs_Modulable!$B$10:$Q$204,16,FALSE)))</f>
        <v>0.93895000000000006</v>
      </c>
      <c r="N1283" s="224">
        <v>24</v>
      </c>
      <c r="O1283" s="228">
        <f>ROUND(Tableau14[[#This Row],[Prix_Unit_HT]],2)*Tableau14[[#This Row],[Qte_commande]]</f>
        <v>21.36</v>
      </c>
      <c r="P1283" s="228">
        <f>ROUND(Tableau14[[#This Row],[Prix_Unit_TTC]],2)*Tableau14[[#This Row],[Qte_commande]]</f>
        <v>22.56</v>
      </c>
      <c r="Q1283" s="224">
        <v>6.86</v>
      </c>
      <c r="R1283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6.8571428571428577</v>
      </c>
      <c r="U1283" s="224"/>
      <c r="V1283" s="224"/>
    </row>
    <row r="1284" spans="1:22" ht="14.65" customHeight="1" x14ac:dyDescent="0.2">
      <c r="A1284" s="225">
        <v>43427</v>
      </c>
      <c r="B1284" s="224" t="s">
        <v>1220</v>
      </c>
      <c r="C1284" s="224" t="s">
        <v>1093</v>
      </c>
      <c r="D1284" s="224" t="s">
        <v>1094</v>
      </c>
      <c r="E1284" s="226"/>
      <c r="G1284" s="224" t="s">
        <v>13</v>
      </c>
      <c r="H1284" s="224" t="s">
        <v>451</v>
      </c>
      <c r="I1284" s="224" t="s">
        <v>69</v>
      </c>
      <c r="J1284" s="227">
        <v>3</v>
      </c>
      <c r="K1284" s="227">
        <f t="array" ref="K1284">IFERROR(INDEX([1]Grille_Tarifs_Modulable!$B$2:$B$204,MATCH(Tableau14[[#This Row],[Designation]]&amp;Tableau14[[#This Row],[CL]],[1]Grille_Tarifs_Modulable!$C$2:$C$204&amp;[1]Grille_Tarifs_Modulable!$F$2:$F$204,0)),0)</f>
        <v>121</v>
      </c>
      <c r="L1284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299</v>
      </c>
      <c r="M1284" s="228">
        <f>IF(Tableau14[[#This Row],[Prix_Unit_HT]]=0,0,Tableau14[[#This Row],[Prix_Unit_HT]]+(Tableau14[[#This Row],[Prix_Unit_HT]]*VLOOKUP(Tableau14[[#This Row],[EAN]],[1]Grille_Tarifs_Modulable!$B$10:$Q$204,16,FALSE)))</f>
        <v>358.8</v>
      </c>
      <c r="N1284" s="224">
        <v>2</v>
      </c>
      <c r="O1284" s="228">
        <f>ROUND(Tableau14[[#This Row],[Prix_Unit_HT]],2)*Tableau14[[#This Row],[Qte_commande]]</f>
        <v>598</v>
      </c>
      <c r="P1284" s="228">
        <f>ROUND(Tableau14[[#This Row],[Prix_Unit_TTC]],2)*Tableau14[[#This Row],[Qte_commande]]</f>
        <v>717.6</v>
      </c>
      <c r="Q1284" s="224">
        <v>2</v>
      </c>
      <c r="R1284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2</v>
      </c>
      <c r="U1284" s="224"/>
      <c r="V1284" s="224"/>
    </row>
    <row r="1285" spans="1:22" ht="14.65" customHeight="1" x14ac:dyDescent="0.2">
      <c r="A1285" s="225">
        <v>43427</v>
      </c>
      <c r="B1285" s="224" t="s">
        <v>404</v>
      </c>
      <c r="C1285" s="224" t="s">
        <v>405</v>
      </c>
      <c r="D1285" s="224" t="s">
        <v>406</v>
      </c>
      <c r="E1285" s="226"/>
      <c r="G1285" s="224" t="s">
        <v>13</v>
      </c>
      <c r="H1285" s="224" t="s">
        <v>196</v>
      </c>
      <c r="I1285" s="224" t="s">
        <v>59</v>
      </c>
      <c r="J1285" s="224">
        <v>20</v>
      </c>
      <c r="K1285" s="227">
        <f t="array" ref="K1285">IFERROR(INDEX([1]Grille_Tarifs_Modulable!$B$2:$B$204,MATCH(Tableau14[[#This Row],[Designation]]&amp;Tableau14[[#This Row],[CL]],[1]Grille_Tarifs_Modulable!$C$2:$C$204&amp;[1]Grille_Tarifs_Modulable!$F$2:$F$204,0)),0)</f>
        <v>4260310553818</v>
      </c>
      <c r="L1285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0.89</v>
      </c>
      <c r="M1285" s="228">
        <f>IF(Tableau14[[#This Row],[Prix_Unit_HT]]=0,0,Tableau14[[#This Row],[Prix_Unit_HT]]+(Tableau14[[#This Row],[Prix_Unit_HT]]*VLOOKUP(Tableau14[[#This Row],[EAN]],[1]Grille_Tarifs_Modulable!$B$10:$Q$204,16,FALSE)))</f>
        <v>0.93895000000000006</v>
      </c>
      <c r="N1285" s="224">
        <v>24</v>
      </c>
      <c r="O1285" s="228">
        <f>ROUND(Tableau14[[#This Row],[Prix_Unit_HT]],2)*Tableau14[[#This Row],[Qte_commande]]</f>
        <v>21.36</v>
      </c>
      <c r="P1285" s="228">
        <f>ROUND(Tableau14[[#This Row],[Prix_Unit_TTC]],2)*Tableau14[[#This Row],[Qte_commande]]</f>
        <v>22.56</v>
      </c>
      <c r="Q1285" s="224">
        <v>6.86</v>
      </c>
      <c r="R1285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6.8571428571428577</v>
      </c>
      <c r="U1285" s="224"/>
      <c r="V1285" s="224"/>
    </row>
    <row r="1286" spans="1:22" ht="14.65" customHeight="1" x14ac:dyDescent="0.2">
      <c r="A1286" s="225">
        <v>43430</v>
      </c>
      <c r="B1286" s="224" t="s">
        <v>830</v>
      </c>
      <c r="C1286" s="224" t="s">
        <v>831</v>
      </c>
      <c r="D1286" s="224" t="s">
        <v>203</v>
      </c>
      <c r="E1286" s="226"/>
      <c r="G1286" s="224" t="s">
        <v>1</v>
      </c>
      <c r="H1286" s="224" t="s">
        <v>196</v>
      </c>
      <c r="I1286" s="224" t="s">
        <v>66</v>
      </c>
      <c r="J1286" s="224">
        <v>20</v>
      </c>
      <c r="K1286" s="227">
        <f t="array" ref="K1286">IFERROR(INDEX([1]Grille_Tarifs_Modulable!$B$2:$B$204,MATCH(Tableau14[[#This Row],[Designation]]&amp;Tableau14[[#This Row],[CL]],[1]Grille_Tarifs_Modulable!$C$2:$C$204&amp;[1]Grille_Tarifs_Modulable!$F$2:$F$204,0)),0)</f>
        <v>4260310554785</v>
      </c>
      <c r="L1286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0.81</v>
      </c>
      <c r="M1286" s="228">
        <f>IF(Tableau14[[#This Row],[Prix_Unit_HT]]=0,0,Tableau14[[#This Row],[Prix_Unit_HT]]+(Tableau14[[#This Row],[Prix_Unit_HT]]*VLOOKUP(Tableau14[[#This Row],[EAN]],[1]Grille_Tarifs_Modulable!$B$10:$Q$204,16,FALSE)))</f>
        <v>0.85455000000000003</v>
      </c>
      <c r="N1286" s="224">
        <v>24</v>
      </c>
      <c r="O1286" s="228">
        <f>ROUND(Tableau14[[#This Row],[Prix_Unit_HT]],2)*Tableau14[[#This Row],[Qte_commande]]</f>
        <v>19.440000000000001</v>
      </c>
      <c r="P1286" s="228">
        <f>ROUND(Tableau14[[#This Row],[Prix_Unit_TTC]],2)*Tableau14[[#This Row],[Qte_commande]]</f>
        <v>20.399999999999999</v>
      </c>
      <c r="Q1286" s="224">
        <v>6.86</v>
      </c>
      <c r="R1286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6.8571428571428577</v>
      </c>
      <c r="U1286" s="224"/>
      <c r="V1286" s="224"/>
    </row>
    <row r="1287" spans="1:22" ht="14.65" customHeight="1" x14ac:dyDescent="0.2">
      <c r="A1287" s="225">
        <v>43430</v>
      </c>
      <c r="B1287" s="224" t="s">
        <v>1221</v>
      </c>
      <c r="C1287" s="224" t="s">
        <v>219</v>
      </c>
      <c r="D1287" s="224" t="s">
        <v>220</v>
      </c>
      <c r="E1287" s="226"/>
      <c r="G1287" s="224" t="s">
        <v>13</v>
      </c>
      <c r="H1287" s="224" t="s">
        <v>451</v>
      </c>
      <c r="I1287" s="224" t="s">
        <v>69</v>
      </c>
      <c r="J1287" s="227">
        <v>3</v>
      </c>
      <c r="K1287" s="227">
        <f t="array" ref="K1287">IFERROR(INDEX([1]Grille_Tarifs_Modulable!$B$2:$B$204,MATCH(Tableau14[[#This Row],[Designation]]&amp;Tableau14[[#This Row],[CL]],[1]Grille_Tarifs_Modulable!$C$2:$C$204&amp;[1]Grille_Tarifs_Modulable!$F$2:$F$204,0)),0)</f>
        <v>121</v>
      </c>
      <c r="L1287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299</v>
      </c>
      <c r="M1287" s="228">
        <f>IF(Tableau14[[#This Row],[Prix_Unit_HT]]=0,0,Tableau14[[#This Row],[Prix_Unit_HT]]+(Tableau14[[#This Row],[Prix_Unit_HT]]*VLOOKUP(Tableau14[[#This Row],[EAN]],[1]Grille_Tarifs_Modulable!$B$10:$Q$204,16,FALSE)))</f>
        <v>358.8</v>
      </c>
      <c r="N1287" s="224">
        <v>2</v>
      </c>
      <c r="O1287" s="228">
        <f>ROUND(Tableau14[[#This Row],[Prix_Unit_HT]],2)*Tableau14[[#This Row],[Qte_commande]]</f>
        <v>598</v>
      </c>
      <c r="P1287" s="228">
        <f>ROUND(Tableau14[[#This Row],[Prix_Unit_TTC]],2)*Tableau14[[#This Row],[Qte_commande]]</f>
        <v>717.6</v>
      </c>
      <c r="Q1287" s="224">
        <v>2</v>
      </c>
      <c r="R1287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2</v>
      </c>
      <c r="U1287" s="224"/>
      <c r="V1287" s="224"/>
    </row>
    <row r="1288" spans="1:22" ht="14.65" customHeight="1" x14ac:dyDescent="0.2">
      <c r="A1288" s="225">
        <v>43431</v>
      </c>
      <c r="B1288" s="224" t="s">
        <v>407</v>
      </c>
      <c r="C1288" s="224" t="s">
        <v>408</v>
      </c>
      <c r="D1288" s="224" t="s">
        <v>409</v>
      </c>
      <c r="E1288" s="226"/>
      <c r="G1288" s="224" t="s">
        <v>1</v>
      </c>
      <c r="H1288" s="224" t="s">
        <v>289</v>
      </c>
      <c r="I1288" s="224" t="s">
        <v>35</v>
      </c>
      <c r="J1288" s="224">
        <v>70</v>
      </c>
      <c r="K1288" s="227">
        <f t="array" ref="K1288">IFERROR(INDEX([1]Grille_Tarifs_Modulable!$B$2:$B$204,MATCH(Tableau14[[#This Row],[Designation]]&amp;Tableau14[[#This Row],[CL]],[1]Grille_Tarifs_Modulable!$C$2:$C$204&amp;[1]Grille_Tarifs_Modulable!$F$2:$F$204,0)),0)</f>
        <v>3257150107012</v>
      </c>
      <c r="L1288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29.828643999999997</v>
      </c>
      <c r="M1288" s="228">
        <f>IF(Tableau14[[#This Row],[Prix_Unit_HT]]=0,0,Tableau14[[#This Row],[Prix_Unit_HT]]+(Tableau14[[#This Row],[Prix_Unit_HT]]*VLOOKUP(Tableau14[[#This Row],[EAN]],[1]Grille_Tarifs_Modulable!$B$10:$Q$204,16,FALSE)))</f>
        <v>35.794372799999998</v>
      </c>
      <c r="N1288" s="224">
        <v>12</v>
      </c>
      <c r="O1288" s="228">
        <f>ROUND(Tableau14[[#This Row],[Prix_Unit_HT]],2)*Tableau14[[#This Row],[Qte_commande]]</f>
        <v>357.96</v>
      </c>
      <c r="P1288" s="228">
        <f>ROUND(Tableau14[[#This Row],[Prix_Unit_TTC]],2)*Tableau14[[#This Row],[Qte_commande]]</f>
        <v>429.48</v>
      </c>
      <c r="Q1288" s="224">
        <v>12</v>
      </c>
      <c r="R1288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12.000000000000002</v>
      </c>
      <c r="U1288" s="224"/>
      <c r="V1288" s="224"/>
    </row>
    <row r="1289" spans="1:22" ht="14.65" customHeight="1" x14ac:dyDescent="0.2">
      <c r="A1289" s="225">
        <v>43431</v>
      </c>
      <c r="B1289" s="224" t="s">
        <v>407</v>
      </c>
      <c r="C1289" s="224" t="s">
        <v>408</v>
      </c>
      <c r="D1289" s="224" t="s">
        <v>409</v>
      </c>
      <c r="E1289" s="226"/>
      <c r="G1289" s="224" t="s">
        <v>1</v>
      </c>
      <c r="H1289" s="224" t="s">
        <v>289</v>
      </c>
      <c r="I1289" s="224" t="s">
        <v>47</v>
      </c>
      <c r="J1289" s="224">
        <v>70</v>
      </c>
      <c r="K1289" s="227">
        <f t="array" ref="K1289">IFERROR(INDEX([1]Grille_Tarifs_Modulable!$B$2:$B$204,MATCH(Tableau14[[#This Row],[Designation]]&amp;Tableau14[[#This Row],[CL]],[1]Grille_Tarifs_Modulable!$C$2:$C$204&amp;[1]Grille_Tarifs_Modulable!$F$2:$F$204,0)),0)</f>
        <v>3257150673005</v>
      </c>
      <c r="L1289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20.158644000000002</v>
      </c>
      <c r="M1289" s="228">
        <f>IF(Tableau14[[#This Row],[Prix_Unit_HT]]=0,0,Tableau14[[#This Row],[Prix_Unit_HT]]+(Tableau14[[#This Row],[Prix_Unit_HT]]*VLOOKUP(Tableau14[[#This Row],[EAN]],[1]Grille_Tarifs_Modulable!$B$10:$Q$204,16,FALSE)))</f>
        <v>24.190372800000002</v>
      </c>
      <c r="N1289" s="224">
        <v>6</v>
      </c>
      <c r="O1289" s="228">
        <f>ROUND(Tableau14[[#This Row],[Prix_Unit_HT]],2)*Tableau14[[#This Row],[Qte_commande]]</f>
        <v>120.96000000000001</v>
      </c>
      <c r="P1289" s="228">
        <f>ROUND(Tableau14[[#This Row],[Prix_Unit_TTC]],2)*Tableau14[[#This Row],[Qte_commande]]</f>
        <v>145.14000000000001</v>
      </c>
      <c r="Q1289" s="224">
        <v>6</v>
      </c>
      <c r="R1289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6.0000000000000009</v>
      </c>
      <c r="U1289" s="224"/>
      <c r="V1289" s="224"/>
    </row>
    <row r="1290" spans="1:22" ht="14.65" customHeight="1" x14ac:dyDescent="0.2">
      <c r="A1290" s="225">
        <v>43431</v>
      </c>
      <c r="B1290" s="224" t="s">
        <v>407</v>
      </c>
      <c r="C1290" s="224" t="s">
        <v>408</v>
      </c>
      <c r="D1290" s="224" t="s">
        <v>409</v>
      </c>
      <c r="E1290" s="226"/>
      <c r="G1290" s="224" t="s">
        <v>1</v>
      </c>
      <c r="H1290" s="224" t="s">
        <v>289</v>
      </c>
      <c r="I1290" s="224" t="s">
        <v>30</v>
      </c>
      <c r="J1290" s="224">
        <v>70</v>
      </c>
      <c r="K1290" s="227">
        <f t="array" ref="K1290">IFERROR(INDEX([1]Grille_Tarifs_Modulable!$B$2:$B$204,MATCH(Tableau14[[#This Row],[Designation]]&amp;Tableau14[[#This Row],[CL]],[1]Grille_Tarifs_Modulable!$C$2:$C$204&amp;[1]Grille_Tarifs_Modulable!$F$2:$F$204,0)),0)</f>
        <v>3257150101904</v>
      </c>
      <c r="L1290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16.346482999999999</v>
      </c>
      <c r="M1290" s="228">
        <f>IF(Tableau14[[#This Row],[Prix_Unit_HT]]=0,0,Tableau14[[#This Row],[Prix_Unit_HT]]+(Tableau14[[#This Row],[Prix_Unit_HT]]*VLOOKUP(Tableau14[[#This Row],[EAN]],[1]Grille_Tarifs_Modulable!$B$10:$Q$204,16,FALSE)))</f>
        <v>19.6157796</v>
      </c>
      <c r="N1290" s="224">
        <v>6</v>
      </c>
      <c r="O1290" s="228">
        <f>ROUND(Tableau14[[#This Row],[Prix_Unit_HT]],2)*Tableau14[[#This Row],[Qte_commande]]</f>
        <v>98.100000000000009</v>
      </c>
      <c r="P1290" s="228">
        <f>ROUND(Tableau14[[#This Row],[Prix_Unit_TTC]],2)*Tableau14[[#This Row],[Qte_commande]]</f>
        <v>117.72</v>
      </c>
      <c r="Q1290" s="224">
        <v>6</v>
      </c>
      <c r="R1290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6.0000000000000009</v>
      </c>
      <c r="U1290" s="224"/>
      <c r="V1290" s="224"/>
    </row>
    <row r="1291" spans="1:22" ht="14.65" customHeight="1" x14ac:dyDescent="0.2">
      <c r="A1291" s="225">
        <v>43431</v>
      </c>
      <c r="B1291" s="224" t="s">
        <v>407</v>
      </c>
      <c r="C1291" s="224" t="s">
        <v>408</v>
      </c>
      <c r="D1291" s="224" t="s">
        <v>409</v>
      </c>
      <c r="E1291" s="226"/>
      <c r="G1291" s="224" t="s">
        <v>1</v>
      </c>
      <c r="H1291" s="224" t="s">
        <v>289</v>
      </c>
      <c r="I1291" s="224" t="s">
        <v>32</v>
      </c>
      <c r="J1291" s="224">
        <v>70</v>
      </c>
      <c r="K1291" s="227">
        <f t="array" ref="K1291">IFERROR(INDEX([1]Grille_Tarifs_Modulable!$B$2:$B$204,MATCH(Tableau14[[#This Row],[Designation]]&amp;Tableau14[[#This Row],[CL]],[1]Grille_Tarifs_Modulable!$C$2:$C$204&amp;[1]Grille_Tarifs_Modulable!$F$2:$F$204,0)),0)</f>
        <v>3257150100228</v>
      </c>
      <c r="L1291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19.998643999999999</v>
      </c>
      <c r="M1291" s="228">
        <f>IF(Tableau14[[#This Row],[Prix_Unit_HT]]=0,0,Tableau14[[#This Row],[Prix_Unit_HT]]+(Tableau14[[#This Row],[Prix_Unit_HT]]*VLOOKUP(Tableau14[[#This Row],[EAN]],[1]Grille_Tarifs_Modulable!$B$10:$Q$204,16,FALSE)))</f>
        <v>23.998372799999999</v>
      </c>
      <c r="N1291" s="224">
        <v>18</v>
      </c>
      <c r="O1291" s="228">
        <f>ROUND(Tableau14[[#This Row],[Prix_Unit_HT]],2)*Tableau14[[#This Row],[Qte_commande]]</f>
        <v>360</v>
      </c>
      <c r="P1291" s="228">
        <f>ROUND(Tableau14[[#This Row],[Prix_Unit_TTC]],2)*Tableau14[[#This Row],[Qte_commande]]</f>
        <v>432</v>
      </c>
      <c r="Q1291" s="224">
        <v>18</v>
      </c>
      <c r="R1291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18</v>
      </c>
      <c r="U1291" s="224"/>
      <c r="V1291" s="224"/>
    </row>
    <row r="1292" spans="1:22" ht="14.65" customHeight="1" x14ac:dyDescent="0.2">
      <c r="A1292" s="225">
        <v>43431</v>
      </c>
      <c r="B1292" s="224" t="s">
        <v>407</v>
      </c>
      <c r="C1292" s="224" t="s">
        <v>408</v>
      </c>
      <c r="D1292" s="224" t="s">
        <v>409</v>
      </c>
      <c r="E1292" s="226"/>
      <c r="G1292" s="224" t="s">
        <v>1</v>
      </c>
      <c r="H1292" s="224" t="s">
        <v>289</v>
      </c>
      <c r="I1292" s="224" t="s">
        <v>36</v>
      </c>
      <c r="J1292" s="224">
        <v>70</v>
      </c>
      <c r="K1292" s="227">
        <f t="array" ref="K1292">IFERROR(INDEX([1]Grille_Tarifs_Modulable!$B$2:$B$204,MATCH(Tableau14[[#This Row],[Designation]]&amp;Tableau14[[#This Row],[CL]],[1]Grille_Tarifs_Modulable!$C$2:$C$204&amp;[1]Grille_Tarifs_Modulable!$F$2:$F$204,0)),0)</f>
        <v>3257150100792</v>
      </c>
      <c r="L1292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71.40864400000001</v>
      </c>
      <c r="M1292" s="228">
        <f>IF(Tableau14[[#This Row],[Prix_Unit_HT]]=0,0,Tableau14[[#This Row],[Prix_Unit_HT]]+(Tableau14[[#This Row],[Prix_Unit_HT]]*VLOOKUP(Tableau14[[#This Row],[EAN]],[1]Grille_Tarifs_Modulable!$B$10:$Q$204,16,FALSE)))</f>
        <v>85.690372800000006</v>
      </c>
      <c r="N1292" s="224">
        <v>6</v>
      </c>
      <c r="O1292" s="228">
        <f>ROUND(Tableau14[[#This Row],[Prix_Unit_HT]],2)*Tableau14[[#This Row],[Qte_commande]]</f>
        <v>428.46</v>
      </c>
      <c r="P1292" s="228">
        <f>ROUND(Tableau14[[#This Row],[Prix_Unit_TTC]],2)*Tableau14[[#This Row],[Qte_commande]]</f>
        <v>514.14</v>
      </c>
      <c r="Q1292" s="224">
        <v>6</v>
      </c>
      <c r="R1292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6.0000000000000009</v>
      </c>
      <c r="U1292" s="224"/>
      <c r="V1292" s="224"/>
    </row>
    <row r="1293" spans="1:22" ht="14.65" customHeight="1" x14ac:dyDescent="0.2">
      <c r="A1293" s="225">
        <v>43431</v>
      </c>
      <c r="B1293" s="224" t="s">
        <v>407</v>
      </c>
      <c r="C1293" s="224" t="s">
        <v>408</v>
      </c>
      <c r="D1293" s="224" t="s">
        <v>409</v>
      </c>
      <c r="E1293" s="226"/>
      <c r="G1293" s="224" t="s">
        <v>1</v>
      </c>
      <c r="H1293" s="224" t="s">
        <v>289</v>
      </c>
      <c r="I1293" s="224" t="s">
        <v>31</v>
      </c>
      <c r="J1293" s="224">
        <v>70</v>
      </c>
      <c r="K1293" s="227">
        <f t="array" ref="K1293">IFERROR(INDEX([1]Grille_Tarifs_Modulable!$B$2:$B$204,MATCH(Tableau14[[#This Row],[Designation]]&amp;Tableau14[[#This Row],[CL]],[1]Grille_Tarifs_Modulable!$C$2:$C$204&amp;[1]Grille_Tarifs_Modulable!$F$2:$F$204,0)),0)</f>
        <v>3257150102017</v>
      </c>
      <c r="L1293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14.694322</v>
      </c>
      <c r="M1293" s="228">
        <f>IF(Tableau14[[#This Row],[Prix_Unit_HT]]=0,0,Tableau14[[#This Row],[Prix_Unit_HT]]+(Tableau14[[#This Row],[Prix_Unit_HT]]*VLOOKUP(Tableau14[[#This Row],[EAN]],[1]Grille_Tarifs_Modulable!$B$10:$Q$204,16,FALSE)))</f>
        <v>17.6331864</v>
      </c>
      <c r="N1293" s="224">
        <v>6</v>
      </c>
      <c r="O1293" s="228">
        <f>ROUND(Tableau14[[#This Row],[Prix_Unit_HT]],2)*Tableau14[[#This Row],[Qte_commande]]</f>
        <v>88.14</v>
      </c>
      <c r="P1293" s="228">
        <f>ROUND(Tableau14[[#This Row],[Prix_Unit_TTC]],2)*Tableau14[[#This Row],[Qte_commande]]</f>
        <v>105.78</v>
      </c>
      <c r="Q1293" s="224">
        <v>6</v>
      </c>
      <c r="R1293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6.0000000000000009</v>
      </c>
      <c r="U1293" s="224"/>
      <c r="V1293" s="224"/>
    </row>
    <row r="1294" spans="1:22" ht="14.65" customHeight="1" x14ac:dyDescent="0.2">
      <c r="A1294" s="225">
        <v>43431</v>
      </c>
      <c r="B1294" s="224" t="s">
        <v>407</v>
      </c>
      <c r="C1294" s="224" t="s">
        <v>408</v>
      </c>
      <c r="D1294" s="224" t="s">
        <v>409</v>
      </c>
      <c r="E1294" s="226"/>
      <c r="G1294" s="224" t="s">
        <v>1</v>
      </c>
      <c r="H1294" s="224" t="s">
        <v>196</v>
      </c>
      <c r="I1294" s="224" t="s">
        <v>64</v>
      </c>
      <c r="J1294" s="224">
        <v>20</v>
      </c>
      <c r="K1294" s="227">
        <f t="array" ref="K1294">IFERROR(INDEX([1]Grille_Tarifs_Modulable!$B$2:$B$204,MATCH(Tableau14[[#This Row],[Designation]]&amp;Tableau14[[#This Row],[CL]],[1]Grille_Tarifs_Modulable!$C$2:$C$204&amp;[1]Grille_Tarifs_Modulable!$F$2:$F$204,0)),0)</f>
        <v>4260310553849</v>
      </c>
      <c r="L1294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0.81</v>
      </c>
      <c r="M1294" s="228">
        <f>IF(Tableau14[[#This Row],[Prix_Unit_HT]]=0,0,Tableau14[[#This Row],[Prix_Unit_HT]]+(Tableau14[[#This Row],[Prix_Unit_HT]]*VLOOKUP(Tableau14[[#This Row],[EAN]],[1]Grille_Tarifs_Modulable!$B$10:$Q$204,16,FALSE)))</f>
        <v>0.85455000000000003</v>
      </c>
      <c r="N1294" s="224">
        <v>24</v>
      </c>
      <c r="O1294" s="228">
        <f>ROUND(Tableau14[[#This Row],[Prix_Unit_HT]],2)*Tableau14[[#This Row],[Qte_commande]]</f>
        <v>19.440000000000001</v>
      </c>
      <c r="P1294" s="228">
        <f>ROUND(Tableau14[[#This Row],[Prix_Unit_TTC]],2)*Tableau14[[#This Row],[Qte_commande]]</f>
        <v>20.399999999999999</v>
      </c>
      <c r="Q1294" s="224">
        <v>6.86</v>
      </c>
      <c r="R1294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6.8571428571428577</v>
      </c>
      <c r="U1294" s="224"/>
      <c r="V1294" s="224"/>
    </row>
    <row r="1295" spans="1:22" ht="14.65" customHeight="1" x14ac:dyDescent="0.2">
      <c r="A1295" s="225">
        <v>43433</v>
      </c>
      <c r="B1295" s="224" t="s">
        <v>724</v>
      </c>
      <c r="C1295" s="224" t="s">
        <v>205</v>
      </c>
      <c r="D1295" s="224" t="s">
        <v>206</v>
      </c>
      <c r="E1295" s="226"/>
      <c r="G1295" s="224" t="s">
        <v>1</v>
      </c>
      <c r="H1295" s="224" t="s">
        <v>289</v>
      </c>
      <c r="I1295" s="224" t="s">
        <v>15</v>
      </c>
      <c r="J1295" s="224">
        <v>70</v>
      </c>
      <c r="K1295" s="227">
        <f t="array" ref="K1295">IFERROR(INDEX([1]Grille_Tarifs_Modulable!$B$2:$B$204,MATCH(Tableau14[[#This Row],[Designation]]&amp;Tableau14[[#This Row],[CL]],[1]Grille_Tarifs_Modulable!$C$2:$C$204&amp;[1]Grille_Tarifs_Modulable!$F$2:$F$204,0)),0)</f>
        <v>4067700013859</v>
      </c>
      <c r="L1295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12.532563499999998</v>
      </c>
      <c r="M1295" s="228">
        <f>IF(Tableau14[[#This Row],[Prix_Unit_HT]]=0,0,Tableau14[[#This Row],[Prix_Unit_HT]]+(Tableau14[[#This Row],[Prix_Unit_HT]]*VLOOKUP(Tableau14[[#This Row],[EAN]],[1]Grille_Tarifs_Modulable!$B$10:$Q$204,16,FALSE)))</f>
        <v>15.039076199999998</v>
      </c>
      <c r="N1295" s="224">
        <v>24</v>
      </c>
      <c r="O1295" s="228">
        <f>ROUND(Tableau14[[#This Row],[Prix_Unit_HT]],2)*Tableau14[[#This Row],[Qte_commande]]</f>
        <v>300.71999999999997</v>
      </c>
      <c r="P1295" s="228">
        <f>ROUND(Tableau14[[#This Row],[Prix_Unit_TTC]],2)*Tableau14[[#This Row],[Qte_commande]]</f>
        <v>360.96</v>
      </c>
      <c r="Q1295" s="224">
        <v>24</v>
      </c>
      <c r="R1295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24.000000000000004</v>
      </c>
      <c r="U1295" s="224"/>
      <c r="V1295" s="224"/>
    </row>
    <row r="1296" spans="1:22" ht="14.65" customHeight="1" x14ac:dyDescent="0.2">
      <c r="A1296" s="225">
        <v>43433</v>
      </c>
      <c r="B1296" s="224" t="s">
        <v>724</v>
      </c>
      <c r="C1296" s="224" t="s">
        <v>205</v>
      </c>
      <c r="D1296" s="224" t="s">
        <v>206</v>
      </c>
      <c r="E1296" s="226"/>
      <c r="G1296" s="224" t="s">
        <v>1</v>
      </c>
      <c r="H1296" s="224" t="s">
        <v>289</v>
      </c>
      <c r="I1296" s="224" t="s">
        <v>30</v>
      </c>
      <c r="J1296" s="224">
        <v>70</v>
      </c>
      <c r="K1296" s="227">
        <f t="array" ref="K1296">IFERROR(INDEX([1]Grille_Tarifs_Modulable!$B$2:$B$204,MATCH(Tableau14[[#This Row],[Designation]]&amp;Tableau14[[#This Row],[CL]],[1]Grille_Tarifs_Modulable!$C$2:$C$204&amp;[1]Grille_Tarifs_Modulable!$F$2:$F$204,0)),0)</f>
        <v>3257150101904</v>
      </c>
      <c r="L1296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16.346482999999999</v>
      </c>
      <c r="M1296" s="228">
        <f>IF(Tableau14[[#This Row],[Prix_Unit_HT]]=0,0,Tableau14[[#This Row],[Prix_Unit_HT]]+(Tableau14[[#This Row],[Prix_Unit_HT]]*VLOOKUP(Tableau14[[#This Row],[EAN]],[1]Grille_Tarifs_Modulable!$B$10:$Q$204,16,FALSE)))</f>
        <v>19.6157796</v>
      </c>
      <c r="N1296" s="224">
        <v>12</v>
      </c>
      <c r="O1296" s="228">
        <f>ROUND(Tableau14[[#This Row],[Prix_Unit_HT]],2)*Tableau14[[#This Row],[Qte_commande]]</f>
        <v>196.20000000000002</v>
      </c>
      <c r="P1296" s="228">
        <f>ROUND(Tableau14[[#This Row],[Prix_Unit_TTC]],2)*Tableau14[[#This Row],[Qte_commande]]</f>
        <v>235.44</v>
      </c>
      <c r="Q1296" s="224">
        <v>12</v>
      </c>
      <c r="R1296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12.000000000000002</v>
      </c>
      <c r="U1296" s="224"/>
      <c r="V1296" s="224"/>
    </row>
    <row r="1297" spans="1:22" ht="14.65" customHeight="1" x14ac:dyDescent="0.2">
      <c r="A1297" s="225">
        <v>43433</v>
      </c>
      <c r="B1297" s="224" t="s">
        <v>724</v>
      </c>
      <c r="C1297" s="224" t="s">
        <v>205</v>
      </c>
      <c r="D1297" s="224" t="s">
        <v>206</v>
      </c>
      <c r="E1297" s="226"/>
      <c r="G1297" s="224" t="s">
        <v>1</v>
      </c>
      <c r="H1297" s="224" t="s">
        <v>289</v>
      </c>
      <c r="I1297" s="224" t="s">
        <v>31</v>
      </c>
      <c r="J1297" s="224">
        <v>70</v>
      </c>
      <c r="K1297" s="227">
        <f t="array" ref="K1297">IFERROR(INDEX([1]Grille_Tarifs_Modulable!$B$2:$B$204,MATCH(Tableau14[[#This Row],[Designation]]&amp;Tableau14[[#This Row],[CL]],[1]Grille_Tarifs_Modulable!$C$2:$C$204&amp;[1]Grille_Tarifs_Modulable!$F$2:$F$204,0)),0)</f>
        <v>3257150102017</v>
      </c>
      <c r="L1297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14.694322</v>
      </c>
      <c r="M1297" s="228">
        <f>IF(Tableau14[[#This Row],[Prix_Unit_HT]]=0,0,Tableau14[[#This Row],[Prix_Unit_HT]]+(Tableau14[[#This Row],[Prix_Unit_HT]]*VLOOKUP(Tableau14[[#This Row],[EAN]],[1]Grille_Tarifs_Modulable!$B$10:$Q$204,16,FALSE)))</f>
        <v>17.6331864</v>
      </c>
      <c r="N1297" s="224">
        <v>12</v>
      </c>
      <c r="O1297" s="228">
        <f>ROUND(Tableau14[[#This Row],[Prix_Unit_HT]],2)*Tableau14[[#This Row],[Qte_commande]]</f>
        <v>176.28</v>
      </c>
      <c r="P1297" s="228">
        <f>ROUND(Tableau14[[#This Row],[Prix_Unit_TTC]],2)*Tableau14[[#This Row],[Qte_commande]]</f>
        <v>211.56</v>
      </c>
      <c r="Q1297" s="224">
        <v>12</v>
      </c>
      <c r="R1297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12.000000000000002</v>
      </c>
      <c r="U1297" s="224"/>
      <c r="V1297" s="224"/>
    </row>
    <row r="1298" spans="1:22" ht="14.65" customHeight="1" x14ac:dyDescent="0.2">
      <c r="A1298" s="225">
        <v>43434</v>
      </c>
      <c r="B1298" s="224" t="s">
        <v>275</v>
      </c>
      <c r="C1298" s="224" t="s">
        <v>194</v>
      </c>
      <c r="D1298" s="224" t="s">
        <v>195</v>
      </c>
      <c r="E1298" s="226"/>
      <c r="G1298" s="224" t="s">
        <v>1</v>
      </c>
      <c r="H1298" s="224" t="s">
        <v>196</v>
      </c>
      <c r="I1298" s="224" t="s">
        <v>63</v>
      </c>
      <c r="J1298" s="224">
        <v>20</v>
      </c>
      <c r="K1298" s="227">
        <f t="array" ref="K1298">IFERROR(INDEX([1]Grille_Tarifs_Modulable!$B$2:$B$204,MATCH(Tableau14[[#This Row],[Designation]]&amp;Tableau14[[#This Row],[CL]],[1]Grille_Tarifs_Modulable!$C$2:$C$204&amp;[1]Grille_Tarifs_Modulable!$F$2:$F$204,0)),0)</f>
        <v>4260310552941</v>
      </c>
      <c r="L1298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0.81</v>
      </c>
      <c r="M1298" s="228">
        <f>IF(Tableau14[[#This Row],[Prix_Unit_HT]]=0,0,Tableau14[[#This Row],[Prix_Unit_HT]]+(Tableau14[[#This Row],[Prix_Unit_HT]]*VLOOKUP(Tableau14[[#This Row],[EAN]],[1]Grille_Tarifs_Modulable!$B$10:$Q$204,16,FALSE)))</f>
        <v>0.85455000000000003</v>
      </c>
      <c r="N1298" s="224">
        <v>360</v>
      </c>
      <c r="O1298" s="228">
        <f>ROUND(Tableau14[[#This Row],[Prix_Unit_HT]],2)*Tableau14[[#This Row],[Qte_commande]]</f>
        <v>291.60000000000002</v>
      </c>
      <c r="P1298" s="228">
        <f>ROUND(Tableau14[[#This Row],[Prix_Unit_TTC]],2)*Tableau14[[#This Row],[Qte_commande]]</f>
        <v>306</v>
      </c>
      <c r="Q1298" s="224">
        <v>102.86</v>
      </c>
      <c r="R1298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102.85714285714286</v>
      </c>
      <c r="U1298" s="224"/>
      <c r="V1298" s="224"/>
    </row>
    <row r="1299" spans="1:22" ht="14.65" customHeight="1" x14ac:dyDescent="0.2">
      <c r="A1299" s="225">
        <v>43434</v>
      </c>
      <c r="B1299" s="224" t="s">
        <v>275</v>
      </c>
      <c r="C1299" s="224" t="s">
        <v>194</v>
      </c>
      <c r="D1299" s="224" t="s">
        <v>195</v>
      </c>
      <c r="E1299" s="226"/>
      <c r="G1299" s="224" t="s">
        <v>1</v>
      </c>
      <c r="H1299" s="224" t="s">
        <v>196</v>
      </c>
      <c r="I1299" s="224" t="s">
        <v>65</v>
      </c>
      <c r="J1299" s="224">
        <v>20</v>
      </c>
      <c r="K1299" s="227">
        <f t="array" ref="K1299">IFERROR(INDEX([1]Grille_Tarifs_Modulable!$B$2:$B$204,MATCH(Tableau14[[#This Row],[Designation]]&amp;Tableau14[[#This Row],[CL]],[1]Grille_Tarifs_Modulable!$C$2:$C$204&amp;[1]Grille_Tarifs_Modulable!$F$2:$F$204,0)),0)</f>
        <v>4260310553863</v>
      </c>
      <c r="L1299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0.81</v>
      </c>
      <c r="M1299" s="228">
        <f>IF(Tableau14[[#This Row],[Prix_Unit_HT]]=0,0,Tableau14[[#This Row],[Prix_Unit_HT]]+(Tableau14[[#This Row],[Prix_Unit_HT]]*VLOOKUP(Tableau14[[#This Row],[EAN]],[1]Grille_Tarifs_Modulable!$B$10:$Q$204,16,FALSE)))</f>
        <v>0.85455000000000003</v>
      </c>
      <c r="N1299" s="224">
        <v>72</v>
      </c>
      <c r="O1299" s="228">
        <f>ROUND(Tableau14[[#This Row],[Prix_Unit_HT]],2)*Tableau14[[#This Row],[Qte_commande]]</f>
        <v>58.320000000000007</v>
      </c>
      <c r="P1299" s="228">
        <f>ROUND(Tableau14[[#This Row],[Prix_Unit_TTC]],2)*Tableau14[[#This Row],[Qte_commande]]</f>
        <v>61.199999999999996</v>
      </c>
      <c r="Q1299" s="224">
        <v>20.57</v>
      </c>
      <c r="R1299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20.571428571428573</v>
      </c>
      <c r="U1299" s="224"/>
      <c r="V1299" s="224"/>
    </row>
    <row r="1300" spans="1:22" ht="14.65" customHeight="1" x14ac:dyDescent="0.2">
      <c r="A1300" s="225">
        <v>43434</v>
      </c>
      <c r="B1300" s="224" t="s">
        <v>275</v>
      </c>
      <c r="C1300" s="224" t="s">
        <v>194</v>
      </c>
      <c r="D1300" s="224" t="s">
        <v>195</v>
      </c>
      <c r="E1300" s="226"/>
      <c r="G1300" s="224" t="s">
        <v>1</v>
      </c>
      <c r="H1300" s="224" t="s">
        <v>289</v>
      </c>
      <c r="I1300" s="224" t="s">
        <v>30</v>
      </c>
      <c r="J1300" s="224">
        <v>70</v>
      </c>
      <c r="K1300" s="227">
        <f t="array" ref="K1300">IFERROR(INDEX([1]Grille_Tarifs_Modulable!$B$2:$B$204,MATCH(Tableau14[[#This Row],[Designation]]&amp;Tableau14[[#This Row],[CL]],[1]Grille_Tarifs_Modulable!$C$2:$C$204&amp;[1]Grille_Tarifs_Modulable!$F$2:$F$204,0)),0)</f>
        <v>3257150101904</v>
      </c>
      <c r="L1300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16.346482999999999</v>
      </c>
      <c r="M1300" s="228">
        <f>IF(Tableau14[[#This Row],[Prix_Unit_HT]]=0,0,Tableau14[[#This Row],[Prix_Unit_HT]]+(Tableau14[[#This Row],[Prix_Unit_HT]]*VLOOKUP(Tableau14[[#This Row],[EAN]],[1]Grille_Tarifs_Modulable!$B$10:$Q$204,16,FALSE)))</f>
        <v>19.6157796</v>
      </c>
      <c r="N1300" s="224">
        <v>12</v>
      </c>
      <c r="O1300" s="228">
        <f>ROUND(Tableau14[[#This Row],[Prix_Unit_HT]],2)*Tableau14[[#This Row],[Qte_commande]]</f>
        <v>196.20000000000002</v>
      </c>
      <c r="P1300" s="228">
        <f>ROUND(Tableau14[[#This Row],[Prix_Unit_TTC]],2)*Tableau14[[#This Row],[Qte_commande]]</f>
        <v>235.44</v>
      </c>
      <c r="Q1300" s="224">
        <v>12</v>
      </c>
      <c r="R1300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12.000000000000002</v>
      </c>
      <c r="U1300" s="224"/>
      <c r="V1300" s="224"/>
    </row>
    <row r="1301" spans="1:22" ht="14.65" customHeight="1" x14ac:dyDescent="0.2">
      <c r="A1301" s="225">
        <v>43434</v>
      </c>
      <c r="B1301" s="224" t="s">
        <v>892</v>
      </c>
      <c r="C1301" s="224" t="s">
        <v>852</v>
      </c>
      <c r="D1301" s="224" t="s">
        <v>195</v>
      </c>
      <c r="E1301" s="226"/>
      <c r="G1301" s="224" t="s">
        <v>13</v>
      </c>
      <c r="H1301" s="224" t="s">
        <v>289</v>
      </c>
      <c r="I1301" s="224" t="s">
        <v>31</v>
      </c>
      <c r="J1301" s="224">
        <v>70</v>
      </c>
      <c r="K1301" s="227">
        <f t="array" ref="K1301">IFERROR(INDEX([1]Grille_Tarifs_Modulable!$B$2:$B$204,MATCH(Tableau14[[#This Row],[Designation]]&amp;Tableau14[[#This Row],[CL]],[1]Grille_Tarifs_Modulable!$C$2:$C$204&amp;[1]Grille_Tarifs_Modulable!$F$2:$F$204,0)),0)</f>
        <v>3257150102017</v>
      </c>
      <c r="L1301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16.854322</v>
      </c>
      <c r="M1301" s="228">
        <f>IF(Tableau14[[#This Row],[Prix_Unit_HT]]=0,0,Tableau14[[#This Row],[Prix_Unit_HT]]+(Tableau14[[#This Row],[Prix_Unit_HT]]*VLOOKUP(Tableau14[[#This Row],[EAN]],[1]Grille_Tarifs_Modulable!$B$10:$Q$204,16,FALSE)))</f>
        <v>20.225186399999998</v>
      </c>
      <c r="N1301" s="224">
        <v>6</v>
      </c>
      <c r="O1301" s="228">
        <f>ROUND(Tableau14[[#This Row],[Prix_Unit_HT]],2)*Tableau14[[#This Row],[Qte_commande]]</f>
        <v>101.10000000000001</v>
      </c>
      <c r="P1301" s="228">
        <f>ROUND(Tableau14[[#This Row],[Prix_Unit_TTC]],2)*Tableau14[[#This Row],[Qte_commande]]</f>
        <v>121.38</v>
      </c>
      <c r="Q1301" s="224">
        <v>6</v>
      </c>
      <c r="R1301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6.0000000000000009</v>
      </c>
      <c r="U1301" s="224"/>
      <c r="V1301" s="224"/>
    </row>
    <row r="1302" spans="1:22" ht="14.65" customHeight="1" x14ac:dyDescent="0.2">
      <c r="A1302" s="225">
        <v>43434</v>
      </c>
      <c r="B1302" s="224" t="s">
        <v>275</v>
      </c>
      <c r="C1302" s="224" t="s">
        <v>194</v>
      </c>
      <c r="D1302" s="224" t="s">
        <v>195</v>
      </c>
      <c r="E1302" s="226"/>
      <c r="G1302" s="224" t="s">
        <v>1</v>
      </c>
      <c r="H1302" s="224" t="s">
        <v>289</v>
      </c>
      <c r="I1302" s="224" t="s">
        <v>31</v>
      </c>
      <c r="J1302" s="224">
        <v>70</v>
      </c>
      <c r="K1302" s="227">
        <f t="array" ref="K1302">IFERROR(INDEX([1]Grille_Tarifs_Modulable!$B$2:$B$204,MATCH(Tableau14[[#This Row],[Designation]]&amp;Tableau14[[#This Row],[CL]],[1]Grille_Tarifs_Modulable!$C$2:$C$204&amp;[1]Grille_Tarifs_Modulable!$F$2:$F$204,0)),0)</f>
        <v>3257150102017</v>
      </c>
      <c r="L1302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14.694322</v>
      </c>
      <c r="M1302" s="228">
        <f>IF(Tableau14[[#This Row],[Prix_Unit_HT]]=0,0,Tableau14[[#This Row],[Prix_Unit_HT]]+(Tableau14[[#This Row],[Prix_Unit_HT]]*VLOOKUP(Tableau14[[#This Row],[EAN]],[1]Grille_Tarifs_Modulable!$B$10:$Q$204,16,FALSE)))</f>
        <v>17.6331864</v>
      </c>
      <c r="N1302" s="224">
        <v>12</v>
      </c>
      <c r="O1302" s="228">
        <f>ROUND(Tableau14[[#This Row],[Prix_Unit_HT]],2)*Tableau14[[#This Row],[Qte_commande]]</f>
        <v>176.28</v>
      </c>
      <c r="P1302" s="228">
        <f>ROUND(Tableau14[[#This Row],[Prix_Unit_TTC]],2)*Tableau14[[#This Row],[Qte_commande]]</f>
        <v>211.56</v>
      </c>
      <c r="Q1302" s="224">
        <v>12</v>
      </c>
      <c r="R1302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12.000000000000002</v>
      </c>
      <c r="U1302" s="224"/>
      <c r="V1302" s="224"/>
    </row>
    <row r="1303" spans="1:22" ht="14.65" customHeight="1" x14ac:dyDescent="0.2">
      <c r="A1303" s="225">
        <v>43434</v>
      </c>
      <c r="B1303" s="224" t="s">
        <v>275</v>
      </c>
      <c r="C1303" s="224" t="s">
        <v>194</v>
      </c>
      <c r="D1303" s="224" t="s">
        <v>195</v>
      </c>
      <c r="E1303" s="226"/>
      <c r="G1303" s="224" t="s">
        <v>1</v>
      </c>
      <c r="H1303" s="224" t="s">
        <v>289</v>
      </c>
      <c r="I1303" s="224" t="s">
        <v>44</v>
      </c>
      <c r="J1303" s="224">
        <v>50</v>
      </c>
      <c r="K1303" s="227">
        <f t="array" ref="K1303">IFERROR(INDEX([1]Grille_Tarifs_Modulable!$B$2:$B$204,MATCH(Tableau14[[#This Row],[Designation]]&amp;Tableau14[[#This Row],[CL]],[1]Grille_Tarifs_Modulable!$C$2:$C$204&amp;[1]Grille_Tarifs_Modulable!$F$2:$F$204,0)),0)</f>
        <v>4260270192645</v>
      </c>
      <c r="L1303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25.192506000000002</v>
      </c>
      <c r="M1303" s="228">
        <f>IF(Tableau14[[#This Row],[Prix_Unit_HT]]=0,0,Tableau14[[#This Row],[Prix_Unit_HT]]+(Tableau14[[#This Row],[Prix_Unit_HT]]*VLOOKUP(Tableau14[[#This Row],[EAN]],[1]Grille_Tarifs_Modulable!$B$10:$Q$204,16,FALSE)))</f>
        <v>30.231007200000001</v>
      </c>
      <c r="N1303" s="224">
        <v>12</v>
      </c>
      <c r="O1303" s="228">
        <f>ROUND(Tableau14[[#This Row],[Prix_Unit_HT]],2)*Tableau14[[#This Row],[Qte_commande]]</f>
        <v>302.28000000000003</v>
      </c>
      <c r="P1303" s="228">
        <f>ROUND(Tableau14[[#This Row],[Prix_Unit_TTC]],2)*Tableau14[[#This Row],[Qte_commande]]</f>
        <v>362.76</v>
      </c>
      <c r="Q1303" s="224">
        <v>8.57</v>
      </c>
      <c r="R1303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8.5714285714285712</v>
      </c>
      <c r="U1303" s="224"/>
      <c r="V1303" s="224"/>
    </row>
    <row r="1304" spans="1:22" ht="14.65" customHeight="1" x14ac:dyDescent="0.2">
      <c r="A1304" s="225">
        <v>43437</v>
      </c>
      <c r="B1304" s="224" t="s">
        <v>410</v>
      </c>
      <c r="C1304" s="224" t="s">
        <v>211</v>
      </c>
      <c r="D1304" s="224" t="s">
        <v>212</v>
      </c>
      <c r="E1304" s="226"/>
      <c r="G1304" s="224" t="s">
        <v>1</v>
      </c>
      <c r="H1304" s="224" t="s">
        <v>289</v>
      </c>
      <c r="I1304" s="224" t="s">
        <v>35</v>
      </c>
      <c r="J1304" s="224">
        <v>70</v>
      </c>
      <c r="K1304" s="227">
        <f t="array" ref="K1304">IFERROR(INDEX([1]Grille_Tarifs_Modulable!$B$2:$B$204,MATCH(Tableau14[[#This Row],[Designation]]&amp;Tableau14[[#This Row],[CL]],[1]Grille_Tarifs_Modulable!$C$2:$C$204&amp;[1]Grille_Tarifs_Modulable!$F$2:$F$204,0)),0)</f>
        <v>3257150107012</v>
      </c>
      <c r="L1304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29.828643999999997</v>
      </c>
      <c r="M1304" s="228">
        <f>IF(Tableau14[[#This Row],[Prix_Unit_HT]]=0,0,Tableau14[[#This Row],[Prix_Unit_HT]]+(Tableau14[[#This Row],[Prix_Unit_HT]]*VLOOKUP(Tableau14[[#This Row],[EAN]],[1]Grille_Tarifs_Modulable!$B$10:$Q$204,16,FALSE)))</f>
        <v>35.794372799999998</v>
      </c>
      <c r="N1304" s="224">
        <v>6</v>
      </c>
      <c r="O1304" s="228">
        <f>ROUND(Tableau14[[#This Row],[Prix_Unit_HT]],2)*Tableau14[[#This Row],[Qte_commande]]</f>
        <v>178.98</v>
      </c>
      <c r="P1304" s="228">
        <f>ROUND(Tableau14[[#This Row],[Prix_Unit_TTC]],2)*Tableau14[[#This Row],[Qte_commande]]</f>
        <v>214.74</v>
      </c>
      <c r="Q1304" s="224">
        <v>6</v>
      </c>
      <c r="R1304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6.0000000000000009</v>
      </c>
      <c r="U1304" s="224"/>
      <c r="V1304" s="224"/>
    </row>
    <row r="1305" spans="1:22" ht="14.65" customHeight="1" x14ac:dyDescent="0.2">
      <c r="A1305" s="225">
        <v>43437</v>
      </c>
      <c r="B1305" s="224" t="s">
        <v>861</v>
      </c>
      <c r="C1305" s="224" t="s">
        <v>852</v>
      </c>
      <c r="D1305" s="224" t="s">
        <v>195</v>
      </c>
      <c r="E1305" s="226"/>
      <c r="G1305" s="224" t="s">
        <v>13</v>
      </c>
      <c r="H1305" s="224" t="s">
        <v>289</v>
      </c>
      <c r="I1305" s="224" t="s">
        <v>30</v>
      </c>
      <c r="J1305" s="224">
        <v>70</v>
      </c>
      <c r="K1305" s="227">
        <f t="array" ref="K1305">IFERROR(INDEX([1]Grille_Tarifs_Modulable!$B$2:$B$204,MATCH(Tableau14[[#This Row],[Designation]]&amp;Tableau14[[#This Row],[CL]],[1]Grille_Tarifs_Modulable!$C$2:$C$204&amp;[1]Grille_Tarifs_Modulable!$F$2:$F$204,0)),0)</f>
        <v>3257150101904</v>
      </c>
      <c r="L1305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18.506483000000003</v>
      </c>
      <c r="M1305" s="228">
        <f>IF(Tableau14[[#This Row],[Prix_Unit_HT]]=0,0,Tableau14[[#This Row],[Prix_Unit_HT]]+(Tableau14[[#This Row],[Prix_Unit_HT]]*VLOOKUP(Tableau14[[#This Row],[EAN]],[1]Grille_Tarifs_Modulable!$B$10:$Q$204,16,FALSE)))</f>
        <v>22.207779600000002</v>
      </c>
      <c r="N1305" s="224">
        <v>6</v>
      </c>
      <c r="O1305" s="228">
        <f>ROUND(Tableau14[[#This Row],[Prix_Unit_HT]],2)*Tableau14[[#This Row],[Qte_commande]]</f>
        <v>111.06</v>
      </c>
      <c r="P1305" s="228">
        <f>ROUND(Tableau14[[#This Row],[Prix_Unit_TTC]],2)*Tableau14[[#This Row],[Qte_commande]]</f>
        <v>133.26</v>
      </c>
      <c r="Q1305" s="224">
        <v>6</v>
      </c>
      <c r="R1305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6.0000000000000009</v>
      </c>
      <c r="U1305" s="224"/>
      <c r="V1305" s="224"/>
    </row>
    <row r="1306" spans="1:22" ht="14.65" customHeight="1" x14ac:dyDescent="0.2">
      <c r="A1306" s="225">
        <v>43437</v>
      </c>
      <c r="B1306" s="224" t="s">
        <v>861</v>
      </c>
      <c r="C1306" s="224" t="s">
        <v>852</v>
      </c>
      <c r="D1306" s="224" t="s">
        <v>195</v>
      </c>
      <c r="E1306" s="226"/>
      <c r="G1306" s="224" t="s">
        <v>13</v>
      </c>
      <c r="H1306" s="224" t="s">
        <v>289</v>
      </c>
      <c r="I1306" s="224" t="s">
        <v>31</v>
      </c>
      <c r="J1306" s="224">
        <v>70</v>
      </c>
      <c r="K1306" s="227">
        <f t="array" ref="K1306">IFERROR(INDEX([1]Grille_Tarifs_Modulable!$B$2:$B$204,MATCH(Tableau14[[#This Row],[Designation]]&amp;Tableau14[[#This Row],[CL]],[1]Grille_Tarifs_Modulable!$C$2:$C$204&amp;[1]Grille_Tarifs_Modulable!$F$2:$F$204,0)),0)</f>
        <v>3257150102017</v>
      </c>
      <c r="L1306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16.854322</v>
      </c>
      <c r="M1306" s="228">
        <f>IF(Tableau14[[#This Row],[Prix_Unit_HT]]=0,0,Tableau14[[#This Row],[Prix_Unit_HT]]+(Tableau14[[#This Row],[Prix_Unit_HT]]*VLOOKUP(Tableau14[[#This Row],[EAN]],[1]Grille_Tarifs_Modulable!$B$10:$Q$204,16,FALSE)))</f>
        <v>20.225186399999998</v>
      </c>
      <c r="N1306" s="224">
        <v>6</v>
      </c>
      <c r="O1306" s="228">
        <f>ROUND(Tableau14[[#This Row],[Prix_Unit_HT]],2)*Tableau14[[#This Row],[Qte_commande]]</f>
        <v>101.10000000000001</v>
      </c>
      <c r="P1306" s="228">
        <f>ROUND(Tableau14[[#This Row],[Prix_Unit_TTC]],2)*Tableau14[[#This Row],[Qte_commande]]</f>
        <v>121.38</v>
      </c>
      <c r="Q1306" s="224">
        <v>6</v>
      </c>
      <c r="R1306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6.0000000000000009</v>
      </c>
      <c r="U1306" s="224"/>
      <c r="V1306" s="224"/>
    </row>
    <row r="1307" spans="1:22" ht="14.65" customHeight="1" x14ac:dyDescent="0.2">
      <c r="A1307" s="225">
        <v>43439</v>
      </c>
      <c r="B1307" s="224" t="s">
        <v>411</v>
      </c>
      <c r="C1307" s="224" t="s">
        <v>412</v>
      </c>
      <c r="D1307" s="224" t="s">
        <v>413</v>
      </c>
      <c r="E1307" s="226"/>
      <c r="G1307" s="224" t="s">
        <v>13</v>
      </c>
      <c r="H1307" s="224" t="s">
        <v>289</v>
      </c>
      <c r="I1307" s="224" t="s">
        <v>35</v>
      </c>
      <c r="J1307" s="224">
        <v>70</v>
      </c>
      <c r="K1307" s="227">
        <f t="array" ref="K1307">IFERROR(INDEX([1]Grille_Tarifs_Modulable!$B$2:$B$204,MATCH(Tableau14[[#This Row],[Designation]]&amp;Tableau14[[#This Row],[CL]],[1]Grille_Tarifs_Modulable!$C$2:$C$204&amp;[1]Grille_Tarifs_Modulable!$F$2:$F$204,0)),0)</f>
        <v>3257150107012</v>
      </c>
      <c r="L1307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32.408644000000002</v>
      </c>
      <c r="M1307" s="228">
        <f>IF(Tableau14[[#This Row],[Prix_Unit_HT]]=0,0,Tableau14[[#This Row],[Prix_Unit_HT]]+(Tableau14[[#This Row],[Prix_Unit_HT]]*VLOOKUP(Tableau14[[#This Row],[EAN]],[1]Grille_Tarifs_Modulable!$B$10:$Q$204,16,FALSE)))</f>
        <v>38.890372800000002</v>
      </c>
      <c r="N1307" s="224">
        <v>6</v>
      </c>
      <c r="O1307" s="228">
        <f>ROUND(Tableau14[[#This Row],[Prix_Unit_HT]],2)*Tableau14[[#This Row],[Qte_commande]]</f>
        <v>194.45999999999998</v>
      </c>
      <c r="P1307" s="228">
        <f>ROUND(Tableau14[[#This Row],[Prix_Unit_TTC]],2)*Tableau14[[#This Row],[Qte_commande]]</f>
        <v>233.34</v>
      </c>
      <c r="Q1307" s="224">
        <v>6</v>
      </c>
      <c r="R1307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6.0000000000000009</v>
      </c>
      <c r="U1307" s="224"/>
      <c r="V1307" s="224"/>
    </row>
    <row r="1308" spans="1:22" ht="14.65" customHeight="1" x14ac:dyDescent="0.2">
      <c r="A1308" s="225">
        <v>43439</v>
      </c>
      <c r="B1308" s="224" t="s">
        <v>725</v>
      </c>
      <c r="C1308" s="224" t="s">
        <v>530</v>
      </c>
      <c r="D1308" s="224" t="s">
        <v>531</v>
      </c>
      <c r="E1308" s="226"/>
      <c r="G1308" s="224" t="s">
        <v>1</v>
      </c>
      <c r="H1308" s="224" t="s">
        <v>289</v>
      </c>
      <c r="I1308" s="224" t="s">
        <v>15</v>
      </c>
      <c r="J1308" s="224">
        <v>70</v>
      </c>
      <c r="K1308" s="227">
        <f t="array" ref="K1308">IFERROR(INDEX([1]Grille_Tarifs_Modulable!$B$2:$B$204,MATCH(Tableau14[[#This Row],[Designation]]&amp;Tableau14[[#This Row],[CL]],[1]Grille_Tarifs_Modulable!$C$2:$C$204&amp;[1]Grille_Tarifs_Modulable!$F$2:$F$204,0)),0)</f>
        <v>4067700013859</v>
      </c>
      <c r="L1308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12.532563499999998</v>
      </c>
      <c r="M1308" s="228">
        <f>IF(Tableau14[[#This Row],[Prix_Unit_HT]]=0,0,Tableau14[[#This Row],[Prix_Unit_HT]]+(Tableau14[[#This Row],[Prix_Unit_HT]]*VLOOKUP(Tableau14[[#This Row],[EAN]],[1]Grille_Tarifs_Modulable!$B$10:$Q$204,16,FALSE)))</f>
        <v>15.039076199999998</v>
      </c>
      <c r="N1308" s="224">
        <v>150</v>
      </c>
      <c r="O1308" s="228">
        <f>ROUND(Tableau14[[#This Row],[Prix_Unit_HT]],2)*Tableau14[[#This Row],[Qte_commande]]</f>
        <v>1879.5</v>
      </c>
      <c r="P1308" s="228">
        <f>ROUND(Tableau14[[#This Row],[Prix_Unit_TTC]],2)*Tableau14[[#This Row],[Qte_commande]]</f>
        <v>2256</v>
      </c>
      <c r="Q1308" s="224">
        <v>150</v>
      </c>
      <c r="R1308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150</v>
      </c>
      <c r="U1308" s="224"/>
      <c r="V1308" s="224"/>
    </row>
    <row r="1309" spans="1:22" ht="14.65" customHeight="1" x14ac:dyDescent="0.2">
      <c r="A1309" s="225">
        <v>43439</v>
      </c>
      <c r="B1309" s="224" t="s">
        <v>411</v>
      </c>
      <c r="C1309" s="224" t="s">
        <v>412</v>
      </c>
      <c r="D1309" s="224" t="s">
        <v>413</v>
      </c>
      <c r="E1309" s="226"/>
      <c r="G1309" s="224" t="s">
        <v>13</v>
      </c>
      <c r="H1309" s="224" t="s">
        <v>289</v>
      </c>
      <c r="I1309" s="224" t="s">
        <v>30</v>
      </c>
      <c r="J1309" s="224">
        <v>70</v>
      </c>
      <c r="K1309" s="227">
        <f t="array" ref="K1309">IFERROR(INDEX([1]Grille_Tarifs_Modulable!$B$2:$B$204,MATCH(Tableau14[[#This Row],[Designation]]&amp;Tableau14[[#This Row],[CL]],[1]Grille_Tarifs_Modulable!$C$2:$C$204&amp;[1]Grille_Tarifs_Modulable!$F$2:$F$204,0)),0)</f>
        <v>3257150101904</v>
      </c>
      <c r="L1309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18.506483000000003</v>
      </c>
      <c r="M1309" s="228">
        <f>IF(Tableau14[[#This Row],[Prix_Unit_HT]]=0,0,Tableau14[[#This Row],[Prix_Unit_HT]]+(Tableau14[[#This Row],[Prix_Unit_HT]]*VLOOKUP(Tableau14[[#This Row],[EAN]],[1]Grille_Tarifs_Modulable!$B$10:$Q$204,16,FALSE)))</f>
        <v>22.207779600000002</v>
      </c>
      <c r="N1309" s="224">
        <v>6</v>
      </c>
      <c r="O1309" s="228">
        <f>ROUND(Tableau14[[#This Row],[Prix_Unit_HT]],2)*Tableau14[[#This Row],[Qte_commande]]</f>
        <v>111.06</v>
      </c>
      <c r="P1309" s="228">
        <f>ROUND(Tableau14[[#This Row],[Prix_Unit_TTC]],2)*Tableau14[[#This Row],[Qte_commande]]</f>
        <v>133.26</v>
      </c>
      <c r="Q1309" s="224">
        <v>6</v>
      </c>
      <c r="R1309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6.0000000000000009</v>
      </c>
      <c r="U1309" s="224"/>
      <c r="V1309" s="224"/>
    </row>
    <row r="1310" spans="1:22" ht="14.65" customHeight="1" x14ac:dyDescent="0.2">
      <c r="A1310" s="225">
        <v>43439</v>
      </c>
      <c r="B1310" s="224" t="s">
        <v>411</v>
      </c>
      <c r="C1310" s="224" t="s">
        <v>412</v>
      </c>
      <c r="D1310" s="224" t="s">
        <v>413</v>
      </c>
      <c r="E1310" s="226"/>
      <c r="G1310" s="224" t="s">
        <v>13</v>
      </c>
      <c r="H1310" s="224" t="s">
        <v>289</v>
      </c>
      <c r="I1310" s="224" t="s">
        <v>31</v>
      </c>
      <c r="J1310" s="224">
        <v>70</v>
      </c>
      <c r="K1310" s="227">
        <f t="array" ref="K1310">IFERROR(INDEX([1]Grille_Tarifs_Modulable!$B$2:$B$204,MATCH(Tableau14[[#This Row],[Designation]]&amp;Tableau14[[#This Row],[CL]],[1]Grille_Tarifs_Modulable!$C$2:$C$204&amp;[1]Grille_Tarifs_Modulable!$F$2:$F$204,0)),0)</f>
        <v>3257150102017</v>
      </c>
      <c r="L1310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16.854322</v>
      </c>
      <c r="M1310" s="228">
        <f>IF(Tableau14[[#This Row],[Prix_Unit_HT]]=0,0,Tableau14[[#This Row],[Prix_Unit_HT]]+(Tableau14[[#This Row],[Prix_Unit_HT]]*VLOOKUP(Tableau14[[#This Row],[EAN]],[1]Grille_Tarifs_Modulable!$B$10:$Q$204,16,FALSE)))</f>
        <v>20.225186399999998</v>
      </c>
      <c r="N1310" s="224">
        <v>6</v>
      </c>
      <c r="O1310" s="228">
        <f>ROUND(Tableau14[[#This Row],[Prix_Unit_HT]],2)*Tableau14[[#This Row],[Qte_commande]]</f>
        <v>101.10000000000001</v>
      </c>
      <c r="P1310" s="228">
        <f>ROUND(Tableau14[[#This Row],[Prix_Unit_TTC]],2)*Tableau14[[#This Row],[Qte_commande]]</f>
        <v>121.38</v>
      </c>
      <c r="Q1310" s="224">
        <v>6</v>
      </c>
      <c r="R1310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6.0000000000000009</v>
      </c>
      <c r="U1310" s="224"/>
      <c r="V1310" s="224"/>
    </row>
    <row r="1311" spans="1:22" ht="14.65" customHeight="1" x14ac:dyDescent="0.2">
      <c r="A1311" s="225">
        <v>43439</v>
      </c>
      <c r="B1311" s="224" t="s">
        <v>411</v>
      </c>
      <c r="C1311" s="224" t="s">
        <v>412</v>
      </c>
      <c r="D1311" s="224" t="s">
        <v>413</v>
      </c>
      <c r="E1311" s="226"/>
      <c r="G1311" s="224" t="s">
        <v>13</v>
      </c>
      <c r="H1311" s="224" t="s">
        <v>196</v>
      </c>
      <c r="I1311" s="224" t="s">
        <v>64</v>
      </c>
      <c r="J1311" s="224">
        <v>20</v>
      </c>
      <c r="K1311" s="227">
        <f t="array" ref="K1311">IFERROR(INDEX([1]Grille_Tarifs_Modulable!$B$2:$B$204,MATCH(Tableau14[[#This Row],[Designation]]&amp;Tableau14[[#This Row],[CL]],[1]Grille_Tarifs_Modulable!$C$2:$C$204&amp;[1]Grille_Tarifs_Modulable!$F$2:$F$204,0)),0)</f>
        <v>4260310553849</v>
      </c>
      <c r="L1311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0.89</v>
      </c>
      <c r="M1311" s="228">
        <f>IF(Tableau14[[#This Row],[Prix_Unit_HT]]=0,0,Tableau14[[#This Row],[Prix_Unit_HT]]+(Tableau14[[#This Row],[Prix_Unit_HT]]*VLOOKUP(Tableau14[[#This Row],[EAN]],[1]Grille_Tarifs_Modulable!$B$10:$Q$204,16,FALSE)))</f>
        <v>0.93895000000000006</v>
      </c>
      <c r="N1311" s="224">
        <v>24</v>
      </c>
      <c r="O1311" s="228">
        <f>ROUND(Tableau14[[#This Row],[Prix_Unit_HT]],2)*Tableau14[[#This Row],[Qte_commande]]</f>
        <v>21.36</v>
      </c>
      <c r="P1311" s="228">
        <f>ROUND(Tableau14[[#This Row],[Prix_Unit_TTC]],2)*Tableau14[[#This Row],[Qte_commande]]</f>
        <v>22.56</v>
      </c>
      <c r="Q1311" s="224">
        <v>6.86</v>
      </c>
      <c r="R1311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6.8571428571428577</v>
      </c>
      <c r="U1311" s="224"/>
      <c r="V1311" s="224"/>
    </row>
    <row r="1312" spans="1:22" ht="14.65" customHeight="1" x14ac:dyDescent="0.2">
      <c r="A1312" s="225">
        <v>43441</v>
      </c>
      <c r="B1312" s="224" t="s">
        <v>414</v>
      </c>
      <c r="C1312" s="224" t="s">
        <v>198</v>
      </c>
      <c r="D1312" s="224" t="s">
        <v>199</v>
      </c>
      <c r="E1312" s="226"/>
      <c r="G1312" s="224" t="s">
        <v>1</v>
      </c>
      <c r="H1312" s="224" t="s">
        <v>289</v>
      </c>
      <c r="I1312" s="224" t="s">
        <v>35</v>
      </c>
      <c r="J1312" s="224">
        <v>70</v>
      </c>
      <c r="K1312" s="227">
        <f t="array" ref="K1312">IFERROR(INDEX([1]Grille_Tarifs_Modulable!$B$2:$B$204,MATCH(Tableau14[[#This Row],[Designation]]&amp;Tableau14[[#This Row],[CL]],[1]Grille_Tarifs_Modulable!$C$2:$C$204&amp;[1]Grille_Tarifs_Modulable!$F$2:$F$204,0)),0)</f>
        <v>3257150107012</v>
      </c>
      <c r="L1312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29.828643999999997</v>
      </c>
      <c r="M1312" s="228">
        <f>IF(Tableau14[[#This Row],[Prix_Unit_HT]]=0,0,Tableau14[[#This Row],[Prix_Unit_HT]]+(Tableau14[[#This Row],[Prix_Unit_HT]]*VLOOKUP(Tableau14[[#This Row],[EAN]],[1]Grille_Tarifs_Modulable!$B$10:$Q$204,16,FALSE)))</f>
        <v>35.794372799999998</v>
      </c>
      <c r="N1312" s="224">
        <v>6</v>
      </c>
      <c r="O1312" s="228">
        <f>ROUND(Tableau14[[#This Row],[Prix_Unit_HT]],2)*Tableau14[[#This Row],[Qte_commande]]</f>
        <v>178.98</v>
      </c>
      <c r="P1312" s="228">
        <f>ROUND(Tableau14[[#This Row],[Prix_Unit_TTC]],2)*Tableau14[[#This Row],[Qte_commande]]</f>
        <v>214.74</v>
      </c>
      <c r="Q1312" s="224">
        <v>6</v>
      </c>
      <c r="R1312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6.0000000000000009</v>
      </c>
      <c r="U1312" s="224"/>
      <c r="V1312" s="224"/>
    </row>
    <row r="1313" spans="1:22" ht="14.65" customHeight="1" x14ac:dyDescent="0.2">
      <c r="A1313" s="225">
        <v>43441</v>
      </c>
      <c r="B1313" s="224" t="s">
        <v>414</v>
      </c>
      <c r="C1313" s="224" t="s">
        <v>198</v>
      </c>
      <c r="D1313" s="224" t="s">
        <v>199</v>
      </c>
      <c r="E1313" s="226"/>
      <c r="G1313" s="224" t="s">
        <v>1</v>
      </c>
      <c r="H1313" s="224" t="s">
        <v>289</v>
      </c>
      <c r="I1313" s="224" t="s">
        <v>15</v>
      </c>
      <c r="J1313" s="224">
        <v>175</v>
      </c>
      <c r="K1313" s="227">
        <f t="array" ref="K1313">IFERROR(INDEX([1]Grille_Tarifs_Modulable!$B$2:$B$204,MATCH(Tableau14[[#This Row],[Designation]]&amp;Tableau14[[#This Row],[CL]],[1]Grille_Tarifs_Modulable!$C$2:$C$204&amp;[1]Grille_Tarifs_Modulable!$F$2:$F$204,0)),0)</f>
        <v>4067700013835</v>
      </c>
      <c r="L1313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28.916408750000002</v>
      </c>
      <c r="M1313" s="228">
        <f>IF(Tableau14[[#This Row],[Prix_Unit_HT]]=0,0,Tableau14[[#This Row],[Prix_Unit_HT]]+(Tableau14[[#This Row],[Prix_Unit_HT]]*VLOOKUP(Tableau14[[#This Row],[EAN]],[1]Grille_Tarifs_Modulable!$B$10:$Q$204,16,FALSE)))</f>
        <v>34.699690500000003</v>
      </c>
      <c r="N1313" s="224">
        <v>12</v>
      </c>
      <c r="O1313" s="228">
        <f>ROUND(Tableau14[[#This Row],[Prix_Unit_HT]],2)*Tableau14[[#This Row],[Qte_commande]]</f>
        <v>347.04</v>
      </c>
      <c r="P1313" s="228">
        <f>ROUND(Tableau14[[#This Row],[Prix_Unit_TTC]],2)*Tableau14[[#This Row],[Qte_commande]]</f>
        <v>416.40000000000003</v>
      </c>
      <c r="Q1313" s="224">
        <v>30</v>
      </c>
      <c r="R1313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30.000000000000004</v>
      </c>
      <c r="U1313" s="224"/>
      <c r="V1313" s="224"/>
    </row>
    <row r="1314" spans="1:22" ht="14.65" customHeight="1" x14ac:dyDescent="0.2">
      <c r="A1314" s="225">
        <v>43441</v>
      </c>
      <c r="B1314" s="224" t="s">
        <v>414</v>
      </c>
      <c r="C1314" s="224" t="s">
        <v>198</v>
      </c>
      <c r="D1314" s="224" t="s">
        <v>199</v>
      </c>
      <c r="E1314" s="226"/>
      <c r="G1314" s="224" t="s">
        <v>1</v>
      </c>
      <c r="H1314" s="224" t="s">
        <v>289</v>
      </c>
      <c r="I1314" s="224" t="s">
        <v>32</v>
      </c>
      <c r="J1314" s="224">
        <v>70</v>
      </c>
      <c r="K1314" s="227">
        <f t="array" ref="K1314">IFERROR(INDEX([1]Grille_Tarifs_Modulable!$B$2:$B$204,MATCH(Tableau14[[#This Row],[Designation]]&amp;Tableau14[[#This Row],[CL]],[1]Grille_Tarifs_Modulable!$C$2:$C$204&amp;[1]Grille_Tarifs_Modulable!$F$2:$F$204,0)),0)</f>
        <v>3257150100228</v>
      </c>
      <c r="L1314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19.998643999999999</v>
      </c>
      <c r="M1314" s="228">
        <f>IF(Tableau14[[#This Row],[Prix_Unit_HT]]=0,0,Tableau14[[#This Row],[Prix_Unit_HT]]+(Tableau14[[#This Row],[Prix_Unit_HT]]*VLOOKUP(Tableau14[[#This Row],[EAN]],[1]Grille_Tarifs_Modulable!$B$10:$Q$204,16,FALSE)))</f>
        <v>23.998372799999999</v>
      </c>
      <c r="N1314" s="224">
        <v>6</v>
      </c>
      <c r="O1314" s="228">
        <f>ROUND(Tableau14[[#This Row],[Prix_Unit_HT]],2)*Tableau14[[#This Row],[Qte_commande]]</f>
        <v>120</v>
      </c>
      <c r="P1314" s="228">
        <f>ROUND(Tableau14[[#This Row],[Prix_Unit_TTC]],2)*Tableau14[[#This Row],[Qte_commande]]</f>
        <v>144</v>
      </c>
      <c r="Q1314" s="224">
        <v>6</v>
      </c>
      <c r="R1314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6.0000000000000009</v>
      </c>
      <c r="U1314" s="224"/>
      <c r="V1314" s="224"/>
    </row>
    <row r="1315" spans="1:22" ht="14.65" customHeight="1" x14ac:dyDescent="0.2">
      <c r="A1315" s="225">
        <v>43441</v>
      </c>
      <c r="B1315" s="224" t="s">
        <v>414</v>
      </c>
      <c r="C1315" s="224" t="s">
        <v>198</v>
      </c>
      <c r="D1315" s="224" t="s">
        <v>199</v>
      </c>
      <c r="E1315" s="226"/>
      <c r="G1315" s="224" t="s">
        <v>1</v>
      </c>
      <c r="H1315" s="224" t="s">
        <v>289</v>
      </c>
      <c r="I1315" s="224" t="s">
        <v>34</v>
      </c>
      <c r="J1315" s="224">
        <v>70</v>
      </c>
      <c r="K1315" s="227">
        <f t="array" ref="K1315">IFERROR(INDEX([1]Grille_Tarifs_Modulable!$B$2:$B$204,MATCH(Tableau14[[#This Row],[Designation]]&amp;Tableau14[[#This Row],[CL]],[1]Grille_Tarifs_Modulable!$C$2:$C$204&amp;[1]Grille_Tarifs_Modulable!$F$2:$F$204,0)),0)</f>
        <v>3257150100167</v>
      </c>
      <c r="L1315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27.618644000000003</v>
      </c>
      <c r="M1315" s="228">
        <f>IF(Tableau14[[#This Row],[Prix_Unit_HT]]=0,0,Tableau14[[#This Row],[Prix_Unit_HT]]+(Tableau14[[#This Row],[Prix_Unit_HT]]*VLOOKUP(Tableau14[[#This Row],[EAN]],[1]Grille_Tarifs_Modulable!$B$10:$Q$204,16,FALSE)))</f>
        <v>33.142372800000004</v>
      </c>
      <c r="N1315" s="224">
        <v>6</v>
      </c>
      <c r="O1315" s="228">
        <f>ROUND(Tableau14[[#This Row],[Prix_Unit_HT]],2)*Tableau14[[#This Row],[Qte_commande]]</f>
        <v>165.72</v>
      </c>
      <c r="P1315" s="228">
        <f>ROUND(Tableau14[[#This Row],[Prix_Unit_TTC]],2)*Tableau14[[#This Row],[Qte_commande]]</f>
        <v>198.84</v>
      </c>
      <c r="Q1315" s="224">
        <v>6</v>
      </c>
      <c r="R1315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6.0000000000000009</v>
      </c>
      <c r="U1315" s="224"/>
      <c r="V1315" s="224"/>
    </row>
    <row r="1316" spans="1:22" ht="14.65" customHeight="1" x14ac:dyDescent="0.2">
      <c r="A1316" s="225">
        <v>43441</v>
      </c>
      <c r="B1316" s="224" t="s">
        <v>414</v>
      </c>
      <c r="C1316" s="224" t="s">
        <v>198</v>
      </c>
      <c r="D1316" s="224" t="s">
        <v>199</v>
      </c>
      <c r="E1316" s="226"/>
      <c r="G1316" s="224" t="s">
        <v>1</v>
      </c>
      <c r="H1316" s="224" t="s">
        <v>196</v>
      </c>
      <c r="I1316" s="224" t="s">
        <v>64</v>
      </c>
      <c r="J1316" s="224">
        <v>20</v>
      </c>
      <c r="K1316" s="227">
        <f t="array" ref="K1316">IFERROR(INDEX([1]Grille_Tarifs_Modulable!$B$2:$B$204,MATCH(Tableau14[[#This Row],[Designation]]&amp;Tableau14[[#This Row],[CL]],[1]Grille_Tarifs_Modulable!$C$2:$C$204&amp;[1]Grille_Tarifs_Modulable!$F$2:$F$204,0)),0)</f>
        <v>4260310553849</v>
      </c>
      <c r="L1316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0.81</v>
      </c>
      <c r="M1316" s="228">
        <f>IF(Tableau14[[#This Row],[Prix_Unit_HT]]=0,0,Tableau14[[#This Row],[Prix_Unit_HT]]+(Tableau14[[#This Row],[Prix_Unit_HT]]*VLOOKUP(Tableau14[[#This Row],[EAN]],[1]Grille_Tarifs_Modulable!$B$10:$Q$204,16,FALSE)))</f>
        <v>0.85455000000000003</v>
      </c>
      <c r="N1316" s="224">
        <v>120</v>
      </c>
      <c r="O1316" s="228">
        <f>ROUND(Tableau14[[#This Row],[Prix_Unit_HT]],2)*Tableau14[[#This Row],[Qte_commande]]</f>
        <v>97.2</v>
      </c>
      <c r="P1316" s="228">
        <f>ROUND(Tableau14[[#This Row],[Prix_Unit_TTC]],2)*Tableau14[[#This Row],[Qte_commande]]</f>
        <v>102</v>
      </c>
      <c r="Q1316" s="224">
        <v>34.29</v>
      </c>
      <c r="R1316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34.285714285714285</v>
      </c>
      <c r="U1316" s="224"/>
      <c r="V1316" s="224"/>
    </row>
    <row r="1317" spans="1:22" ht="14.65" customHeight="1" x14ac:dyDescent="0.2">
      <c r="A1317" s="225">
        <v>43441</v>
      </c>
      <c r="B1317" s="224" t="s">
        <v>961</v>
      </c>
      <c r="C1317" s="224" t="s">
        <v>198</v>
      </c>
      <c r="D1317" s="224" t="s">
        <v>199</v>
      </c>
      <c r="E1317" s="226"/>
      <c r="G1317" s="224" t="s">
        <v>1</v>
      </c>
      <c r="H1317" s="224" t="s">
        <v>196</v>
      </c>
      <c r="I1317" s="224" t="s">
        <v>64</v>
      </c>
      <c r="J1317" s="224">
        <v>20</v>
      </c>
      <c r="K1317" s="227">
        <f t="array" ref="K1317">IFERROR(INDEX([1]Grille_Tarifs_Modulable!$B$2:$B$204,MATCH(Tableau14[[#This Row],[Designation]]&amp;Tableau14[[#This Row],[CL]],[1]Grille_Tarifs_Modulable!$C$2:$C$204&amp;[1]Grille_Tarifs_Modulable!$F$2:$F$204,0)),0)</f>
        <v>4260310553849</v>
      </c>
      <c r="L1317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0.81</v>
      </c>
      <c r="M1317" s="228">
        <f>IF(Tableau14[[#This Row],[Prix_Unit_HT]]=0,0,Tableau14[[#This Row],[Prix_Unit_HT]]+(Tableau14[[#This Row],[Prix_Unit_HT]]*VLOOKUP(Tableau14[[#This Row],[EAN]],[1]Grille_Tarifs_Modulable!$B$10:$Q$204,16,FALSE)))</f>
        <v>0.85455000000000003</v>
      </c>
      <c r="N1317" s="224">
        <v>-120</v>
      </c>
      <c r="O1317" s="228">
        <f>ROUND(Tableau14[[#This Row],[Prix_Unit_HT]],2)*Tableau14[[#This Row],[Qte_commande]]</f>
        <v>-97.2</v>
      </c>
      <c r="P1317" s="228">
        <f>ROUND(Tableau14[[#This Row],[Prix_Unit_TTC]],2)*Tableau14[[#This Row],[Qte_commande]]</f>
        <v>-102</v>
      </c>
      <c r="Q1317" s="224">
        <v>-34.29</v>
      </c>
      <c r="R1317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-34.285714285714285</v>
      </c>
      <c r="U1317" s="224"/>
      <c r="V1317" s="224"/>
    </row>
    <row r="1318" spans="1:22" ht="14.65" customHeight="1" x14ac:dyDescent="0.2">
      <c r="A1318" s="225">
        <v>43441</v>
      </c>
      <c r="B1318" s="224" t="s">
        <v>414</v>
      </c>
      <c r="C1318" s="224" t="s">
        <v>198</v>
      </c>
      <c r="D1318" s="224" t="s">
        <v>199</v>
      </c>
      <c r="E1318" s="226"/>
      <c r="G1318" s="224" t="s">
        <v>1</v>
      </c>
      <c r="H1318" s="224" t="s">
        <v>196</v>
      </c>
      <c r="I1318" s="224" t="s">
        <v>59</v>
      </c>
      <c r="J1318" s="224">
        <v>20</v>
      </c>
      <c r="K1318" s="227">
        <f t="array" ref="K1318">IFERROR(INDEX([1]Grille_Tarifs_Modulable!$B$2:$B$204,MATCH(Tableau14[[#This Row],[Designation]]&amp;Tableau14[[#This Row],[CL]],[1]Grille_Tarifs_Modulable!$C$2:$C$204&amp;[1]Grille_Tarifs_Modulable!$F$2:$F$204,0)),0)</f>
        <v>4260310553818</v>
      </c>
      <c r="L1318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0.81</v>
      </c>
      <c r="M1318" s="228">
        <f>IF(Tableau14[[#This Row],[Prix_Unit_HT]]=0,0,Tableau14[[#This Row],[Prix_Unit_HT]]+(Tableau14[[#This Row],[Prix_Unit_HT]]*VLOOKUP(Tableau14[[#This Row],[EAN]],[1]Grille_Tarifs_Modulable!$B$10:$Q$204,16,FALSE)))</f>
        <v>0.85455000000000003</v>
      </c>
      <c r="N1318" s="224">
        <v>120</v>
      </c>
      <c r="O1318" s="228">
        <f>ROUND(Tableau14[[#This Row],[Prix_Unit_HT]],2)*Tableau14[[#This Row],[Qte_commande]]</f>
        <v>97.2</v>
      </c>
      <c r="P1318" s="228">
        <f>ROUND(Tableau14[[#This Row],[Prix_Unit_TTC]],2)*Tableau14[[#This Row],[Qte_commande]]</f>
        <v>102</v>
      </c>
      <c r="Q1318" s="224">
        <v>34.29</v>
      </c>
      <c r="R1318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34.285714285714285</v>
      </c>
      <c r="U1318" s="224"/>
      <c r="V1318" s="224"/>
    </row>
    <row r="1319" spans="1:22" ht="14.65" customHeight="1" x14ac:dyDescent="0.2">
      <c r="A1319" s="225">
        <v>43446</v>
      </c>
      <c r="B1319" s="224" t="s">
        <v>862</v>
      </c>
      <c r="C1319" s="224" t="s">
        <v>372</v>
      </c>
      <c r="D1319" s="224" t="s">
        <v>373</v>
      </c>
      <c r="E1319" s="226"/>
      <c r="G1319" s="224" t="s">
        <v>1</v>
      </c>
      <c r="H1319" s="224" t="s">
        <v>289</v>
      </c>
      <c r="I1319" s="224" t="s">
        <v>30</v>
      </c>
      <c r="J1319" s="224">
        <v>70</v>
      </c>
      <c r="K1319" s="227">
        <f t="array" ref="K1319">IFERROR(INDEX([1]Grille_Tarifs_Modulable!$B$2:$B$204,MATCH(Tableau14[[#This Row],[Designation]]&amp;Tableau14[[#This Row],[CL]],[1]Grille_Tarifs_Modulable!$C$2:$C$204&amp;[1]Grille_Tarifs_Modulable!$F$2:$F$204,0)),0)</f>
        <v>3257150101904</v>
      </c>
      <c r="L1319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16.346482999999999</v>
      </c>
      <c r="M1319" s="228">
        <f>IF(Tableau14[[#This Row],[Prix_Unit_HT]]=0,0,Tableau14[[#This Row],[Prix_Unit_HT]]+(Tableau14[[#This Row],[Prix_Unit_HT]]*VLOOKUP(Tableau14[[#This Row],[EAN]],[1]Grille_Tarifs_Modulable!$B$10:$Q$204,16,FALSE)))</f>
        <v>19.6157796</v>
      </c>
      <c r="N1319" s="224">
        <v>6</v>
      </c>
      <c r="O1319" s="228">
        <f>ROUND(Tableau14[[#This Row],[Prix_Unit_HT]],2)*Tableau14[[#This Row],[Qte_commande]]</f>
        <v>98.100000000000009</v>
      </c>
      <c r="P1319" s="228">
        <f>ROUND(Tableau14[[#This Row],[Prix_Unit_TTC]],2)*Tableau14[[#This Row],[Qte_commande]]</f>
        <v>117.72</v>
      </c>
      <c r="Q1319" s="224">
        <v>6</v>
      </c>
      <c r="R1319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6.0000000000000009</v>
      </c>
      <c r="U1319" s="224"/>
      <c r="V1319" s="224"/>
    </row>
    <row r="1320" spans="1:22" ht="14.65" customHeight="1" x14ac:dyDescent="0.2">
      <c r="A1320" s="225">
        <v>43446</v>
      </c>
      <c r="B1320" s="224" t="s">
        <v>862</v>
      </c>
      <c r="C1320" s="224" t="s">
        <v>372</v>
      </c>
      <c r="D1320" s="224" t="s">
        <v>373</v>
      </c>
      <c r="E1320" s="226"/>
      <c r="G1320" s="224" t="s">
        <v>1</v>
      </c>
      <c r="H1320" s="224" t="s">
        <v>289</v>
      </c>
      <c r="I1320" s="224" t="s">
        <v>31</v>
      </c>
      <c r="J1320" s="224">
        <v>70</v>
      </c>
      <c r="K1320" s="227">
        <f t="array" ref="K1320">IFERROR(INDEX([1]Grille_Tarifs_Modulable!$B$2:$B$204,MATCH(Tableau14[[#This Row],[Designation]]&amp;Tableau14[[#This Row],[CL]],[1]Grille_Tarifs_Modulable!$C$2:$C$204&amp;[1]Grille_Tarifs_Modulable!$F$2:$F$204,0)),0)</f>
        <v>3257150102017</v>
      </c>
      <c r="L1320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14.694322</v>
      </c>
      <c r="M1320" s="228">
        <f>IF(Tableau14[[#This Row],[Prix_Unit_HT]]=0,0,Tableau14[[#This Row],[Prix_Unit_HT]]+(Tableau14[[#This Row],[Prix_Unit_HT]]*VLOOKUP(Tableau14[[#This Row],[EAN]],[1]Grille_Tarifs_Modulable!$B$10:$Q$204,16,FALSE)))</f>
        <v>17.6331864</v>
      </c>
      <c r="N1320" s="224">
        <v>6</v>
      </c>
      <c r="O1320" s="228">
        <f>ROUND(Tableau14[[#This Row],[Prix_Unit_HT]],2)*Tableau14[[#This Row],[Qte_commande]]</f>
        <v>88.14</v>
      </c>
      <c r="P1320" s="228">
        <f>ROUND(Tableau14[[#This Row],[Prix_Unit_TTC]],2)*Tableau14[[#This Row],[Qte_commande]]</f>
        <v>105.78</v>
      </c>
      <c r="Q1320" s="224">
        <v>6</v>
      </c>
      <c r="R1320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6.0000000000000009</v>
      </c>
      <c r="U1320" s="224"/>
      <c r="V1320" s="224"/>
    </row>
    <row r="1321" spans="1:22" ht="14.65" customHeight="1" x14ac:dyDescent="0.2">
      <c r="A1321" s="225">
        <v>43447</v>
      </c>
      <c r="B1321" s="224" t="s">
        <v>863</v>
      </c>
      <c r="C1321" s="224" t="s">
        <v>864</v>
      </c>
      <c r="D1321" s="224" t="s">
        <v>180</v>
      </c>
      <c r="E1321" s="226"/>
      <c r="G1321" s="224" t="s">
        <v>1</v>
      </c>
      <c r="H1321" s="224" t="s">
        <v>289</v>
      </c>
      <c r="I1321" s="224" t="s">
        <v>30</v>
      </c>
      <c r="J1321" s="224">
        <v>70</v>
      </c>
      <c r="K1321" s="227">
        <f t="array" ref="K1321">IFERROR(INDEX([1]Grille_Tarifs_Modulable!$B$2:$B$204,MATCH(Tableau14[[#This Row],[Designation]]&amp;Tableau14[[#This Row],[CL]],[1]Grille_Tarifs_Modulable!$C$2:$C$204&amp;[1]Grille_Tarifs_Modulable!$F$2:$F$204,0)),0)</f>
        <v>3257150101904</v>
      </c>
      <c r="L1321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16.346482999999999</v>
      </c>
      <c r="M1321" s="228">
        <f>IF(Tableau14[[#This Row],[Prix_Unit_HT]]=0,0,Tableau14[[#This Row],[Prix_Unit_HT]]+(Tableau14[[#This Row],[Prix_Unit_HT]]*VLOOKUP(Tableau14[[#This Row],[EAN]],[1]Grille_Tarifs_Modulable!$B$10:$Q$204,16,FALSE)))</f>
        <v>19.6157796</v>
      </c>
      <c r="N1321" s="224">
        <v>12</v>
      </c>
      <c r="O1321" s="228">
        <f>ROUND(Tableau14[[#This Row],[Prix_Unit_HT]],2)*Tableau14[[#This Row],[Qte_commande]]</f>
        <v>196.20000000000002</v>
      </c>
      <c r="P1321" s="228">
        <f>ROUND(Tableau14[[#This Row],[Prix_Unit_TTC]],2)*Tableau14[[#This Row],[Qte_commande]]</f>
        <v>235.44</v>
      </c>
      <c r="Q1321" s="224">
        <v>12</v>
      </c>
      <c r="R1321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12.000000000000002</v>
      </c>
      <c r="U1321" s="224"/>
      <c r="V1321" s="224"/>
    </row>
    <row r="1322" spans="1:22" ht="14.65" customHeight="1" x14ac:dyDescent="0.2">
      <c r="A1322" s="225">
        <v>43447</v>
      </c>
      <c r="B1322" s="224" t="s">
        <v>863</v>
      </c>
      <c r="C1322" s="224" t="s">
        <v>864</v>
      </c>
      <c r="D1322" s="224" t="s">
        <v>180</v>
      </c>
      <c r="E1322" s="226"/>
      <c r="G1322" s="224" t="s">
        <v>1</v>
      </c>
      <c r="H1322" s="224" t="s">
        <v>289</v>
      </c>
      <c r="I1322" s="224" t="s">
        <v>34</v>
      </c>
      <c r="J1322" s="224">
        <v>70</v>
      </c>
      <c r="K1322" s="227">
        <f t="array" ref="K1322">IFERROR(INDEX([1]Grille_Tarifs_Modulable!$B$2:$B$204,MATCH(Tableau14[[#This Row],[Designation]]&amp;Tableau14[[#This Row],[CL]],[1]Grille_Tarifs_Modulable!$C$2:$C$204&amp;[1]Grille_Tarifs_Modulable!$F$2:$F$204,0)),0)</f>
        <v>3257150100167</v>
      </c>
      <c r="L1322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27.618644000000003</v>
      </c>
      <c r="M1322" s="228">
        <f>IF(Tableau14[[#This Row],[Prix_Unit_HT]]=0,0,Tableau14[[#This Row],[Prix_Unit_HT]]+(Tableau14[[#This Row],[Prix_Unit_HT]]*VLOOKUP(Tableau14[[#This Row],[EAN]],[1]Grille_Tarifs_Modulable!$B$10:$Q$204,16,FALSE)))</f>
        <v>33.142372800000004</v>
      </c>
      <c r="N1322" s="224">
        <v>12</v>
      </c>
      <c r="O1322" s="228">
        <f>ROUND(Tableau14[[#This Row],[Prix_Unit_HT]],2)*Tableau14[[#This Row],[Qte_commande]]</f>
        <v>331.44</v>
      </c>
      <c r="P1322" s="228">
        <f>ROUND(Tableau14[[#This Row],[Prix_Unit_TTC]],2)*Tableau14[[#This Row],[Qte_commande]]</f>
        <v>397.68</v>
      </c>
      <c r="Q1322" s="224">
        <v>12</v>
      </c>
      <c r="R1322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12.000000000000002</v>
      </c>
      <c r="U1322" s="224"/>
      <c r="V1322" s="224"/>
    </row>
    <row r="1323" spans="1:22" ht="14.65" customHeight="1" x14ac:dyDescent="0.2">
      <c r="A1323" s="225">
        <v>43447</v>
      </c>
      <c r="B1323" s="224" t="s">
        <v>863</v>
      </c>
      <c r="C1323" s="224" t="s">
        <v>864</v>
      </c>
      <c r="D1323" s="224" t="s">
        <v>180</v>
      </c>
      <c r="E1323" s="226"/>
      <c r="G1323" s="224" t="s">
        <v>1</v>
      </c>
      <c r="H1323" s="224" t="s">
        <v>289</v>
      </c>
      <c r="I1323" s="224" t="s">
        <v>31</v>
      </c>
      <c r="J1323" s="224">
        <v>70</v>
      </c>
      <c r="K1323" s="227">
        <f t="array" ref="K1323">IFERROR(INDEX([1]Grille_Tarifs_Modulable!$B$2:$B$204,MATCH(Tableau14[[#This Row],[Designation]]&amp;Tableau14[[#This Row],[CL]],[1]Grille_Tarifs_Modulable!$C$2:$C$204&amp;[1]Grille_Tarifs_Modulable!$F$2:$F$204,0)),0)</f>
        <v>3257150102017</v>
      </c>
      <c r="L1323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14.694322</v>
      </c>
      <c r="M1323" s="228">
        <f>IF(Tableau14[[#This Row],[Prix_Unit_HT]]=0,0,Tableau14[[#This Row],[Prix_Unit_HT]]+(Tableau14[[#This Row],[Prix_Unit_HT]]*VLOOKUP(Tableau14[[#This Row],[EAN]],[1]Grille_Tarifs_Modulable!$B$10:$Q$204,16,FALSE)))</f>
        <v>17.6331864</v>
      </c>
      <c r="N1323" s="224">
        <v>12</v>
      </c>
      <c r="O1323" s="228">
        <f>ROUND(Tableau14[[#This Row],[Prix_Unit_HT]],2)*Tableau14[[#This Row],[Qte_commande]]</f>
        <v>176.28</v>
      </c>
      <c r="P1323" s="228">
        <f>ROUND(Tableau14[[#This Row],[Prix_Unit_TTC]],2)*Tableau14[[#This Row],[Qte_commande]]</f>
        <v>211.56</v>
      </c>
      <c r="Q1323" s="224">
        <v>12</v>
      </c>
      <c r="R1323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12.000000000000002</v>
      </c>
      <c r="U1323" s="224"/>
      <c r="V1323" s="224"/>
    </row>
    <row r="1324" spans="1:22" ht="14.65" customHeight="1" x14ac:dyDescent="0.2">
      <c r="A1324" s="225">
        <v>43447</v>
      </c>
      <c r="B1324" s="224" t="s">
        <v>863</v>
      </c>
      <c r="C1324" s="224" t="s">
        <v>864</v>
      </c>
      <c r="D1324" s="224" t="s">
        <v>180</v>
      </c>
      <c r="E1324" s="226"/>
      <c r="G1324" s="224" t="s">
        <v>1</v>
      </c>
      <c r="H1324" s="224" t="s">
        <v>289</v>
      </c>
      <c r="I1324" s="224" t="s">
        <v>44</v>
      </c>
      <c r="J1324" s="224">
        <v>50</v>
      </c>
      <c r="K1324" s="227">
        <f t="array" ref="K1324">IFERROR(INDEX([1]Grille_Tarifs_Modulable!$B$2:$B$204,MATCH(Tableau14[[#This Row],[Designation]]&amp;Tableau14[[#This Row],[CL]],[1]Grille_Tarifs_Modulable!$C$2:$C$204&amp;[1]Grille_Tarifs_Modulable!$F$2:$F$204,0)),0)</f>
        <v>4260270192645</v>
      </c>
      <c r="L1324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25.192506000000002</v>
      </c>
      <c r="M1324" s="228">
        <f>IF(Tableau14[[#This Row],[Prix_Unit_HT]]=0,0,Tableau14[[#This Row],[Prix_Unit_HT]]+(Tableau14[[#This Row],[Prix_Unit_HT]]*VLOOKUP(Tableau14[[#This Row],[EAN]],[1]Grille_Tarifs_Modulable!$B$10:$Q$204,16,FALSE)))</f>
        <v>30.231007200000001</v>
      </c>
      <c r="N1324" s="224">
        <v>12</v>
      </c>
      <c r="O1324" s="228">
        <f>ROUND(Tableau14[[#This Row],[Prix_Unit_HT]],2)*Tableau14[[#This Row],[Qte_commande]]</f>
        <v>302.28000000000003</v>
      </c>
      <c r="P1324" s="228">
        <f>ROUND(Tableau14[[#This Row],[Prix_Unit_TTC]],2)*Tableau14[[#This Row],[Qte_commande]]</f>
        <v>362.76</v>
      </c>
      <c r="Q1324" s="224">
        <v>8.57</v>
      </c>
      <c r="R1324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8.5714285714285712</v>
      </c>
      <c r="U1324" s="224"/>
      <c r="V1324" s="224"/>
    </row>
    <row r="1325" spans="1:22" ht="14.65" customHeight="1" x14ac:dyDescent="0.2">
      <c r="A1325" s="225">
        <v>43448</v>
      </c>
      <c r="B1325" s="224" t="s">
        <v>726</v>
      </c>
      <c r="C1325" s="224" t="s">
        <v>265</v>
      </c>
      <c r="D1325" s="224" t="s">
        <v>266</v>
      </c>
      <c r="E1325" s="226"/>
      <c r="G1325" s="224" t="s">
        <v>1</v>
      </c>
      <c r="H1325" s="224" t="s">
        <v>289</v>
      </c>
      <c r="I1325" s="224" t="s">
        <v>15</v>
      </c>
      <c r="J1325" s="224">
        <v>70</v>
      </c>
      <c r="K1325" s="227">
        <f t="array" ref="K1325">IFERROR(INDEX([1]Grille_Tarifs_Modulable!$B$2:$B$204,MATCH(Tableau14[[#This Row],[Designation]]&amp;Tableau14[[#This Row],[CL]],[1]Grille_Tarifs_Modulable!$C$2:$C$204&amp;[1]Grille_Tarifs_Modulable!$F$2:$F$204,0)),0)</f>
        <v>4067700013859</v>
      </c>
      <c r="L1325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12.532563499999998</v>
      </c>
      <c r="M1325" s="228">
        <f>IF(Tableau14[[#This Row],[Prix_Unit_HT]]=0,0,Tableau14[[#This Row],[Prix_Unit_HT]]+(Tableau14[[#This Row],[Prix_Unit_HT]]*VLOOKUP(Tableau14[[#This Row],[EAN]],[1]Grille_Tarifs_Modulable!$B$10:$Q$204,16,FALSE)))</f>
        <v>15.039076199999998</v>
      </c>
      <c r="N1325" s="224">
        <v>240</v>
      </c>
      <c r="O1325" s="228">
        <f>ROUND(Tableau14[[#This Row],[Prix_Unit_HT]],2)*Tableau14[[#This Row],[Qte_commande]]</f>
        <v>3007.2</v>
      </c>
      <c r="P1325" s="228">
        <f>ROUND(Tableau14[[#This Row],[Prix_Unit_TTC]],2)*Tableau14[[#This Row],[Qte_commande]]</f>
        <v>3609.6</v>
      </c>
      <c r="Q1325" s="224">
        <v>240</v>
      </c>
      <c r="R1325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240.00000000000003</v>
      </c>
      <c r="U1325" s="224"/>
      <c r="V1325" s="224"/>
    </row>
    <row r="1326" spans="1:22" ht="14.65" customHeight="1" x14ac:dyDescent="0.2">
      <c r="A1326" s="225">
        <v>43448</v>
      </c>
      <c r="B1326" s="224" t="s">
        <v>727</v>
      </c>
      <c r="C1326" s="224" t="s">
        <v>308</v>
      </c>
      <c r="D1326" s="224" t="s">
        <v>309</v>
      </c>
      <c r="E1326" s="226"/>
      <c r="G1326" s="224" t="s">
        <v>1</v>
      </c>
      <c r="H1326" s="224" t="s">
        <v>289</v>
      </c>
      <c r="I1326" s="224" t="s">
        <v>15</v>
      </c>
      <c r="J1326" s="224">
        <v>100</v>
      </c>
      <c r="K1326" s="227">
        <f t="array" ref="K1326">IFERROR(INDEX([1]Grille_Tarifs_Modulable!$B$2:$B$204,MATCH(Tableau14[[#This Row],[Designation]]&amp;Tableau14[[#This Row],[CL]],[1]Grille_Tarifs_Modulable!$C$2:$C$204&amp;[1]Grille_Tarifs_Modulable!$F$2:$F$204,0)),0)</f>
        <v>4067700013842</v>
      </c>
      <c r="L1326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17.100804999999998</v>
      </c>
      <c r="M1326" s="228">
        <f>IF(Tableau14[[#This Row],[Prix_Unit_HT]]=0,0,Tableau14[[#This Row],[Prix_Unit_HT]]+(Tableau14[[#This Row],[Prix_Unit_HT]]*VLOOKUP(Tableau14[[#This Row],[EAN]],[1]Grille_Tarifs_Modulable!$B$10:$Q$204,16,FALSE)))</f>
        <v>20.520965999999998</v>
      </c>
      <c r="N1326" s="224">
        <v>306</v>
      </c>
      <c r="O1326" s="228">
        <f>ROUND(Tableau14[[#This Row],[Prix_Unit_HT]],2)*Tableau14[[#This Row],[Qte_commande]]</f>
        <v>5232.6000000000004</v>
      </c>
      <c r="P1326" s="228">
        <f>ROUND(Tableau14[[#This Row],[Prix_Unit_TTC]],2)*Tableau14[[#This Row],[Qte_commande]]</f>
        <v>6279.12</v>
      </c>
      <c r="Q1326" s="224">
        <v>437.14</v>
      </c>
      <c r="R1326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437.14285714285717</v>
      </c>
      <c r="U1326" s="224"/>
      <c r="V1326" s="224"/>
    </row>
    <row r="1327" spans="1:22" ht="14.65" customHeight="1" x14ac:dyDescent="0.2">
      <c r="A1327" s="225">
        <v>43448</v>
      </c>
      <c r="B1327" s="224" t="s">
        <v>726</v>
      </c>
      <c r="C1327" s="224" t="s">
        <v>265</v>
      </c>
      <c r="D1327" s="224" t="s">
        <v>266</v>
      </c>
      <c r="E1327" s="226"/>
      <c r="G1327" s="224" t="s">
        <v>1</v>
      </c>
      <c r="H1327" s="224" t="s">
        <v>196</v>
      </c>
      <c r="I1327" s="224" t="s">
        <v>64</v>
      </c>
      <c r="J1327" s="224">
        <v>20</v>
      </c>
      <c r="K1327" s="227">
        <f t="array" ref="K1327">IFERROR(INDEX([1]Grille_Tarifs_Modulable!$B$2:$B$204,MATCH(Tableau14[[#This Row],[Designation]]&amp;Tableau14[[#This Row],[CL]],[1]Grille_Tarifs_Modulable!$C$2:$C$204&amp;[1]Grille_Tarifs_Modulable!$F$2:$F$204,0)),0)</f>
        <v>4260310553849</v>
      </c>
      <c r="L1327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0.81</v>
      </c>
      <c r="M1327" s="228">
        <f>IF(Tableau14[[#This Row],[Prix_Unit_HT]]=0,0,Tableau14[[#This Row],[Prix_Unit_HT]]+(Tableau14[[#This Row],[Prix_Unit_HT]]*VLOOKUP(Tableau14[[#This Row],[EAN]],[1]Grille_Tarifs_Modulable!$B$10:$Q$204,16,FALSE)))</f>
        <v>0.85455000000000003</v>
      </c>
      <c r="N1327" s="224">
        <v>144</v>
      </c>
      <c r="O1327" s="228">
        <f>ROUND(Tableau14[[#This Row],[Prix_Unit_HT]],2)*Tableau14[[#This Row],[Qte_commande]]</f>
        <v>116.64000000000001</v>
      </c>
      <c r="P1327" s="228">
        <f>ROUND(Tableau14[[#This Row],[Prix_Unit_TTC]],2)*Tableau14[[#This Row],[Qte_commande]]</f>
        <v>122.39999999999999</v>
      </c>
      <c r="Q1327" s="224">
        <v>41.14</v>
      </c>
      <c r="R1327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41.142857142857146</v>
      </c>
      <c r="U1327" s="224"/>
      <c r="V1327" s="224"/>
    </row>
    <row r="1328" spans="1:22" ht="14.65" customHeight="1" x14ac:dyDescent="0.2">
      <c r="A1328" s="225">
        <v>43448</v>
      </c>
      <c r="B1328" s="224" t="s">
        <v>726</v>
      </c>
      <c r="C1328" s="224" t="s">
        <v>265</v>
      </c>
      <c r="D1328" s="224" t="s">
        <v>266</v>
      </c>
      <c r="E1328" s="226"/>
      <c r="G1328" s="224" t="s">
        <v>1</v>
      </c>
      <c r="H1328" s="224" t="s">
        <v>196</v>
      </c>
      <c r="I1328" s="224" t="s">
        <v>59</v>
      </c>
      <c r="J1328" s="224">
        <v>20</v>
      </c>
      <c r="K1328" s="227">
        <f t="array" ref="K1328">IFERROR(INDEX([1]Grille_Tarifs_Modulable!$B$2:$B$204,MATCH(Tableau14[[#This Row],[Designation]]&amp;Tableau14[[#This Row],[CL]],[1]Grille_Tarifs_Modulable!$C$2:$C$204&amp;[1]Grille_Tarifs_Modulable!$F$2:$F$204,0)),0)</f>
        <v>4260310553818</v>
      </c>
      <c r="L1328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0.81</v>
      </c>
      <c r="M1328" s="228">
        <f>IF(Tableau14[[#This Row],[Prix_Unit_HT]]=0,0,Tableau14[[#This Row],[Prix_Unit_HT]]+(Tableau14[[#This Row],[Prix_Unit_HT]]*VLOOKUP(Tableau14[[#This Row],[EAN]],[1]Grille_Tarifs_Modulable!$B$10:$Q$204,16,FALSE)))</f>
        <v>0.85455000000000003</v>
      </c>
      <c r="N1328" s="224">
        <v>240</v>
      </c>
      <c r="O1328" s="228">
        <f>ROUND(Tableau14[[#This Row],[Prix_Unit_HT]],2)*Tableau14[[#This Row],[Qte_commande]]</f>
        <v>194.4</v>
      </c>
      <c r="P1328" s="228">
        <f>ROUND(Tableau14[[#This Row],[Prix_Unit_TTC]],2)*Tableau14[[#This Row],[Qte_commande]]</f>
        <v>204</v>
      </c>
      <c r="Q1328" s="224">
        <v>68.569999999999993</v>
      </c>
      <c r="R1328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68.571428571428569</v>
      </c>
      <c r="U1328" s="224"/>
      <c r="V1328" s="224"/>
    </row>
    <row r="1329" spans="1:22" ht="14.65" customHeight="1" x14ac:dyDescent="0.2">
      <c r="A1329" s="225">
        <v>43451</v>
      </c>
      <c r="B1329" s="224" t="s">
        <v>893</v>
      </c>
      <c r="C1329" s="224" t="s">
        <v>320</v>
      </c>
      <c r="D1329" s="224" t="s">
        <v>855</v>
      </c>
      <c r="E1329" s="226"/>
      <c r="G1329" s="224" t="s">
        <v>13</v>
      </c>
      <c r="H1329" s="224" t="s">
        <v>289</v>
      </c>
      <c r="I1329" s="224" t="s">
        <v>31</v>
      </c>
      <c r="J1329" s="224">
        <v>70</v>
      </c>
      <c r="K1329" s="227">
        <f t="array" ref="K1329">IFERROR(INDEX([1]Grille_Tarifs_Modulable!$B$2:$B$204,MATCH(Tableau14[[#This Row],[Designation]]&amp;Tableau14[[#This Row],[CL]],[1]Grille_Tarifs_Modulable!$C$2:$C$204&amp;[1]Grille_Tarifs_Modulable!$F$2:$F$204,0)),0)</f>
        <v>3257150102017</v>
      </c>
      <c r="L1329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16.854322</v>
      </c>
      <c r="M1329" s="228">
        <f>IF(Tableau14[[#This Row],[Prix_Unit_HT]]=0,0,Tableau14[[#This Row],[Prix_Unit_HT]]+(Tableau14[[#This Row],[Prix_Unit_HT]]*VLOOKUP(Tableau14[[#This Row],[EAN]],[1]Grille_Tarifs_Modulable!$B$10:$Q$204,16,FALSE)))</f>
        <v>20.225186399999998</v>
      </c>
      <c r="N1329" s="224">
        <v>6</v>
      </c>
      <c r="O1329" s="228">
        <f>ROUND(Tableau14[[#This Row],[Prix_Unit_HT]],2)*Tableau14[[#This Row],[Qte_commande]]</f>
        <v>101.10000000000001</v>
      </c>
      <c r="P1329" s="228">
        <f>ROUND(Tableau14[[#This Row],[Prix_Unit_TTC]],2)*Tableau14[[#This Row],[Qte_commande]]</f>
        <v>121.38</v>
      </c>
      <c r="Q1329" s="224">
        <v>6</v>
      </c>
      <c r="R1329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6.0000000000000009</v>
      </c>
      <c r="U1329" s="224"/>
      <c r="V1329" s="224"/>
    </row>
    <row r="1330" spans="1:22" ht="14.65" customHeight="1" x14ac:dyDescent="0.2">
      <c r="A1330" s="225">
        <v>43453</v>
      </c>
      <c r="B1330" s="224" t="s">
        <v>415</v>
      </c>
      <c r="C1330" s="224" t="s">
        <v>320</v>
      </c>
      <c r="D1330" s="224" t="s">
        <v>270</v>
      </c>
      <c r="E1330" s="226"/>
      <c r="G1330" s="224" t="s">
        <v>1</v>
      </c>
      <c r="H1330" s="224" t="s">
        <v>289</v>
      </c>
      <c r="I1330" s="224" t="s">
        <v>35</v>
      </c>
      <c r="J1330" s="224">
        <v>70</v>
      </c>
      <c r="K1330" s="227">
        <f t="array" ref="K1330">IFERROR(INDEX([1]Grille_Tarifs_Modulable!$B$2:$B$204,MATCH(Tableau14[[#This Row],[Designation]]&amp;Tableau14[[#This Row],[CL]],[1]Grille_Tarifs_Modulable!$C$2:$C$204&amp;[1]Grille_Tarifs_Modulable!$F$2:$F$204,0)),0)</f>
        <v>3257150107012</v>
      </c>
      <c r="L1330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29.828643999999997</v>
      </c>
      <c r="M1330" s="228">
        <f>IF(Tableau14[[#This Row],[Prix_Unit_HT]]=0,0,Tableau14[[#This Row],[Prix_Unit_HT]]+(Tableau14[[#This Row],[Prix_Unit_HT]]*VLOOKUP(Tableau14[[#This Row],[EAN]],[1]Grille_Tarifs_Modulable!$B$10:$Q$204,16,FALSE)))</f>
        <v>35.794372799999998</v>
      </c>
      <c r="N1330" s="224">
        <v>12</v>
      </c>
      <c r="O1330" s="228">
        <f>ROUND(Tableau14[[#This Row],[Prix_Unit_HT]],2)*Tableau14[[#This Row],[Qte_commande]]</f>
        <v>357.96</v>
      </c>
      <c r="P1330" s="228">
        <f>ROUND(Tableau14[[#This Row],[Prix_Unit_TTC]],2)*Tableau14[[#This Row],[Qte_commande]]</f>
        <v>429.48</v>
      </c>
      <c r="Q1330" s="224">
        <v>12</v>
      </c>
      <c r="R1330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12.000000000000002</v>
      </c>
      <c r="U1330" s="224"/>
      <c r="V1330" s="224"/>
    </row>
    <row r="1331" spans="1:22" ht="14.65" customHeight="1" x14ac:dyDescent="0.2">
      <c r="A1331" s="225">
        <v>43453</v>
      </c>
      <c r="B1331" s="224" t="s">
        <v>415</v>
      </c>
      <c r="C1331" s="224" t="s">
        <v>320</v>
      </c>
      <c r="D1331" s="224" t="s">
        <v>270</v>
      </c>
      <c r="E1331" s="226"/>
      <c r="G1331" s="224" t="s">
        <v>1</v>
      </c>
      <c r="H1331" s="224" t="s">
        <v>289</v>
      </c>
      <c r="I1331" s="224" t="s">
        <v>30</v>
      </c>
      <c r="J1331" s="224">
        <v>70</v>
      </c>
      <c r="K1331" s="227">
        <f t="array" ref="K1331">IFERROR(INDEX([1]Grille_Tarifs_Modulable!$B$2:$B$204,MATCH(Tableau14[[#This Row],[Designation]]&amp;Tableau14[[#This Row],[CL]],[1]Grille_Tarifs_Modulable!$C$2:$C$204&amp;[1]Grille_Tarifs_Modulable!$F$2:$F$204,0)),0)</f>
        <v>3257150101904</v>
      </c>
      <c r="L1331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16.346482999999999</v>
      </c>
      <c r="M1331" s="228">
        <f>IF(Tableau14[[#This Row],[Prix_Unit_HT]]=0,0,Tableau14[[#This Row],[Prix_Unit_HT]]+(Tableau14[[#This Row],[Prix_Unit_HT]]*VLOOKUP(Tableau14[[#This Row],[EAN]],[1]Grille_Tarifs_Modulable!$B$10:$Q$204,16,FALSE)))</f>
        <v>19.6157796</v>
      </c>
      <c r="N1331" s="224">
        <v>6</v>
      </c>
      <c r="O1331" s="228">
        <f>ROUND(Tableau14[[#This Row],[Prix_Unit_HT]],2)*Tableau14[[#This Row],[Qte_commande]]</f>
        <v>98.100000000000009</v>
      </c>
      <c r="P1331" s="228">
        <f>ROUND(Tableau14[[#This Row],[Prix_Unit_TTC]],2)*Tableau14[[#This Row],[Qte_commande]]</f>
        <v>117.72</v>
      </c>
      <c r="Q1331" s="224">
        <v>6</v>
      </c>
      <c r="R1331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6.0000000000000009</v>
      </c>
      <c r="U1331" s="224"/>
      <c r="V1331" s="224"/>
    </row>
    <row r="1332" spans="1:22" ht="14.65" customHeight="1" x14ac:dyDescent="0.2">
      <c r="A1332" s="225">
        <v>43453</v>
      </c>
      <c r="B1332" s="224" t="s">
        <v>415</v>
      </c>
      <c r="C1332" s="224" t="s">
        <v>320</v>
      </c>
      <c r="D1332" s="224" t="s">
        <v>270</v>
      </c>
      <c r="E1332" s="226"/>
      <c r="G1332" s="224" t="s">
        <v>1</v>
      </c>
      <c r="H1332" s="224" t="s">
        <v>289</v>
      </c>
      <c r="I1332" s="224" t="s">
        <v>32</v>
      </c>
      <c r="J1332" s="224">
        <v>70</v>
      </c>
      <c r="K1332" s="227">
        <f t="array" ref="K1332">IFERROR(INDEX([1]Grille_Tarifs_Modulable!$B$2:$B$204,MATCH(Tableau14[[#This Row],[Designation]]&amp;Tableau14[[#This Row],[CL]],[1]Grille_Tarifs_Modulable!$C$2:$C$204&amp;[1]Grille_Tarifs_Modulable!$F$2:$F$204,0)),0)</f>
        <v>3257150100228</v>
      </c>
      <c r="L1332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19.998643999999999</v>
      </c>
      <c r="M1332" s="228">
        <f>IF(Tableau14[[#This Row],[Prix_Unit_HT]]=0,0,Tableau14[[#This Row],[Prix_Unit_HT]]+(Tableau14[[#This Row],[Prix_Unit_HT]]*VLOOKUP(Tableau14[[#This Row],[EAN]],[1]Grille_Tarifs_Modulable!$B$10:$Q$204,16,FALSE)))</f>
        <v>23.998372799999999</v>
      </c>
      <c r="N1332" s="224">
        <v>18</v>
      </c>
      <c r="O1332" s="228">
        <f>ROUND(Tableau14[[#This Row],[Prix_Unit_HT]],2)*Tableau14[[#This Row],[Qte_commande]]</f>
        <v>360</v>
      </c>
      <c r="P1332" s="228">
        <f>ROUND(Tableau14[[#This Row],[Prix_Unit_TTC]],2)*Tableau14[[#This Row],[Qte_commande]]</f>
        <v>432</v>
      </c>
      <c r="Q1332" s="224">
        <v>18</v>
      </c>
      <c r="R1332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18</v>
      </c>
      <c r="U1332" s="224"/>
      <c r="V1332" s="224"/>
    </row>
    <row r="1333" spans="1:22" ht="14.65" customHeight="1" x14ac:dyDescent="0.2">
      <c r="A1333" s="225">
        <v>43453</v>
      </c>
      <c r="B1333" s="224" t="s">
        <v>415</v>
      </c>
      <c r="C1333" s="224" t="s">
        <v>320</v>
      </c>
      <c r="D1333" s="224" t="s">
        <v>270</v>
      </c>
      <c r="E1333" s="226"/>
      <c r="G1333" s="224" t="s">
        <v>1</v>
      </c>
      <c r="H1333" s="224" t="s">
        <v>289</v>
      </c>
      <c r="I1333" s="224" t="s">
        <v>31</v>
      </c>
      <c r="J1333" s="224">
        <v>70</v>
      </c>
      <c r="K1333" s="227">
        <f t="array" ref="K1333">IFERROR(INDEX([1]Grille_Tarifs_Modulable!$B$2:$B$204,MATCH(Tableau14[[#This Row],[Designation]]&amp;Tableau14[[#This Row],[CL]],[1]Grille_Tarifs_Modulable!$C$2:$C$204&amp;[1]Grille_Tarifs_Modulable!$F$2:$F$204,0)),0)</f>
        <v>3257150102017</v>
      </c>
      <c r="L1333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14.694322</v>
      </c>
      <c r="M1333" s="228">
        <f>IF(Tableau14[[#This Row],[Prix_Unit_HT]]=0,0,Tableau14[[#This Row],[Prix_Unit_HT]]+(Tableau14[[#This Row],[Prix_Unit_HT]]*VLOOKUP(Tableau14[[#This Row],[EAN]],[1]Grille_Tarifs_Modulable!$B$10:$Q$204,16,FALSE)))</f>
        <v>17.6331864</v>
      </c>
      <c r="N1333" s="224">
        <v>12</v>
      </c>
      <c r="O1333" s="228">
        <f>ROUND(Tableau14[[#This Row],[Prix_Unit_HT]],2)*Tableau14[[#This Row],[Qte_commande]]</f>
        <v>176.28</v>
      </c>
      <c r="P1333" s="228">
        <f>ROUND(Tableau14[[#This Row],[Prix_Unit_TTC]],2)*Tableau14[[#This Row],[Qte_commande]]</f>
        <v>211.56</v>
      </c>
      <c r="Q1333" s="224">
        <v>12</v>
      </c>
      <c r="R1333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12.000000000000002</v>
      </c>
      <c r="U1333" s="224"/>
      <c r="V1333" s="224"/>
    </row>
    <row r="1334" spans="1:22" ht="14.65" customHeight="1" x14ac:dyDescent="0.2">
      <c r="A1334" s="225">
        <v>43453</v>
      </c>
      <c r="B1334" s="224" t="s">
        <v>415</v>
      </c>
      <c r="C1334" s="224" t="s">
        <v>320</v>
      </c>
      <c r="D1334" s="224" t="s">
        <v>270</v>
      </c>
      <c r="E1334" s="226"/>
      <c r="G1334" s="224"/>
      <c r="H1334" s="224"/>
      <c r="I1334" s="224" t="s">
        <v>1348</v>
      </c>
      <c r="J1334" s="228" t="s">
        <v>448</v>
      </c>
      <c r="K1334" s="227">
        <f t="array" ref="K1334">IFERROR(INDEX([1]Grille_Tarifs_Modulable!$B$2:$B$204,MATCH(Tableau14[[#This Row],[Designation]]&amp;Tableau14[[#This Row],[CL]],[1]Grille_Tarifs_Modulable!$C$2:$C$204&amp;[1]Grille_Tarifs_Modulable!$F$2:$F$204,0)),0)</f>
        <v>0</v>
      </c>
      <c r="L1334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</v>
      </c>
      <c r="M1334" s="228">
        <f>IF(Tableau14[[#This Row],[Prix_Unit_HT]]=0,0,Tableau14[[#This Row],[Prix_Unit_HT]]+(Tableau14[[#This Row],[Prix_Unit_HT]]*VLOOKUP(Tableau14[[#This Row],[EAN]],[1]Grille_Tarifs_Modulable!$B$10:$Q$204,16,FALSE)))</f>
        <v>0</v>
      </c>
      <c r="N1334" s="224">
        <v>1</v>
      </c>
      <c r="O1334" s="228">
        <f>ROUND(Tableau14[[#This Row],[Prix_Unit_HT]],2)*Tableau14[[#This Row],[Qte_commande]]</f>
        <v>0</v>
      </c>
      <c r="P1334" s="228">
        <f>ROUND(Tableau14[[#This Row],[Prix_Unit_TTC]],2)*Tableau14[[#This Row],[Qte_commande]]</f>
        <v>0</v>
      </c>
      <c r="Q1334" s="224">
        <v>1</v>
      </c>
      <c r="R1334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0</v>
      </c>
      <c r="U1334" s="224"/>
      <c r="V1334" s="224"/>
    </row>
    <row r="1335" spans="1:22" ht="14.65" customHeight="1" x14ac:dyDescent="0.2">
      <c r="A1335" s="225">
        <v>43465</v>
      </c>
      <c r="B1335" s="224" t="s">
        <v>1222</v>
      </c>
      <c r="C1335" s="224" t="s">
        <v>412</v>
      </c>
      <c r="D1335" s="224" t="s">
        <v>413</v>
      </c>
      <c r="E1335" s="226"/>
      <c r="G1335" s="224" t="s">
        <v>13</v>
      </c>
      <c r="H1335" s="224" t="s">
        <v>451</v>
      </c>
      <c r="I1335" s="224" t="s">
        <v>69</v>
      </c>
      <c r="J1335" s="227">
        <v>3</v>
      </c>
      <c r="K1335" s="227">
        <f t="array" ref="K1335">IFERROR(INDEX([1]Grille_Tarifs_Modulable!$B$2:$B$204,MATCH(Tableau14[[#This Row],[Designation]]&amp;Tableau14[[#This Row],[CL]],[1]Grille_Tarifs_Modulable!$C$2:$C$204&amp;[1]Grille_Tarifs_Modulable!$F$2:$F$204,0)),0)</f>
        <v>121</v>
      </c>
      <c r="L1335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299</v>
      </c>
      <c r="M1335" s="228">
        <f>IF(Tableau14[[#This Row],[Prix_Unit_HT]]=0,0,Tableau14[[#This Row],[Prix_Unit_HT]]+(Tableau14[[#This Row],[Prix_Unit_HT]]*VLOOKUP(Tableau14[[#This Row],[EAN]],[1]Grille_Tarifs_Modulable!$B$10:$Q$204,16,FALSE)))</f>
        <v>358.8</v>
      </c>
      <c r="N1335" s="224">
        <v>1</v>
      </c>
      <c r="O1335" s="228">
        <f>ROUND(Tableau14[[#This Row],[Prix_Unit_HT]],2)*Tableau14[[#This Row],[Qte_commande]]</f>
        <v>299</v>
      </c>
      <c r="P1335" s="228">
        <f>ROUND(Tableau14[[#This Row],[Prix_Unit_TTC]],2)*Tableau14[[#This Row],[Qte_commande]]</f>
        <v>358.8</v>
      </c>
      <c r="Q1335" s="224">
        <v>1</v>
      </c>
      <c r="R1335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</v>
      </c>
      <c r="U1335" s="224"/>
      <c r="V1335" s="224"/>
    </row>
    <row r="1336" spans="1:22" ht="14.65" customHeight="1" x14ac:dyDescent="0.2">
      <c r="A1336" s="225">
        <v>43465</v>
      </c>
      <c r="B1336" s="224" t="s">
        <v>1223</v>
      </c>
      <c r="C1336" s="224" t="s">
        <v>272</v>
      </c>
      <c r="D1336" s="224" t="s">
        <v>180</v>
      </c>
      <c r="E1336" s="226"/>
      <c r="G1336" s="224" t="s">
        <v>13</v>
      </c>
      <c r="H1336" s="224" t="s">
        <v>451</v>
      </c>
      <c r="I1336" s="224" t="s">
        <v>69</v>
      </c>
      <c r="J1336" s="227">
        <v>3</v>
      </c>
      <c r="K1336" s="227">
        <f t="array" ref="K1336">IFERROR(INDEX([1]Grille_Tarifs_Modulable!$B$2:$B$204,MATCH(Tableau14[[#This Row],[Designation]]&amp;Tableau14[[#This Row],[CL]],[1]Grille_Tarifs_Modulable!$C$2:$C$204&amp;[1]Grille_Tarifs_Modulable!$F$2:$F$204,0)),0)</f>
        <v>121</v>
      </c>
      <c r="L1336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299</v>
      </c>
      <c r="M1336" s="228">
        <f>IF(Tableau14[[#This Row],[Prix_Unit_HT]]=0,0,Tableau14[[#This Row],[Prix_Unit_HT]]+(Tableau14[[#This Row],[Prix_Unit_HT]]*VLOOKUP(Tableau14[[#This Row],[EAN]],[1]Grille_Tarifs_Modulable!$B$10:$Q$204,16,FALSE)))</f>
        <v>358.8</v>
      </c>
      <c r="N1336" s="224">
        <v>1</v>
      </c>
      <c r="O1336" s="228">
        <f>ROUND(Tableau14[[#This Row],[Prix_Unit_HT]],2)*Tableau14[[#This Row],[Qte_commande]]</f>
        <v>299</v>
      </c>
      <c r="P1336" s="228">
        <f>ROUND(Tableau14[[#This Row],[Prix_Unit_TTC]],2)*Tableau14[[#This Row],[Qte_commande]]</f>
        <v>358.8</v>
      </c>
      <c r="Q1336" s="224">
        <v>1</v>
      </c>
      <c r="R1336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</v>
      </c>
      <c r="U1336" s="224"/>
      <c r="V1336" s="224"/>
    </row>
    <row r="1337" spans="1:22" ht="14.65" customHeight="1" x14ac:dyDescent="0.2">
      <c r="A1337" s="225">
        <v>43465</v>
      </c>
      <c r="B1337" s="224" t="s">
        <v>1224</v>
      </c>
      <c r="C1337" s="224" t="s">
        <v>542</v>
      </c>
      <c r="D1337" s="224" t="s">
        <v>209</v>
      </c>
      <c r="E1337" s="226"/>
      <c r="G1337" s="224" t="s">
        <v>13</v>
      </c>
      <c r="H1337" s="224" t="s">
        <v>451</v>
      </c>
      <c r="I1337" s="224" t="s">
        <v>69</v>
      </c>
      <c r="J1337" s="227">
        <v>3</v>
      </c>
      <c r="K1337" s="227">
        <f t="array" ref="K1337">IFERROR(INDEX([1]Grille_Tarifs_Modulable!$B$2:$B$204,MATCH(Tableau14[[#This Row],[Designation]]&amp;Tableau14[[#This Row],[CL]],[1]Grille_Tarifs_Modulable!$C$2:$C$204&amp;[1]Grille_Tarifs_Modulable!$F$2:$F$204,0)),0)</f>
        <v>121</v>
      </c>
      <c r="L1337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299</v>
      </c>
      <c r="M1337" s="228">
        <f>IF(Tableau14[[#This Row],[Prix_Unit_HT]]=0,0,Tableau14[[#This Row],[Prix_Unit_HT]]+(Tableau14[[#This Row],[Prix_Unit_HT]]*VLOOKUP(Tableau14[[#This Row],[EAN]],[1]Grille_Tarifs_Modulable!$B$10:$Q$204,16,FALSE)))</f>
        <v>358.8</v>
      </c>
      <c r="N1337" s="224">
        <v>1</v>
      </c>
      <c r="O1337" s="228">
        <f>ROUND(Tableau14[[#This Row],[Prix_Unit_HT]],2)*Tableau14[[#This Row],[Qte_commande]]</f>
        <v>299</v>
      </c>
      <c r="P1337" s="228">
        <f>ROUND(Tableau14[[#This Row],[Prix_Unit_TTC]],2)*Tableau14[[#This Row],[Qte_commande]]</f>
        <v>358.8</v>
      </c>
      <c r="Q1337" s="224">
        <v>1</v>
      </c>
      <c r="R1337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</v>
      </c>
      <c r="U1337" s="224"/>
      <c r="V1337" s="224"/>
    </row>
    <row r="1338" spans="1:22" ht="14.65" customHeight="1" x14ac:dyDescent="0.2">
      <c r="A1338" s="225">
        <v>43467</v>
      </c>
      <c r="B1338" s="224" t="s">
        <v>728</v>
      </c>
      <c r="C1338" s="224" t="s">
        <v>305</v>
      </c>
      <c r="D1338" s="224" t="s">
        <v>180</v>
      </c>
      <c r="E1338" s="226"/>
      <c r="G1338" s="224" t="s">
        <v>1</v>
      </c>
      <c r="H1338" s="224" t="s">
        <v>289</v>
      </c>
      <c r="I1338" s="224" t="s">
        <v>15</v>
      </c>
      <c r="J1338" s="224">
        <v>70</v>
      </c>
      <c r="K1338" s="227">
        <f t="array" ref="K1338">IFERROR(INDEX([1]Grille_Tarifs_Modulable!$B$2:$B$204,MATCH(Tableau14[[#This Row],[Designation]]&amp;Tableau14[[#This Row],[CL]],[1]Grille_Tarifs_Modulable!$C$2:$C$204&amp;[1]Grille_Tarifs_Modulable!$F$2:$F$204,0)),0)</f>
        <v>4067700013859</v>
      </c>
      <c r="L1338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12.532563499999998</v>
      </c>
      <c r="M1338" s="228">
        <f>IF(Tableau14[[#This Row],[Prix_Unit_HT]]=0,0,Tableau14[[#This Row],[Prix_Unit_HT]]+(Tableau14[[#This Row],[Prix_Unit_HT]]*VLOOKUP(Tableau14[[#This Row],[EAN]],[1]Grille_Tarifs_Modulable!$B$10:$Q$204,16,FALSE)))</f>
        <v>15.039076199999998</v>
      </c>
      <c r="N1338" s="224">
        <v>18</v>
      </c>
      <c r="O1338" s="228">
        <f>ROUND(Tableau14[[#This Row],[Prix_Unit_HT]],2)*Tableau14[[#This Row],[Qte_commande]]</f>
        <v>225.54</v>
      </c>
      <c r="P1338" s="228">
        <f>ROUND(Tableau14[[#This Row],[Prix_Unit_TTC]],2)*Tableau14[[#This Row],[Qte_commande]]</f>
        <v>270.71999999999997</v>
      </c>
      <c r="Q1338" s="224">
        <v>18</v>
      </c>
      <c r="R1338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18</v>
      </c>
      <c r="U1338" s="224"/>
      <c r="V1338" s="224"/>
    </row>
    <row r="1339" spans="1:22" ht="14.65" customHeight="1" x14ac:dyDescent="0.2">
      <c r="A1339" s="225">
        <v>43467</v>
      </c>
      <c r="B1339" s="224" t="s">
        <v>728</v>
      </c>
      <c r="C1339" s="224" t="s">
        <v>305</v>
      </c>
      <c r="D1339" s="224" t="s">
        <v>180</v>
      </c>
      <c r="E1339" s="226"/>
      <c r="G1339" s="224" t="s">
        <v>1</v>
      </c>
      <c r="H1339" s="224" t="s">
        <v>289</v>
      </c>
      <c r="I1339" s="224" t="s">
        <v>15</v>
      </c>
      <c r="J1339" s="224">
        <v>100</v>
      </c>
      <c r="K1339" s="227">
        <f t="array" ref="K1339">IFERROR(INDEX([1]Grille_Tarifs_Modulable!$B$2:$B$204,MATCH(Tableau14[[#This Row],[Designation]]&amp;Tableau14[[#This Row],[CL]],[1]Grille_Tarifs_Modulable!$C$2:$C$204&amp;[1]Grille_Tarifs_Modulable!$F$2:$F$204,0)),0)</f>
        <v>4067700013842</v>
      </c>
      <c r="L1339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17.100804999999998</v>
      </c>
      <c r="M1339" s="228">
        <f>IF(Tableau14[[#This Row],[Prix_Unit_HT]]=0,0,Tableau14[[#This Row],[Prix_Unit_HT]]+(Tableau14[[#This Row],[Prix_Unit_HT]]*VLOOKUP(Tableau14[[#This Row],[EAN]],[1]Grille_Tarifs_Modulable!$B$10:$Q$204,16,FALSE)))</f>
        <v>20.520965999999998</v>
      </c>
      <c r="N1339" s="224">
        <v>120</v>
      </c>
      <c r="O1339" s="228">
        <f>ROUND(Tableau14[[#This Row],[Prix_Unit_HT]],2)*Tableau14[[#This Row],[Qte_commande]]</f>
        <v>2052</v>
      </c>
      <c r="P1339" s="228">
        <f>ROUND(Tableau14[[#This Row],[Prix_Unit_TTC]],2)*Tableau14[[#This Row],[Qte_commande]]</f>
        <v>2462.4</v>
      </c>
      <c r="Q1339" s="224">
        <v>171.43</v>
      </c>
      <c r="R1339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171.42857142857144</v>
      </c>
      <c r="U1339" s="224"/>
      <c r="V1339" s="224"/>
    </row>
    <row r="1340" spans="1:22" ht="14.65" customHeight="1" x14ac:dyDescent="0.2">
      <c r="A1340" s="225">
        <v>43467</v>
      </c>
      <c r="B1340" s="224" t="s">
        <v>728</v>
      </c>
      <c r="C1340" s="224" t="s">
        <v>305</v>
      </c>
      <c r="D1340" s="224" t="s">
        <v>180</v>
      </c>
      <c r="E1340" s="226"/>
      <c r="G1340" s="224" t="s">
        <v>1</v>
      </c>
      <c r="H1340" s="224" t="s">
        <v>289</v>
      </c>
      <c r="I1340" s="224" t="s">
        <v>30</v>
      </c>
      <c r="J1340" s="224">
        <v>70</v>
      </c>
      <c r="K1340" s="227">
        <f t="array" ref="K1340">IFERROR(INDEX([1]Grille_Tarifs_Modulable!$B$2:$B$204,MATCH(Tableau14[[#This Row],[Designation]]&amp;Tableau14[[#This Row],[CL]],[1]Grille_Tarifs_Modulable!$C$2:$C$204&amp;[1]Grille_Tarifs_Modulable!$F$2:$F$204,0)),0)</f>
        <v>3257150101904</v>
      </c>
      <c r="L1340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16.346482999999999</v>
      </c>
      <c r="M1340" s="228">
        <f>IF(Tableau14[[#This Row],[Prix_Unit_HT]]=0,0,Tableau14[[#This Row],[Prix_Unit_HT]]+(Tableau14[[#This Row],[Prix_Unit_HT]]*VLOOKUP(Tableau14[[#This Row],[EAN]],[1]Grille_Tarifs_Modulable!$B$10:$Q$204,16,FALSE)))</f>
        <v>19.6157796</v>
      </c>
      <c r="N1340" s="224">
        <v>18</v>
      </c>
      <c r="O1340" s="228">
        <f>ROUND(Tableau14[[#This Row],[Prix_Unit_HT]],2)*Tableau14[[#This Row],[Qte_commande]]</f>
        <v>294.3</v>
      </c>
      <c r="P1340" s="228">
        <f>ROUND(Tableau14[[#This Row],[Prix_Unit_TTC]],2)*Tableau14[[#This Row],[Qte_commande]]</f>
        <v>353.16</v>
      </c>
      <c r="Q1340" s="224">
        <v>18</v>
      </c>
      <c r="R1340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18</v>
      </c>
      <c r="U1340" s="224"/>
      <c r="V1340" s="224"/>
    </row>
    <row r="1341" spans="1:22" ht="14.65" customHeight="1" x14ac:dyDescent="0.2">
      <c r="A1341" s="225">
        <v>43467</v>
      </c>
      <c r="B1341" s="224" t="s">
        <v>728</v>
      </c>
      <c r="C1341" s="224" t="s">
        <v>305</v>
      </c>
      <c r="D1341" s="224" t="s">
        <v>180</v>
      </c>
      <c r="E1341" s="226"/>
      <c r="G1341" s="224" t="s">
        <v>1</v>
      </c>
      <c r="H1341" s="224" t="s">
        <v>289</v>
      </c>
      <c r="I1341" s="224" t="s">
        <v>30</v>
      </c>
      <c r="J1341" s="224">
        <v>70</v>
      </c>
      <c r="K1341" s="227">
        <f t="array" ref="K1341">IFERROR(INDEX([1]Grille_Tarifs_Modulable!$B$2:$B$204,MATCH(Tableau14[[#This Row],[Designation]]&amp;Tableau14[[#This Row],[CL]],[1]Grille_Tarifs_Modulable!$C$2:$C$204&amp;[1]Grille_Tarifs_Modulable!$F$2:$F$204,0)),0)</f>
        <v>3257150101904</v>
      </c>
      <c r="L1341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16.346482999999999</v>
      </c>
      <c r="M1341" s="228">
        <f>IF(Tableau14[[#This Row],[Prix_Unit_HT]]=0,0,Tableau14[[#This Row],[Prix_Unit_HT]]+(Tableau14[[#This Row],[Prix_Unit_HT]]*VLOOKUP(Tableau14[[#This Row],[EAN]],[1]Grille_Tarifs_Modulable!$B$10:$Q$204,16,FALSE)))</f>
        <v>19.6157796</v>
      </c>
      <c r="N1341" s="224">
        <v>30</v>
      </c>
      <c r="O1341" s="228">
        <f>ROUND(Tableau14[[#This Row],[Prix_Unit_HT]],2)*Tableau14[[#This Row],[Qte_commande]]</f>
        <v>490.50000000000006</v>
      </c>
      <c r="P1341" s="228">
        <f>ROUND(Tableau14[[#This Row],[Prix_Unit_TTC]],2)*Tableau14[[#This Row],[Qte_commande]]</f>
        <v>588.6</v>
      </c>
      <c r="Q1341" s="224">
        <v>30</v>
      </c>
      <c r="R1341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30.000000000000004</v>
      </c>
      <c r="U1341" s="224"/>
      <c r="V1341" s="224"/>
    </row>
    <row r="1342" spans="1:22" ht="14.65" customHeight="1" x14ac:dyDescent="0.2">
      <c r="A1342" s="225">
        <v>43467</v>
      </c>
      <c r="B1342" s="224" t="s">
        <v>728</v>
      </c>
      <c r="C1342" s="224" t="s">
        <v>305</v>
      </c>
      <c r="D1342" s="224" t="s">
        <v>180</v>
      </c>
      <c r="E1342" s="226"/>
      <c r="G1342" s="224" t="s">
        <v>1</v>
      </c>
      <c r="H1342" s="224" t="s">
        <v>289</v>
      </c>
      <c r="I1342" s="224" t="s">
        <v>31</v>
      </c>
      <c r="J1342" s="224">
        <v>70</v>
      </c>
      <c r="K1342" s="227">
        <f t="array" ref="K1342">IFERROR(INDEX([1]Grille_Tarifs_Modulable!$B$2:$B$204,MATCH(Tableau14[[#This Row],[Designation]]&amp;Tableau14[[#This Row],[CL]],[1]Grille_Tarifs_Modulable!$C$2:$C$204&amp;[1]Grille_Tarifs_Modulable!$F$2:$F$204,0)),0)</f>
        <v>3257150102017</v>
      </c>
      <c r="L1342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14.694322</v>
      </c>
      <c r="M1342" s="228">
        <f>IF(Tableau14[[#This Row],[Prix_Unit_HT]]=0,0,Tableau14[[#This Row],[Prix_Unit_HT]]+(Tableau14[[#This Row],[Prix_Unit_HT]]*VLOOKUP(Tableau14[[#This Row],[EAN]],[1]Grille_Tarifs_Modulable!$B$10:$Q$204,16,FALSE)))</f>
        <v>17.6331864</v>
      </c>
      <c r="N1342" s="224">
        <v>12</v>
      </c>
      <c r="O1342" s="228">
        <f>ROUND(Tableau14[[#This Row],[Prix_Unit_HT]],2)*Tableau14[[#This Row],[Qte_commande]]</f>
        <v>176.28</v>
      </c>
      <c r="P1342" s="228">
        <f>ROUND(Tableau14[[#This Row],[Prix_Unit_TTC]],2)*Tableau14[[#This Row],[Qte_commande]]</f>
        <v>211.56</v>
      </c>
      <c r="Q1342" s="224">
        <v>12</v>
      </c>
      <c r="R1342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12.000000000000002</v>
      </c>
      <c r="U1342" s="224"/>
      <c r="V1342" s="224"/>
    </row>
    <row r="1343" spans="1:22" ht="14.65" customHeight="1" x14ac:dyDescent="0.2">
      <c r="A1343" s="225">
        <v>43467</v>
      </c>
      <c r="B1343" s="224" t="s">
        <v>1225</v>
      </c>
      <c r="C1343" s="224" t="s">
        <v>219</v>
      </c>
      <c r="D1343" s="224" t="s">
        <v>220</v>
      </c>
      <c r="E1343" s="226"/>
      <c r="G1343" s="224" t="s">
        <v>13</v>
      </c>
      <c r="H1343" s="224" t="s">
        <v>451</v>
      </c>
      <c r="I1343" s="224" t="s">
        <v>69</v>
      </c>
      <c r="J1343" s="227">
        <v>3</v>
      </c>
      <c r="K1343" s="227">
        <f t="array" ref="K1343">IFERROR(INDEX([1]Grille_Tarifs_Modulable!$B$2:$B$204,MATCH(Tableau14[[#This Row],[Designation]]&amp;Tableau14[[#This Row],[CL]],[1]Grille_Tarifs_Modulable!$C$2:$C$204&amp;[1]Grille_Tarifs_Modulable!$F$2:$F$204,0)),0)</f>
        <v>121</v>
      </c>
      <c r="L1343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299</v>
      </c>
      <c r="M1343" s="228">
        <f>IF(Tableau14[[#This Row],[Prix_Unit_HT]]=0,0,Tableau14[[#This Row],[Prix_Unit_HT]]+(Tableau14[[#This Row],[Prix_Unit_HT]]*VLOOKUP(Tableau14[[#This Row],[EAN]],[1]Grille_Tarifs_Modulable!$B$10:$Q$204,16,FALSE)))</f>
        <v>358.8</v>
      </c>
      <c r="N1343" s="224">
        <v>2</v>
      </c>
      <c r="O1343" s="228">
        <f>ROUND(Tableau14[[#This Row],[Prix_Unit_HT]],2)*Tableau14[[#This Row],[Qte_commande]]</f>
        <v>598</v>
      </c>
      <c r="P1343" s="228">
        <f>ROUND(Tableau14[[#This Row],[Prix_Unit_TTC]],2)*Tableau14[[#This Row],[Qte_commande]]</f>
        <v>717.6</v>
      </c>
      <c r="Q1343" s="224">
        <v>2</v>
      </c>
      <c r="R1343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2</v>
      </c>
      <c r="U1343" s="224"/>
      <c r="V1343" s="224"/>
    </row>
    <row r="1344" spans="1:22" ht="14.65" customHeight="1" x14ac:dyDescent="0.2">
      <c r="A1344" s="225">
        <v>43473</v>
      </c>
      <c r="B1344" s="224" t="s">
        <v>729</v>
      </c>
      <c r="C1344" s="224" t="s">
        <v>530</v>
      </c>
      <c r="D1344" s="224" t="s">
        <v>531</v>
      </c>
      <c r="E1344" s="226"/>
      <c r="G1344" s="224" t="s">
        <v>1</v>
      </c>
      <c r="H1344" s="224" t="s">
        <v>289</v>
      </c>
      <c r="I1344" s="224" t="s">
        <v>15</v>
      </c>
      <c r="J1344" s="224">
        <v>70</v>
      </c>
      <c r="K1344" s="227">
        <f t="array" ref="K1344">IFERROR(INDEX([1]Grille_Tarifs_Modulable!$B$2:$B$204,MATCH(Tableau14[[#This Row],[Designation]]&amp;Tableau14[[#This Row],[CL]],[1]Grille_Tarifs_Modulable!$C$2:$C$204&amp;[1]Grille_Tarifs_Modulable!$F$2:$F$204,0)),0)</f>
        <v>4067700013859</v>
      </c>
      <c r="L1344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12.532563499999998</v>
      </c>
      <c r="M1344" s="228">
        <f>IF(Tableau14[[#This Row],[Prix_Unit_HT]]=0,0,Tableau14[[#This Row],[Prix_Unit_HT]]+(Tableau14[[#This Row],[Prix_Unit_HT]]*VLOOKUP(Tableau14[[#This Row],[EAN]],[1]Grille_Tarifs_Modulable!$B$10:$Q$204,16,FALSE)))</f>
        <v>15.039076199999998</v>
      </c>
      <c r="N1344" s="224">
        <v>150</v>
      </c>
      <c r="O1344" s="228">
        <f>ROUND(Tableau14[[#This Row],[Prix_Unit_HT]],2)*Tableau14[[#This Row],[Qte_commande]]</f>
        <v>1879.5</v>
      </c>
      <c r="P1344" s="228">
        <f>ROUND(Tableau14[[#This Row],[Prix_Unit_TTC]],2)*Tableau14[[#This Row],[Qte_commande]]</f>
        <v>2256</v>
      </c>
      <c r="Q1344" s="224">
        <v>150</v>
      </c>
      <c r="R1344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150</v>
      </c>
      <c r="U1344" s="224"/>
      <c r="V1344" s="224"/>
    </row>
    <row r="1345" spans="1:22" ht="14.65" customHeight="1" x14ac:dyDescent="0.2">
      <c r="A1345" s="225">
        <v>43473</v>
      </c>
      <c r="B1345" s="224" t="s">
        <v>730</v>
      </c>
      <c r="C1345" s="224" t="s">
        <v>198</v>
      </c>
      <c r="D1345" s="224" t="s">
        <v>199</v>
      </c>
      <c r="E1345" s="226"/>
      <c r="G1345" s="224" t="s">
        <v>1</v>
      </c>
      <c r="H1345" s="224" t="s">
        <v>289</v>
      </c>
      <c r="I1345" s="224" t="s">
        <v>15</v>
      </c>
      <c r="J1345" s="224">
        <v>175</v>
      </c>
      <c r="K1345" s="227">
        <f t="array" ref="K1345">IFERROR(INDEX([1]Grille_Tarifs_Modulable!$B$2:$B$204,MATCH(Tableau14[[#This Row],[Designation]]&amp;Tableau14[[#This Row],[CL]],[1]Grille_Tarifs_Modulable!$C$2:$C$204&amp;[1]Grille_Tarifs_Modulable!$F$2:$F$204,0)),0)</f>
        <v>4067700013835</v>
      </c>
      <c r="L1345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28.916408750000002</v>
      </c>
      <c r="M1345" s="228">
        <f>IF(Tableau14[[#This Row],[Prix_Unit_HT]]=0,0,Tableau14[[#This Row],[Prix_Unit_HT]]+(Tableau14[[#This Row],[Prix_Unit_HT]]*VLOOKUP(Tableau14[[#This Row],[EAN]],[1]Grille_Tarifs_Modulable!$B$10:$Q$204,16,FALSE)))</f>
        <v>34.699690500000003</v>
      </c>
      <c r="N1345" s="224">
        <v>96</v>
      </c>
      <c r="O1345" s="228">
        <f>ROUND(Tableau14[[#This Row],[Prix_Unit_HT]],2)*Tableau14[[#This Row],[Qte_commande]]</f>
        <v>2776.32</v>
      </c>
      <c r="P1345" s="228">
        <f>ROUND(Tableau14[[#This Row],[Prix_Unit_TTC]],2)*Tableau14[[#This Row],[Qte_commande]]</f>
        <v>3331.2000000000003</v>
      </c>
      <c r="Q1345" s="224">
        <v>240</v>
      </c>
      <c r="R1345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240.00000000000003</v>
      </c>
      <c r="U1345" s="224"/>
      <c r="V1345" s="224"/>
    </row>
    <row r="1346" spans="1:22" ht="14.65" customHeight="1" x14ac:dyDescent="0.2">
      <c r="A1346" s="225">
        <v>43474</v>
      </c>
      <c r="B1346" s="224" t="s">
        <v>947</v>
      </c>
      <c r="C1346" s="224" t="s">
        <v>211</v>
      </c>
      <c r="D1346" s="224" t="s">
        <v>212</v>
      </c>
      <c r="E1346" s="226"/>
      <c r="G1346" s="224" t="s">
        <v>1</v>
      </c>
      <c r="H1346" s="224" t="s">
        <v>289</v>
      </c>
      <c r="I1346" s="224" t="s">
        <v>42</v>
      </c>
      <c r="J1346" s="224">
        <v>70</v>
      </c>
      <c r="K1346" s="227">
        <f t="array" ref="K1346">IFERROR(INDEX([1]Grille_Tarifs_Modulable!$B$2:$B$204,MATCH(Tableau14[[#This Row],[Designation]]&amp;Tableau14[[#This Row],[CL]],[1]Grille_Tarifs_Modulable!$C$2:$C$204&amp;[1]Grille_Tarifs_Modulable!$F$2:$F$204,0)),0)</f>
        <v>3257150688009</v>
      </c>
      <c r="L1346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12.556915199999999</v>
      </c>
      <c r="M1346" s="228">
        <f>IF(Tableau14[[#This Row],[Prix_Unit_HT]]=0,0,Tableau14[[#This Row],[Prix_Unit_HT]]+(Tableau14[[#This Row],[Prix_Unit_HT]]*VLOOKUP(Tableau14[[#This Row],[EAN]],[1]Grille_Tarifs_Modulable!$B$10:$Q$204,16,FALSE)))</f>
        <v>15.068298239999999</v>
      </c>
      <c r="N1346" s="224">
        <v>90</v>
      </c>
      <c r="O1346" s="228">
        <f>ROUND(Tableau14[[#This Row],[Prix_Unit_HT]],2)*Tableau14[[#This Row],[Qte_commande]]</f>
        <v>1130.4000000000001</v>
      </c>
      <c r="P1346" s="228">
        <f>ROUND(Tableau14[[#This Row],[Prix_Unit_TTC]],2)*Tableau14[[#This Row],[Qte_commande]]</f>
        <v>1356.3</v>
      </c>
      <c r="Q1346" s="224">
        <v>90</v>
      </c>
      <c r="R1346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90</v>
      </c>
      <c r="U1346" s="224"/>
      <c r="V1346" s="224"/>
    </row>
    <row r="1347" spans="1:22" ht="14.65" customHeight="1" x14ac:dyDescent="0.2">
      <c r="A1347" s="225">
        <v>43479</v>
      </c>
      <c r="B1347" s="224" t="s">
        <v>363</v>
      </c>
      <c r="C1347" s="224" t="s">
        <v>265</v>
      </c>
      <c r="D1347" s="224" t="s">
        <v>266</v>
      </c>
      <c r="E1347" s="226"/>
      <c r="G1347" s="224" t="s">
        <v>1</v>
      </c>
      <c r="H1347" s="224" t="s">
        <v>196</v>
      </c>
      <c r="I1347" s="224" t="s">
        <v>65</v>
      </c>
      <c r="J1347" s="224">
        <v>20</v>
      </c>
      <c r="K1347" s="227">
        <f t="array" ref="K1347">IFERROR(INDEX([1]Grille_Tarifs_Modulable!$B$2:$B$204,MATCH(Tableau14[[#This Row],[Designation]]&amp;Tableau14[[#This Row],[CL]],[1]Grille_Tarifs_Modulable!$C$2:$C$204&amp;[1]Grille_Tarifs_Modulable!$F$2:$F$204,0)),0)</f>
        <v>4260310553863</v>
      </c>
      <c r="L1347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0.81</v>
      </c>
      <c r="M1347" s="228">
        <f>IF(Tableau14[[#This Row],[Prix_Unit_HT]]=0,0,Tableau14[[#This Row],[Prix_Unit_HT]]+(Tableau14[[#This Row],[Prix_Unit_HT]]*VLOOKUP(Tableau14[[#This Row],[EAN]],[1]Grille_Tarifs_Modulable!$B$10:$Q$204,16,FALSE)))</f>
        <v>0.85455000000000003</v>
      </c>
      <c r="N1347" s="224">
        <v>120</v>
      </c>
      <c r="O1347" s="228">
        <f>ROUND(Tableau14[[#This Row],[Prix_Unit_HT]],2)*Tableau14[[#This Row],[Qte_commande]]</f>
        <v>97.2</v>
      </c>
      <c r="P1347" s="228">
        <f>ROUND(Tableau14[[#This Row],[Prix_Unit_TTC]],2)*Tableau14[[#This Row],[Qte_commande]]</f>
        <v>102</v>
      </c>
      <c r="Q1347" s="224">
        <v>34.29</v>
      </c>
      <c r="R1347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34.285714285714285</v>
      </c>
      <c r="U1347" s="224"/>
      <c r="V1347" s="224"/>
    </row>
    <row r="1348" spans="1:22" ht="14.65" customHeight="1" x14ac:dyDescent="0.2">
      <c r="A1348" s="225">
        <v>43479</v>
      </c>
      <c r="B1348" s="224" t="s">
        <v>363</v>
      </c>
      <c r="C1348" s="224" t="s">
        <v>265</v>
      </c>
      <c r="D1348" s="224" t="s">
        <v>266</v>
      </c>
      <c r="E1348" s="226"/>
      <c r="G1348" s="224" t="s">
        <v>1</v>
      </c>
      <c r="H1348" s="224" t="s">
        <v>289</v>
      </c>
      <c r="I1348" s="224" t="s">
        <v>15</v>
      </c>
      <c r="J1348" s="224">
        <v>70</v>
      </c>
      <c r="K1348" s="227">
        <f t="array" ref="K1348">IFERROR(INDEX([1]Grille_Tarifs_Modulable!$B$2:$B$204,MATCH(Tableau14[[#This Row],[Designation]]&amp;Tableau14[[#This Row],[CL]],[1]Grille_Tarifs_Modulable!$C$2:$C$204&amp;[1]Grille_Tarifs_Modulable!$F$2:$F$204,0)),0)</f>
        <v>4067700013859</v>
      </c>
      <c r="L1348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12.532563499999998</v>
      </c>
      <c r="M1348" s="228">
        <f>IF(Tableau14[[#This Row],[Prix_Unit_HT]]=0,0,Tableau14[[#This Row],[Prix_Unit_HT]]+(Tableau14[[#This Row],[Prix_Unit_HT]]*VLOOKUP(Tableau14[[#This Row],[EAN]],[1]Grille_Tarifs_Modulable!$B$10:$Q$204,16,FALSE)))</f>
        <v>15.039076199999998</v>
      </c>
      <c r="N1348" s="224">
        <v>168</v>
      </c>
      <c r="O1348" s="228">
        <f>ROUND(Tableau14[[#This Row],[Prix_Unit_HT]],2)*Tableau14[[#This Row],[Qte_commande]]</f>
        <v>2105.04</v>
      </c>
      <c r="P1348" s="228">
        <f>ROUND(Tableau14[[#This Row],[Prix_Unit_TTC]],2)*Tableau14[[#This Row],[Qte_commande]]</f>
        <v>2526.7199999999998</v>
      </c>
      <c r="Q1348" s="224">
        <v>168</v>
      </c>
      <c r="R1348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168</v>
      </c>
      <c r="U1348" s="224"/>
      <c r="V1348" s="224"/>
    </row>
    <row r="1349" spans="1:22" ht="14.65" customHeight="1" x14ac:dyDescent="0.2">
      <c r="A1349" s="225">
        <v>43479</v>
      </c>
      <c r="B1349" s="224" t="s">
        <v>363</v>
      </c>
      <c r="C1349" s="224" t="s">
        <v>265</v>
      </c>
      <c r="D1349" s="224" t="s">
        <v>266</v>
      </c>
      <c r="E1349" s="226"/>
      <c r="G1349" s="224" t="s">
        <v>1</v>
      </c>
      <c r="H1349" s="224" t="s">
        <v>289</v>
      </c>
      <c r="I1349" s="224" t="s">
        <v>15</v>
      </c>
      <c r="J1349" s="224">
        <v>70</v>
      </c>
      <c r="K1349" s="227">
        <f t="array" ref="K1349">IFERROR(INDEX([1]Grille_Tarifs_Modulable!$B$2:$B$204,MATCH(Tableau14[[#This Row],[Designation]]&amp;Tableau14[[#This Row],[CL]],[1]Grille_Tarifs_Modulable!$C$2:$C$204&amp;[1]Grille_Tarifs_Modulable!$F$2:$F$204,0)),0)</f>
        <v>4067700013859</v>
      </c>
      <c r="L1349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12.532563499999998</v>
      </c>
      <c r="M1349" s="228">
        <f>IF(Tableau14[[#This Row],[Prix_Unit_HT]]=0,0,Tableau14[[#This Row],[Prix_Unit_HT]]+(Tableau14[[#This Row],[Prix_Unit_HT]]*VLOOKUP(Tableau14[[#This Row],[EAN]],[1]Grille_Tarifs_Modulable!$B$10:$Q$204,16,FALSE)))</f>
        <v>15.039076199999998</v>
      </c>
      <c r="N1349" s="224">
        <v>72</v>
      </c>
      <c r="O1349" s="228">
        <f>ROUND(Tableau14[[#This Row],[Prix_Unit_HT]],2)*Tableau14[[#This Row],[Qte_commande]]</f>
        <v>902.16</v>
      </c>
      <c r="P1349" s="228">
        <f>ROUND(Tableau14[[#This Row],[Prix_Unit_TTC]],2)*Tableau14[[#This Row],[Qte_commande]]</f>
        <v>1082.8799999999999</v>
      </c>
      <c r="Q1349" s="224">
        <v>72</v>
      </c>
      <c r="R1349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72</v>
      </c>
      <c r="U1349" s="224"/>
      <c r="V1349" s="224"/>
    </row>
    <row r="1350" spans="1:22" ht="14.65" customHeight="1" x14ac:dyDescent="0.2">
      <c r="A1350" s="225">
        <v>43479</v>
      </c>
      <c r="B1350" s="224" t="s">
        <v>363</v>
      </c>
      <c r="C1350" s="224" t="s">
        <v>265</v>
      </c>
      <c r="D1350" s="224" t="s">
        <v>266</v>
      </c>
      <c r="E1350" s="226"/>
      <c r="G1350" s="224" t="s">
        <v>1</v>
      </c>
      <c r="H1350" s="224" t="s">
        <v>196</v>
      </c>
      <c r="I1350" s="224" t="s">
        <v>64</v>
      </c>
      <c r="J1350" s="224">
        <v>20</v>
      </c>
      <c r="K1350" s="227">
        <f t="array" ref="K1350">IFERROR(INDEX([1]Grille_Tarifs_Modulable!$B$2:$B$204,MATCH(Tableau14[[#This Row],[Designation]]&amp;Tableau14[[#This Row],[CL]],[1]Grille_Tarifs_Modulable!$C$2:$C$204&amp;[1]Grille_Tarifs_Modulable!$F$2:$F$204,0)),0)</f>
        <v>4260310553849</v>
      </c>
      <c r="L1350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0.81</v>
      </c>
      <c r="M1350" s="228">
        <f>IF(Tableau14[[#This Row],[Prix_Unit_HT]]=0,0,Tableau14[[#This Row],[Prix_Unit_HT]]+(Tableau14[[#This Row],[Prix_Unit_HT]]*VLOOKUP(Tableau14[[#This Row],[EAN]],[1]Grille_Tarifs_Modulable!$B$10:$Q$204,16,FALSE)))</f>
        <v>0.85455000000000003</v>
      </c>
      <c r="N1350" s="224">
        <v>120</v>
      </c>
      <c r="O1350" s="228">
        <f>ROUND(Tableau14[[#This Row],[Prix_Unit_HT]],2)*Tableau14[[#This Row],[Qte_commande]]</f>
        <v>97.2</v>
      </c>
      <c r="P1350" s="228">
        <f>ROUND(Tableau14[[#This Row],[Prix_Unit_TTC]],2)*Tableau14[[#This Row],[Qte_commande]]</f>
        <v>102</v>
      </c>
      <c r="Q1350" s="224">
        <v>34.29</v>
      </c>
      <c r="R1350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34.285714285714285</v>
      </c>
      <c r="U1350" s="224"/>
      <c r="V1350" s="224"/>
    </row>
    <row r="1351" spans="1:22" ht="14.65" customHeight="1" x14ac:dyDescent="0.2">
      <c r="A1351" s="225">
        <v>43480</v>
      </c>
      <c r="B1351" s="224" t="s">
        <v>865</v>
      </c>
      <c r="C1351" s="224" t="s">
        <v>864</v>
      </c>
      <c r="D1351" s="224" t="s">
        <v>180</v>
      </c>
      <c r="E1351" s="226"/>
      <c r="G1351" s="224" t="s">
        <v>13</v>
      </c>
      <c r="H1351" s="224" t="s">
        <v>289</v>
      </c>
      <c r="I1351" s="224" t="s">
        <v>30</v>
      </c>
      <c r="J1351" s="224">
        <v>70</v>
      </c>
      <c r="K1351" s="227">
        <f t="array" ref="K1351">IFERROR(INDEX([1]Grille_Tarifs_Modulable!$B$2:$B$204,MATCH(Tableau14[[#This Row],[Designation]]&amp;Tableau14[[#This Row],[CL]],[1]Grille_Tarifs_Modulable!$C$2:$C$204&amp;[1]Grille_Tarifs_Modulable!$F$2:$F$204,0)),0)</f>
        <v>3257150101904</v>
      </c>
      <c r="L1351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18.506483000000003</v>
      </c>
      <c r="M1351" s="228">
        <f>IF(Tableau14[[#This Row],[Prix_Unit_HT]]=0,0,Tableau14[[#This Row],[Prix_Unit_HT]]+(Tableau14[[#This Row],[Prix_Unit_HT]]*VLOOKUP(Tableau14[[#This Row],[EAN]],[1]Grille_Tarifs_Modulable!$B$10:$Q$204,16,FALSE)))</f>
        <v>22.207779600000002</v>
      </c>
      <c r="N1351" s="224">
        <v>-12</v>
      </c>
      <c r="O1351" s="228">
        <f>ROUND(Tableau14[[#This Row],[Prix_Unit_HT]],2)*Tableau14[[#This Row],[Qte_commande]]</f>
        <v>-222.12</v>
      </c>
      <c r="P1351" s="228">
        <f>ROUND(Tableau14[[#This Row],[Prix_Unit_TTC]],2)*Tableau14[[#This Row],[Qte_commande]]</f>
        <v>-266.52</v>
      </c>
      <c r="Q1351" s="224">
        <v>-12</v>
      </c>
      <c r="R1351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-12.000000000000002</v>
      </c>
      <c r="U1351" s="224"/>
      <c r="V1351" s="224"/>
    </row>
    <row r="1352" spans="1:22" ht="14.65" customHeight="1" x14ac:dyDescent="0.2">
      <c r="A1352" s="225">
        <v>43480</v>
      </c>
      <c r="B1352" s="224" t="s">
        <v>865</v>
      </c>
      <c r="C1352" s="224" t="s">
        <v>864</v>
      </c>
      <c r="D1352" s="224" t="s">
        <v>180</v>
      </c>
      <c r="E1352" s="226"/>
      <c r="G1352" s="224" t="s">
        <v>13</v>
      </c>
      <c r="H1352" s="224" t="s">
        <v>289</v>
      </c>
      <c r="I1352" s="224" t="s">
        <v>34</v>
      </c>
      <c r="J1352" s="224">
        <v>70</v>
      </c>
      <c r="K1352" s="227">
        <f t="array" ref="K1352">IFERROR(INDEX([1]Grille_Tarifs_Modulable!$B$2:$B$204,MATCH(Tableau14[[#This Row],[Designation]]&amp;Tableau14[[#This Row],[CL]],[1]Grille_Tarifs_Modulable!$C$2:$C$204&amp;[1]Grille_Tarifs_Modulable!$F$2:$F$204,0)),0)</f>
        <v>3257150100167</v>
      </c>
      <c r="L1352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29.948644000000002</v>
      </c>
      <c r="M1352" s="228">
        <f>IF(Tableau14[[#This Row],[Prix_Unit_HT]]=0,0,Tableau14[[#This Row],[Prix_Unit_HT]]+(Tableau14[[#This Row],[Prix_Unit_HT]]*VLOOKUP(Tableau14[[#This Row],[EAN]],[1]Grille_Tarifs_Modulable!$B$10:$Q$204,16,FALSE)))</f>
        <v>35.938372800000003</v>
      </c>
      <c r="N1352" s="224">
        <v>-12</v>
      </c>
      <c r="O1352" s="228">
        <f>ROUND(Tableau14[[#This Row],[Prix_Unit_HT]],2)*Tableau14[[#This Row],[Qte_commande]]</f>
        <v>-359.4</v>
      </c>
      <c r="P1352" s="228">
        <f>ROUND(Tableau14[[#This Row],[Prix_Unit_TTC]],2)*Tableau14[[#This Row],[Qte_commande]]</f>
        <v>-431.28</v>
      </c>
      <c r="Q1352" s="224">
        <v>-12</v>
      </c>
      <c r="R1352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-12.000000000000002</v>
      </c>
      <c r="U1352" s="224"/>
      <c r="V1352" s="224"/>
    </row>
    <row r="1353" spans="1:22" ht="14.65" customHeight="1" x14ac:dyDescent="0.2">
      <c r="A1353" s="225">
        <v>43480</v>
      </c>
      <c r="B1353" s="224" t="s">
        <v>865</v>
      </c>
      <c r="C1353" s="224" t="s">
        <v>864</v>
      </c>
      <c r="D1353" s="224" t="s">
        <v>180</v>
      </c>
      <c r="E1353" s="226"/>
      <c r="G1353" s="224" t="s">
        <v>13</v>
      </c>
      <c r="H1353" s="224" t="s">
        <v>289</v>
      </c>
      <c r="I1353" s="224" t="s">
        <v>31</v>
      </c>
      <c r="J1353" s="224">
        <v>70</v>
      </c>
      <c r="K1353" s="227">
        <f t="array" ref="K1353">IFERROR(INDEX([1]Grille_Tarifs_Modulable!$B$2:$B$204,MATCH(Tableau14[[#This Row],[Designation]]&amp;Tableau14[[#This Row],[CL]],[1]Grille_Tarifs_Modulable!$C$2:$C$204&amp;[1]Grille_Tarifs_Modulable!$F$2:$F$204,0)),0)</f>
        <v>3257150102017</v>
      </c>
      <c r="L1353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16.854322</v>
      </c>
      <c r="M1353" s="228">
        <f>IF(Tableau14[[#This Row],[Prix_Unit_HT]]=0,0,Tableau14[[#This Row],[Prix_Unit_HT]]+(Tableau14[[#This Row],[Prix_Unit_HT]]*VLOOKUP(Tableau14[[#This Row],[EAN]],[1]Grille_Tarifs_Modulable!$B$10:$Q$204,16,FALSE)))</f>
        <v>20.225186399999998</v>
      </c>
      <c r="N1353" s="224">
        <v>-12</v>
      </c>
      <c r="O1353" s="228">
        <f>ROUND(Tableau14[[#This Row],[Prix_Unit_HT]],2)*Tableau14[[#This Row],[Qte_commande]]</f>
        <v>-202.20000000000002</v>
      </c>
      <c r="P1353" s="228">
        <f>ROUND(Tableau14[[#This Row],[Prix_Unit_TTC]],2)*Tableau14[[#This Row],[Qte_commande]]</f>
        <v>-242.76</v>
      </c>
      <c r="Q1353" s="224">
        <v>-12</v>
      </c>
      <c r="R1353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-12.000000000000002</v>
      </c>
      <c r="U1353" s="224"/>
      <c r="V1353" s="224"/>
    </row>
    <row r="1354" spans="1:22" ht="14.65" customHeight="1" x14ac:dyDescent="0.2">
      <c r="A1354" s="225">
        <v>43480</v>
      </c>
      <c r="B1354" s="224" t="s">
        <v>865</v>
      </c>
      <c r="C1354" s="224" t="s">
        <v>864</v>
      </c>
      <c r="D1354" s="224" t="s">
        <v>180</v>
      </c>
      <c r="E1354" s="226"/>
      <c r="G1354" s="224" t="s">
        <v>13</v>
      </c>
      <c r="H1354" s="224" t="s">
        <v>289</v>
      </c>
      <c r="I1354" s="224" t="s">
        <v>44</v>
      </c>
      <c r="J1354" s="224">
        <v>50</v>
      </c>
      <c r="K1354" s="227">
        <f t="array" ref="K1354">IFERROR(INDEX([1]Grille_Tarifs_Modulable!$B$2:$B$204,MATCH(Tableau14[[#This Row],[Designation]]&amp;Tableau14[[#This Row],[CL]],[1]Grille_Tarifs_Modulable!$C$2:$C$204&amp;[1]Grille_Tarifs_Modulable!$F$2:$F$204,0)),0)</f>
        <v>4260270192645</v>
      </c>
      <c r="L1354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28.052506000000001</v>
      </c>
      <c r="M1354" s="228">
        <f>IF(Tableau14[[#This Row],[Prix_Unit_HT]]=0,0,Tableau14[[#This Row],[Prix_Unit_HT]]+(Tableau14[[#This Row],[Prix_Unit_HT]]*VLOOKUP(Tableau14[[#This Row],[EAN]],[1]Grille_Tarifs_Modulable!$B$10:$Q$204,16,FALSE)))</f>
        <v>33.663007200000003</v>
      </c>
      <c r="N1354" s="224">
        <v>-12</v>
      </c>
      <c r="O1354" s="228">
        <f>ROUND(Tableau14[[#This Row],[Prix_Unit_HT]],2)*Tableau14[[#This Row],[Qte_commande]]</f>
        <v>-336.6</v>
      </c>
      <c r="P1354" s="228">
        <f>ROUND(Tableau14[[#This Row],[Prix_Unit_TTC]],2)*Tableau14[[#This Row],[Qte_commande]]</f>
        <v>-403.91999999999996</v>
      </c>
      <c r="Q1354" s="224">
        <v>-8.57</v>
      </c>
      <c r="R1354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-8.5714285714285712</v>
      </c>
      <c r="U1354" s="224"/>
      <c r="V1354" s="224"/>
    </row>
    <row r="1355" spans="1:22" ht="14.65" customHeight="1" x14ac:dyDescent="0.2">
      <c r="A1355" s="225">
        <v>43488</v>
      </c>
      <c r="B1355" s="224" t="s">
        <v>276</v>
      </c>
      <c r="C1355" s="224" t="s">
        <v>214</v>
      </c>
      <c r="D1355" s="224" t="s">
        <v>215</v>
      </c>
      <c r="E1355" s="226"/>
      <c r="G1355" s="224" t="s">
        <v>1</v>
      </c>
      <c r="H1355" s="224" t="s">
        <v>196</v>
      </c>
      <c r="I1355" s="224" t="s">
        <v>63</v>
      </c>
      <c r="J1355" s="224">
        <v>20</v>
      </c>
      <c r="K1355" s="227">
        <f t="array" ref="K1355">IFERROR(INDEX([1]Grille_Tarifs_Modulable!$B$2:$B$204,MATCH(Tableau14[[#This Row],[Designation]]&amp;Tableau14[[#This Row],[CL]],[1]Grille_Tarifs_Modulable!$C$2:$C$204&amp;[1]Grille_Tarifs_Modulable!$F$2:$F$204,0)),0)</f>
        <v>4260310552941</v>
      </c>
      <c r="L1355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0.81</v>
      </c>
      <c r="M1355" s="228">
        <f>IF(Tableau14[[#This Row],[Prix_Unit_HT]]=0,0,Tableau14[[#This Row],[Prix_Unit_HT]]+(Tableau14[[#This Row],[Prix_Unit_HT]]*VLOOKUP(Tableau14[[#This Row],[EAN]],[1]Grille_Tarifs_Modulable!$B$10:$Q$204,16,FALSE)))</f>
        <v>0.85455000000000003</v>
      </c>
      <c r="N1355" s="224">
        <v>24</v>
      </c>
      <c r="O1355" s="228">
        <f>ROUND(Tableau14[[#This Row],[Prix_Unit_HT]],2)*Tableau14[[#This Row],[Qte_commande]]</f>
        <v>19.440000000000001</v>
      </c>
      <c r="P1355" s="228">
        <f>ROUND(Tableau14[[#This Row],[Prix_Unit_TTC]],2)*Tableau14[[#This Row],[Qte_commande]]</f>
        <v>20.399999999999999</v>
      </c>
      <c r="Q1355" s="224">
        <v>6.86</v>
      </c>
      <c r="R1355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6.8571428571428577</v>
      </c>
      <c r="U1355" s="224"/>
      <c r="V1355" s="224"/>
    </row>
    <row r="1356" spans="1:22" ht="14.65" customHeight="1" x14ac:dyDescent="0.2">
      <c r="A1356" s="225">
        <v>43488</v>
      </c>
      <c r="B1356" s="224" t="s">
        <v>276</v>
      </c>
      <c r="C1356" s="224" t="s">
        <v>214</v>
      </c>
      <c r="D1356" s="224" t="s">
        <v>215</v>
      </c>
      <c r="E1356" s="226"/>
      <c r="G1356" s="224" t="s">
        <v>1</v>
      </c>
      <c r="H1356" s="224" t="s">
        <v>196</v>
      </c>
      <c r="I1356" s="224" t="s">
        <v>65</v>
      </c>
      <c r="J1356" s="224">
        <v>20</v>
      </c>
      <c r="K1356" s="227">
        <f t="array" ref="K1356">IFERROR(INDEX([1]Grille_Tarifs_Modulable!$B$2:$B$204,MATCH(Tableau14[[#This Row],[Designation]]&amp;Tableau14[[#This Row],[CL]],[1]Grille_Tarifs_Modulable!$C$2:$C$204&amp;[1]Grille_Tarifs_Modulable!$F$2:$F$204,0)),0)</f>
        <v>4260310553863</v>
      </c>
      <c r="L1356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0.81</v>
      </c>
      <c r="M1356" s="228">
        <f>IF(Tableau14[[#This Row],[Prix_Unit_HT]]=0,0,Tableau14[[#This Row],[Prix_Unit_HT]]+(Tableau14[[#This Row],[Prix_Unit_HT]]*VLOOKUP(Tableau14[[#This Row],[EAN]],[1]Grille_Tarifs_Modulable!$B$10:$Q$204,16,FALSE)))</f>
        <v>0.85455000000000003</v>
      </c>
      <c r="N1356" s="224">
        <v>24</v>
      </c>
      <c r="O1356" s="228">
        <f>ROUND(Tableau14[[#This Row],[Prix_Unit_HT]],2)*Tableau14[[#This Row],[Qte_commande]]</f>
        <v>19.440000000000001</v>
      </c>
      <c r="P1356" s="228">
        <f>ROUND(Tableau14[[#This Row],[Prix_Unit_TTC]],2)*Tableau14[[#This Row],[Qte_commande]]</f>
        <v>20.399999999999999</v>
      </c>
      <c r="Q1356" s="224">
        <v>6.86</v>
      </c>
      <c r="R1356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6.8571428571428577</v>
      </c>
      <c r="U1356" s="224"/>
      <c r="V1356" s="224"/>
    </row>
    <row r="1357" spans="1:22" ht="14.65" customHeight="1" x14ac:dyDescent="0.2">
      <c r="A1357" s="225">
        <v>43488</v>
      </c>
      <c r="B1357" s="224" t="s">
        <v>276</v>
      </c>
      <c r="C1357" s="224" t="s">
        <v>214</v>
      </c>
      <c r="D1357" s="224" t="s">
        <v>215</v>
      </c>
      <c r="E1357" s="226"/>
      <c r="G1357" s="224" t="s">
        <v>1</v>
      </c>
      <c r="H1357" s="224" t="s">
        <v>196</v>
      </c>
      <c r="I1357" s="224" t="s">
        <v>60</v>
      </c>
      <c r="J1357" s="224">
        <v>20</v>
      </c>
      <c r="K1357" s="227">
        <f t="array" ref="K1357">IFERROR(INDEX([1]Grille_Tarifs_Modulable!$B$2:$B$204,MATCH(Tableau14[[#This Row],[Designation]]&amp;Tableau14[[#This Row],[CL]],[1]Grille_Tarifs_Modulable!$C$2:$C$204&amp;[1]Grille_Tarifs_Modulable!$F$2:$F$204,0)),0)</f>
        <v>4260310553832</v>
      </c>
      <c r="L1357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0.81</v>
      </c>
      <c r="M1357" s="228">
        <f>IF(Tableau14[[#This Row],[Prix_Unit_HT]]=0,0,Tableau14[[#This Row],[Prix_Unit_HT]]+(Tableau14[[#This Row],[Prix_Unit_HT]]*VLOOKUP(Tableau14[[#This Row],[EAN]],[1]Grille_Tarifs_Modulable!$B$10:$Q$204,16,FALSE)))</f>
        <v>0.85455000000000003</v>
      </c>
      <c r="N1357" s="224">
        <v>48</v>
      </c>
      <c r="O1357" s="228">
        <f>ROUND(Tableau14[[#This Row],[Prix_Unit_HT]],2)*Tableau14[[#This Row],[Qte_commande]]</f>
        <v>38.880000000000003</v>
      </c>
      <c r="P1357" s="228">
        <f>ROUND(Tableau14[[#This Row],[Prix_Unit_TTC]],2)*Tableau14[[#This Row],[Qte_commande]]</f>
        <v>40.799999999999997</v>
      </c>
      <c r="Q1357" s="224">
        <v>13.71</v>
      </c>
      <c r="R1357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13.714285714285715</v>
      </c>
      <c r="U1357" s="224"/>
      <c r="V1357" s="224"/>
    </row>
    <row r="1358" spans="1:22" ht="14.65" customHeight="1" x14ac:dyDescent="0.2">
      <c r="A1358" s="225">
        <v>43488</v>
      </c>
      <c r="B1358" s="224" t="s">
        <v>276</v>
      </c>
      <c r="C1358" s="224" t="s">
        <v>214</v>
      </c>
      <c r="D1358" s="224" t="s">
        <v>215</v>
      </c>
      <c r="E1358" s="226"/>
      <c r="G1358" s="224" t="s">
        <v>1</v>
      </c>
      <c r="H1358" s="224" t="s">
        <v>289</v>
      </c>
      <c r="I1358" s="224" t="s">
        <v>20</v>
      </c>
      <c r="J1358" s="224">
        <v>70</v>
      </c>
      <c r="K1358" s="227">
        <f t="array" ref="K1358">IFERROR(INDEX([1]Grille_Tarifs_Modulable!$B$2:$B$204,MATCH(Tableau14[[#This Row],[Designation]]&amp;Tableau14[[#This Row],[CL]],[1]Grille_Tarifs_Modulable!$C$2:$C$204&amp;[1]Grille_Tarifs_Modulable!$F$2:$F$204,0)),0)</f>
        <v>8017450002104</v>
      </c>
      <c r="L1358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14.266482999999999</v>
      </c>
      <c r="M1358" s="228">
        <f>IF(Tableau14[[#This Row],[Prix_Unit_HT]]=0,0,Tableau14[[#This Row],[Prix_Unit_HT]]+(Tableau14[[#This Row],[Prix_Unit_HT]]*VLOOKUP(Tableau14[[#This Row],[EAN]],[1]Grille_Tarifs_Modulable!$B$10:$Q$204,16,FALSE)))</f>
        <v>17.119779600000001</v>
      </c>
      <c r="N1358" s="224">
        <v>12</v>
      </c>
      <c r="O1358" s="228">
        <f>ROUND(Tableau14[[#This Row],[Prix_Unit_HT]],2)*Tableau14[[#This Row],[Qte_commande]]</f>
        <v>171.24</v>
      </c>
      <c r="P1358" s="228">
        <f>ROUND(Tableau14[[#This Row],[Prix_Unit_TTC]],2)*Tableau14[[#This Row],[Qte_commande]]</f>
        <v>205.44</v>
      </c>
      <c r="Q1358" s="224">
        <v>12</v>
      </c>
      <c r="R1358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12.000000000000002</v>
      </c>
      <c r="U1358" s="224"/>
      <c r="V1358" s="224"/>
    </row>
    <row r="1359" spans="1:22" ht="14.65" customHeight="1" x14ac:dyDescent="0.2">
      <c r="A1359" s="225">
        <v>43488</v>
      </c>
      <c r="B1359" s="224" t="s">
        <v>276</v>
      </c>
      <c r="C1359" s="224" t="s">
        <v>214</v>
      </c>
      <c r="D1359" s="224" t="s">
        <v>215</v>
      </c>
      <c r="E1359" s="226"/>
      <c r="G1359" s="224" t="s">
        <v>1</v>
      </c>
      <c r="H1359" s="224" t="s">
        <v>196</v>
      </c>
      <c r="I1359" s="224" t="s">
        <v>64</v>
      </c>
      <c r="J1359" s="224">
        <v>20</v>
      </c>
      <c r="K1359" s="227">
        <f t="array" ref="K1359">IFERROR(INDEX([1]Grille_Tarifs_Modulable!$B$2:$B$204,MATCH(Tableau14[[#This Row],[Designation]]&amp;Tableau14[[#This Row],[CL]],[1]Grille_Tarifs_Modulable!$C$2:$C$204&amp;[1]Grille_Tarifs_Modulable!$F$2:$F$204,0)),0)</f>
        <v>4260310553849</v>
      </c>
      <c r="L1359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0.81</v>
      </c>
      <c r="M1359" s="228">
        <f>IF(Tableau14[[#This Row],[Prix_Unit_HT]]=0,0,Tableau14[[#This Row],[Prix_Unit_HT]]+(Tableau14[[#This Row],[Prix_Unit_HT]]*VLOOKUP(Tableau14[[#This Row],[EAN]],[1]Grille_Tarifs_Modulable!$B$10:$Q$204,16,FALSE)))</f>
        <v>0.85455000000000003</v>
      </c>
      <c r="N1359" s="224">
        <v>144</v>
      </c>
      <c r="O1359" s="228">
        <f>ROUND(Tableau14[[#This Row],[Prix_Unit_HT]],2)*Tableau14[[#This Row],[Qte_commande]]</f>
        <v>116.64000000000001</v>
      </c>
      <c r="P1359" s="228">
        <f>ROUND(Tableau14[[#This Row],[Prix_Unit_TTC]],2)*Tableau14[[#This Row],[Qte_commande]]</f>
        <v>122.39999999999999</v>
      </c>
      <c r="Q1359" s="224">
        <v>41.14</v>
      </c>
      <c r="R1359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41.142857142857146</v>
      </c>
      <c r="U1359" s="224"/>
      <c r="V1359" s="224"/>
    </row>
    <row r="1360" spans="1:22" ht="14.65" customHeight="1" x14ac:dyDescent="0.2">
      <c r="A1360" s="225">
        <v>43488</v>
      </c>
      <c r="B1360" s="224" t="s">
        <v>276</v>
      </c>
      <c r="C1360" s="224" t="s">
        <v>214</v>
      </c>
      <c r="D1360" s="224" t="s">
        <v>215</v>
      </c>
      <c r="E1360" s="226"/>
      <c r="G1360" s="224" t="s">
        <v>1</v>
      </c>
      <c r="H1360" s="224" t="s">
        <v>196</v>
      </c>
      <c r="I1360" s="224" t="s">
        <v>59</v>
      </c>
      <c r="J1360" s="224">
        <v>20</v>
      </c>
      <c r="K1360" s="227">
        <f t="array" ref="K1360">IFERROR(INDEX([1]Grille_Tarifs_Modulable!$B$2:$B$204,MATCH(Tableau14[[#This Row],[Designation]]&amp;Tableau14[[#This Row],[CL]],[1]Grille_Tarifs_Modulable!$C$2:$C$204&amp;[1]Grille_Tarifs_Modulable!$F$2:$F$204,0)),0)</f>
        <v>4260310553818</v>
      </c>
      <c r="L1360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0.81</v>
      </c>
      <c r="M1360" s="228">
        <f>IF(Tableau14[[#This Row],[Prix_Unit_HT]]=0,0,Tableau14[[#This Row],[Prix_Unit_HT]]+(Tableau14[[#This Row],[Prix_Unit_HT]]*VLOOKUP(Tableau14[[#This Row],[EAN]],[1]Grille_Tarifs_Modulable!$B$10:$Q$204,16,FALSE)))</f>
        <v>0.85455000000000003</v>
      </c>
      <c r="N1360" s="224">
        <v>192</v>
      </c>
      <c r="O1360" s="228">
        <f>ROUND(Tableau14[[#This Row],[Prix_Unit_HT]],2)*Tableau14[[#This Row],[Qte_commande]]</f>
        <v>155.52000000000001</v>
      </c>
      <c r="P1360" s="228">
        <f>ROUND(Tableau14[[#This Row],[Prix_Unit_TTC]],2)*Tableau14[[#This Row],[Qte_commande]]</f>
        <v>163.19999999999999</v>
      </c>
      <c r="Q1360" s="224">
        <v>54.86</v>
      </c>
      <c r="R1360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54.857142857142861</v>
      </c>
      <c r="U1360" s="224"/>
      <c r="V1360" s="224"/>
    </row>
    <row r="1361" spans="1:22" ht="14.65" customHeight="1" x14ac:dyDescent="0.2">
      <c r="A1361" s="225">
        <v>43490</v>
      </c>
      <c r="B1361" s="224" t="s">
        <v>731</v>
      </c>
      <c r="C1361" s="224" t="s">
        <v>530</v>
      </c>
      <c r="D1361" s="224" t="s">
        <v>531</v>
      </c>
      <c r="E1361" s="226"/>
      <c r="G1361" s="224" t="s">
        <v>1</v>
      </c>
      <c r="H1361" s="224" t="s">
        <v>289</v>
      </c>
      <c r="I1361" s="224" t="s">
        <v>15</v>
      </c>
      <c r="J1361" s="224">
        <v>70</v>
      </c>
      <c r="K1361" s="227">
        <f t="array" ref="K1361">IFERROR(INDEX([1]Grille_Tarifs_Modulable!$B$2:$B$204,MATCH(Tableau14[[#This Row],[Designation]]&amp;Tableau14[[#This Row],[CL]],[1]Grille_Tarifs_Modulable!$C$2:$C$204&amp;[1]Grille_Tarifs_Modulable!$F$2:$F$204,0)),0)</f>
        <v>4067700013859</v>
      </c>
      <c r="L1361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12.532563499999998</v>
      </c>
      <c r="M1361" s="228">
        <f>IF(Tableau14[[#This Row],[Prix_Unit_HT]]=0,0,Tableau14[[#This Row],[Prix_Unit_HT]]+(Tableau14[[#This Row],[Prix_Unit_HT]]*VLOOKUP(Tableau14[[#This Row],[EAN]],[1]Grille_Tarifs_Modulable!$B$10:$Q$204,16,FALSE)))</f>
        <v>15.039076199999998</v>
      </c>
      <c r="N1361" s="224">
        <v>150</v>
      </c>
      <c r="O1361" s="228">
        <f>ROUND(Tableau14[[#This Row],[Prix_Unit_HT]],2)*Tableau14[[#This Row],[Qte_commande]]</f>
        <v>1879.5</v>
      </c>
      <c r="P1361" s="228">
        <f>ROUND(Tableau14[[#This Row],[Prix_Unit_TTC]],2)*Tableau14[[#This Row],[Qte_commande]]</f>
        <v>2256</v>
      </c>
      <c r="Q1361" s="224">
        <v>150</v>
      </c>
      <c r="R1361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150</v>
      </c>
      <c r="U1361" s="224"/>
      <c r="V1361" s="224"/>
    </row>
    <row r="1362" spans="1:22" ht="14.65" customHeight="1" x14ac:dyDescent="0.2">
      <c r="A1362" s="225">
        <v>43490</v>
      </c>
      <c r="B1362" s="224" t="s">
        <v>866</v>
      </c>
      <c r="C1362" s="224" t="s">
        <v>864</v>
      </c>
      <c r="D1362" s="224" t="s">
        <v>180</v>
      </c>
      <c r="E1362" s="226"/>
      <c r="G1362" s="224" t="s">
        <v>13</v>
      </c>
      <c r="H1362" s="224" t="s">
        <v>289</v>
      </c>
      <c r="I1362" s="224" t="s">
        <v>30</v>
      </c>
      <c r="J1362" s="224">
        <v>70</v>
      </c>
      <c r="K1362" s="227">
        <f t="array" ref="K1362">IFERROR(INDEX([1]Grille_Tarifs_Modulable!$B$2:$B$204,MATCH(Tableau14[[#This Row],[Designation]]&amp;Tableau14[[#This Row],[CL]],[1]Grille_Tarifs_Modulable!$C$2:$C$204&amp;[1]Grille_Tarifs_Modulable!$F$2:$F$204,0)),0)</f>
        <v>3257150101904</v>
      </c>
      <c r="L1362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18.506483000000003</v>
      </c>
      <c r="M1362" s="228">
        <f>IF(Tableau14[[#This Row],[Prix_Unit_HT]]=0,0,Tableau14[[#This Row],[Prix_Unit_HT]]+(Tableau14[[#This Row],[Prix_Unit_HT]]*VLOOKUP(Tableau14[[#This Row],[EAN]],[1]Grille_Tarifs_Modulable!$B$10:$Q$204,16,FALSE)))</f>
        <v>22.207779600000002</v>
      </c>
      <c r="N1362" s="224">
        <v>6</v>
      </c>
      <c r="O1362" s="228">
        <f>ROUND(Tableau14[[#This Row],[Prix_Unit_HT]],2)*Tableau14[[#This Row],[Qte_commande]]</f>
        <v>111.06</v>
      </c>
      <c r="P1362" s="228">
        <f>ROUND(Tableau14[[#This Row],[Prix_Unit_TTC]],2)*Tableau14[[#This Row],[Qte_commande]]</f>
        <v>133.26</v>
      </c>
      <c r="Q1362" s="224">
        <v>6</v>
      </c>
      <c r="R1362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6.0000000000000009</v>
      </c>
      <c r="U1362" s="224"/>
      <c r="V1362" s="224"/>
    </row>
    <row r="1363" spans="1:22" ht="14.65" customHeight="1" x14ac:dyDescent="0.2">
      <c r="A1363" s="225">
        <v>43490</v>
      </c>
      <c r="B1363" s="224" t="s">
        <v>866</v>
      </c>
      <c r="C1363" s="224" t="s">
        <v>864</v>
      </c>
      <c r="D1363" s="224" t="s">
        <v>180</v>
      </c>
      <c r="E1363" s="226"/>
      <c r="G1363" s="224" t="s">
        <v>13</v>
      </c>
      <c r="H1363" s="224" t="s">
        <v>289</v>
      </c>
      <c r="I1363" s="224" t="s">
        <v>30</v>
      </c>
      <c r="J1363" s="224">
        <v>70</v>
      </c>
      <c r="K1363" s="227">
        <f t="array" ref="K1363">IFERROR(INDEX([1]Grille_Tarifs_Modulable!$B$2:$B$204,MATCH(Tableau14[[#This Row],[Designation]]&amp;Tableau14[[#This Row],[CL]],[1]Grille_Tarifs_Modulable!$C$2:$C$204&amp;[1]Grille_Tarifs_Modulable!$F$2:$F$204,0)),0)</f>
        <v>3257150101904</v>
      </c>
      <c r="L1363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18.506483000000003</v>
      </c>
      <c r="M1363" s="228">
        <f>IF(Tableau14[[#This Row],[Prix_Unit_HT]]=0,0,Tableau14[[#This Row],[Prix_Unit_HT]]+(Tableau14[[#This Row],[Prix_Unit_HT]]*VLOOKUP(Tableau14[[#This Row],[EAN]],[1]Grille_Tarifs_Modulable!$B$10:$Q$204,16,FALSE)))</f>
        <v>22.207779600000002</v>
      </c>
      <c r="N1363" s="224">
        <v>6</v>
      </c>
      <c r="O1363" s="228">
        <f>ROUND(Tableau14[[#This Row],[Prix_Unit_HT]],2)*Tableau14[[#This Row],[Qte_commande]]</f>
        <v>111.06</v>
      </c>
      <c r="P1363" s="228">
        <f>ROUND(Tableau14[[#This Row],[Prix_Unit_TTC]],2)*Tableau14[[#This Row],[Qte_commande]]</f>
        <v>133.26</v>
      </c>
      <c r="Q1363" s="224">
        <v>6</v>
      </c>
      <c r="R1363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6.0000000000000009</v>
      </c>
      <c r="U1363" s="224"/>
      <c r="V1363" s="224"/>
    </row>
    <row r="1364" spans="1:22" ht="14.65" customHeight="1" x14ac:dyDescent="0.2">
      <c r="A1364" s="225">
        <v>43490</v>
      </c>
      <c r="B1364" s="224" t="s">
        <v>866</v>
      </c>
      <c r="C1364" s="224" t="s">
        <v>864</v>
      </c>
      <c r="D1364" s="224" t="s">
        <v>180</v>
      </c>
      <c r="E1364" s="226"/>
      <c r="G1364" s="224" t="s">
        <v>13</v>
      </c>
      <c r="H1364" s="224" t="s">
        <v>289</v>
      </c>
      <c r="I1364" s="224" t="s">
        <v>34</v>
      </c>
      <c r="J1364" s="224">
        <v>70</v>
      </c>
      <c r="K1364" s="227">
        <f t="array" ref="K1364">IFERROR(INDEX([1]Grille_Tarifs_Modulable!$B$2:$B$204,MATCH(Tableau14[[#This Row],[Designation]]&amp;Tableau14[[#This Row],[CL]],[1]Grille_Tarifs_Modulable!$C$2:$C$204&amp;[1]Grille_Tarifs_Modulable!$F$2:$F$204,0)),0)</f>
        <v>3257150100167</v>
      </c>
      <c r="L1364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29.948644000000002</v>
      </c>
      <c r="M1364" s="228">
        <f>IF(Tableau14[[#This Row],[Prix_Unit_HT]]=0,0,Tableau14[[#This Row],[Prix_Unit_HT]]+(Tableau14[[#This Row],[Prix_Unit_HT]]*VLOOKUP(Tableau14[[#This Row],[EAN]],[1]Grille_Tarifs_Modulable!$B$10:$Q$204,16,FALSE)))</f>
        <v>35.938372800000003</v>
      </c>
      <c r="N1364" s="224">
        <v>12</v>
      </c>
      <c r="O1364" s="228">
        <f>ROUND(Tableau14[[#This Row],[Prix_Unit_HT]],2)*Tableau14[[#This Row],[Qte_commande]]</f>
        <v>359.4</v>
      </c>
      <c r="P1364" s="228">
        <f>ROUND(Tableau14[[#This Row],[Prix_Unit_TTC]],2)*Tableau14[[#This Row],[Qte_commande]]</f>
        <v>431.28</v>
      </c>
      <c r="Q1364" s="224">
        <v>12</v>
      </c>
      <c r="R1364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12.000000000000002</v>
      </c>
      <c r="U1364" s="224"/>
      <c r="V1364" s="224"/>
    </row>
    <row r="1365" spans="1:22" ht="14.65" customHeight="1" x14ac:dyDescent="0.2">
      <c r="A1365" s="225">
        <v>43490</v>
      </c>
      <c r="B1365" s="224" t="s">
        <v>866</v>
      </c>
      <c r="C1365" s="224" t="s">
        <v>864</v>
      </c>
      <c r="D1365" s="224" t="s">
        <v>180</v>
      </c>
      <c r="E1365" s="226"/>
      <c r="G1365" s="224" t="s">
        <v>13</v>
      </c>
      <c r="H1365" s="224" t="s">
        <v>289</v>
      </c>
      <c r="I1365" s="224" t="s">
        <v>31</v>
      </c>
      <c r="J1365" s="224">
        <v>70</v>
      </c>
      <c r="K1365" s="227">
        <f t="array" ref="K1365">IFERROR(INDEX([1]Grille_Tarifs_Modulable!$B$2:$B$204,MATCH(Tableau14[[#This Row],[Designation]]&amp;Tableau14[[#This Row],[CL]],[1]Grille_Tarifs_Modulable!$C$2:$C$204&amp;[1]Grille_Tarifs_Modulable!$F$2:$F$204,0)),0)</f>
        <v>3257150102017</v>
      </c>
      <c r="L1365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16.854322</v>
      </c>
      <c r="M1365" s="228">
        <f>IF(Tableau14[[#This Row],[Prix_Unit_HT]]=0,0,Tableau14[[#This Row],[Prix_Unit_HT]]+(Tableau14[[#This Row],[Prix_Unit_HT]]*VLOOKUP(Tableau14[[#This Row],[EAN]],[1]Grille_Tarifs_Modulable!$B$10:$Q$204,16,FALSE)))</f>
        <v>20.225186399999998</v>
      </c>
      <c r="N1365" s="224">
        <v>12</v>
      </c>
      <c r="O1365" s="228">
        <f>ROUND(Tableau14[[#This Row],[Prix_Unit_HT]],2)*Tableau14[[#This Row],[Qte_commande]]</f>
        <v>202.20000000000002</v>
      </c>
      <c r="P1365" s="228">
        <f>ROUND(Tableau14[[#This Row],[Prix_Unit_TTC]],2)*Tableau14[[#This Row],[Qte_commande]]</f>
        <v>242.76</v>
      </c>
      <c r="Q1365" s="224">
        <v>12</v>
      </c>
      <c r="R1365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12.000000000000002</v>
      </c>
      <c r="U1365" s="224"/>
      <c r="V1365" s="224"/>
    </row>
    <row r="1366" spans="1:22" ht="14.65" customHeight="1" x14ac:dyDescent="0.2">
      <c r="A1366" s="225">
        <v>43490</v>
      </c>
      <c r="B1366" s="224" t="s">
        <v>866</v>
      </c>
      <c r="C1366" s="224" t="s">
        <v>864</v>
      </c>
      <c r="D1366" s="224" t="s">
        <v>180</v>
      </c>
      <c r="E1366" s="226"/>
      <c r="G1366" s="224" t="s">
        <v>13</v>
      </c>
      <c r="H1366" s="224" t="s">
        <v>289</v>
      </c>
      <c r="I1366" s="224" t="s">
        <v>44</v>
      </c>
      <c r="J1366" s="224">
        <v>50</v>
      </c>
      <c r="K1366" s="227">
        <f t="array" ref="K1366">IFERROR(INDEX([1]Grille_Tarifs_Modulable!$B$2:$B$204,MATCH(Tableau14[[#This Row],[Designation]]&amp;Tableau14[[#This Row],[CL]],[1]Grille_Tarifs_Modulable!$C$2:$C$204&amp;[1]Grille_Tarifs_Modulable!$F$2:$F$204,0)),0)</f>
        <v>4260270192645</v>
      </c>
      <c r="L1366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28.052506000000001</v>
      </c>
      <c r="M1366" s="228">
        <f>IF(Tableau14[[#This Row],[Prix_Unit_HT]]=0,0,Tableau14[[#This Row],[Prix_Unit_HT]]+(Tableau14[[#This Row],[Prix_Unit_HT]]*VLOOKUP(Tableau14[[#This Row],[EAN]],[1]Grille_Tarifs_Modulable!$B$10:$Q$204,16,FALSE)))</f>
        <v>33.663007200000003</v>
      </c>
      <c r="N1366" s="224">
        <v>12</v>
      </c>
      <c r="O1366" s="228">
        <f>ROUND(Tableau14[[#This Row],[Prix_Unit_HT]],2)*Tableau14[[#This Row],[Qte_commande]]</f>
        <v>336.6</v>
      </c>
      <c r="P1366" s="228">
        <f>ROUND(Tableau14[[#This Row],[Prix_Unit_TTC]],2)*Tableau14[[#This Row],[Qte_commande]]</f>
        <v>403.91999999999996</v>
      </c>
      <c r="Q1366" s="224">
        <v>8.57</v>
      </c>
      <c r="R1366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8.5714285714285712</v>
      </c>
      <c r="U1366" s="224"/>
      <c r="V1366" s="224"/>
    </row>
    <row r="1367" spans="1:22" ht="14.65" customHeight="1" x14ac:dyDescent="0.2">
      <c r="A1367" s="225">
        <v>43493</v>
      </c>
      <c r="B1367" s="224" t="s">
        <v>732</v>
      </c>
      <c r="C1367" s="224" t="s">
        <v>194</v>
      </c>
      <c r="D1367" s="224" t="s">
        <v>343</v>
      </c>
      <c r="E1367" s="226"/>
      <c r="G1367" s="224" t="s">
        <v>1</v>
      </c>
      <c r="H1367" s="224" t="s">
        <v>289</v>
      </c>
      <c r="I1367" s="224" t="s">
        <v>15</v>
      </c>
      <c r="J1367" s="224">
        <v>175</v>
      </c>
      <c r="K1367" s="227">
        <f t="array" ref="K1367">IFERROR(INDEX([1]Grille_Tarifs_Modulable!$B$2:$B$204,MATCH(Tableau14[[#This Row],[Designation]]&amp;Tableau14[[#This Row],[CL]],[1]Grille_Tarifs_Modulable!$C$2:$C$204&amp;[1]Grille_Tarifs_Modulable!$F$2:$F$204,0)),0)</f>
        <v>4067700013835</v>
      </c>
      <c r="L1367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28.916408750000002</v>
      </c>
      <c r="M1367" s="228">
        <f>IF(Tableau14[[#This Row],[Prix_Unit_HT]]=0,0,Tableau14[[#This Row],[Prix_Unit_HT]]+(Tableau14[[#This Row],[Prix_Unit_HT]]*VLOOKUP(Tableau14[[#This Row],[EAN]],[1]Grille_Tarifs_Modulable!$B$10:$Q$204,16,FALSE)))</f>
        <v>34.699690500000003</v>
      </c>
      <c r="N1367" s="224">
        <v>96</v>
      </c>
      <c r="O1367" s="228">
        <f>ROUND(Tableau14[[#This Row],[Prix_Unit_HT]],2)*Tableau14[[#This Row],[Qte_commande]]</f>
        <v>2776.32</v>
      </c>
      <c r="P1367" s="228">
        <f>ROUND(Tableau14[[#This Row],[Prix_Unit_TTC]],2)*Tableau14[[#This Row],[Qte_commande]]</f>
        <v>3331.2000000000003</v>
      </c>
      <c r="Q1367" s="224">
        <v>240</v>
      </c>
      <c r="R1367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240.00000000000003</v>
      </c>
      <c r="U1367" s="224"/>
      <c r="V1367" s="224"/>
    </row>
    <row r="1368" spans="1:22" ht="14.65" customHeight="1" x14ac:dyDescent="0.2">
      <c r="A1368" s="225">
        <v>43494</v>
      </c>
      <c r="B1368" s="224" t="s">
        <v>416</v>
      </c>
      <c r="C1368" s="224" t="s">
        <v>202</v>
      </c>
      <c r="D1368" s="224" t="s">
        <v>203</v>
      </c>
      <c r="E1368" s="226"/>
      <c r="G1368" s="224" t="s">
        <v>1</v>
      </c>
      <c r="H1368" s="224" t="s">
        <v>289</v>
      </c>
      <c r="I1368" s="224" t="s">
        <v>35</v>
      </c>
      <c r="J1368" s="224">
        <v>70</v>
      </c>
      <c r="K1368" s="227">
        <f t="array" ref="K1368">IFERROR(INDEX([1]Grille_Tarifs_Modulable!$B$2:$B$204,MATCH(Tableau14[[#This Row],[Designation]]&amp;Tableau14[[#This Row],[CL]],[1]Grille_Tarifs_Modulable!$C$2:$C$204&amp;[1]Grille_Tarifs_Modulable!$F$2:$F$204,0)),0)</f>
        <v>3257150107012</v>
      </c>
      <c r="L1368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29.828643999999997</v>
      </c>
      <c r="M1368" s="228">
        <f>IF(Tableau14[[#This Row],[Prix_Unit_HT]]=0,0,Tableau14[[#This Row],[Prix_Unit_HT]]+(Tableau14[[#This Row],[Prix_Unit_HT]]*VLOOKUP(Tableau14[[#This Row],[EAN]],[1]Grille_Tarifs_Modulable!$B$10:$Q$204,16,FALSE)))</f>
        <v>35.794372799999998</v>
      </c>
      <c r="N1368" s="224">
        <v>12</v>
      </c>
      <c r="O1368" s="228">
        <f>ROUND(Tableau14[[#This Row],[Prix_Unit_HT]],2)*Tableau14[[#This Row],[Qte_commande]]</f>
        <v>357.96</v>
      </c>
      <c r="P1368" s="228">
        <f>ROUND(Tableau14[[#This Row],[Prix_Unit_TTC]],2)*Tableau14[[#This Row],[Qte_commande]]</f>
        <v>429.48</v>
      </c>
      <c r="Q1368" s="224">
        <v>12</v>
      </c>
      <c r="R1368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12.000000000000002</v>
      </c>
      <c r="U1368" s="224"/>
      <c r="V1368" s="224"/>
    </row>
    <row r="1369" spans="1:22" ht="14.65" customHeight="1" x14ac:dyDescent="0.2">
      <c r="A1369" s="225">
        <v>43494</v>
      </c>
      <c r="B1369" s="224" t="s">
        <v>416</v>
      </c>
      <c r="C1369" s="224" t="s">
        <v>202</v>
      </c>
      <c r="D1369" s="224" t="s">
        <v>203</v>
      </c>
      <c r="E1369" s="226"/>
      <c r="G1369" s="224" t="s">
        <v>1</v>
      </c>
      <c r="H1369" s="224" t="s">
        <v>289</v>
      </c>
      <c r="I1369" s="224" t="s">
        <v>30</v>
      </c>
      <c r="J1369" s="224">
        <v>70</v>
      </c>
      <c r="K1369" s="227">
        <f t="array" ref="K1369">IFERROR(INDEX([1]Grille_Tarifs_Modulable!$B$2:$B$204,MATCH(Tableau14[[#This Row],[Designation]]&amp;Tableau14[[#This Row],[CL]],[1]Grille_Tarifs_Modulable!$C$2:$C$204&amp;[1]Grille_Tarifs_Modulable!$F$2:$F$204,0)),0)</f>
        <v>3257150101904</v>
      </c>
      <c r="L1369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16.346482999999999</v>
      </c>
      <c r="M1369" s="228">
        <f>IF(Tableau14[[#This Row],[Prix_Unit_HT]]=0,0,Tableau14[[#This Row],[Prix_Unit_HT]]+(Tableau14[[#This Row],[Prix_Unit_HT]]*VLOOKUP(Tableau14[[#This Row],[EAN]],[1]Grille_Tarifs_Modulable!$B$10:$Q$204,16,FALSE)))</f>
        <v>19.6157796</v>
      </c>
      <c r="N1369" s="224">
        <v>12</v>
      </c>
      <c r="O1369" s="228">
        <f>ROUND(Tableau14[[#This Row],[Prix_Unit_HT]],2)*Tableau14[[#This Row],[Qte_commande]]</f>
        <v>196.20000000000002</v>
      </c>
      <c r="P1369" s="228">
        <f>ROUND(Tableau14[[#This Row],[Prix_Unit_TTC]],2)*Tableau14[[#This Row],[Qte_commande]]</f>
        <v>235.44</v>
      </c>
      <c r="Q1369" s="224">
        <v>12</v>
      </c>
      <c r="R1369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12.000000000000002</v>
      </c>
      <c r="U1369" s="224"/>
      <c r="V1369" s="224"/>
    </row>
    <row r="1370" spans="1:22" ht="14.65" customHeight="1" x14ac:dyDescent="0.2">
      <c r="A1370" s="225">
        <v>43494</v>
      </c>
      <c r="B1370" s="224" t="s">
        <v>416</v>
      </c>
      <c r="C1370" s="224" t="s">
        <v>202</v>
      </c>
      <c r="D1370" s="224" t="s">
        <v>203</v>
      </c>
      <c r="E1370" s="226"/>
      <c r="G1370" s="224" t="s">
        <v>1</v>
      </c>
      <c r="H1370" s="224" t="s">
        <v>289</v>
      </c>
      <c r="I1370" s="224" t="s">
        <v>31</v>
      </c>
      <c r="J1370" s="224">
        <v>70</v>
      </c>
      <c r="K1370" s="227">
        <f t="array" ref="K1370">IFERROR(INDEX([1]Grille_Tarifs_Modulable!$B$2:$B$204,MATCH(Tableau14[[#This Row],[Designation]]&amp;Tableau14[[#This Row],[CL]],[1]Grille_Tarifs_Modulable!$C$2:$C$204&amp;[1]Grille_Tarifs_Modulable!$F$2:$F$204,0)),0)</f>
        <v>3257150102017</v>
      </c>
      <c r="L1370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14.694322</v>
      </c>
      <c r="M1370" s="228">
        <f>IF(Tableau14[[#This Row],[Prix_Unit_HT]]=0,0,Tableau14[[#This Row],[Prix_Unit_HT]]+(Tableau14[[#This Row],[Prix_Unit_HT]]*VLOOKUP(Tableau14[[#This Row],[EAN]],[1]Grille_Tarifs_Modulable!$B$10:$Q$204,16,FALSE)))</f>
        <v>17.6331864</v>
      </c>
      <c r="N1370" s="224">
        <v>12</v>
      </c>
      <c r="O1370" s="228">
        <f>ROUND(Tableau14[[#This Row],[Prix_Unit_HT]],2)*Tableau14[[#This Row],[Qte_commande]]</f>
        <v>176.28</v>
      </c>
      <c r="P1370" s="228">
        <f>ROUND(Tableau14[[#This Row],[Prix_Unit_TTC]],2)*Tableau14[[#This Row],[Qte_commande]]</f>
        <v>211.56</v>
      </c>
      <c r="Q1370" s="224">
        <v>12</v>
      </c>
      <c r="R1370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12.000000000000002</v>
      </c>
      <c r="U1370" s="224"/>
      <c r="V1370" s="224"/>
    </row>
    <row r="1371" spans="1:22" ht="14.65" customHeight="1" x14ac:dyDescent="0.2">
      <c r="A1371" s="225">
        <v>43494</v>
      </c>
      <c r="B1371" s="224" t="s">
        <v>416</v>
      </c>
      <c r="C1371" s="224" t="s">
        <v>202</v>
      </c>
      <c r="D1371" s="224" t="s">
        <v>203</v>
      </c>
      <c r="E1371" s="226"/>
      <c r="G1371" s="224" t="s">
        <v>1</v>
      </c>
      <c r="H1371" s="224" t="s">
        <v>289</v>
      </c>
      <c r="I1371" s="224" t="s">
        <v>44</v>
      </c>
      <c r="J1371" s="224">
        <v>50</v>
      </c>
      <c r="K1371" s="227">
        <f t="array" ref="K1371">IFERROR(INDEX([1]Grille_Tarifs_Modulable!$B$2:$B$204,MATCH(Tableau14[[#This Row],[Designation]]&amp;Tableau14[[#This Row],[CL]],[1]Grille_Tarifs_Modulable!$C$2:$C$204&amp;[1]Grille_Tarifs_Modulable!$F$2:$F$204,0)),0)</f>
        <v>4260270192645</v>
      </c>
      <c r="L1371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25.192506000000002</v>
      </c>
      <c r="M1371" s="228">
        <f>IF(Tableau14[[#This Row],[Prix_Unit_HT]]=0,0,Tableau14[[#This Row],[Prix_Unit_HT]]+(Tableau14[[#This Row],[Prix_Unit_HT]]*VLOOKUP(Tableau14[[#This Row],[EAN]],[1]Grille_Tarifs_Modulable!$B$10:$Q$204,16,FALSE)))</f>
        <v>30.231007200000001</v>
      </c>
      <c r="N1371" s="224">
        <v>6</v>
      </c>
      <c r="O1371" s="228">
        <f>ROUND(Tableau14[[#This Row],[Prix_Unit_HT]],2)*Tableau14[[#This Row],[Qte_commande]]</f>
        <v>151.14000000000001</v>
      </c>
      <c r="P1371" s="228">
        <f>ROUND(Tableau14[[#This Row],[Prix_Unit_TTC]],2)*Tableau14[[#This Row],[Qte_commande]]</f>
        <v>181.38</v>
      </c>
      <c r="Q1371" s="224">
        <v>4.29</v>
      </c>
      <c r="R1371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4.2857142857142856</v>
      </c>
      <c r="U1371" s="224"/>
      <c r="V1371" s="224"/>
    </row>
    <row r="1372" spans="1:22" ht="14.65" customHeight="1" x14ac:dyDescent="0.2">
      <c r="A1372" s="225">
        <v>43494</v>
      </c>
      <c r="B1372" s="224" t="s">
        <v>416</v>
      </c>
      <c r="C1372" s="224" t="s">
        <v>202</v>
      </c>
      <c r="D1372" s="224" t="s">
        <v>203</v>
      </c>
      <c r="E1372" s="226"/>
      <c r="G1372" s="224" t="s">
        <v>1</v>
      </c>
      <c r="H1372" s="224" t="s">
        <v>289</v>
      </c>
      <c r="I1372" s="224" t="s">
        <v>44</v>
      </c>
      <c r="J1372" s="224">
        <v>50</v>
      </c>
      <c r="K1372" s="227">
        <f t="array" ref="K1372">IFERROR(INDEX([1]Grille_Tarifs_Modulable!$B$2:$B$204,MATCH(Tableau14[[#This Row],[Designation]]&amp;Tableau14[[#This Row],[CL]],[1]Grille_Tarifs_Modulable!$C$2:$C$204&amp;[1]Grille_Tarifs_Modulable!$F$2:$F$204,0)),0)</f>
        <v>4260270192645</v>
      </c>
      <c r="L1372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25.192506000000002</v>
      </c>
      <c r="M1372" s="228">
        <f>IF(Tableau14[[#This Row],[Prix_Unit_HT]]=0,0,Tableau14[[#This Row],[Prix_Unit_HT]]+(Tableau14[[#This Row],[Prix_Unit_HT]]*VLOOKUP(Tableau14[[#This Row],[EAN]],[1]Grille_Tarifs_Modulable!$B$10:$Q$204,16,FALSE)))</f>
        <v>30.231007200000001</v>
      </c>
      <c r="N1372" s="224">
        <v>18</v>
      </c>
      <c r="O1372" s="228">
        <f>ROUND(Tableau14[[#This Row],[Prix_Unit_HT]],2)*Tableau14[[#This Row],[Qte_commande]]</f>
        <v>453.42</v>
      </c>
      <c r="P1372" s="228">
        <f>ROUND(Tableau14[[#This Row],[Prix_Unit_TTC]],2)*Tableau14[[#This Row],[Qte_commande]]</f>
        <v>544.14</v>
      </c>
      <c r="Q1372" s="224">
        <v>12.86</v>
      </c>
      <c r="R1372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12.857142857142858</v>
      </c>
      <c r="U1372" s="224"/>
      <c r="V1372" s="224"/>
    </row>
    <row r="1373" spans="1:22" ht="14.65" customHeight="1" x14ac:dyDescent="0.2">
      <c r="A1373" s="225">
        <v>43497</v>
      </c>
      <c r="B1373" s="224" t="s">
        <v>733</v>
      </c>
      <c r="C1373" s="224" t="s">
        <v>530</v>
      </c>
      <c r="D1373" s="224" t="s">
        <v>531</v>
      </c>
      <c r="E1373" s="226"/>
      <c r="G1373" s="224" t="s">
        <v>1</v>
      </c>
      <c r="H1373" s="224" t="s">
        <v>289</v>
      </c>
      <c r="I1373" s="224" t="s">
        <v>15</v>
      </c>
      <c r="J1373" s="224">
        <v>70</v>
      </c>
      <c r="K1373" s="227">
        <f t="array" ref="K1373">IFERROR(INDEX([1]Grille_Tarifs_Modulable!$B$2:$B$204,MATCH(Tableau14[[#This Row],[Designation]]&amp;Tableau14[[#This Row],[CL]],[1]Grille_Tarifs_Modulable!$C$2:$C$204&amp;[1]Grille_Tarifs_Modulable!$F$2:$F$204,0)),0)</f>
        <v>4067700013859</v>
      </c>
      <c r="L1373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12.532563499999998</v>
      </c>
      <c r="M1373" s="228">
        <f>IF(Tableau14[[#This Row],[Prix_Unit_HT]]=0,0,Tableau14[[#This Row],[Prix_Unit_HT]]+(Tableau14[[#This Row],[Prix_Unit_HT]]*VLOOKUP(Tableau14[[#This Row],[EAN]],[1]Grille_Tarifs_Modulable!$B$10:$Q$204,16,FALSE)))</f>
        <v>15.039076199999998</v>
      </c>
      <c r="N1373" s="224">
        <v>120</v>
      </c>
      <c r="O1373" s="228">
        <f>ROUND(Tableau14[[#This Row],[Prix_Unit_HT]],2)*Tableau14[[#This Row],[Qte_commande]]</f>
        <v>1503.6</v>
      </c>
      <c r="P1373" s="228">
        <f>ROUND(Tableau14[[#This Row],[Prix_Unit_TTC]],2)*Tableau14[[#This Row],[Qte_commande]]</f>
        <v>1804.8</v>
      </c>
      <c r="Q1373" s="224">
        <v>120</v>
      </c>
      <c r="R1373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120.00000000000001</v>
      </c>
      <c r="U1373" s="224"/>
      <c r="V1373" s="224"/>
    </row>
    <row r="1374" spans="1:22" ht="14.65" customHeight="1" x14ac:dyDescent="0.2">
      <c r="A1374" s="225">
        <v>43500</v>
      </c>
      <c r="B1374" s="224" t="s">
        <v>512</v>
      </c>
      <c r="C1374" s="224" t="s">
        <v>265</v>
      </c>
      <c r="D1374" s="224" t="s">
        <v>266</v>
      </c>
      <c r="E1374" s="226"/>
      <c r="G1374" s="224" t="s">
        <v>1</v>
      </c>
      <c r="H1374" s="224" t="s">
        <v>196</v>
      </c>
      <c r="I1374" s="224" t="s">
        <v>60</v>
      </c>
      <c r="J1374" s="224">
        <v>20</v>
      </c>
      <c r="K1374" s="227">
        <f t="array" ref="K1374">IFERROR(INDEX([1]Grille_Tarifs_Modulable!$B$2:$B$204,MATCH(Tableau14[[#This Row],[Designation]]&amp;Tableau14[[#This Row],[CL]],[1]Grille_Tarifs_Modulable!$C$2:$C$204&amp;[1]Grille_Tarifs_Modulable!$F$2:$F$204,0)),0)</f>
        <v>4260310553832</v>
      </c>
      <c r="L1374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0.81</v>
      </c>
      <c r="M1374" s="228">
        <f>IF(Tableau14[[#This Row],[Prix_Unit_HT]]=0,0,Tableau14[[#This Row],[Prix_Unit_HT]]+(Tableau14[[#This Row],[Prix_Unit_HT]]*VLOOKUP(Tableau14[[#This Row],[EAN]],[1]Grille_Tarifs_Modulable!$B$10:$Q$204,16,FALSE)))</f>
        <v>0.85455000000000003</v>
      </c>
      <c r="N1374" s="224">
        <v>48</v>
      </c>
      <c r="O1374" s="228">
        <f>ROUND(Tableau14[[#This Row],[Prix_Unit_HT]],2)*Tableau14[[#This Row],[Qte_commande]]</f>
        <v>38.880000000000003</v>
      </c>
      <c r="P1374" s="228">
        <f>ROUND(Tableau14[[#This Row],[Prix_Unit_TTC]],2)*Tableau14[[#This Row],[Qte_commande]]</f>
        <v>40.799999999999997</v>
      </c>
      <c r="Q1374" s="224">
        <v>13.71</v>
      </c>
      <c r="R1374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13.714285714285715</v>
      </c>
      <c r="U1374" s="224"/>
      <c r="V1374" s="224"/>
    </row>
    <row r="1375" spans="1:22" ht="14.65" customHeight="1" x14ac:dyDescent="0.2">
      <c r="A1375" s="225">
        <v>43500</v>
      </c>
      <c r="B1375" s="224" t="s">
        <v>512</v>
      </c>
      <c r="C1375" s="224" t="s">
        <v>265</v>
      </c>
      <c r="D1375" s="224" t="s">
        <v>266</v>
      </c>
      <c r="E1375" s="226"/>
      <c r="G1375" s="224" t="s">
        <v>1</v>
      </c>
      <c r="H1375" s="224" t="s">
        <v>289</v>
      </c>
      <c r="I1375" s="224" t="s">
        <v>15</v>
      </c>
      <c r="J1375" s="224">
        <v>70</v>
      </c>
      <c r="K1375" s="227">
        <f t="array" ref="K1375">IFERROR(INDEX([1]Grille_Tarifs_Modulable!$B$2:$B$204,MATCH(Tableau14[[#This Row],[Designation]]&amp;Tableau14[[#This Row],[CL]],[1]Grille_Tarifs_Modulable!$C$2:$C$204&amp;[1]Grille_Tarifs_Modulable!$F$2:$F$204,0)),0)</f>
        <v>4067700013859</v>
      </c>
      <c r="L1375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12.532563499999998</v>
      </c>
      <c r="M1375" s="228">
        <f>IF(Tableau14[[#This Row],[Prix_Unit_HT]]=0,0,Tableau14[[#This Row],[Prix_Unit_HT]]+(Tableau14[[#This Row],[Prix_Unit_HT]]*VLOOKUP(Tableau14[[#This Row],[EAN]],[1]Grille_Tarifs_Modulable!$B$10:$Q$204,16,FALSE)))</f>
        <v>15.039076199999998</v>
      </c>
      <c r="N1375" s="224">
        <v>6</v>
      </c>
      <c r="O1375" s="228">
        <f>ROUND(Tableau14[[#This Row],[Prix_Unit_HT]],2)*Tableau14[[#This Row],[Qte_commande]]</f>
        <v>75.179999999999993</v>
      </c>
      <c r="P1375" s="228">
        <f>ROUND(Tableau14[[#This Row],[Prix_Unit_TTC]],2)*Tableau14[[#This Row],[Qte_commande]]</f>
        <v>90.24</v>
      </c>
      <c r="Q1375" s="224">
        <v>6</v>
      </c>
      <c r="R1375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6.0000000000000009</v>
      </c>
      <c r="U1375" s="224"/>
      <c r="V1375" s="224"/>
    </row>
    <row r="1376" spans="1:22" ht="14.65" customHeight="1" x14ac:dyDescent="0.2">
      <c r="A1376" s="225">
        <v>43500</v>
      </c>
      <c r="B1376" s="224" t="s">
        <v>512</v>
      </c>
      <c r="C1376" s="224" t="s">
        <v>265</v>
      </c>
      <c r="D1376" s="224" t="s">
        <v>266</v>
      </c>
      <c r="E1376" s="226"/>
      <c r="G1376" s="224" t="s">
        <v>1</v>
      </c>
      <c r="H1376" s="224" t="s">
        <v>289</v>
      </c>
      <c r="I1376" s="224" t="s">
        <v>15</v>
      </c>
      <c r="J1376" s="224">
        <v>70</v>
      </c>
      <c r="K1376" s="227">
        <f t="array" ref="K1376">IFERROR(INDEX([1]Grille_Tarifs_Modulable!$B$2:$B$204,MATCH(Tableau14[[#This Row],[Designation]]&amp;Tableau14[[#This Row],[CL]],[1]Grille_Tarifs_Modulable!$C$2:$C$204&amp;[1]Grille_Tarifs_Modulable!$F$2:$F$204,0)),0)</f>
        <v>4067700013859</v>
      </c>
      <c r="L1376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12.532563499999998</v>
      </c>
      <c r="M1376" s="228">
        <f>IF(Tableau14[[#This Row],[Prix_Unit_HT]]=0,0,Tableau14[[#This Row],[Prix_Unit_HT]]+(Tableau14[[#This Row],[Prix_Unit_HT]]*VLOOKUP(Tableau14[[#This Row],[EAN]],[1]Grille_Tarifs_Modulable!$B$10:$Q$204,16,FALSE)))</f>
        <v>15.039076199999998</v>
      </c>
      <c r="N1376" s="224">
        <v>234</v>
      </c>
      <c r="O1376" s="228">
        <f>ROUND(Tableau14[[#This Row],[Prix_Unit_HT]],2)*Tableau14[[#This Row],[Qte_commande]]</f>
        <v>2932.02</v>
      </c>
      <c r="P1376" s="228">
        <f>ROUND(Tableau14[[#This Row],[Prix_Unit_TTC]],2)*Tableau14[[#This Row],[Qte_commande]]</f>
        <v>3519.3599999999997</v>
      </c>
      <c r="Q1376" s="224">
        <v>234</v>
      </c>
      <c r="R1376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234.00000000000003</v>
      </c>
      <c r="U1376" s="224"/>
      <c r="V1376" s="224"/>
    </row>
    <row r="1377" spans="1:22" ht="14.65" customHeight="1" x14ac:dyDescent="0.2">
      <c r="A1377" s="225">
        <v>43500</v>
      </c>
      <c r="B1377" s="224" t="s">
        <v>512</v>
      </c>
      <c r="C1377" s="224" t="s">
        <v>265</v>
      </c>
      <c r="D1377" s="224" t="s">
        <v>266</v>
      </c>
      <c r="E1377" s="226"/>
      <c r="G1377" s="224" t="s">
        <v>1</v>
      </c>
      <c r="H1377" s="224" t="s">
        <v>289</v>
      </c>
      <c r="I1377" s="224" t="s">
        <v>24</v>
      </c>
      <c r="J1377" s="224">
        <v>70</v>
      </c>
      <c r="K1377" s="227">
        <f t="array" ref="K1377">IFERROR(INDEX([1]Grille_Tarifs_Modulable!$B$2:$B$204,MATCH(Tableau14[[#This Row],[Designation]]&amp;Tableau14[[#This Row],[CL]],[1]Grille_Tarifs_Modulable!$C$2:$C$204&amp;[1]Grille_Tarifs_Modulable!$F$2:$F$204,0)),0)</f>
        <v>8500000917008</v>
      </c>
      <c r="L1377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11.028211800000001</v>
      </c>
      <c r="M1377" s="228">
        <f>IF(Tableau14[[#This Row],[Prix_Unit_HT]]=0,0,Tableau14[[#This Row],[Prix_Unit_HT]]+(Tableau14[[#This Row],[Prix_Unit_HT]]*VLOOKUP(Tableau14[[#This Row],[EAN]],[1]Grille_Tarifs_Modulable!$B$10:$Q$204,16,FALSE)))</f>
        <v>13.233854160000002</v>
      </c>
      <c r="N1377" s="224">
        <v>12</v>
      </c>
      <c r="O1377" s="228">
        <f>ROUND(Tableau14[[#This Row],[Prix_Unit_HT]],2)*Tableau14[[#This Row],[Qte_commande]]</f>
        <v>132.35999999999999</v>
      </c>
      <c r="P1377" s="228">
        <f>ROUND(Tableau14[[#This Row],[Prix_Unit_TTC]],2)*Tableau14[[#This Row],[Qte_commande]]</f>
        <v>158.76</v>
      </c>
      <c r="Q1377" s="224">
        <v>12</v>
      </c>
      <c r="R1377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12.000000000000002</v>
      </c>
      <c r="U1377" s="224"/>
      <c r="V1377" s="224"/>
    </row>
    <row r="1378" spans="1:22" ht="14.65" customHeight="1" x14ac:dyDescent="0.2">
      <c r="A1378" s="225">
        <v>43501</v>
      </c>
      <c r="B1378" s="224" t="s">
        <v>340</v>
      </c>
      <c r="C1378" s="224" t="s">
        <v>308</v>
      </c>
      <c r="D1378" s="224" t="s">
        <v>309</v>
      </c>
      <c r="E1378" s="226"/>
      <c r="G1378" s="224" t="s">
        <v>1</v>
      </c>
      <c r="H1378" s="224" t="s">
        <v>289</v>
      </c>
      <c r="I1378" s="224" t="s">
        <v>22</v>
      </c>
      <c r="J1378" s="224">
        <v>70</v>
      </c>
      <c r="K1378" s="227">
        <f t="array" ref="K1378">IFERROR(INDEX([1]Grille_Tarifs_Modulable!$B$2:$B$204,MATCH(Tableau14[[#This Row],[Designation]]&amp;Tableau14[[#This Row],[CL]],[1]Grille_Tarifs_Modulable!$C$2:$C$204&amp;[1]Grille_Tarifs_Modulable!$F$2:$F$204,0)),0)</f>
        <v>4055800060200</v>
      </c>
      <c r="L1378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17.408644000000002</v>
      </c>
      <c r="M1378" s="228">
        <f>IF(Tableau14[[#This Row],[Prix_Unit_HT]]=0,0,Tableau14[[#This Row],[Prix_Unit_HT]]+(Tableau14[[#This Row],[Prix_Unit_HT]]*VLOOKUP(Tableau14[[#This Row],[EAN]],[1]Grille_Tarifs_Modulable!$B$10:$Q$204,16,FALSE)))</f>
        <v>20.890372800000002</v>
      </c>
      <c r="N1378" s="224">
        <v>12</v>
      </c>
      <c r="O1378" s="228">
        <f>ROUND(Tableau14[[#This Row],[Prix_Unit_HT]],2)*Tableau14[[#This Row],[Qte_commande]]</f>
        <v>208.92000000000002</v>
      </c>
      <c r="P1378" s="228">
        <f>ROUND(Tableau14[[#This Row],[Prix_Unit_TTC]],2)*Tableau14[[#This Row],[Qte_commande]]</f>
        <v>250.68</v>
      </c>
      <c r="Q1378" s="224">
        <v>12</v>
      </c>
      <c r="R1378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12.000000000000002</v>
      </c>
      <c r="U1378" s="224"/>
      <c r="V1378" s="224"/>
    </row>
    <row r="1379" spans="1:22" ht="14.65" customHeight="1" x14ac:dyDescent="0.2">
      <c r="A1379" s="225">
        <v>43501</v>
      </c>
      <c r="B1379" s="224" t="s">
        <v>734</v>
      </c>
      <c r="C1379" s="224" t="s">
        <v>265</v>
      </c>
      <c r="D1379" s="224" t="s">
        <v>266</v>
      </c>
      <c r="E1379" s="226"/>
      <c r="G1379" s="224" t="s">
        <v>1</v>
      </c>
      <c r="H1379" s="224" t="s">
        <v>289</v>
      </c>
      <c r="I1379" s="224" t="s">
        <v>15</v>
      </c>
      <c r="J1379" s="224">
        <v>70</v>
      </c>
      <c r="K1379" s="227">
        <f t="array" ref="K1379">IFERROR(INDEX([1]Grille_Tarifs_Modulable!$B$2:$B$204,MATCH(Tableau14[[#This Row],[Designation]]&amp;Tableau14[[#This Row],[CL]],[1]Grille_Tarifs_Modulable!$C$2:$C$204&amp;[1]Grille_Tarifs_Modulable!$F$2:$F$204,0)),0)</f>
        <v>4067700013859</v>
      </c>
      <c r="L1379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12.532563499999998</v>
      </c>
      <c r="M1379" s="228">
        <f>IF(Tableau14[[#This Row],[Prix_Unit_HT]]=0,0,Tableau14[[#This Row],[Prix_Unit_HT]]+(Tableau14[[#This Row],[Prix_Unit_HT]]*VLOOKUP(Tableau14[[#This Row],[EAN]],[1]Grille_Tarifs_Modulable!$B$10:$Q$204,16,FALSE)))</f>
        <v>15.039076199999998</v>
      </c>
      <c r="N1379" s="224">
        <v>240</v>
      </c>
      <c r="O1379" s="228">
        <f>ROUND(Tableau14[[#This Row],[Prix_Unit_HT]],2)*Tableau14[[#This Row],[Qte_commande]]</f>
        <v>3007.2</v>
      </c>
      <c r="P1379" s="228">
        <f>ROUND(Tableau14[[#This Row],[Prix_Unit_TTC]],2)*Tableau14[[#This Row],[Qte_commande]]</f>
        <v>3609.6</v>
      </c>
      <c r="Q1379" s="224">
        <v>240</v>
      </c>
      <c r="R1379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240.00000000000003</v>
      </c>
      <c r="U1379" s="224"/>
      <c r="V1379" s="224"/>
    </row>
    <row r="1380" spans="1:22" ht="14.65" customHeight="1" x14ac:dyDescent="0.2">
      <c r="A1380" s="225">
        <v>43501</v>
      </c>
      <c r="B1380" s="224" t="s">
        <v>735</v>
      </c>
      <c r="C1380" s="224" t="s">
        <v>557</v>
      </c>
      <c r="D1380" s="224" t="s">
        <v>558</v>
      </c>
      <c r="E1380" s="226"/>
      <c r="G1380" s="224" t="s">
        <v>1</v>
      </c>
      <c r="H1380" s="224" t="s">
        <v>289</v>
      </c>
      <c r="I1380" s="224" t="s">
        <v>15</v>
      </c>
      <c r="J1380" s="224">
        <v>70</v>
      </c>
      <c r="K1380" s="227">
        <f t="array" ref="K1380">IFERROR(INDEX([1]Grille_Tarifs_Modulable!$B$2:$B$204,MATCH(Tableau14[[#This Row],[Designation]]&amp;Tableau14[[#This Row],[CL]],[1]Grille_Tarifs_Modulable!$C$2:$C$204&amp;[1]Grille_Tarifs_Modulable!$F$2:$F$204,0)),0)</f>
        <v>4067700013859</v>
      </c>
      <c r="L1380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12.532563499999998</v>
      </c>
      <c r="M1380" s="228">
        <f>IF(Tableau14[[#This Row],[Prix_Unit_HT]]=0,0,Tableau14[[#This Row],[Prix_Unit_HT]]+(Tableau14[[#This Row],[Prix_Unit_HT]]*VLOOKUP(Tableau14[[#This Row],[EAN]],[1]Grille_Tarifs_Modulable!$B$10:$Q$204,16,FALSE)))</f>
        <v>15.039076199999998</v>
      </c>
      <c r="N1380" s="224">
        <v>480</v>
      </c>
      <c r="O1380" s="228">
        <f>ROUND(Tableau14[[#This Row],[Prix_Unit_HT]],2)*Tableau14[[#This Row],[Qte_commande]]</f>
        <v>6014.4</v>
      </c>
      <c r="P1380" s="228">
        <f>ROUND(Tableau14[[#This Row],[Prix_Unit_TTC]],2)*Tableau14[[#This Row],[Qte_commande]]</f>
        <v>7219.2</v>
      </c>
      <c r="Q1380" s="224">
        <v>480</v>
      </c>
      <c r="R1380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480.00000000000006</v>
      </c>
      <c r="U1380" s="224"/>
      <c r="V1380" s="224"/>
    </row>
    <row r="1381" spans="1:22" ht="14.65" customHeight="1" x14ac:dyDescent="0.2">
      <c r="A1381" s="225">
        <v>43501</v>
      </c>
      <c r="B1381" s="224" t="s">
        <v>340</v>
      </c>
      <c r="C1381" s="224" t="s">
        <v>308</v>
      </c>
      <c r="D1381" s="224" t="s">
        <v>309</v>
      </c>
      <c r="E1381" s="226"/>
      <c r="G1381" s="224" t="s">
        <v>1</v>
      </c>
      <c r="H1381" s="224" t="s">
        <v>289</v>
      </c>
      <c r="I1381" s="224" t="s">
        <v>15</v>
      </c>
      <c r="J1381" s="224">
        <v>100</v>
      </c>
      <c r="K1381" s="227">
        <f t="array" ref="K1381">IFERROR(INDEX([1]Grille_Tarifs_Modulable!$B$2:$B$204,MATCH(Tableau14[[#This Row],[Designation]]&amp;Tableau14[[#This Row],[CL]],[1]Grille_Tarifs_Modulable!$C$2:$C$204&amp;[1]Grille_Tarifs_Modulable!$F$2:$F$204,0)),0)</f>
        <v>4067700013842</v>
      </c>
      <c r="L1381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17.100804999999998</v>
      </c>
      <c r="M1381" s="228">
        <f>IF(Tableau14[[#This Row],[Prix_Unit_HT]]=0,0,Tableau14[[#This Row],[Prix_Unit_HT]]+(Tableau14[[#This Row],[Prix_Unit_HT]]*VLOOKUP(Tableau14[[#This Row],[EAN]],[1]Grille_Tarifs_Modulable!$B$10:$Q$204,16,FALSE)))</f>
        <v>20.520965999999998</v>
      </c>
      <c r="N1381" s="224">
        <v>306</v>
      </c>
      <c r="O1381" s="228">
        <f>ROUND(Tableau14[[#This Row],[Prix_Unit_HT]],2)*Tableau14[[#This Row],[Qte_commande]]</f>
        <v>5232.6000000000004</v>
      </c>
      <c r="P1381" s="228">
        <f>ROUND(Tableau14[[#This Row],[Prix_Unit_TTC]],2)*Tableau14[[#This Row],[Qte_commande]]</f>
        <v>6279.12</v>
      </c>
      <c r="Q1381" s="224">
        <v>437.14</v>
      </c>
      <c r="R1381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437.14285714285717</v>
      </c>
      <c r="U1381" s="224"/>
      <c r="V1381" s="224"/>
    </row>
    <row r="1382" spans="1:22" ht="14.65" customHeight="1" x14ac:dyDescent="0.2">
      <c r="A1382" s="225">
        <v>43501</v>
      </c>
      <c r="B1382" s="224" t="s">
        <v>734</v>
      </c>
      <c r="C1382" s="224" t="s">
        <v>265</v>
      </c>
      <c r="D1382" s="224" t="s">
        <v>266</v>
      </c>
      <c r="E1382" s="226"/>
      <c r="G1382" s="224" t="s">
        <v>1</v>
      </c>
      <c r="H1382" s="224" t="s">
        <v>196</v>
      </c>
      <c r="I1382" s="224" t="s">
        <v>64</v>
      </c>
      <c r="J1382" s="224">
        <v>20</v>
      </c>
      <c r="K1382" s="227">
        <f t="array" ref="K1382">IFERROR(INDEX([1]Grille_Tarifs_Modulable!$B$2:$B$204,MATCH(Tableau14[[#This Row],[Designation]]&amp;Tableau14[[#This Row],[CL]],[1]Grille_Tarifs_Modulable!$C$2:$C$204&amp;[1]Grille_Tarifs_Modulable!$F$2:$F$204,0)),0)</f>
        <v>4260310553849</v>
      </c>
      <c r="L1382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0.81</v>
      </c>
      <c r="M1382" s="228">
        <f>IF(Tableau14[[#This Row],[Prix_Unit_HT]]=0,0,Tableau14[[#This Row],[Prix_Unit_HT]]+(Tableau14[[#This Row],[Prix_Unit_HT]]*VLOOKUP(Tableau14[[#This Row],[EAN]],[1]Grille_Tarifs_Modulable!$B$10:$Q$204,16,FALSE)))</f>
        <v>0.85455000000000003</v>
      </c>
      <c r="N1382" s="224">
        <v>120</v>
      </c>
      <c r="O1382" s="228">
        <f>ROUND(Tableau14[[#This Row],[Prix_Unit_HT]],2)*Tableau14[[#This Row],[Qte_commande]]</f>
        <v>97.2</v>
      </c>
      <c r="P1382" s="228">
        <f>ROUND(Tableau14[[#This Row],[Prix_Unit_TTC]],2)*Tableau14[[#This Row],[Qte_commande]]</f>
        <v>102</v>
      </c>
      <c r="Q1382" s="224">
        <v>34.29</v>
      </c>
      <c r="R1382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34.285714285714285</v>
      </c>
      <c r="U1382" s="224"/>
      <c r="V1382" s="224"/>
    </row>
    <row r="1383" spans="1:22" ht="14.65" customHeight="1" x14ac:dyDescent="0.2">
      <c r="A1383" s="225">
        <v>43501</v>
      </c>
      <c r="B1383" s="224" t="s">
        <v>734</v>
      </c>
      <c r="C1383" s="224" t="s">
        <v>265</v>
      </c>
      <c r="D1383" s="224" t="s">
        <v>266</v>
      </c>
      <c r="E1383" s="226"/>
      <c r="G1383" s="224" t="s">
        <v>1</v>
      </c>
      <c r="H1383" s="224" t="s">
        <v>196</v>
      </c>
      <c r="I1383" s="224" t="s">
        <v>59</v>
      </c>
      <c r="J1383" s="224">
        <v>20</v>
      </c>
      <c r="K1383" s="227">
        <f t="array" ref="K1383">IFERROR(INDEX([1]Grille_Tarifs_Modulable!$B$2:$B$204,MATCH(Tableau14[[#This Row],[Designation]]&amp;Tableau14[[#This Row],[CL]],[1]Grille_Tarifs_Modulable!$C$2:$C$204&amp;[1]Grille_Tarifs_Modulable!$F$2:$F$204,0)),0)</f>
        <v>4260310553818</v>
      </c>
      <c r="L1383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0.81</v>
      </c>
      <c r="M1383" s="228">
        <f>IF(Tableau14[[#This Row],[Prix_Unit_HT]]=0,0,Tableau14[[#This Row],[Prix_Unit_HT]]+(Tableau14[[#This Row],[Prix_Unit_HT]]*VLOOKUP(Tableau14[[#This Row],[EAN]],[1]Grille_Tarifs_Modulable!$B$10:$Q$204,16,FALSE)))</f>
        <v>0.85455000000000003</v>
      </c>
      <c r="N1383" s="224">
        <v>120</v>
      </c>
      <c r="O1383" s="228">
        <f>ROUND(Tableau14[[#This Row],[Prix_Unit_HT]],2)*Tableau14[[#This Row],[Qte_commande]]</f>
        <v>97.2</v>
      </c>
      <c r="P1383" s="228">
        <f>ROUND(Tableau14[[#This Row],[Prix_Unit_TTC]],2)*Tableau14[[#This Row],[Qte_commande]]</f>
        <v>102</v>
      </c>
      <c r="Q1383" s="224">
        <v>34.29</v>
      </c>
      <c r="R1383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34.285714285714285</v>
      </c>
      <c r="U1383" s="224"/>
      <c r="V1383" s="224"/>
    </row>
    <row r="1384" spans="1:22" ht="14.65" customHeight="1" x14ac:dyDescent="0.2">
      <c r="A1384" s="225">
        <v>43503</v>
      </c>
      <c r="B1384" s="224" t="s">
        <v>736</v>
      </c>
      <c r="C1384" s="224" t="s">
        <v>737</v>
      </c>
      <c r="D1384" s="224" t="s">
        <v>209</v>
      </c>
      <c r="E1384" s="226"/>
      <c r="G1384" s="224" t="s">
        <v>1</v>
      </c>
      <c r="H1384" s="224" t="s">
        <v>289</v>
      </c>
      <c r="I1384" s="224" t="s">
        <v>15</v>
      </c>
      <c r="J1384" s="224">
        <v>70</v>
      </c>
      <c r="K1384" s="227">
        <f t="array" ref="K1384">IFERROR(INDEX([1]Grille_Tarifs_Modulable!$B$2:$B$204,MATCH(Tableau14[[#This Row],[Designation]]&amp;Tableau14[[#This Row],[CL]],[1]Grille_Tarifs_Modulable!$C$2:$C$204&amp;[1]Grille_Tarifs_Modulable!$F$2:$F$204,0)),0)</f>
        <v>4067700013859</v>
      </c>
      <c r="L1384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12.532563499999998</v>
      </c>
      <c r="M1384" s="228">
        <f>IF(Tableau14[[#This Row],[Prix_Unit_HT]]=0,0,Tableau14[[#This Row],[Prix_Unit_HT]]+(Tableau14[[#This Row],[Prix_Unit_HT]]*VLOOKUP(Tableau14[[#This Row],[EAN]],[1]Grille_Tarifs_Modulable!$B$10:$Q$204,16,FALSE)))</f>
        <v>15.039076199999998</v>
      </c>
      <c r="N1384" s="224">
        <v>66</v>
      </c>
      <c r="O1384" s="228">
        <f>ROUND(Tableau14[[#This Row],[Prix_Unit_HT]],2)*Tableau14[[#This Row],[Qte_commande]]</f>
        <v>826.9799999999999</v>
      </c>
      <c r="P1384" s="228">
        <f>ROUND(Tableau14[[#This Row],[Prix_Unit_TTC]],2)*Tableau14[[#This Row],[Qte_commande]]</f>
        <v>992.64</v>
      </c>
      <c r="Q1384" s="224">
        <v>66</v>
      </c>
      <c r="R1384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66.000000000000014</v>
      </c>
      <c r="U1384" s="224"/>
      <c r="V1384" s="224"/>
    </row>
    <row r="1385" spans="1:22" ht="14.65" customHeight="1" x14ac:dyDescent="0.2">
      <c r="A1385" s="225">
        <v>43503</v>
      </c>
      <c r="B1385" s="224" t="s">
        <v>736</v>
      </c>
      <c r="C1385" s="224" t="s">
        <v>737</v>
      </c>
      <c r="D1385" s="224" t="s">
        <v>209</v>
      </c>
      <c r="E1385" s="226"/>
      <c r="G1385" s="224" t="s">
        <v>1</v>
      </c>
      <c r="H1385" s="224" t="s">
        <v>289</v>
      </c>
      <c r="I1385" s="224" t="s">
        <v>30</v>
      </c>
      <c r="J1385" s="224">
        <v>70</v>
      </c>
      <c r="K1385" s="227">
        <f t="array" ref="K1385">IFERROR(INDEX([1]Grille_Tarifs_Modulable!$B$2:$B$204,MATCH(Tableau14[[#This Row],[Designation]]&amp;Tableau14[[#This Row],[CL]],[1]Grille_Tarifs_Modulable!$C$2:$C$204&amp;[1]Grille_Tarifs_Modulable!$F$2:$F$204,0)),0)</f>
        <v>3257150101904</v>
      </c>
      <c r="L1385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16.346482999999999</v>
      </c>
      <c r="M1385" s="228">
        <f>IF(Tableau14[[#This Row],[Prix_Unit_HT]]=0,0,Tableau14[[#This Row],[Prix_Unit_HT]]+(Tableau14[[#This Row],[Prix_Unit_HT]]*VLOOKUP(Tableau14[[#This Row],[EAN]],[1]Grille_Tarifs_Modulable!$B$10:$Q$204,16,FALSE)))</f>
        <v>19.6157796</v>
      </c>
      <c r="N1385" s="224">
        <v>12</v>
      </c>
      <c r="O1385" s="228">
        <f>ROUND(Tableau14[[#This Row],[Prix_Unit_HT]],2)*Tableau14[[#This Row],[Qte_commande]]</f>
        <v>196.20000000000002</v>
      </c>
      <c r="P1385" s="228">
        <f>ROUND(Tableau14[[#This Row],[Prix_Unit_TTC]],2)*Tableau14[[#This Row],[Qte_commande]]</f>
        <v>235.44</v>
      </c>
      <c r="Q1385" s="224">
        <v>12</v>
      </c>
      <c r="R1385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12.000000000000002</v>
      </c>
      <c r="U1385" s="224"/>
      <c r="V1385" s="224"/>
    </row>
    <row r="1386" spans="1:22" ht="14.65" customHeight="1" x14ac:dyDescent="0.2">
      <c r="A1386" s="225">
        <v>43503</v>
      </c>
      <c r="B1386" s="224" t="s">
        <v>736</v>
      </c>
      <c r="C1386" s="224" t="s">
        <v>737</v>
      </c>
      <c r="D1386" s="224" t="s">
        <v>209</v>
      </c>
      <c r="E1386" s="226"/>
      <c r="G1386" s="224" t="s">
        <v>1</v>
      </c>
      <c r="H1386" s="224" t="s">
        <v>289</v>
      </c>
      <c r="I1386" s="224" t="s">
        <v>31</v>
      </c>
      <c r="J1386" s="224">
        <v>70</v>
      </c>
      <c r="K1386" s="227">
        <f t="array" ref="K1386">IFERROR(INDEX([1]Grille_Tarifs_Modulable!$B$2:$B$204,MATCH(Tableau14[[#This Row],[Designation]]&amp;Tableau14[[#This Row],[CL]],[1]Grille_Tarifs_Modulable!$C$2:$C$204&amp;[1]Grille_Tarifs_Modulable!$F$2:$F$204,0)),0)</f>
        <v>3257150102017</v>
      </c>
      <c r="L1386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14.694322</v>
      </c>
      <c r="M1386" s="228">
        <f>IF(Tableau14[[#This Row],[Prix_Unit_HT]]=0,0,Tableau14[[#This Row],[Prix_Unit_HT]]+(Tableau14[[#This Row],[Prix_Unit_HT]]*VLOOKUP(Tableau14[[#This Row],[EAN]],[1]Grille_Tarifs_Modulable!$B$10:$Q$204,16,FALSE)))</f>
        <v>17.6331864</v>
      </c>
      <c r="N1386" s="224">
        <v>12</v>
      </c>
      <c r="O1386" s="228">
        <f>ROUND(Tableau14[[#This Row],[Prix_Unit_HT]],2)*Tableau14[[#This Row],[Qte_commande]]</f>
        <v>176.28</v>
      </c>
      <c r="P1386" s="228">
        <f>ROUND(Tableau14[[#This Row],[Prix_Unit_TTC]],2)*Tableau14[[#This Row],[Qte_commande]]</f>
        <v>211.56</v>
      </c>
      <c r="Q1386" s="224">
        <v>12</v>
      </c>
      <c r="R1386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12.000000000000002</v>
      </c>
      <c r="U1386" s="224"/>
      <c r="V1386" s="224"/>
    </row>
    <row r="1387" spans="1:22" ht="14.65" customHeight="1" x14ac:dyDescent="0.2">
      <c r="A1387" s="225">
        <v>43507</v>
      </c>
      <c r="B1387" s="224" t="s">
        <v>417</v>
      </c>
      <c r="C1387" s="224" t="s">
        <v>198</v>
      </c>
      <c r="D1387" s="224" t="s">
        <v>199</v>
      </c>
      <c r="E1387" s="226"/>
      <c r="G1387" s="224" t="s">
        <v>1</v>
      </c>
      <c r="H1387" s="224" t="s">
        <v>289</v>
      </c>
      <c r="I1387" s="224" t="s">
        <v>35</v>
      </c>
      <c r="J1387" s="224">
        <v>70</v>
      </c>
      <c r="K1387" s="227">
        <f t="array" ref="K1387">IFERROR(INDEX([1]Grille_Tarifs_Modulable!$B$2:$B$204,MATCH(Tableau14[[#This Row],[Designation]]&amp;Tableau14[[#This Row],[CL]],[1]Grille_Tarifs_Modulable!$C$2:$C$204&amp;[1]Grille_Tarifs_Modulable!$F$2:$F$204,0)),0)</f>
        <v>3257150107012</v>
      </c>
      <c r="L1387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29.828643999999997</v>
      </c>
      <c r="M1387" s="228">
        <f>IF(Tableau14[[#This Row],[Prix_Unit_HT]]=0,0,Tableau14[[#This Row],[Prix_Unit_HT]]+(Tableau14[[#This Row],[Prix_Unit_HT]]*VLOOKUP(Tableau14[[#This Row],[EAN]],[1]Grille_Tarifs_Modulable!$B$10:$Q$204,16,FALSE)))</f>
        <v>35.794372799999998</v>
      </c>
      <c r="N1387" s="224">
        <v>6</v>
      </c>
      <c r="O1387" s="228">
        <f>ROUND(Tableau14[[#This Row],[Prix_Unit_HT]],2)*Tableau14[[#This Row],[Qte_commande]]</f>
        <v>178.98</v>
      </c>
      <c r="P1387" s="228">
        <f>ROUND(Tableau14[[#This Row],[Prix_Unit_TTC]],2)*Tableau14[[#This Row],[Qte_commande]]</f>
        <v>214.74</v>
      </c>
      <c r="Q1387" s="224">
        <v>6</v>
      </c>
      <c r="R1387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6.0000000000000009</v>
      </c>
      <c r="U1387" s="224"/>
      <c r="V1387" s="224"/>
    </row>
    <row r="1388" spans="1:22" ht="14.65" customHeight="1" x14ac:dyDescent="0.2">
      <c r="A1388" s="225">
        <v>43507</v>
      </c>
      <c r="B1388" s="224" t="s">
        <v>738</v>
      </c>
      <c r="C1388" s="224" t="s">
        <v>530</v>
      </c>
      <c r="D1388" s="224" t="s">
        <v>531</v>
      </c>
      <c r="E1388" s="226"/>
      <c r="G1388" s="224" t="s">
        <v>1</v>
      </c>
      <c r="H1388" s="224" t="s">
        <v>289</v>
      </c>
      <c r="I1388" s="224" t="s">
        <v>15</v>
      </c>
      <c r="J1388" s="224">
        <v>70</v>
      </c>
      <c r="K1388" s="227">
        <f t="array" ref="K1388">IFERROR(INDEX([1]Grille_Tarifs_Modulable!$B$2:$B$204,MATCH(Tableau14[[#This Row],[Designation]]&amp;Tableau14[[#This Row],[CL]],[1]Grille_Tarifs_Modulable!$C$2:$C$204&amp;[1]Grille_Tarifs_Modulable!$F$2:$F$204,0)),0)</f>
        <v>4067700013859</v>
      </c>
      <c r="L1388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12.532563499999998</v>
      </c>
      <c r="M1388" s="228">
        <f>IF(Tableau14[[#This Row],[Prix_Unit_HT]]=0,0,Tableau14[[#This Row],[Prix_Unit_HT]]+(Tableau14[[#This Row],[Prix_Unit_HT]]*VLOOKUP(Tableau14[[#This Row],[EAN]],[1]Grille_Tarifs_Modulable!$B$10:$Q$204,16,FALSE)))</f>
        <v>15.039076199999998</v>
      </c>
      <c r="N1388" s="224">
        <v>174</v>
      </c>
      <c r="O1388" s="228">
        <f>ROUND(Tableau14[[#This Row],[Prix_Unit_HT]],2)*Tableau14[[#This Row],[Qte_commande]]</f>
        <v>2180.2199999999998</v>
      </c>
      <c r="P1388" s="228">
        <f>ROUND(Tableau14[[#This Row],[Prix_Unit_TTC]],2)*Tableau14[[#This Row],[Qte_commande]]</f>
        <v>2616.96</v>
      </c>
      <c r="Q1388" s="224">
        <v>174</v>
      </c>
      <c r="R1388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174</v>
      </c>
      <c r="U1388" s="224"/>
      <c r="V1388" s="224"/>
    </row>
    <row r="1389" spans="1:22" ht="14.65" customHeight="1" x14ac:dyDescent="0.2">
      <c r="A1389" s="225">
        <v>43507</v>
      </c>
      <c r="B1389" s="224" t="s">
        <v>738</v>
      </c>
      <c r="C1389" s="224" t="s">
        <v>530</v>
      </c>
      <c r="D1389" s="224" t="s">
        <v>531</v>
      </c>
      <c r="E1389" s="226"/>
      <c r="G1389" s="224" t="s">
        <v>1</v>
      </c>
      <c r="H1389" s="224" t="s">
        <v>289</v>
      </c>
      <c r="I1389" s="224" t="s">
        <v>15</v>
      </c>
      <c r="J1389" s="224">
        <v>70</v>
      </c>
      <c r="K1389" s="227">
        <f t="array" ref="K1389">IFERROR(INDEX([1]Grille_Tarifs_Modulable!$B$2:$B$204,MATCH(Tableau14[[#This Row],[Designation]]&amp;Tableau14[[#This Row],[CL]],[1]Grille_Tarifs_Modulable!$C$2:$C$204&amp;[1]Grille_Tarifs_Modulable!$F$2:$F$204,0)),0)</f>
        <v>4067700013859</v>
      </c>
      <c r="L1389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12.532563499999998</v>
      </c>
      <c r="M1389" s="228">
        <f>IF(Tableau14[[#This Row],[Prix_Unit_HT]]=0,0,Tableau14[[#This Row],[Prix_Unit_HT]]+(Tableau14[[#This Row],[Prix_Unit_HT]]*VLOOKUP(Tableau14[[#This Row],[EAN]],[1]Grille_Tarifs_Modulable!$B$10:$Q$204,16,FALSE)))</f>
        <v>15.039076199999998</v>
      </c>
      <c r="N1389" s="224">
        <v>66</v>
      </c>
      <c r="O1389" s="228">
        <f>ROUND(Tableau14[[#This Row],[Prix_Unit_HT]],2)*Tableau14[[#This Row],[Qte_commande]]</f>
        <v>826.9799999999999</v>
      </c>
      <c r="P1389" s="228">
        <f>ROUND(Tableau14[[#This Row],[Prix_Unit_TTC]],2)*Tableau14[[#This Row],[Qte_commande]]</f>
        <v>992.64</v>
      </c>
      <c r="Q1389" s="224">
        <v>66</v>
      </c>
      <c r="R1389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66.000000000000014</v>
      </c>
      <c r="U1389" s="224"/>
      <c r="V1389" s="224"/>
    </row>
    <row r="1390" spans="1:22" ht="14.65" customHeight="1" x14ac:dyDescent="0.2">
      <c r="A1390" s="225">
        <v>43507</v>
      </c>
      <c r="B1390" s="224" t="s">
        <v>417</v>
      </c>
      <c r="C1390" s="224" t="s">
        <v>198</v>
      </c>
      <c r="D1390" s="224" t="s">
        <v>199</v>
      </c>
      <c r="E1390" s="226"/>
      <c r="G1390" s="224" t="s">
        <v>1</v>
      </c>
      <c r="H1390" s="224" t="s">
        <v>289</v>
      </c>
      <c r="I1390" s="224" t="s">
        <v>15</v>
      </c>
      <c r="J1390" s="224">
        <v>175</v>
      </c>
      <c r="K1390" s="227">
        <f t="array" ref="K1390">IFERROR(INDEX([1]Grille_Tarifs_Modulable!$B$2:$B$204,MATCH(Tableau14[[#This Row],[Designation]]&amp;Tableau14[[#This Row],[CL]],[1]Grille_Tarifs_Modulable!$C$2:$C$204&amp;[1]Grille_Tarifs_Modulable!$F$2:$F$204,0)),0)</f>
        <v>4067700013835</v>
      </c>
      <c r="L1390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28.916408750000002</v>
      </c>
      <c r="M1390" s="228">
        <f>IF(Tableau14[[#This Row],[Prix_Unit_HT]]=0,0,Tableau14[[#This Row],[Prix_Unit_HT]]+(Tableau14[[#This Row],[Prix_Unit_HT]]*VLOOKUP(Tableau14[[#This Row],[EAN]],[1]Grille_Tarifs_Modulable!$B$10:$Q$204,16,FALSE)))</f>
        <v>34.699690500000003</v>
      </c>
      <c r="N1390" s="224">
        <v>90</v>
      </c>
      <c r="O1390" s="228">
        <f>ROUND(Tableau14[[#This Row],[Prix_Unit_HT]],2)*Tableau14[[#This Row],[Qte_commande]]</f>
        <v>2602.8000000000002</v>
      </c>
      <c r="P1390" s="228">
        <f>ROUND(Tableau14[[#This Row],[Prix_Unit_TTC]],2)*Tableau14[[#This Row],[Qte_commande]]</f>
        <v>3123.0000000000005</v>
      </c>
      <c r="Q1390" s="224">
        <v>225</v>
      </c>
      <c r="R1390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225.00000000000003</v>
      </c>
      <c r="U1390" s="224"/>
      <c r="V1390" s="224"/>
    </row>
    <row r="1391" spans="1:22" ht="14.65" customHeight="1" x14ac:dyDescent="0.2">
      <c r="A1391" s="225">
        <v>43508</v>
      </c>
      <c r="B1391" s="224" t="s">
        <v>277</v>
      </c>
      <c r="C1391" s="224" t="s">
        <v>272</v>
      </c>
      <c r="D1391" s="224" t="s">
        <v>180</v>
      </c>
      <c r="E1391" s="226"/>
      <c r="G1391" s="224" t="s">
        <v>1</v>
      </c>
      <c r="H1391" s="224" t="s">
        <v>196</v>
      </c>
      <c r="I1391" s="224" t="s">
        <v>63</v>
      </c>
      <c r="J1391" s="224">
        <v>20</v>
      </c>
      <c r="K1391" s="227">
        <f t="array" ref="K1391">IFERROR(INDEX([1]Grille_Tarifs_Modulable!$B$2:$B$204,MATCH(Tableau14[[#This Row],[Designation]]&amp;Tableau14[[#This Row],[CL]],[1]Grille_Tarifs_Modulable!$C$2:$C$204&amp;[1]Grille_Tarifs_Modulable!$F$2:$F$204,0)),0)</f>
        <v>4260310552941</v>
      </c>
      <c r="L1391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0.81</v>
      </c>
      <c r="M1391" s="228">
        <f>IF(Tableau14[[#This Row],[Prix_Unit_HT]]=0,0,Tableau14[[#This Row],[Prix_Unit_HT]]+(Tableau14[[#This Row],[Prix_Unit_HT]]*VLOOKUP(Tableau14[[#This Row],[EAN]],[1]Grille_Tarifs_Modulable!$B$10:$Q$204,16,FALSE)))</f>
        <v>0.85455000000000003</v>
      </c>
      <c r="N1391" s="224">
        <v>48</v>
      </c>
      <c r="O1391" s="228">
        <f>ROUND(Tableau14[[#This Row],[Prix_Unit_HT]],2)*Tableau14[[#This Row],[Qte_commande]]</f>
        <v>38.880000000000003</v>
      </c>
      <c r="P1391" s="228">
        <f>ROUND(Tableau14[[#This Row],[Prix_Unit_TTC]],2)*Tableau14[[#This Row],[Qte_commande]]</f>
        <v>40.799999999999997</v>
      </c>
      <c r="Q1391" s="224">
        <v>13.71</v>
      </c>
      <c r="R1391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13.714285714285715</v>
      </c>
      <c r="U1391" s="224"/>
      <c r="V1391" s="224"/>
    </row>
    <row r="1392" spans="1:22" ht="14.65" customHeight="1" x14ac:dyDescent="0.2">
      <c r="A1392" s="225">
        <v>43508</v>
      </c>
      <c r="B1392" s="224" t="s">
        <v>277</v>
      </c>
      <c r="C1392" s="224" t="s">
        <v>272</v>
      </c>
      <c r="D1392" s="224" t="s">
        <v>180</v>
      </c>
      <c r="E1392" s="226"/>
      <c r="G1392" s="224" t="s">
        <v>1</v>
      </c>
      <c r="H1392" s="224" t="s">
        <v>289</v>
      </c>
      <c r="I1392" s="224" t="s">
        <v>35</v>
      </c>
      <c r="J1392" s="224">
        <v>70</v>
      </c>
      <c r="K1392" s="227">
        <f t="array" ref="K1392">IFERROR(INDEX([1]Grille_Tarifs_Modulable!$B$2:$B$204,MATCH(Tableau14[[#This Row],[Designation]]&amp;Tableau14[[#This Row],[CL]],[1]Grille_Tarifs_Modulable!$C$2:$C$204&amp;[1]Grille_Tarifs_Modulable!$F$2:$F$204,0)),0)</f>
        <v>3257150107012</v>
      </c>
      <c r="L1392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29.828643999999997</v>
      </c>
      <c r="M1392" s="228">
        <f>IF(Tableau14[[#This Row],[Prix_Unit_HT]]=0,0,Tableau14[[#This Row],[Prix_Unit_HT]]+(Tableau14[[#This Row],[Prix_Unit_HT]]*VLOOKUP(Tableau14[[#This Row],[EAN]],[1]Grille_Tarifs_Modulable!$B$10:$Q$204,16,FALSE)))</f>
        <v>35.794372799999998</v>
      </c>
      <c r="N1392" s="224">
        <v>12</v>
      </c>
      <c r="O1392" s="228">
        <f>ROUND(Tableau14[[#This Row],[Prix_Unit_HT]],2)*Tableau14[[#This Row],[Qte_commande]]</f>
        <v>357.96</v>
      </c>
      <c r="P1392" s="228">
        <f>ROUND(Tableau14[[#This Row],[Prix_Unit_TTC]],2)*Tableau14[[#This Row],[Qte_commande]]</f>
        <v>429.48</v>
      </c>
      <c r="Q1392" s="224">
        <v>12</v>
      </c>
      <c r="R1392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12.000000000000002</v>
      </c>
      <c r="U1392" s="224"/>
      <c r="V1392" s="224"/>
    </row>
    <row r="1393" spans="1:22" ht="14.65" customHeight="1" x14ac:dyDescent="0.2">
      <c r="A1393" s="225">
        <v>43508</v>
      </c>
      <c r="B1393" s="224" t="s">
        <v>277</v>
      </c>
      <c r="C1393" s="224" t="s">
        <v>272</v>
      </c>
      <c r="D1393" s="224" t="s">
        <v>180</v>
      </c>
      <c r="E1393" s="226"/>
      <c r="G1393" s="224" t="s">
        <v>1</v>
      </c>
      <c r="H1393" s="224" t="s">
        <v>196</v>
      </c>
      <c r="I1393" s="224" t="s">
        <v>60</v>
      </c>
      <c r="J1393" s="224">
        <v>20</v>
      </c>
      <c r="K1393" s="227">
        <f t="array" ref="K1393">IFERROR(INDEX([1]Grille_Tarifs_Modulable!$B$2:$B$204,MATCH(Tableau14[[#This Row],[Designation]]&amp;Tableau14[[#This Row],[CL]],[1]Grille_Tarifs_Modulable!$C$2:$C$204&amp;[1]Grille_Tarifs_Modulable!$F$2:$F$204,0)),0)</f>
        <v>4260310553832</v>
      </c>
      <c r="L1393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0.81</v>
      </c>
      <c r="M1393" s="228">
        <f>IF(Tableau14[[#This Row],[Prix_Unit_HT]]=0,0,Tableau14[[#This Row],[Prix_Unit_HT]]+(Tableau14[[#This Row],[Prix_Unit_HT]]*VLOOKUP(Tableau14[[#This Row],[EAN]],[1]Grille_Tarifs_Modulable!$B$10:$Q$204,16,FALSE)))</f>
        <v>0.85455000000000003</v>
      </c>
      <c r="N1393" s="224">
        <v>24</v>
      </c>
      <c r="O1393" s="228">
        <f>ROUND(Tableau14[[#This Row],[Prix_Unit_HT]],2)*Tableau14[[#This Row],[Qte_commande]]</f>
        <v>19.440000000000001</v>
      </c>
      <c r="P1393" s="228">
        <f>ROUND(Tableau14[[#This Row],[Prix_Unit_TTC]],2)*Tableau14[[#This Row],[Qte_commande]]</f>
        <v>20.399999999999999</v>
      </c>
      <c r="Q1393" s="224">
        <v>6.86</v>
      </c>
      <c r="R1393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6.8571428571428577</v>
      </c>
      <c r="U1393" s="224"/>
      <c r="V1393" s="224"/>
    </row>
    <row r="1394" spans="1:22" ht="14.65" customHeight="1" x14ac:dyDescent="0.2">
      <c r="A1394" s="225">
        <v>43508</v>
      </c>
      <c r="B1394" s="224" t="s">
        <v>277</v>
      </c>
      <c r="C1394" s="224" t="s">
        <v>272</v>
      </c>
      <c r="D1394" s="224" t="s">
        <v>180</v>
      </c>
      <c r="E1394" s="226"/>
      <c r="G1394" s="224" t="s">
        <v>1</v>
      </c>
      <c r="H1394" s="224" t="s">
        <v>289</v>
      </c>
      <c r="I1394" s="224" t="s">
        <v>47</v>
      </c>
      <c r="J1394" s="224">
        <v>70</v>
      </c>
      <c r="K1394" s="227">
        <f t="array" ref="K1394">IFERROR(INDEX([1]Grille_Tarifs_Modulable!$B$2:$B$204,MATCH(Tableau14[[#This Row],[Designation]]&amp;Tableau14[[#This Row],[CL]],[1]Grille_Tarifs_Modulable!$C$2:$C$204&amp;[1]Grille_Tarifs_Modulable!$F$2:$F$204,0)),0)</f>
        <v>3257150673005</v>
      </c>
      <c r="L1394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20.158644000000002</v>
      </c>
      <c r="M1394" s="228">
        <f>IF(Tableau14[[#This Row],[Prix_Unit_HT]]=0,0,Tableau14[[#This Row],[Prix_Unit_HT]]+(Tableau14[[#This Row],[Prix_Unit_HT]]*VLOOKUP(Tableau14[[#This Row],[EAN]],[1]Grille_Tarifs_Modulable!$B$10:$Q$204,16,FALSE)))</f>
        <v>24.190372800000002</v>
      </c>
      <c r="N1394" s="224">
        <v>12</v>
      </c>
      <c r="O1394" s="228">
        <f>ROUND(Tableau14[[#This Row],[Prix_Unit_HT]],2)*Tableau14[[#This Row],[Qte_commande]]</f>
        <v>241.92000000000002</v>
      </c>
      <c r="P1394" s="228">
        <f>ROUND(Tableau14[[#This Row],[Prix_Unit_TTC]],2)*Tableau14[[#This Row],[Qte_commande]]</f>
        <v>290.28000000000003</v>
      </c>
      <c r="Q1394" s="224">
        <v>12</v>
      </c>
      <c r="R1394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12.000000000000002</v>
      </c>
      <c r="U1394" s="224"/>
      <c r="V1394" s="224"/>
    </row>
    <row r="1395" spans="1:22" ht="14.65" customHeight="1" x14ac:dyDescent="0.2">
      <c r="A1395" s="225">
        <v>43508</v>
      </c>
      <c r="B1395" s="224" t="s">
        <v>277</v>
      </c>
      <c r="C1395" s="224" t="s">
        <v>272</v>
      </c>
      <c r="D1395" s="224" t="s">
        <v>180</v>
      </c>
      <c r="E1395" s="226"/>
      <c r="G1395" s="224" t="s">
        <v>1</v>
      </c>
      <c r="H1395" s="224" t="s">
        <v>289</v>
      </c>
      <c r="I1395" s="224" t="s">
        <v>15</v>
      </c>
      <c r="J1395" s="224">
        <v>70</v>
      </c>
      <c r="K1395" s="227">
        <f t="array" ref="K1395">IFERROR(INDEX([1]Grille_Tarifs_Modulable!$B$2:$B$204,MATCH(Tableau14[[#This Row],[Designation]]&amp;Tableau14[[#This Row],[CL]],[1]Grille_Tarifs_Modulable!$C$2:$C$204&amp;[1]Grille_Tarifs_Modulable!$F$2:$F$204,0)),0)</f>
        <v>4067700013859</v>
      </c>
      <c r="L1395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12.532563499999998</v>
      </c>
      <c r="M1395" s="228">
        <f>IF(Tableau14[[#This Row],[Prix_Unit_HT]]=0,0,Tableau14[[#This Row],[Prix_Unit_HT]]+(Tableau14[[#This Row],[Prix_Unit_HT]]*VLOOKUP(Tableau14[[#This Row],[EAN]],[1]Grille_Tarifs_Modulable!$B$10:$Q$204,16,FALSE)))</f>
        <v>15.039076199999998</v>
      </c>
      <c r="N1395" s="224">
        <v>60</v>
      </c>
      <c r="O1395" s="228">
        <f>ROUND(Tableau14[[#This Row],[Prix_Unit_HT]],2)*Tableau14[[#This Row],[Qte_commande]]</f>
        <v>751.8</v>
      </c>
      <c r="P1395" s="228">
        <f>ROUND(Tableau14[[#This Row],[Prix_Unit_TTC]],2)*Tableau14[[#This Row],[Qte_commande]]</f>
        <v>902.4</v>
      </c>
      <c r="Q1395" s="224">
        <v>60</v>
      </c>
      <c r="R1395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60.000000000000007</v>
      </c>
      <c r="U1395" s="224"/>
      <c r="V1395" s="224"/>
    </row>
    <row r="1396" spans="1:22" ht="14.65" customHeight="1" x14ac:dyDescent="0.2">
      <c r="A1396" s="225">
        <v>43508</v>
      </c>
      <c r="B1396" s="224" t="s">
        <v>277</v>
      </c>
      <c r="C1396" s="224" t="s">
        <v>272</v>
      </c>
      <c r="D1396" s="224" t="s">
        <v>180</v>
      </c>
      <c r="E1396" s="226"/>
      <c r="G1396" s="224" t="s">
        <v>1</v>
      </c>
      <c r="H1396" s="224" t="s">
        <v>289</v>
      </c>
      <c r="I1396" s="224" t="s">
        <v>30</v>
      </c>
      <c r="J1396" s="224">
        <v>70</v>
      </c>
      <c r="K1396" s="227">
        <f t="array" ref="K1396">IFERROR(INDEX([1]Grille_Tarifs_Modulable!$B$2:$B$204,MATCH(Tableau14[[#This Row],[Designation]]&amp;Tableau14[[#This Row],[CL]],[1]Grille_Tarifs_Modulable!$C$2:$C$204&amp;[1]Grille_Tarifs_Modulable!$F$2:$F$204,0)),0)</f>
        <v>3257150101904</v>
      </c>
      <c r="L1396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16.346482999999999</v>
      </c>
      <c r="M1396" s="228">
        <f>IF(Tableau14[[#This Row],[Prix_Unit_HT]]=0,0,Tableau14[[#This Row],[Prix_Unit_HT]]+(Tableau14[[#This Row],[Prix_Unit_HT]]*VLOOKUP(Tableau14[[#This Row],[EAN]],[1]Grille_Tarifs_Modulable!$B$10:$Q$204,16,FALSE)))</f>
        <v>19.6157796</v>
      </c>
      <c r="N1396" s="224">
        <v>12</v>
      </c>
      <c r="O1396" s="228">
        <f>ROUND(Tableau14[[#This Row],[Prix_Unit_HT]],2)*Tableau14[[#This Row],[Qte_commande]]</f>
        <v>196.20000000000002</v>
      </c>
      <c r="P1396" s="228">
        <f>ROUND(Tableau14[[#This Row],[Prix_Unit_TTC]],2)*Tableau14[[#This Row],[Qte_commande]]</f>
        <v>235.44</v>
      </c>
      <c r="Q1396" s="224">
        <v>12</v>
      </c>
      <c r="R1396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12.000000000000002</v>
      </c>
      <c r="U1396" s="224"/>
      <c r="V1396" s="224"/>
    </row>
    <row r="1397" spans="1:22" ht="14.65" customHeight="1" x14ac:dyDescent="0.2">
      <c r="A1397" s="225">
        <v>43508</v>
      </c>
      <c r="B1397" s="224" t="s">
        <v>277</v>
      </c>
      <c r="C1397" s="224" t="s">
        <v>272</v>
      </c>
      <c r="D1397" s="224" t="s">
        <v>180</v>
      </c>
      <c r="E1397" s="226"/>
      <c r="G1397" s="224" t="s">
        <v>1</v>
      </c>
      <c r="H1397" s="224" t="s">
        <v>289</v>
      </c>
      <c r="I1397" s="224" t="s">
        <v>32</v>
      </c>
      <c r="J1397" s="224">
        <v>70</v>
      </c>
      <c r="K1397" s="227">
        <f t="array" ref="K1397">IFERROR(INDEX([1]Grille_Tarifs_Modulable!$B$2:$B$204,MATCH(Tableau14[[#This Row],[Designation]]&amp;Tableau14[[#This Row],[CL]],[1]Grille_Tarifs_Modulable!$C$2:$C$204&amp;[1]Grille_Tarifs_Modulable!$F$2:$F$204,0)),0)</f>
        <v>3257150100228</v>
      </c>
      <c r="L1397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19.998643999999999</v>
      </c>
      <c r="M1397" s="228">
        <f>IF(Tableau14[[#This Row],[Prix_Unit_HT]]=0,0,Tableau14[[#This Row],[Prix_Unit_HT]]+(Tableau14[[#This Row],[Prix_Unit_HT]]*VLOOKUP(Tableau14[[#This Row],[EAN]],[1]Grille_Tarifs_Modulable!$B$10:$Q$204,16,FALSE)))</f>
        <v>23.998372799999999</v>
      </c>
      <c r="N1397" s="224">
        <v>18</v>
      </c>
      <c r="O1397" s="228">
        <f>ROUND(Tableau14[[#This Row],[Prix_Unit_HT]],2)*Tableau14[[#This Row],[Qte_commande]]</f>
        <v>360</v>
      </c>
      <c r="P1397" s="228">
        <f>ROUND(Tableau14[[#This Row],[Prix_Unit_TTC]],2)*Tableau14[[#This Row],[Qte_commande]]</f>
        <v>432</v>
      </c>
      <c r="Q1397" s="224">
        <v>18</v>
      </c>
      <c r="R1397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18</v>
      </c>
      <c r="U1397" s="224"/>
      <c r="V1397" s="224"/>
    </row>
    <row r="1398" spans="1:22" ht="14.65" customHeight="1" x14ac:dyDescent="0.2">
      <c r="A1398" s="225">
        <v>43508</v>
      </c>
      <c r="B1398" s="224" t="s">
        <v>277</v>
      </c>
      <c r="C1398" s="224" t="s">
        <v>272</v>
      </c>
      <c r="D1398" s="224" t="s">
        <v>180</v>
      </c>
      <c r="E1398" s="226"/>
      <c r="G1398" s="224" t="s">
        <v>1</v>
      </c>
      <c r="H1398" s="224" t="s">
        <v>289</v>
      </c>
      <c r="I1398" s="224" t="s">
        <v>36</v>
      </c>
      <c r="J1398" s="224">
        <v>70</v>
      </c>
      <c r="K1398" s="227">
        <f t="array" ref="K1398">IFERROR(INDEX([1]Grille_Tarifs_Modulable!$B$2:$B$204,MATCH(Tableau14[[#This Row],[Designation]]&amp;Tableau14[[#This Row],[CL]],[1]Grille_Tarifs_Modulable!$C$2:$C$204&amp;[1]Grille_Tarifs_Modulable!$F$2:$F$204,0)),0)</f>
        <v>3257150100792</v>
      </c>
      <c r="L1398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71.40864400000001</v>
      </c>
      <c r="M1398" s="228">
        <f>IF(Tableau14[[#This Row],[Prix_Unit_HT]]=0,0,Tableau14[[#This Row],[Prix_Unit_HT]]+(Tableau14[[#This Row],[Prix_Unit_HT]]*VLOOKUP(Tableau14[[#This Row],[EAN]],[1]Grille_Tarifs_Modulable!$B$10:$Q$204,16,FALSE)))</f>
        <v>85.690372800000006</v>
      </c>
      <c r="N1398" s="224">
        <v>6</v>
      </c>
      <c r="O1398" s="228">
        <f>ROUND(Tableau14[[#This Row],[Prix_Unit_HT]],2)*Tableau14[[#This Row],[Qte_commande]]</f>
        <v>428.46</v>
      </c>
      <c r="P1398" s="228">
        <f>ROUND(Tableau14[[#This Row],[Prix_Unit_TTC]],2)*Tableau14[[#This Row],[Qte_commande]]</f>
        <v>514.14</v>
      </c>
      <c r="Q1398" s="224">
        <v>6</v>
      </c>
      <c r="R1398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6.0000000000000009</v>
      </c>
      <c r="U1398" s="224"/>
      <c r="V1398" s="224"/>
    </row>
    <row r="1399" spans="1:22" ht="14.65" customHeight="1" x14ac:dyDescent="0.2">
      <c r="A1399" s="225">
        <v>43508</v>
      </c>
      <c r="B1399" s="224" t="s">
        <v>277</v>
      </c>
      <c r="C1399" s="224" t="s">
        <v>272</v>
      </c>
      <c r="D1399" s="224" t="s">
        <v>180</v>
      </c>
      <c r="E1399" s="226"/>
      <c r="G1399" s="224" t="s">
        <v>1</v>
      </c>
      <c r="H1399" s="224" t="s">
        <v>196</v>
      </c>
      <c r="I1399" s="224" t="s">
        <v>64</v>
      </c>
      <c r="J1399" s="224">
        <v>20</v>
      </c>
      <c r="K1399" s="227">
        <f t="array" ref="K1399">IFERROR(INDEX([1]Grille_Tarifs_Modulable!$B$2:$B$204,MATCH(Tableau14[[#This Row],[Designation]]&amp;Tableau14[[#This Row],[CL]],[1]Grille_Tarifs_Modulable!$C$2:$C$204&amp;[1]Grille_Tarifs_Modulable!$F$2:$F$204,0)),0)</f>
        <v>4260310553849</v>
      </c>
      <c r="L1399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0.81</v>
      </c>
      <c r="M1399" s="228">
        <f>IF(Tableau14[[#This Row],[Prix_Unit_HT]]=0,0,Tableau14[[#This Row],[Prix_Unit_HT]]+(Tableau14[[#This Row],[Prix_Unit_HT]]*VLOOKUP(Tableau14[[#This Row],[EAN]],[1]Grille_Tarifs_Modulable!$B$10:$Q$204,16,FALSE)))</f>
        <v>0.85455000000000003</v>
      </c>
      <c r="N1399" s="224">
        <v>48</v>
      </c>
      <c r="O1399" s="228">
        <f>ROUND(Tableau14[[#This Row],[Prix_Unit_HT]],2)*Tableau14[[#This Row],[Qte_commande]]</f>
        <v>38.880000000000003</v>
      </c>
      <c r="P1399" s="228">
        <f>ROUND(Tableau14[[#This Row],[Prix_Unit_TTC]],2)*Tableau14[[#This Row],[Qte_commande]]</f>
        <v>40.799999999999997</v>
      </c>
      <c r="Q1399" s="224">
        <v>13.71</v>
      </c>
      <c r="R1399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13.714285714285715</v>
      </c>
      <c r="U1399" s="224"/>
      <c r="V1399" s="224"/>
    </row>
    <row r="1400" spans="1:22" ht="14.65" customHeight="1" x14ac:dyDescent="0.2">
      <c r="A1400" s="225">
        <v>43511</v>
      </c>
      <c r="B1400" s="224" t="s">
        <v>245</v>
      </c>
      <c r="C1400" s="224" t="s">
        <v>214</v>
      </c>
      <c r="D1400" s="224" t="s">
        <v>215</v>
      </c>
      <c r="E1400" s="226"/>
      <c r="G1400" s="224" t="s">
        <v>1</v>
      </c>
      <c r="H1400" s="224" t="s">
        <v>196</v>
      </c>
      <c r="I1400" s="224" t="s">
        <v>62</v>
      </c>
      <c r="J1400" s="224">
        <v>20</v>
      </c>
      <c r="K1400" s="227">
        <f t="array" ref="K1400">IFERROR(INDEX([1]Grille_Tarifs_Modulable!$B$2:$B$204,MATCH(Tableau14[[#This Row],[Designation]]&amp;Tableau14[[#This Row],[CL]],[1]Grille_Tarifs_Modulable!$C$2:$C$204&amp;[1]Grille_Tarifs_Modulable!$F$2:$F$204,0)),0)</f>
        <v>4260310550305</v>
      </c>
      <c r="L1400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0.81</v>
      </c>
      <c r="M1400" s="228">
        <f>IF(Tableau14[[#This Row],[Prix_Unit_HT]]=0,0,Tableau14[[#This Row],[Prix_Unit_HT]]+(Tableau14[[#This Row],[Prix_Unit_HT]]*VLOOKUP(Tableau14[[#This Row],[EAN]],[1]Grille_Tarifs_Modulable!$B$10:$Q$204,16,FALSE)))</f>
        <v>0.85455000000000003</v>
      </c>
      <c r="N1400" s="224">
        <v>48</v>
      </c>
      <c r="O1400" s="228">
        <f>ROUND(Tableau14[[#This Row],[Prix_Unit_HT]],2)*Tableau14[[#This Row],[Qte_commande]]</f>
        <v>38.880000000000003</v>
      </c>
      <c r="P1400" s="228">
        <f>ROUND(Tableau14[[#This Row],[Prix_Unit_TTC]],2)*Tableau14[[#This Row],[Qte_commande]]</f>
        <v>40.799999999999997</v>
      </c>
      <c r="Q1400" s="224">
        <v>13.71</v>
      </c>
      <c r="R1400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13.714285714285715</v>
      </c>
      <c r="U1400" s="224"/>
      <c r="V1400" s="224"/>
    </row>
    <row r="1401" spans="1:22" ht="14.65" customHeight="1" x14ac:dyDescent="0.2">
      <c r="A1401" s="225">
        <v>43511</v>
      </c>
      <c r="B1401" s="224" t="s">
        <v>245</v>
      </c>
      <c r="C1401" s="224" t="s">
        <v>214</v>
      </c>
      <c r="D1401" s="224" t="s">
        <v>215</v>
      </c>
      <c r="E1401" s="226"/>
      <c r="G1401" s="224" t="s">
        <v>1</v>
      </c>
      <c r="H1401" s="224" t="s">
        <v>196</v>
      </c>
      <c r="I1401" s="224" t="s">
        <v>63</v>
      </c>
      <c r="J1401" s="224">
        <v>20</v>
      </c>
      <c r="K1401" s="227">
        <f t="array" ref="K1401">IFERROR(INDEX([1]Grille_Tarifs_Modulable!$B$2:$B$204,MATCH(Tableau14[[#This Row],[Designation]]&amp;Tableau14[[#This Row],[CL]],[1]Grille_Tarifs_Modulable!$C$2:$C$204&amp;[1]Grille_Tarifs_Modulable!$F$2:$F$204,0)),0)</f>
        <v>4260310552941</v>
      </c>
      <c r="L1401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0.81</v>
      </c>
      <c r="M1401" s="228">
        <f>IF(Tableau14[[#This Row],[Prix_Unit_HT]]=0,0,Tableau14[[#This Row],[Prix_Unit_HT]]+(Tableau14[[#This Row],[Prix_Unit_HT]]*VLOOKUP(Tableau14[[#This Row],[EAN]],[1]Grille_Tarifs_Modulable!$B$10:$Q$204,16,FALSE)))</f>
        <v>0.85455000000000003</v>
      </c>
      <c r="N1401" s="224">
        <v>24</v>
      </c>
      <c r="O1401" s="228">
        <f>ROUND(Tableau14[[#This Row],[Prix_Unit_HT]],2)*Tableau14[[#This Row],[Qte_commande]]</f>
        <v>19.440000000000001</v>
      </c>
      <c r="P1401" s="228">
        <f>ROUND(Tableau14[[#This Row],[Prix_Unit_TTC]],2)*Tableau14[[#This Row],[Qte_commande]]</f>
        <v>20.399999999999999</v>
      </c>
      <c r="Q1401" s="224">
        <v>6.86</v>
      </c>
      <c r="R1401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6.8571428571428577</v>
      </c>
      <c r="U1401" s="224"/>
      <c r="V1401" s="224"/>
    </row>
    <row r="1402" spans="1:22" ht="14.65" customHeight="1" x14ac:dyDescent="0.2">
      <c r="A1402" s="225">
        <v>43511</v>
      </c>
      <c r="B1402" s="224" t="s">
        <v>245</v>
      </c>
      <c r="C1402" s="224" t="s">
        <v>214</v>
      </c>
      <c r="D1402" s="224" t="s">
        <v>215</v>
      </c>
      <c r="E1402" s="226"/>
      <c r="G1402" s="224" t="s">
        <v>1</v>
      </c>
      <c r="H1402" s="224" t="s">
        <v>196</v>
      </c>
      <c r="I1402" s="224" t="s">
        <v>65</v>
      </c>
      <c r="J1402" s="224">
        <v>20</v>
      </c>
      <c r="K1402" s="227">
        <f t="array" ref="K1402">IFERROR(INDEX([1]Grille_Tarifs_Modulable!$B$2:$B$204,MATCH(Tableau14[[#This Row],[Designation]]&amp;Tableau14[[#This Row],[CL]],[1]Grille_Tarifs_Modulable!$C$2:$C$204&amp;[1]Grille_Tarifs_Modulable!$F$2:$F$204,0)),0)</f>
        <v>4260310553863</v>
      </c>
      <c r="L1402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0.81</v>
      </c>
      <c r="M1402" s="228">
        <f>IF(Tableau14[[#This Row],[Prix_Unit_HT]]=0,0,Tableau14[[#This Row],[Prix_Unit_HT]]+(Tableau14[[#This Row],[Prix_Unit_HT]]*VLOOKUP(Tableau14[[#This Row],[EAN]],[1]Grille_Tarifs_Modulable!$B$10:$Q$204,16,FALSE)))</f>
        <v>0.85455000000000003</v>
      </c>
      <c r="N1402" s="224">
        <v>24</v>
      </c>
      <c r="O1402" s="228">
        <f>ROUND(Tableau14[[#This Row],[Prix_Unit_HT]],2)*Tableau14[[#This Row],[Qte_commande]]</f>
        <v>19.440000000000001</v>
      </c>
      <c r="P1402" s="228">
        <f>ROUND(Tableau14[[#This Row],[Prix_Unit_TTC]],2)*Tableau14[[#This Row],[Qte_commande]]</f>
        <v>20.399999999999999</v>
      </c>
      <c r="Q1402" s="224">
        <v>6.86</v>
      </c>
      <c r="R1402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6.8571428571428577</v>
      </c>
      <c r="U1402" s="224"/>
      <c r="V1402" s="224"/>
    </row>
    <row r="1403" spans="1:22" ht="14.65" customHeight="1" x14ac:dyDescent="0.2">
      <c r="A1403" s="225">
        <v>43511</v>
      </c>
      <c r="B1403" s="224" t="s">
        <v>245</v>
      </c>
      <c r="C1403" s="224" t="s">
        <v>214</v>
      </c>
      <c r="D1403" s="224" t="s">
        <v>215</v>
      </c>
      <c r="E1403" s="226"/>
      <c r="G1403" s="224" t="s">
        <v>1</v>
      </c>
      <c r="H1403" s="224" t="s">
        <v>196</v>
      </c>
      <c r="I1403" s="224" t="s">
        <v>60</v>
      </c>
      <c r="J1403" s="224">
        <v>20</v>
      </c>
      <c r="K1403" s="227">
        <f t="array" ref="K1403">IFERROR(INDEX([1]Grille_Tarifs_Modulable!$B$2:$B$204,MATCH(Tableau14[[#This Row],[Designation]]&amp;Tableau14[[#This Row],[CL]],[1]Grille_Tarifs_Modulable!$C$2:$C$204&amp;[1]Grille_Tarifs_Modulable!$F$2:$F$204,0)),0)</f>
        <v>4260310553832</v>
      </c>
      <c r="L1403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0.81</v>
      </c>
      <c r="M1403" s="228">
        <f>IF(Tableau14[[#This Row],[Prix_Unit_HT]]=0,0,Tableau14[[#This Row],[Prix_Unit_HT]]+(Tableau14[[#This Row],[Prix_Unit_HT]]*VLOOKUP(Tableau14[[#This Row],[EAN]],[1]Grille_Tarifs_Modulable!$B$10:$Q$204,16,FALSE)))</f>
        <v>0.85455000000000003</v>
      </c>
      <c r="N1403" s="224">
        <v>48</v>
      </c>
      <c r="O1403" s="228">
        <f>ROUND(Tableau14[[#This Row],[Prix_Unit_HT]],2)*Tableau14[[#This Row],[Qte_commande]]</f>
        <v>38.880000000000003</v>
      </c>
      <c r="P1403" s="228">
        <f>ROUND(Tableau14[[#This Row],[Prix_Unit_TTC]],2)*Tableau14[[#This Row],[Qte_commande]]</f>
        <v>40.799999999999997</v>
      </c>
      <c r="Q1403" s="224">
        <v>13.71</v>
      </c>
      <c r="R1403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13.714285714285715</v>
      </c>
      <c r="U1403" s="224"/>
      <c r="V1403" s="224"/>
    </row>
    <row r="1404" spans="1:22" ht="14.65" customHeight="1" x14ac:dyDescent="0.2">
      <c r="A1404" s="225">
        <v>43511</v>
      </c>
      <c r="B1404" s="224" t="s">
        <v>739</v>
      </c>
      <c r="C1404" s="224" t="s">
        <v>542</v>
      </c>
      <c r="D1404" s="224" t="s">
        <v>209</v>
      </c>
      <c r="E1404" s="226"/>
      <c r="G1404" s="224" t="s">
        <v>1</v>
      </c>
      <c r="H1404" s="224" t="s">
        <v>289</v>
      </c>
      <c r="I1404" s="224" t="s">
        <v>15</v>
      </c>
      <c r="J1404" s="224">
        <v>175</v>
      </c>
      <c r="K1404" s="227">
        <f t="array" ref="K1404">IFERROR(INDEX([1]Grille_Tarifs_Modulable!$B$2:$B$204,MATCH(Tableau14[[#This Row],[Designation]]&amp;Tableau14[[#This Row],[CL]],[1]Grille_Tarifs_Modulable!$C$2:$C$204&amp;[1]Grille_Tarifs_Modulable!$F$2:$F$204,0)),0)</f>
        <v>4067700013835</v>
      </c>
      <c r="L1404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28.916408750000002</v>
      </c>
      <c r="M1404" s="228">
        <f>IF(Tableau14[[#This Row],[Prix_Unit_HT]]=0,0,Tableau14[[#This Row],[Prix_Unit_HT]]+(Tableau14[[#This Row],[Prix_Unit_HT]]*VLOOKUP(Tableau14[[#This Row],[EAN]],[1]Grille_Tarifs_Modulable!$B$10:$Q$204,16,FALSE)))</f>
        <v>34.699690500000003</v>
      </c>
      <c r="N1404" s="224">
        <v>12</v>
      </c>
      <c r="O1404" s="228">
        <f>ROUND(Tableau14[[#This Row],[Prix_Unit_HT]],2)*Tableau14[[#This Row],[Qte_commande]]</f>
        <v>347.04</v>
      </c>
      <c r="P1404" s="228">
        <f>ROUND(Tableau14[[#This Row],[Prix_Unit_TTC]],2)*Tableau14[[#This Row],[Qte_commande]]</f>
        <v>416.40000000000003</v>
      </c>
      <c r="Q1404" s="224">
        <v>30</v>
      </c>
      <c r="R1404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30.000000000000004</v>
      </c>
      <c r="U1404" s="224"/>
      <c r="V1404" s="224"/>
    </row>
    <row r="1405" spans="1:22" ht="14.65" customHeight="1" x14ac:dyDescent="0.2">
      <c r="A1405" s="225">
        <v>43511</v>
      </c>
      <c r="B1405" s="224" t="s">
        <v>245</v>
      </c>
      <c r="C1405" s="224" t="s">
        <v>214</v>
      </c>
      <c r="D1405" s="224" t="s">
        <v>215</v>
      </c>
      <c r="E1405" s="226"/>
      <c r="G1405" s="224" t="s">
        <v>13</v>
      </c>
      <c r="H1405" s="224" t="s">
        <v>196</v>
      </c>
      <c r="I1405" s="224" t="s">
        <v>66</v>
      </c>
      <c r="J1405" s="224">
        <v>20</v>
      </c>
      <c r="K1405" s="227">
        <f t="array" ref="K1405">IFERROR(INDEX([1]Grille_Tarifs_Modulable!$B$2:$B$204,MATCH(Tableau14[[#This Row],[Designation]]&amp;Tableau14[[#This Row],[CL]],[1]Grille_Tarifs_Modulable!$C$2:$C$204&amp;[1]Grille_Tarifs_Modulable!$F$2:$F$204,0)),0)</f>
        <v>4260310554785</v>
      </c>
      <c r="L1405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0.89</v>
      </c>
      <c r="M1405" s="228">
        <f>IF(Tableau14[[#This Row],[Prix_Unit_HT]]=0,0,Tableau14[[#This Row],[Prix_Unit_HT]]+(Tableau14[[#This Row],[Prix_Unit_HT]]*VLOOKUP(Tableau14[[#This Row],[EAN]],[1]Grille_Tarifs_Modulable!$B$10:$Q$204,16,FALSE)))</f>
        <v>0.93895000000000006</v>
      </c>
      <c r="N1405" s="224">
        <v>48</v>
      </c>
      <c r="O1405" s="228">
        <f>ROUND(Tableau14[[#This Row],[Prix_Unit_HT]],2)*Tableau14[[#This Row],[Qte_commande]]</f>
        <v>42.72</v>
      </c>
      <c r="P1405" s="228">
        <f>ROUND(Tableau14[[#This Row],[Prix_Unit_TTC]],2)*Tableau14[[#This Row],[Qte_commande]]</f>
        <v>45.12</v>
      </c>
      <c r="Q1405" s="224">
        <v>13.71</v>
      </c>
      <c r="R1405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13.714285714285715</v>
      </c>
      <c r="U1405" s="224"/>
      <c r="V1405" s="224"/>
    </row>
    <row r="1406" spans="1:22" ht="14.65" customHeight="1" x14ac:dyDescent="0.2">
      <c r="A1406" s="225">
        <v>43511</v>
      </c>
      <c r="B1406" s="224" t="s">
        <v>739</v>
      </c>
      <c r="C1406" s="224" t="s">
        <v>542</v>
      </c>
      <c r="D1406" s="224" t="s">
        <v>209</v>
      </c>
      <c r="E1406" s="226"/>
      <c r="G1406" s="224" t="s">
        <v>13</v>
      </c>
      <c r="H1406" s="224" t="s">
        <v>289</v>
      </c>
      <c r="I1406" s="224" t="s">
        <v>931</v>
      </c>
      <c r="J1406" s="224">
        <v>100</v>
      </c>
      <c r="K1406" s="227">
        <f t="array" ref="K1406">IFERROR(INDEX([1]Grille_Tarifs_Modulable!$B$2:$B$204,MATCH(Tableau14[[#This Row],[Designation]]&amp;Tableau14[[#This Row],[CL]],[1]Grille_Tarifs_Modulable!$C$2:$C$204&amp;[1]Grille_Tarifs_Modulable!$F$2:$F$204,0)),0)</f>
        <v>0</v>
      </c>
      <c r="L1406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</v>
      </c>
      <c r="M1406" s="228">
        <f>IF(Tableau14[[#This Row],[Prix_Unit_HT]]=0,0,Tableau14[[#This Row],[Prix_Unit_HT]]+(Tableau14[[#This Row],[Prix_Unit_HT]]*VLOOKUP(Tableau14[[#This Row],[EAN]],[1]Grille_Tarifs_Modulable!$B$10:$Q$204,16,FALSE)))</f>
        <v>0</v>
      </c>
      <c r="N1406" s="224">
        <v>36</v>
      </c>
      <c r="O1406" s="228">
        <f>ROUND(Tableau14[[#This Row],[Prix_Unit_HT]],2)*Tableau14[[#This Row],[Qte_commande]]</f>
        <v>0</v>
      </c>
      <c r="P1406" s="228">
        <f>ROUND(Tableau14[[#This Row],[Prix_Unit_TTC]],2)*Tableau14[[#This Row],[Qte_commande]]</f>
        <v>0</v>
      </c>
      <c r="Q1406" s="224">
        <v>51.43</v>
      </c>
      <c r="R1406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51.428571428571431</v>
      </c>
      <c r="U1406" s="224"/>
      <c r="V1406" s="224"/>
    </row>
    <row r="1407" spans="1:22" ht="14.65" customHeight="1" x14ac:dyDescent="0.2">
      <c r="A1407" s="225">
        <v>43511</v>
      </c>
      <c r="B1407" s="224" t="s">
        <v>245</v>
      </c>
      <c r="C1407" s="224" t="s">
        <v>214</v>
      </c>
      <c r="D1407" s="224" t="s">
        <v>215</v>
      </c>
      <c r="E1407" s="226"/>
      <c r="G1407" s="224" t="s">
        <v>1</v>
      </c>
      <c r="H1407" s="224" t="s">
        <v>196</v>
      </c>
      <c r="I1407" s="224" t="s">
        <v>64</v>
      </c>
      <c r="J1407" s="224">
        <v>20</v>
      </c>
      <c r="K1407" s="227">
        <f t="array" ref="K1407">IFERROR(INDEX([1]Grille_Tarifs_Modulable!$B$2:$B$204,MATCH(Tableau14[[#This Row],[Designation]]&amp;Tableau14[[#This Row],[CL]],[1]Grille_Tarifs_Modulable!$C$2:$C$204&amp;[1]Grille_Tarifs_Modulable!$F$2:$F$204,0)),0)</f>
        <v>4260310553849</v>
      </c>
      <c r="L1407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0.81</v>
      </c>
      <c r="M1407" s="228">
        <f>IF(Tableau14[[#This Row],[Prix_Unit_HT]]=0,0,Tableau14[[#This Row],[Prix_Unit_HT]]+(Tableau14[[#This Row],[Prix_Unit_HT]]*VLOOKUP(Tableau14[[#This Row],[EAN]],[1]Grille_Tarifs_Modulable!$B$10:$Q$204,16,FALSE)))</f>
        <v>0.85455000000000003</v>
      </c>
      <c r="N1407" s="224">
        <v>120</v>
      </c>
      <c r="O1407" s="228">
        <f>ROUND(Tableau14[[#This Row],[Prix_Unit_HT]],2)*Tableau14[[#This Row],[Qte_commande]]</f>
        <v>97.2</v>
      </c>
      <c r="P1407" s="228">
        <f>ROUND(Tableau14[[#This Row],[Prix_Unit_TTC]],2)*Tableau14[[#This Row],[Qte_commande]]</f>
        <v>102</v>
      </c>
      <c r="Q1407" s="224">
        <v>34.29</v>
      </c>
      <c r="R1407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34.285714285714285</v>
      </c>
      <c r="U1407" s="224"/>
      <c r="V1407" s="224"/>
    </row>
    <row r="1408" spans="1:22" ht="14.65" customHeight="1" x14ac:dyDescent="0.2">
      <c r="A1408" s="225">
        <v>43511</v>
      </c>
      <c r="B1408" s="224" t="s">
        <v>245</v>
      </c>
      <c r="C1408" s="224" t="s">
        <v>214</v>
      </c>
      <c r="D1408" s="224" t="s">
        <v>215</v>
      </c>
      <c r="E1408" s="226"/>
      <c r="G1408" s="224" t="s">
        <v>1</v>
      </c>
      <c r="H1408" s="224" t="s">
        <v>196</v>
      </c>
      <c r="I1408" s="224" t="s">
        <v>59</v>
      </c>
      <c r="J1408" s="224">
        <v>20</v>
      </c>
      <c r="K1408" s="227">
        <f t="array" ref="K1408">IFERROR(INDEX([1]Grille_Tarifs_Modulable!$B$2:$B$204,MATCH(Tableau14[[#This Row],[Designation]]&amp;Tableau14[[#This Row],[CL]],[1]Grille_Tarifs_Modulable!$C$2:$C$204&amp;[1]Grille_Tarifs_Modulable!$F$2:$F$204,0)),0)</f>
        <v>4260310553818</v>
      </c>
      <c r="L1408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0.81</v>
      </c>
      <c r="M1408" s="228">
        <f>IF(Tableau14[[#This Row],[Prix_Unit_HT]]=0,0,Tableau14[[#This Row],[Prix_Unit_HT]]+(Tableau14[[#This Row],[Prix_Unit_HT]]*VLOOKUP(Tableau14[[#This Row],[EAN]],[1]Grille_Tarifs_Modulable!$B$10:$Q$204,16,FALSE)))</f>
        <v>0.85455000000000003</v>
      </c>
      <c r="N1408" s="224">
        <v>192</v>
      </c>
      <c r="O1408" s="228">
        <f>ROUND(Tableau14[[#This Row],[Prix_Unit_HT]],2)*Tableau14[[#This Row],[Qte_commande]]</f>
        <v>155.52000000000001</v>
      </c>
      <c r="P1408" s="228">
        <f>ROUND(Tableau14[[#This Row],[Prix_Unit_TTC]],2)*Tableau14[[#This Row],[Qte_commande]]</f>
        <v>163.19999999999999</v>
      </c>
      <c r="Q1408" s="224">
        <v>54.86</v>
      </c>
      <c r="R1408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54.857142857142861</v>
      </c>
      <c r="U1408" s="224"/>
      <c r="V1408" s="224"/>
    </row>
    <row r="1409" spans="1:22" ht="14.65" customHeight="1" x14ac:dyDescent="0.2">
      <c r="A1409" s="225">
        <v>43515</v>
      </c>
      <c r="B1409" s="224" t="s">
        <v>278</v>
      </c>
      <c r="C1409" s="224" t="s">
        <v>265</v>
      </c>
      <c r="D1409" s="224" t="s">
        <v>266</v>
      </c>
      <c r="E1409" s="226"/>
      <c r="G1409" s="224" t="s">
        <v>1</v>
      </c>
      <c r="H1409" s="224" t="s">
        <v>196</v>
      </c>
      <c r="I1409" s="224" t="s">
        <v>63</v>
      </c>
      <c r="J1409" s="224">
        <v>20</v>
      </c>
      <c r="K1409" s="227">
        <f t="array" ref="K1409">IFERROR(INDEX([1]Grille_Tarifs_Modulable!$B$2:$B$204,MATCH(Tableau14[[#This Row],[Designation]]&amp;Tableau14[[#This Row],[CL]],[1]Grille_Tarifs_Modulable!$C$2:$C$204&amp;[1]Grille_Tarifs_Modulable!$F$2:$F$204,0)),0)</f>
        <v>4260310552941</v>
      </c>
      <c r="L1409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0.81</v>
      </c>
      <c r="M1409" s="228">
        <f>IF(Tableau14[[#This Row],[Prix_Unit_HT]]=0,0,Tableau14[[#This Row],[Prix_Unit_HT]]+(Tableau14[[#This Row],[Prix_Unit_HT]]*VLOOKUP(Tableau14[[#This Row],[EAN]],[1]Grille_Tarifs_Modulable!$B$10:$Q$204,16,FALSE)))</f>
        <v>0.85455000000000003</v>
      </c>
      <c r="N1409" s="224">
        <v>96</v>
      </c>
      <c r="O1409" s="228">
        <f>ROUND(Tableau14[[#This Row],[Prix_Unit_HT]],2)*Tableau14[[#This Row],[Qte_commande]]</f>
        <v>77.760000000000005</v>
      </c>
      <c r="P1409" s="228">
        <f>ROUND(Tableau14[[#This Row],[Prix_Unit_TTC]],2)*Tableau14[[#This Row],[Qte_commande]]</f>
        <v>81.599999999999994</v>
      </c>
      <c r="Q1409" s="224">
        <v>27.43</v>
      </c>
      <c r="R1409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27.428571428571431</v>
      </c>
      <c r="U1409" s="224"/>
      <c r="V1409" s="224"/>
    </row>
    <row r="1410" spans="1:22" ht="14.65" customHeight="1" x14ac:dyDescent="0.2">
      <c r="A1410" s="225">
        <v>43515</v>
      </c>
      <c r="B1410" s="224" t="s">
        <v>278</v>
      </c>
      <c r="C1410" s="224" t="s">
        <v>265</v>
      </c>
      <c r="D1410" s="224" t="s">
        <v>266</v>
      </c>
      <c r="E1410" s="226"/>
      <c r="G1410" s="224" t="s">
        <v>1</v>
      </c>
      <c r="H1410" s="224" t="s">
        <v>289</v>
      </c>
      <c r="I1410" s="224" t="s">
        <v>15</v>
      </c>
      <c r="J1410" s="224">
        <v>70</v>
      </c>
      <c r="K1410" s="227">
        <f t="array" ref="K1410">IFERROR(INDEX([1]Grille_Tarifs_Modulable!$B$2:$B$204,MATCH(Tableau14[[#This Row],[Designation]]&amp;Tableau14[[#This Row],[CL]],[1]Grille_Tarifs_Modulable!$C$2:$C$204&amp;[1]Grille_Tarifs_Modulable!$F$2:$F$204,0)),0)</f>
        <v>4067700013859</v>
      </c>
      <c r="L1410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12.532563499999998</v>
      </c>
      <c r="M1410" s="228">
        <f>IF(Tableau14[[#This Row],[Prix_Unit_HT]]=0,0,Tableau14[[#This Row],[Prix_Unit_HT]]+(Tableau14[[#This Row],[Prix_Unit_HT]]*VLOOKUP(Tableau14[[#This Row],[EAN]],[1]Grille_Tarifs_Modulable!$B$10:$Q$204,16,FALSE)))</f>
        <v>15.039076199999998</v>
      </c>
      <c r="N1410" s="224">
        <v>240</v>
      </c>
      <c r="O1410" s="228">
        <f>ROUND(Tableau14[[#This Row],[Prix_Unit_HT]],2)*Tableau14[[#This Row],[Qte_commande]]</f>
        <v>3007.2</v>
      </c>
      <c r="P1410" s="228">
        <f>ROUND(Tableau14[[#This Row],[Prix_Unit_TTC]],2)*Tableau14[[#This Row],[Qte_commande]]</f>
        <v>3609.6</v>
      </c>
      <c r="Q1410" s="224">
        <v>240</v>
      </c>
      <c r="R1410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240.00000000000003</v>
      </c>
      <c r="U1410" s="224"/>
      <c r="V1410" s="224"/>
    </row>
    <row r="1411" spans="1:22" ht="14.65" customHeight="1" x14ac:dyDescent="0.2">
      <c r="A1411" s="225">
        <v>43531</v>
      </c>
      <c r="B1411" s="224" t="s">
        <v>418</v>
      </c>
      <c r="C1411" s="224" t="s">
        <v>301</v>
      </c>
      <c r="D1411" s="224" t="s">
        <v>302</v>
      </c>
      <c r="E1411" s="226"/>
      <c r="G1411" s="224" t="s">
        <v>1</v>
      </c>
      <c r="H1411" s="224" t="s">
        <v>289</v>
      </c>
      <c r="I1411" s="224" t="s">
        <v>35</v>
      </c>
      <c r="J1411" s="224">
        <v>70</v>
      </c>
      <c r="K1411" s="227">
        <f t="array" ref="K1411">IFERROR(INDEX([1]Grille_Tarifs_Modulable!$B$2:$B$204,MATCH(Tableau14[[#This Row],[Designation]]&amp;Tableau14[[#This Row],[CL]],[1]Grille_Tarifs_Modulable!$C$2:$C$204&amp;[1]Grille_Tarifs_Modulable!$F$2:$F$204,0)),0)</f>
        <v>3257150107012</v>
      </c>
      <c r="L1411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29.828643999999997</v>
      </c>
      <c r="M1411" s="228">
        <f>IF(Tableau14[[#This Row],[Prix_Unit_HT]]=0,0,Tableau14[[#This Row],[Prix_Unit_HT]]+(Tableau14[[#This Row],[Prix_Unit_HT]]*VLOOKUP(Tableau14[[#This Row],[EAN]],[1]Grille_Tarifs_Modulable!$B$10:$Q$204,16,FALSE)))</f>
        <v>35.794372799999998</v>
      </c>
      <c r="N1411" s="224">
        <v>6</v>
      </c>
      <c r="O1411" s="228">
        <f>ROUND(Tableau14[[#This Row],[Prix_Unit_HT]],2)*Tableau14[[#This Row],[Qte_commande]]</f>
        <v>178.98</v>
      </c>
      <c r="P1411" s="228">
        <f>ROUND(Tableau14[[#This Row],[Prix_Unit_TTC]],2)*Tableau14[[#This Row],[Qte_commande]]</f>
        <v>214.74</v>
      </c>
      <c r="Q1411" s="224">
        <v>6</v>
      </c>
      <c r="R1411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6.0000000000000009</v>
      </c>
      <c r="U1411" s="224"/>
      <c r="V1411" s="224"/>
    </row>
    <row r="1412" spans="1:22" ht="14.65" customHeight="1" x14ac:dyDescent="0.2">
      <c r="A1412" s="225">
        <v>43531</v>
      </c>
      <c r="B1412" s="224" t="s">
        <v>418</v>
      </c>
      <c r="C1412" s="224" t="s">
        <v>301</v>
      </c>
      <c r="D1412" s="224" t="s">
        <v>302</v>
      </c>
      <c r="E1412" s="226"/>
      <c r="G1412" s="224" t="s">
        <v>1</v>
      </c>
      <c r="H1412" s="224" t="s">
        <v>289</v>
      </c>
      <c r="I1412" s="224" t="s">
        <v>47</v>
      </c>
      <c r="J1412" s="224">
        <v>70</v>
      </c>
      <c r="K1412" s="227">
        <f t="array" ref="K1412">IFERROR(INDEX([1]Grille_Tarifs_Modulable!$B$2:$B$204,MATCH(Tableau14[[#This Row],[Designation]]&amp;Tableau14[[#This Row],[CL]],[1]Grille_Tarifs_Modulable!$C$2:$C$204&amp;[1]Grille_Tarifs_Modulable!$F$2:$F$204,0)),0)</f>
        <v>3257150673005</v>
      </c>
      <c r="L1412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20.158644000000002</v>
      </c>
      <c r="M1412" s="228">
        <f>IF(Tableau14[[#This Row],[Prix_Unit_HT]]=0,0,Tableau14[[#This Row],[Prix_Unit_HT]]+(Tableau14[[#This Row],[Prix_Unit_HT]]*VLOOKUP(Tableau14[[#This Row],[EAN]],[1]Grille_Tarifs_Modulable!$B$10:$Q$204,16,FALSE)))</f>
        <v>24.190372800000002</v>
      </c>
      <c r="N1412" s="224">
        <v>6</v>
      </c>
      <c r="O1412" s="228">
        <f>ROUND(Tableau14[[#This Row],[Prix_Unit_HT]],2)*Tableau14[[#This Row],[Qte_commande]]</f>
        <v>120.96000000000001</v>
      </c>
      <c r="P1412" s="228">
        <f>ROUND(Tableau14[[#This Row],[Prix_Unit_TTC]],2)*Tableau14[[#This Row],[Qte_commande]]</f>
        <v>145.14000000000001</v>
      </c>
      <c r="Q1412" s="224">
        <v>6</v>
      </c>
      <c r="R1412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6.0000000000000009</v>
      </c>
      <c r="U1412" s="224"/>
      <c r="V1412" s="224"/>
    </row>
    <row r="1413" spans="1:22" ht="14.65" customHeight="1" x14ac:dyDescent="0.2">
      <c r="A1413" s="225">
        <v>43531</v>
      </c>
      <c r="B1413" s="224" t="s">
        <v>418</v>
      </c>
      <c r="C1413" s="224" t="s">
        <v>301</v>
      </c>
      <c r="D1413" s="224" t="s">
        <v>302</v>
      </c>
      <c r="E1413" s="226"/>
      <c r="G1413" s="224" t="s">
        <v>1</v>
      </c>
      <c r="H1413" s="224" t="s">
        <v>289</v>
      </c>
      <c r="I1413" s="224" t="s">
        <v>15</v>
      </c>
      <c r="J1413" s="224">
        <v>100</v>
      </c>
      <c r="K1413" s="227">
        <f t="array" ref="K1413">IFERROR(INDEX([1]Grille_Tarifs_Modulable!$B$2:$B$204,MATCH(Tableau14[[#This Row],[Designation]]&amp;Tableau14[[#This Row],[CL]],[1]Grille_Tarifs_Modulable!$C$2:$C$204&amp;[1]Grille_Tarifs_Modulable!$F$2:$F$204,0)),0)</f>
        <v>4067700013842</v>
      </c>
      <c r="L1413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17.100804999999998</v>
      </c>
      <c r="M1413" s="228">
        <f>IF(Tableau14[[#This Row],[Prix_Unit_HT]]=0,0,Tableau14[[#This Row],[Prix_Unit_HT]]+(Tableau14[[#This Row],[Prix_Unit_HT]]*VLOOKUP(Tableau14[[#This Row],[EAN]],[1]Grille_Tarifs_Modulable!$B$10:$Q$204,16,FALSE)))</f>
        <v>20.520965999999998</v>
      </c>
      <c r="N1413" s="224">
        <v>108</v>
      </c>
      <c r="O1413" s="228">
        <f>ROUND(Tableau14[[#This Row],[Prix_Unit_HT]],2)*Tableau14[[#This Row],[Qte_commande]]</f>
        <v>1846.8000000000002</v>
      </c>
      <c r="P1413" s="228">
        <f>ROUND(Tableau14[[#This Row],[Prix_Unit_TTC]],2)*Tableau14[[#This Row],[Qte_commande]]</f>
        <v>2216.16</v>
      </c>
      <c r="Q1413" s="224">
        <v>154.29</v>
      </c>
      <c r="R1413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154.28571428571431</v>
      </c>
      <c r="U1413" s="224"/>
      <c r="V1413" s="224"/>
    </row>
    <row r="1414" spans="1:22" ht="14.65" customHeight="1" x14ac:dyDescent="0.2">
      <c r="A1414" s="225">
        <v>43531</v>
      </c>
      <c r="B1414" s="224" t="s">
        <v>418</v>
      </c>
      <c r="C1414" s="224" t="s">
        <v>301</v>
      </c>
      <c r="D1414" s="224" t="s">
        <v>302</v>
      </c>
      <c r="E1414" s="226"/>
      <c r="G1414" s="224" t="s">
        <v>1</v>
      </c>
      <c r="H1414" s="224" t="s">
        <v>289</v>
      </c>
      <c r="I1414" s="224" t="s">
        <v>32</v>
      </c>
      <c r="J1414" s="224">
        <v>70</v>
      </c>
      <c r="K1414" s="227">
        <f t="array" ref="K1414">IFERROR(INDEX([1]Grille_Tarifs_Modulable!$B$2:$B$204,MATCH(Tableau14[[#This Row],[Designation]]&amp;Tableau14[[#This Row],[CL]],[1]Grille_Tarifs_Modulable!$C$2:$C$204&amp;[1]Grille_Tarifs_Modulable!$F$2:$F$204,0)),0)</f>
        <v>3257150100228</v>
      </c>
      <c r="L1414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19.998643999999999</v>
      </c>
      <c r="M1414" s="228">
        <f>IF(Tableau14[[#This Row],[Prix_Unit_HT]]=0,0,Tableau14[[#This Row],[Prix_Unit_HT]]+(Tableau14[[#This Row],[Prix_Unit_HT]]*VLOOKUP(Tableau14[[#This Row],[EAN]],[1]Grille_Tarifs_Modulable!$B$10:$Q$204,16,FALSE)))</f>
        <v>23.998372799999999</v>
      </c>
      <c r="N1414" s="224">
        <v>6</v>
      </c>
      <c r="O1414" s="228">
        <f>ROUND(Tableau14[[#This Row],[Prix_Unit_HT]],2)*Tableau14[[#This Row],[Qte_commande]]</f>
        <v>120</v>
      </c>
      <c r="P1414" s="228">
        <f>ROUND(Tableau14[[#This Row],[Prix_Unit_TTC]],2)*Tableau14[[#This Row],[Qte_commande]]</f>
        <v>144</v>
      </c>
      <c r="Q1414" s="224">
        <v>6</v>
      </c>
      <c r="R1414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6.0000000000000009</v>
      </c>
      <c r="U1414" s="224"/>
      <c r="V1414" s="224"/>
    </row>
    <row r="1415" spans="1:22" ht="14.65" customHeight="1" x14ac:dyDescent="0.2">
      <c r="A1415" s="225">
        <v>43531</v>
      </c>
      <c r="B1415" s="224" t="s">
        <v>418</v>
      </c>
      <c r="C1415" s="224" t="s">
        <v>301</v>
      </c>
      <c r="D1415" s="224" t="s">
        <v>302</v>
      </c>
      <c r="E1415" s="226"/>
      <c r="G1415" s="224" t="s">
        <v>1</v>
      </c>
      <c r="H1415" s="224" t="s">
        <v>289</v>
      </c>
      <c r="I1415" s="224" t="s">
        <v>25</v>
      </c>
      <c r="J1415" s="224">
        <v>100</v>
      </c>
      <c r="K1415" s="227">
        <f t="array" ref="K1415">IFERROR(INDEX([1]Grille_Tarifs_Modulable!$B$2:$B$204,MATCH(Tableau14[[#This Row],[Designation]]&amp;Tableau14[[#This Row],[CL]],[1]Grille_Tarifs_Modulable!$C$2:$C$204&amp;[1]Grille_Tarifs_Modulable!$F$2:$F$204,0)),0)</f>
        <v>3257150410167</v>
      </c>
      <c r="L1415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15.778874</v>
      </c>
      <c r="M1415" s="228">
        <f>IF(Tableau14[[#This Row],[Prix_Unit_HT]]=0,0,Tableau14[[#This Row],[Prix_Unit_HT]]+(Tableau14[[#This Row],[Prix_Unit_HT]]*VLOOKUP(Tableau14[[#This Row],[EAN]],[1]Grille_Tarifs_Modulable!$B$10:$Q$204,16,FALSE)))</f>
        <v>18.934648800000002</v>
      </c>
      <c r="N1415" s="224">
        <v>114</v>
      </c>
      <c r="O1415" s="228">
        <f>ROUND(Tableau14[[#This Row],[Prix_Unit_HT]],2)*Tableau14[[#This Row],[Qte_commande]]</f>
        <v>1798.9199999999998</v>
      </c>
      <c r="P1415" s="228">
        <f>ROUND(Tableau14[[#This Row],[Prix_Unit_TTC]],2)*Tableau14[[#This Row],[Qte_commande]]</f>
        <v>2158.02</v>
      </c>
      <c r="Q1415" s="224">
        <v>162.86000000000001</v>
      </c>
      <c r="R1415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162.85714285714286</v>
      </c>
      <c r="U1415" s="224"/>
      <c r="V1415" s="224"/>
    </row>
    <row r="1416" spans="1:22" ht="14.65" customHeight="1" x14ac:dyDescent="0.2">
      <c r="A1416" s="225">
        <v>43532</v>
      </c>
      <c r="B1416" s="224" t="s">
        <v>279</v>
      </c>
      <c r="C1416" s="224" t="s">
        <v>214</v>
      </c>
      <c r="D1416" s="224" t="s">
        <v>215</v>
      </c>
      <c r="E1416" s="226"/>
      <c r="G1416" s="224" t="s">
        <v>1</v>
      </c>
      <c r="H1416" s="224" t="s">
        <v>196</v>
      </c>
      <c r="I1416" s="224" t="s">
        <v>63</v>
      </c>
      <c r="J1416" s="224">
        <v>20</v>
      </c>
      <c r="K1416" s="227">
        <f t="array" ref="K1416">IFERROR(INDEX([1]Grille_Tarifs_Modulable!$B$2:$B$204,MATCH(Tableau14[[#This Row],[Designation]]&amp;Tableau14[[#This Row],[CL]],[1]Grille_Tarifs_Modulable!$C$2:$C$204&amp;[1]Grille_Tarifs_Modulable!$F$2:$F$204,0)),0)</f>
        <v>4260310552941</v>
      </c>
      <c r="L1416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0.81</v>
      </c>
      <c r="M1416" s="228">
        <f>IF(Tableau14[[#This Row],[Prix_Unit_HT]]=0,0,Tableau14[[#This Row],[Prix_Unit_HT]]+(Tableau14[[#This Row],[Prix_Unit_HT]]*VLOOKUP(Tableau14[[#This Row],[EAN]],[1]Grille_Tarifs_Modulable!$B$10:$Q$204,16,FALSE)))</f>
        <v>0.85455000000000003</v>
      </c>
      <c r="N1416" s="224">
        <v>24</v>
      </c>
      <c r="O1416" s="228">
        <f>ROUND(Tableau14[[#This Row],[Prix_Unit_HT]],2)*Tableau14[[#This Row],[Qte_commande]]</f>
        <v>19.440000000000001</v>
      </c>
      <c r="P1416" s="228">
        <f>ROUND(Tableau14[[#This Row],[Prix_Unit_TTC]],2)*Tableau14[[#This Row],[Qte_commande]]</f>
        <v>20.399999999999999</v>
      </c>
      <c r="Q1416" s="224">
        <v>6.86</v>
      </c>
      <c r="R1416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6.8571428571428577</v>
      </c>
      <c r="U1416" s="224"/>
      <c r="V1416" s="224"/>
    </row>
    <row r="1417" spans="1:22" ht="14.65" customHeight="1" x14ac:dyDescent="0.2">
      <c r="A1417" s="225">
        <v>43532</v>
      </c>
      <c r="B1417" s="224" t="s">
        <v>279</v>
      </c>
      <c r="C1417" s="224" t="s">
        <v>214</v>
      </c>
      <c r="D1417" s="224" t="s">
        <v>215</v>
      </c>
      <c r="E1417" s="226"/>
      <c r="G1417" s="224" t="s">
        <v>1</v>
      </c>
      <c r="H1417" s="224" t="s">
        <v>196</v>
      </c>
      <c r="I1417" s="224" t="s">
        <v>65</v>
      </c>
      <c r="J1417" s="224">
        <v>20</v>
      </c>
      <c r="K1417" s="227">
        <f t="array" ref="K1417">IFERROR(INDEX([1]Grille_Tarifs_Modulable!$B$2:$B$204,MATCH(Tableau14[[#This Row],[Designation]]&amp;Tableau14[[#This Row],[CL]],[1]Grille_Tarifs_Modulable!$C$2:$C$204&amp;[1]Grille_Tarifs_Modulable!$F$2:$F$204,0)),0)</f>
        <v>4260310553863</v>
      </c>
      <c r="L1417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0.81</v>
      </c>
      <c r="M1417" s="228">
        <f>IF(Tableau14[[#This Row],[Prix_Unit_HT]]=0,0,Tableau14[[#This Row],[Prix_Unit_HT]]+(Tableau14[[#This Row],[Prix_Unit_HT]]*VLOOKUP(Tableau14[[#This Row],[EAN]],[1]Grille_Tarifs_Modulable!$B$10:$Q$204,16,FALSE)))</f>
        <v>0.85455000000000003</v>
      </c>
      <c r="N1417" s="224">
        <v>120</v>
      </c>
      <c r="O1417" s="228">
        <f>ROUND(Tableau14[[#This Row],[Prix_Unit_HT]],2)*Tableau14[[#This Row],[Qte_commande]]</f>
        <v>97.2</v>
      </c>
      <c r="P1417" s="228">
        <f>ROUND(Tableau14[[#This Row],[Prix_Unit_TTC]],2)*Tableau14[[#This Row],[Qte_commande]]</f>
        <v>102</v>
      </c>
      <c r="Q1417" s="224">
        <v>34.29</v>
      </c>
      <c r="R1417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34.285714285714285</v>
      </c>
      <c r="U1417" s="224"/>
      <c r="V1417" s="224"/>
    </row>
    <row r="1418" spans="1:22" ht="14.65" customHeight="1" x14ac:dyDescent="0.2">
      <c r="A1418" s="225">
        <v>43532</v>
      </c>
      <c r="B1418" s="224" t="s">
        <v>279</v>
      </c>
      <c r="C1418" s="224" t="s">
        <v>214</v>
      </c>
      <c r="D1418" s="224" t="s">
        <v>215</v>
      </c>
      <c r="E1418" s="226"/>
      <c r="G1418" s="224" t="s">
        <v>1</v>
      </c>
      <c r="H1418" s="224" t="s">
        <v>196</v>
      </c>
      <c r="I1418" s="224" t="s">
        <v>60</v>
      </c>
      <c r="J1418" s="224">
        <v>20</v>
      </c>
      <c r="K1418" s="227">
        <f t="array" ref="K1418">IFERROR(INDEX([1]Grille_Tarifs_Modulable!$B$2:$B$204,MATCH(Tableau14[[#This Row],[Designation]]&amp;Tableau14[[#This Row],[CL]],[1]Grille_Tarifs_Modulable!$C$2:$C$204&amp;[1]Grille_Tarifs_Modulable!$F$2:$F$204,0)),0)</f>
        <v>4260310553832</v>
      </c>
      <c r="L1418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0.81</v>
      </c>
      <c r="M1418" s="228">
        <f>IF(Tableau14[[#This Row],[Prix_Unit_HT]]=0,0,Tableau14[[#This Row],[Prix_Unit_HT]]+(Tableau14[[#This Row],[Prix_Unit_HT]]*VLOOKUP(Tableau14[[#This Row],[EAN]],[1]Grille_Tarifs_Modulable!$B$10:$Q$204,16,FALSE)))</f>
        <v>0.85455000000000003</v>
      </c>
      <c r="N1418" s="224">
        <v>72</v>
      </c>
      <c r="O1418" s="228">
        <f>ROUND(Tableau14[[#This Row],[Prix_Unit_HT]],2)*Tableau14[[#This Row],[Qte_commande]]</f>
        <v>58.320000000000007</v>
      </c>
      <c r="P1418" s="228">
        <f>ROUND(Tableau14[[#This Row],[Prix_Unit_TTC]],2)*Tableau14[[#This Row],[Qte_commande]]</f>
        <v>61.199999999999996</v>
      </c>
      <c r="Q1418" s="224">
        <v>20.57</v>
      </c>
      <c r="R1418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20.571428571428573</v>
      </c>
      <c r="U1418" s="224"/>
      <c r="V1418" s="224"/>
    </row>
    <row r="1419" spans="1:22" ht="14.65" customHeight="1" x14ac:dyDescent="0.2">
      <c r="A1419" s="225">
        <v>43532</v>
      </c>
      <c r="B1419" s="224" t="s">
        <v>279</v>
      </c>
      <c r="C1419" s="224" t="s">
        <v>214</v>
      </c>
      <c r="D1419" s="224" t="s">
        <v>215</v>
      </c>
      <c r="E1419" s="226"/>
      <c r="G1419" s="224" t="s">
        <v>1</v>
      </c>
      <c r="H1419" s="224" t="s">
        <v>196</v>
      </c>
      <c r="I1419" s="224" t="s">
        <v>64</v>
      </c>
      <c r="J1419" s="224">
        <v>20</v>
      </c>
      <c r="K1419" s="227">
        <f t="array" ref="K1419">IFERROR(INDEX([1]Grille_Tarifs_Modulable!$B$2:$B$204,MATCH(Tableau14[[#This Row],[Designation]]&amp;Tableau14[[#This Row],[CL]],[1]Grille_Tarifs_Modulable!$C$2:$C$204&amp;[1]Grille_Tarifs_Modulable!$F$2:$F$204,0)),0)</f>
        <v>4260310553849</v>
      </c>
      <c r="L1419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0.81</v>
      </c>
      <c r="M1419" s="228">
        <f>IF(Tableau14[[#This Row],[Prix_Unit_HT]]=0,0,Tableau14[[#This Row],[Prix_Unit_HT]]+(Tableau14[[#This Row],[Prix_Unit_HT]]*VLOOKUP(Tableau14[[#This Row],[EAN]],[1]Grille_Tarifs_Modulable!$B$10:$Q$204,16,FALSE)))</f>
        <v>0.85455000000000003</v>
      </c>
      <c r="N1419" s="224">
        <v>168</v>
      </c>
      <c r="O1419" s="228">
        <f>ROUND(Tableau14[[#This Row],[Prix_Unit_HT]],2)*Tableau14[[#This Row],[Qte_commande]]</f>
        <v>136.08000000000001</v>
      </c>
      <c r="P1419" s="228">
        <f>ROUND(Tableau14[[#This Row],[Prix_Unit_TTC]],2)*Tableau14[[#This Row],[Qte_commande]]</f>
        <v>142.79999999999998</v>
      </c>
      <c r="Q1419" s="224">
        <v>48</v>
      </c>
      <c r="R1419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48.000000000000007</v>
      </c>
      <c r="U1419" s="224"/>
      <c r="V1419" s="224"/>
    </row>
    <row r="1420" spans="1:22" ht="14.65" customHeight="1" x14ac:dyDescent="0.2">
      <c r="A1420" s="225">
        <v>43532</v>
      </c>
      <c r="B1420" s="224" t="s">
        <v>279</v>
      </c>
      <c r="C1420" s="224" t="s">
        <v>214</v>
      </c>
      <c r="D1420" s="224" t="s">
        <v>215</v>
      </c>
      <c r="E1420" s="226"/>
      <c r="G1420" s="224" t="s">
        <v>1</v>
      </c>
      <c r="H1420" s="224" t="s">
        <v>196</v>
      </c>
      <c r="I1420" s="224" t="s">
        <v>59</v>
      </c>
      <c r="J1420" s="224">
        <v>20</v>
      </c>
      <c r="K1420" s="227">
        <f t="array" ref="K1420">IFERROR(INDEX([1]Grille_Tarifs_Modulable!$B$2:$B$204,MATCH(Tableau14[[#This Row],[Designation]]&amp;Tableau14[[#This Row],[CL]],[1]Grille_Tarifs_Modulable!$C$2:$C$204&amp;[1]Grille_Tarifs_Modulable!$F$2:$F$204,0)),0)</f>
        <v>4260310553818</v>
      </c>
      <c r="L1420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0.81</v>
      </c>
      <c r="M1420" s="228">
        <f>IF(Tableau14[[#This Row],[Prix_Unit_HT]]=0,0,Tableau14[[#This Row],[Prix_Unit_HT]]+(Tableau14[[#This Row],[Prix_Unit_HT]]*VLOOKUP(Tableau14[[#This Row],[EAN]],[1]Grille_Tarifs_Modulable!$B$10:$Q$204,16,FALSE)))</f>
        <v>0.85455000000000003</v>
      </c>
      <c r="N1420" s="224">
        <v>96</v>
      </c>
      <c r="O1420" s="228">
        <f>ROUND(Tableau14[[#This Row],[Prix_Unit_HT]],2)*Tableau14[[#This Row],[Qte_commande]]</f>
        <v>77.760000000000005</v>
      </c>
      <c r="P1420" s="228">
        <f>ROUND(Tableau14[[#This Row],[Prix_Unit_TTC]],2)*Tableau14[[#This Row],[Qte_commande]]</f>
        <v>81.599999999999994</v>
      </c>
      <c r="Q1420" s="224">
        <v>27.43</v>
      </c>
      <c r="R1420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27.428571428571431</v>
      </c>
      <c r="U1420" s="224"/>
      <c r="V1420" s="224"/>
    </row>
    <row r="1421" spans="1:22" ht="14.65" customHeight="1" x14ac:dyDescent="0.2">
      <c r="A1421" s="225">
        <v>43535</v>
      </c>
      <c r="B1421" s="224" t="s">
        <v>1226</v>
      </c>
      <c r="C1421" s="224" t="s">
        <v>412</v>
      </c>
      <c r="D1421" s="224" t="s">
        <v>413</v>
      </c>
      <c r="E1421" s="226"/>
      <c r="G1421" s="224" t="s">
        <v>13</v>
      </c>
      <c r="H1421" s="224" t="s">
        <v>451</v>
      </c>
      <c r="I1421" s="224" t="s">
        <v>69</v>
      </c>
      <c r="J1421" s="227">
        <v>3</v>
      </c>
      <c r="K1421" s="227">
        <f t="array" ref="K1421">IFERROR(INDEX([1]Grille_Tarifs_Modulable!$B$2:$B$204,MATCH(Tableau14[[#This Row],[Designation]]&amp;Tableau14[[#This Row],[CL]],[1]Grille_Tarifs_Modulable!$C$2:$C$204&amp;[1]Grille_Tarifs_Modulable!$F$2:$F$204,0)),0)</f>
        <v>121</v>
      </c>
      <c r="L1421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299</v>
      </c>
      <c r="M1421" s="228">
        <f>IF(Tableau14[[#This Row],[Prix_Unit_HT]]=0,0,Tableau14[[#This Row],[Prix_Unit_HT]]+(Tableau14[[#This Row],[Prix_Unit_HT]]*VLOOKUP(Tableau14[[#This Row],[EAN]],[1]Grille_Tarifs_Modulable!$B$10:$Q$204,16,FALSE)))</f>
        <v>358.8</v>
      </c>
      <c r="N1421" s="224">
        <v>1</v>
      </c>
      <c r="O1421" s="228">
        <f>ROUND(Tableau14[[#This Row],[Prix_Unit_HT]],2)*Tableau14[[#This Row],[Qte_commande]]</f>
        <v>299</v>
      </c>
      <c r="P1421" s="228">
        <f>ROUND(Tableau14[[#This Row],[Prix_Unit_TTC]],2)*Tableau14[[#This Row],[Qte_commande]]</f>
        <v>358.8</v>
      </c>
      <c r="Q1421" s="224">
        <v>1</v>
      </c>
      <c r="R1421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</v>
      </c>
      <c r="U1421" s="224"/>
      <c r="V1421" s="224"/>
    </row>
    <row r="1422" spans="1:22" ht="14.65" customHeight="1" x14ac:dyDescent="0.2">
      <c r="A1422" s="225">
        <v>43535</v>
      </c>
      <c r="B1422" s="224" t="s">
        <v>1227</v>
      </c>
      <c r="C1422" s="224" t="s">
        <v>1228</v>
      </c>
      <c r="D1422" s="224" t="s">
        <v>413</v>
      </c>
      <c r="E1422" s="226"/>
      <c r="G1422" s="224" t="s">
        <v>13</v>
      </c>
      <c r="H1422" s="224" t="s">
        <v>451</v>
      </c>
      <c r="I1422" s="224" t="s">
        <v>69</v>
      </c>
      <c r="J1422" s="227">
        <v>3</v>
      </c>
      <c r="K1422" s="227">
        <f t="array" ref="K1422">IFERROR(INDEX([1]Grille_Tarifs_Modulable!$B$2:$B$204,MATCH(Tableau14[[#This Row],[Designation]]&amp;Tableau14[[#This Row],[CL]],[1]Grille_Tarifs_Modulable!$C$2:$C$204&amp;[1]Grille_Tarifs_Modulable!$F$2:$F$204,0)),0)</f>
        <v>121</v>
      </c>
      <c r="L1422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299</v>
      </c>
      <c r="M1422" s="228">
        <f>IF(Tableau14[[#This Row],[Prix_Unit_HT]]=0,0,Tableau14[[#This Row],[Prix_Unit_HT]]+(Tableau14[[#This Row],[Prix_Unit_HT]]*VLOOKUP(Tableau14[[#This Row],[EAN]],[1]Grille_Tarifs_Modulable!$B$10:$Q$204,16,FALSE)))</f>
        <v>358.8</v>
      </c>
      <c r="N1422" s="224">
        <v>1</v>
      </c>
      <c r="O1422" s="228">
        <f>ROUND(Tableau14[[#This Row],[Prix_Unit_HT]],2)*Tableau14[[#This Row],[Qte_commande]]</f>
        <v>299</v>
      </c>
      <c r="P1422" s="228">
        <f>ROUND(Tableau14[[#This Row],[Prix_Unit_TTC]],2)*Tableau14[[#This Row],[Qte_commande]]</f>
        <v>358.8</v>
      </c>
      <c r="Q1422" s="224">
        <v>1</v>
      </c>
      <c r="R1422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</v>
      </c>
      <c r="U1422" s="224"/>
      <c r="V1422" s="224"/>
    </row>
    <row r="1423" spans="1:22" ht="14.65" customHeight="1" x14ac:dyDescent="0.2">
      <c r="A1423" s="225">
        <v>43535</v>
      </c>
      <c r="B1423" s="224" t="s">
        <v>1229</v>
      </c>
      <c r="C1423" s="224" t="s">
        <v>1230</v>
      </c>
      <c r="D1423" s="224" t="s">
        <v>203</v>
      </c>
      <c r="E1423" s="226"/>
      <c r="G1423" s="224" t="s">
        <v>13</v>
      </c>
      <c r="H1423" s="224" t="s">
        <v>451</v>
      </c>
      <c r="I1423" s="224" t="s">
        <v>69</v>
      </c>
      <c r="J1423" s="227">
        <v>3</v>
      </c>
      <c r="K1423" s="227">
        <f t="array" ref="K1423">IFERROR(INDEX([1]Grille_Tarifs_Modulable!$B$2:$B$204,MATCH(Tableau14[[#This Row],[Designation]]&amp;Tableau14[[#This Row],[CL]],[1]Grille_Tarifs_Modulable!$C$2:$C$204&amp;[1]Grille_Tarifs_Modulable!$F$2:$F$204,0)),0)</f>
        <v>121</v>
      </c>
      <c r="L1423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299</v>
      </c>
      <c r="M1423" s="228">
        <f>IF(Tableau14[[#This Row],[Prix_Unit_HT]]=0,0,Tableau14[[#This Row],[Prix_Unit_HT]]+(Tableau14[[#This Row],[Prix_Unit_HT]]*VLOOKUP(Tableau14[[#This Row],[EAN]],[1]Grille_Tarifs_Modulable!$B$10:$Q$204,16,FALSE)))</f>
        <v>358.8</v>
      </c>
      <c r="N1423" s="224">
        <v>1</v>
      </c>
      <c r="O1423" s="228">
        <f>ROUND(Tableau14[[#This Row],[Prix_Unit_HT]],2)*Tableau14[[#This Row],[Qte_commande]]</f>
        <v>299</v>
      </c>
      <c r="P1423" s="228">
        <f>ROUND(Tableau14[[#This Row],[Prix_Unit_TTC]],2)*Tableau14[[#This Row],[Qte_commande]]</f>
        <v>358.8</v>
      </c>
      <c r="Q1423" s="224">
        <v>1</v>
      </c>
      <c r="R1423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</v>
      </c>
      <c r="U1423" s="224"/>
      <c r="V1423" s="224"/>
    </row>
    <row r="1424" spans="1:22" ht="14.65" customHeight="1" x14ac:dyDescent="0.2">
      <c r="A1424" s="225">
        <v>43535</v>
      </c>
      <c r="B1424" s="224" t="s">
        <v>1249</v>
      </c>
      <c r="C1424" s="224" t="s">
        <v>1250</v>
      </c>
      <c r="D1424" s="224" t="s">
        <v>1037</v>
      </c>
      <c r="E1424" s="226"/>
      <c r="G1424" s="224" t="s">
        <v>13</v>
      </c>
      <c r="H1424" s="224" t="s">
        <v>451</v>
      </c>
      <c r="I1424" s="224" t="s">
        <v>71</v>
      </c>
      <c r="J1424" s="227">
        <v>1</v>
      </c>
      <c r="K1424" s="227">
        <f t="array" ref="K1424">IFERROR(INDEX([1]Grille_Tarifs_Modulable!$B$2:$B$204,MATCH(Tableau14[[#This Row],[Designation]]&amp;Tableau14[[#This Row],[CL]],[1]Grille_Tarifs_Modulable!$C$2:$C$204&amp;[1]Grille_Tarifs_Modulable!$F$2:$F$204,0)),0)</f>
        <v>122</v>
      </c>
      <c r="L1424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299</v>
      </c>
      <c r="M1424" s="228">
        <f>IF(Tableau14[[#This Row],[Prix_Unit_HT]]=0,0,Tableau14[[#This Row],[Prix_Unit_HT]]+(Tableau14[[#This Row],[Prix_Unit_HT]]*VLOOKUP(Tableau14[[#This Row],[EAN]],[1]Grille_Tarifs_Modulable!$B$10:$Q$204,16,FALSE)))</f>
        <v>358.8</v>
      </c>
      <c r="N1424" s="224">
        <v>1</v>
      </c>
      <c r="O1424" s="228">
        <f>ROUND(Tableau14[[#This Row],[Prix_Unit_HT]],2)*Tableau14[[#This Row],[Qte_commande]]</f>
        <v>299</v>
      </c>
      <c r="P1424" s="228">
        <f>ROUND(Tableau14[[#This Row],[Prix_Unit_TTC]],2)*Tableau14[[#This Row],[Qte_commande]]</f>
        <v>358.8</v>
      </c>
      <c r="Q1424" s="224">
        <v>1</v>
      </c>
      <c r="R1424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</v>
      </c>
      <c r="U1424" s="224"/>
      <c r="V1424" s="224"/>
    </row>
    <row r="1425" spans="1:22" ht="14.65" customHeight="1" x14ac:dyDescent="0.2">
      <c r="A1425" s="225">
        <v>43536</v>
      </c>
      <c r="B1425" s="224" t="s">
        <v>740</v>
      </c>
      <c r="C1425" s="224" t="s">
        <v>542</v>
      </c>
      <c r="D1425" s="224" t="s">
        <v>209</v>
      </c>
      <c r="E1425" s="226"/>
      <c r="G1425" s="224" t="s">
        <v>13</v>
      </c>
      <c r="H1425" s="224" t="s">
        <v>289</v>
      </c>
      <c r="I1425" s="224" t="s">
        <v>15</v>
      </c>
      <c r="J1425" s="224">
        <v>175</v>
      </c>
      <c r="K1425" s="227">
        <f t="array" ref="K1425">IFERROR(INDEX([1]Grille_Tarifs_Modulable!$B$2:$B$204,MATCH(Tableau14[[#This Row],[Designation]]&amp;Tableau14[[#This Row],[CL]],[1]Grille_Tarifs_Modulable!$C$2:$C$204&amp;[1]Grille_Tarifs_Modulable!$F$2:$F$204,0)),0)</f>
        <v>4067700013835</v>
      </c>
      <c r="L1425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32.266408749999997</v>
      </c>
      <c r="M1425" s="228">
        <f>IF(Tableau14[[#This Row],[Prix_Unit_HT]]=0,0,Tableau14[[#This Row],[Prix_Unit_HT]]+(Tableau14[[#This Row],[Prix_Unit_HT]]*VLOOKUP(Tableau14[[#This Row],[EAN]],[1]Grille_Tarifs_Modulable!$B$10:$Q$204,16,FALSE)))</f>
        <v>38.719690499999999</v>
      </c>
      <c r="N1425" s="224">
        <v>12</v>
      </c>
      <c r="O1425" s="228">
        <f>ROUND(Tableau14[[#This Row],[Prix_Unit_HT]],2)*Tableau14[[#This Row],[Qte_commande]]</f>
        <v>387.24</v>
      </c>
      <c r="P1425" s="228">
        <f>ROUND(Tableau14[[#This Row],[Prix_Unit_TTC]],2)*Tableau14[[#This Row],[Qte_commande]]</f>
        <v>464.64</v>
      </c>
      <c r="Q1425" s="224">
        <v>30</v>
      </c>
      <c r="R1425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30.000000000000004</v>
      </c>
      <c r="U1425" s="224"/>
      <c r="V1425" s="224"/>
    </row>
    <row r="1426" spans="1:22" ht="14.65" customHeight="1" x14ac:dyDescent="0.2">
      <c r="A1426" s="225">
        <v>43536</v>
      </c>
      <c r="B1426" s="224" t="s">
        <v>740</v>
      </c>
      <c r="C1426" s="224" t="s">
        <v>542</v>
      </c>
      <c r="D1426" s="224" t="s">
        <v>209</v>
      </c>
      <c r="E1426" s="226"/>
      <c r="G1426" s="224" t="s">
        <v>1</v>
      </c>
      <c r="H1426" s="224" t="s">
        <v>289</v>
      </c>
      <c r="I1426" s="224" t="s">
        <v>25</v>
      </c>
      <c r="J1426" s="224">
        <v>70</v>
      </c>
      <c r="K1426" s="227">
        <f t="array" ref="K1426">IFERROR(INDEX([1]Grille_Tarifs_Modulable!$B$2:$B$204,MATCH(Tableau14[[#This Row],[Designation]]&amp;Tableau14[[#This Row],[CL]],[1]Grille_Tarifs_Modulable!$C$2:$C$204&amp;[1]Grille_Tarifs_Modulable!$F$2:$F$204,0)),0)</f>
        <v>8500000917015</v>
      </c>
      <c r="L1426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11.8982118</v>
      </c>
      <c r="M1426" s="228">
        <f>IF(Tableau14[[#This Row],[Prix_Unit_HT]]=0,0,Tableau14[[#This Row],[Prix_Unit_HT]]+(Tableau14[[#This Row],[Prix_Unit_HT]]*VLOOKUP(Tableau14[[#This Row],[EAN]],[1]Grille_Tarifs_Modulable!$B$10:$Q$204,16,FALSE)))</f>
        <v>14.27785416</v>
      </c>
      <c r="N1426" s="224">
        <v>12</v>
      </c>
      <c r="O1426" s="228">
        <f>ROUND(Tableau14[[#This Row],[Prix_Unit_HT]],2)*Tableau14[[#This Row],[Qte_commande]]</f>
        <v>142.80000000000001</v>
      </c>
      <c r="P1426" s="228">
        <f>ROUND(Tableau14[[#This Row],[Prix_Unit_TTC]],2)*Tableau14[[#This Row],[Qte_commande]]</f>
        <v>171.35999999999999</v>
      </c>
      <c r="Q1426" s="224">
        <v>12</v>
      </c>
      <c r="R1426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12.000000000000002</v>
      </c>
      <c r="U1426" s="224"/>
      <c r="V1426" s="224"/>
    </row>
    <row r="1427" spans="1:22" ht="14.65" customHeight="1" x14ac:dyDescent="0.2">
      <c r="A1427" s="225">
        <v>43536</v>
      </c>
      <c r="B1427" s="224" t="s">
        <v>740</v>
      </c>
      <c r="C1427" s="224" t="s">
        <v>542</v>
      </c>
      <c r="D1427" s="224" t="s">
        <v>209</v>
      </c>
      <c r="E1427" s="226"/>
      <c r="G1427" s="224" t="s">
        <v>13</v>
      </c>
      <c r="H1427" s="224" t="s">
        <v>289</v>
      </c>
      <c r="I1427" s="224" t="s">
        <v>931</v>
      </c>
      <c r="J1427" s="224">
        <v>100</v>
      </c>
      <c r="K1427" s="227">
        <f t="array" ref="K1427">IFERROR(INDEX([1]Grille_Tarifs_Modulable!$B$2:$B$204,MATCH(Tableau14[[#This Row],[Designation]]&amp;Tableau14[[#This Row],[CL]],[1]Grille_Tarifs_Modulable!$C$2:$C$204&amp;[1]Grille_Tarifs_Modulable!$F$2:$F$204,0)),0)</f>
        <v>0</v>
      </c>
      <c r="L1427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</v>
      </c>
      <c r="M1427" s="228">
        <f>IF(Tableau14[[#This Row],[Prix_Unit_HT]]=0,0,Tableau14[[#This Row],[Prix_Unit_HT]]+(Tableau14[[#This Row],[Prix_Unit_HT]]*VLOOKUP(Tableau14[[#This Row],[EAN]],[1]Grille_Tarifs_Modulable!$B$10:$Q$204,16,FALSE)))</f>
        <v>0</v>
      </c>
      <c r="N1427" s="224">
        <v>24</v>
      </c>
      <c r="O1427" s="228">
        <f>ROUND(Tableau14[[#This Row],[Prix_Unit_HT]],2)*Tableau14[[#This Row],[Qte_commande]]</f>
        <v>0</v>
      </c>
      <c r="P1427" s="228">
        <f>ROUND(Tableau14[[#This Row],[Prix_Unit_TTC]],2)*Tableau14[[#This Row],[Qte_commande]]</f>
        <v>0</v>
      </c>
      <c r="Q1427" s="224">
        <v>34.29</v>
      </c>
      <c r="R1427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34.285714285714285</v>
      </c>
      <c r="U1427" s="224"/>
      <c r="V1427" s="224"/>
    </row>
    <row r="1428" spans="1:22" ht="14.65" customHeight="1" x14ac:dyDescent="0.2">
      <c r="A1428" s="225">
        <v>43544</v>
      </c>
      <c r="B1428" s="224" t="s">
        <v>741</v>
      </c>
      <c r="C1428" s="224" t="s">
        <v>530</v>
      </c>
      <c r="D1428" s="224" t="s">
        <v>531</v>
      </c>
      <c r="E1428" s="226"/>
      <c r="G1428" s="224" t="s">
        <v>1</v>
      </c>
      <c r="H1428" s="224" t="s">
        <v>289</v>
      </c>
      <c r="I1428" s="224" t="s">
        <v>15</v>
      </c>
      <c r="J1428" s="224">
        <v>70</v>
      </c>
      <c r="K1428" s="227">
        <f t="array" ref="K1428">IFERROR(INDEX([1]Grille_Tarifs_Modulable!$B$2:$B$204,MATCH(Tableau14[[#This Row],[Designation]]&amp;Tableau14[[#This Row],[CL]],[1]Grille_Tarifs_Modulable!$C$2:$C$204&amp;[1]Grille_Tarifs_Modulable!$F$2:$F$204,0)),0)</f>
        <v>4067700013859</v>
      </c>
      <c r="L1428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12.532563499999998</v>
      </c>
      <c r="M1428" s="228">
        <f>IF(Tableau14[[#This Row],[Prix_Unit_HT]]=0,0,Tableau14[[#This Row],[Prix_Unit_HT]]+(Tableau14[[#This Row],[Prix_Unit_HT]]*VLOOKUP(Tableau14[[#This Row],[EAN]],[1]Grille_Tarifs_Modulable!$B$10:$Q$204,16,FALSE)))</f>
        <v>15.039076199999998</v>
      </c>
      <c r="N1428" s="224">
        <v>240</v>
      </c>
      <c r="O1428" s="228">
        <f>ROUND(Tableau14[[#This Row],[Prix_Unit_HT]],2)*Tableau14[[#This Row],[Qte_commande]]</f>
        <v>3007.2</v>
      </c>
      <c r="P1428" s="228">
        <f>ROUND(Tableau14[[#This Row],[Prix_Unit_TTC]],2)*Tableau14[[#This Row],[Qte_commande]]</f>
        <v>3609.6</v>
      </c>
      <c r="Q1428" s="224">
        <v>240</v>
      </c>
      <c r="R1428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240.00000000000003</v>
      </c>
      <c r="U1428" s="224"/>
      <c r="V1428" s="224"/>
    </row>
    <row r="1429" spans="1:22" ht="14.65" customHeight="1" x14ac:dyDescent="0.2">
      <c r="A1429" s="225">
        <v>43551</v>
      </c>
      <c r="B1429" s="224" t="s">
        <v>246</v>
      </c>
      <c r="C1429" s="224" t="s">
        <v>232</v>
      </c>
      <c r="D1429" s="224" t="s">
        <v>233</v>
      </c>
      <c r="E1429" s="226"/>
      <c r="G1429" s="224" t="s">
        <v>1</v>
      </c>
      <c r="H1429" s="224" t="s">
        <v>196</v>
      </c>
      <c r="I1429" s="224" t="s">
        <v>62</v>
      </c>
      <c r="J1429" s="224">
        <v>20</v>
      </c>
      <c r="K1429" s="227">
        <f t="array" ref="K1429">IFERROR(INDEX([1]Grille_Tarifs_Modulable!$B$2:$B$204,MATCH(Tableau14[[#This Row],[Designation]]&amp;Tableau14[[#This Row],[CL]],[1]Grille_Tarifs_Modulable!$C$2:$C$204&amp;[1]Grille_Tarifs_Modulable!$F$2:$F$204,0)),0)</f>
        <v>4260310550305</v>
      </c>
      <c r="L1429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0.81</v>
      </c>
      <c r="M1429" s="228">
        <f>IF(Tableau14[[#This Row],[Prix_Unit_HT]]=0,0,Tableau14[[#This Row],[Prix_Unit_HT]]+(Tableau14[[#This Row],[Prix_Unit_HT]]*VLOOKUP(Tableau14[[#This Row],[EAN]],[1]Grille_Tarifs_Modulable!$B$10:$Q$204,16,FALSE)))</f>
        <v>0.85455000000000003</v>
      </c>
      <c r="N1429" s="224">
        <v>96</v>
      </c>
      <c r="O1429" s="228">
        <f>ROUND(Tableau14[[#This Row],[Prix_Unit_HT]],2)*Tableau14[[#This Row],[Qte_commande]]</f>
        <v>77.760000000000005</v>
      </c>
      <c r="P1429" s="228">
        <f>ROUND(Tableau14[[#This Row],[Prix_Unit_TTC]],2)*Tableau14[[#This Row],[Qte_commande]]</f>
        <v>81.599999999999994</v>
      </c>
      <c r="Q1429" s="224">
        <v>27.43</v>
      </c>
      <c r="R1429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27.428571428571431</v>
      </c>
      <c r="U1429" s="224"/>
      <c r="V1429" s="224"/>
    </row>
    <row r="1430" spans="1:22" ht="14.65" customHeight="1" x14ac:dyDescent="0.2">
      <c r="A1430" s="225">
        <v>43551</v>
      </c>
      <c r="B1430" s="224" t="s">
        <v>246</v>
      </c>
      <c r="C1430" s="224" t="s">
        <v>232</v>
      </c>
      <c r="D1430" s="224" t="s">
        <v>233</v>
      </c>
      <c r="E1430" s="226"/>
      <c r="G1430" s="224" t="s">
        <v>1</v>
      </c>
      <c r="H1430" s="224" t="s">
        <v>196</v>
      </c>
      <c r="I1430" s="224" t="s">
        <v>63</v>
      </c>
      <c r="J1430" s="224">
        <v>20</v>
      </c>
      <c r="K1430" s="227">
        <f t="array" ref="K1430">IFERROR(INDEX([1]Grille_Tarifs_Modulable!$B$2:$B$204,MATCH(Tableau14[[#This Row],[Designation]]&amp;Tableau14[[#This Row],[CL]],[1]Grille_Tarifs_Modulable!$C$2:$C$204&amp;[1]Grille_Tarifs_Modulable!$F$2:$F$204,0)),0)</f>
        <v>4260310552941</v>
      </c>
      <c r="L1430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0.81</v>
      </c>
      <c r="M1430" s="228">
        <f>IF(Tableau14[[#This Row],[Prix_Unit_HT]]=0,0,Tableau14[[#This Row],[Prix_Unit_HT]]+(Tableau14[[#This Row],[Prix_Unit_HT]]*VLOOKUP(Tableau14[[#This Row],[EAN]],[1]Grille_Tarifs_Modulable!$B$10:$Q$204,16,FALSE)))</f>
        <v>0.85455000000000003</v>
      </c>
      <c r="N1430" s="224">
        <v>48</v>
      </c>
      <c r="O1430" s="228">
        <f>ROUND(Tableau14[[#This Row],[Prix_Unit_HT]],2)*Tableau14[[#This Row],[Qte_commande]]</f>
        <v>38.880000000000003</v>
      </c>
      <c r="P1430" s="228">
        <f>ROUND(Tableau14[[#This Row],[Prix_Unit_TTC]],2)*Tableau14[[#This Row],[Qte_commande]]</f>
        <v>40.799999999999997</v>
      </c>
      <c r="Q1430" s="224">
        <v>13.71</v>
      </c>
      <c r="R1430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13.714285714285715</v>
      </c>
      <c r="U1430" s="224"/>
      <c r="V1430" s="224"/>
    </row>
    <row r="1431" spans="1:22" ht="14.65" customHeight="1" x14ac:dyDescent="0.2">
      <c r="A1431" s="225">
        <v>43551</v>
      </c>
      <c r="B1431" s="224" t="s">
        <v>246</v>
      </c>
      <c r="C1431" s="224" t="s">
        <v>232</v>
      </c>
      <c r="D1431" s="224" t="s">
        <v>233</v>
      </c>
      <c r="E1431" s="226"/>
      <c r="G1431" s="224" t="s">
        <v>1</v>
      </c>
      <c r="H1431" s="224" t="s">
        <v>289</v>
      </c>
      <c r="I1431" s="224" t="s">
        <v>35</v>
      </c>
      <c r="J1431" s="224">
        <v>70</v>
      </c>
      <c r="K1431" s="227">
        <f t="array" ref="K1431">IFERROR(INDEX([1]Grille_Tarifs_Modulable!$B$2:$B$204,MATCH(Tableau14[[#This Row],[Designation]]&amp;Tableau14[[#This Row],[CL]],[1]Grille_Tarifs_Modulable!$C$2:$C$204&amp;[1]Grille_Tarifs_Modulable!$F$2:$F$204,0)),0)</f>
        <v>3257150107012</v>
      </c>
      <c r="L1431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29.828643999999997</v>
      </c>
      <c r="M1431" s="228">
        <f>IF(Tableau14[[#This Row],[Prix_Unit_HT]]=0,0,Tableau14[[#This Row],[Prix_Unit_HT]]+(Tableau14[[#This Row],[Prix_Unit_HT]]*VLOOKUP(Tableau14[[#This Row],[EAN]],[1]Grille_Tarifs_Modulable!$B$10:$Q$204,16,FALSE)))</f>
        <v>35.794372799999998</v>
      </c>
      <c r="N1431" s="224">
        <v>6</v>
      </c>
      <c r="O1431" s="228">
        <f>ROUND(Tableau14[[#This Row],[Prix_Unit_HT]],2)*Tableau14[[#This Row],[Qte_commande]]</f>
        <v>178.98</v>
      </c>
      <c r="P1431" s="228">
        <f>ROUND(Tableau14[[#This Row],[Prix_Unit_TTC]],2)*Tableau14[[#This Row],[Qte_commande]]</f>
        <v>214.74</v>
      </c>
      <c r="Q1431" s="224">
        <v>6</v>
      </c>
      <c r="R1431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6.0000000000000009</v>
      </c>
      <c r="U1431" s="224"/>
      <c r="V1431" s="224"/>
    </row>
    <row r="1432" spans="1:22" ht="14.65" customHeight="1" x14ac:dyDescent="0.2">
      <c r="A1432" s="225">
        <v>43551</v>
      </c>
      <c r="B1432" s="224" t="s">
        <v>246</v>
      </c>
      <c r="C1432" s="224" t="s">
        <v>232</v>
      </c>
      <c r="D1432" s="224" t="s">
        <v>233</v>
      </c>
      <c r="E1432" s="226"/>
      <c r="G1432" s="224" t="s">
        <v>1</v>
      </c>
      <c r="H1432" s="224" t="s">
        <v>289</v>
      </c>
      <c r="I1432" s="224" t="s">
        <v>15</v>
      </c>
      <c r="J1432" s="224">
        <v>175</v>
      </c>
      <c r="K1432" s="227">
        <f t="array" ref="K1432">IFERROR(INDEX([1]Grille_Tarifs_Modulable!$B$2:$B$204,MATCH(Tableau14[[#This Row],[Designation]]&amp;Tableau14[[#This Row],[CL]],[1]Grille_Tarifs_Modulable!$C$2:$C$204&amp;[1]Grille_Tarifs_Modulable!$F$2:$F$204,0)),0)</f>
        <v>4067700013835</v>
      </c>
      <c r="L1432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28.916408750000002</v>
      </c>
      <c r="M1432" s="228">
        <f>IF(Tableau14[[#This Row],[Prix_Unit_HT]]=0,0,Tableau14[[#This Row],[Prix_Unit_HT]]+(Tableau14[[#This Row],[Prix_Unit_HT]]*VLOOKUP(Tableau14[[#This Row],[EAN]],[1]Grille_Tarifs_Modulable!$B$10:$Q$204,16,FALSE)))</f>
        <v>34.699690500000003</v>
      </c>
      <c r="N1432" s="224">
        <v>48</v>
      </c>
      <c r="O1432" s="228">
        <f>ROUND(Tableau14[[#This Row],[Prix_Unit_HT]],2)*Tableau14[[#This Row],[Qte_commande]]</f>
        <v>1388.16</v>
      </c>
      <c r="P1432" s="228">
        <f>ROUND(Tableau14[[#This Row],[Prix_Unit_TTC]],2)*Tableau14[[#This Row],[Qte_commande]]</f>
        <v>1665.6000000000001</v>
      </c>
      <c r="Q1432" s="224">
        <v>120</v>
      </c>
      <c r="R1432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120.00000000000001</v>
      </c>
      <c r="U1432" s="224"/>
      <c r="V1432" s="224"/>
    </row>
    <row r="1433" spans="1:22" ht="14.65" customHeight="1" x14ac:dyDescent="0.2">
      <c r="A1433" s="225">
        <v>43551</v>
      </c>
      <c r="B1433" s="224" t="s">
        <v>742</v>
      </c>
      <c r="C1433" s="224" t="s">
        <v>737</v>
      </c>
      <c r="D1433" s="224" t="s">
        <v>209</v>
      </c>
      <c r="E1433" s="226"/>
      <c r="G1433" s="224" t="s">
        <v>1</v>
      </c>
      <c r="H1433" s="224" t="s">
        <v>289</v>
      </c>
      <c r="I1433" s="224" t="s">
        <v>15</v>
      </c>
      <c r="J1433" s="224">
        <v>70</v>
      </c>
      <c r="K1433" s="227">
        <f t="array" ref="K1433">IFERROR(INDEX([1]Grille_Tarifs_Modulable!$B$2:$B$204,MATCH(Tableau14[[#This Row],[Designation]]&amp;Tableau14[[#This Row],[CL]],[1]Grille_Tarifs_Modulable!$C$2:$C$204&amp;[1]Grille_Tarifs_Modulable!$F$2:$F$204,0)),0)</f>
        <v>4067700013859</v>
      </c>
      <c r="L1433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12.532563499999998</v>
      </c>
      <c r="M1433" s="228">
        <f>IF(Tableau14[[#This Row],[Prix_Unit_HT]]=0,0,Tableau14[[#This Row],[Prix_Unit_HT]]+(Tableau14[[#This Row],[Prix_Unit_HT]]*VLOOKUP(Tableau14[[#This Row],[EAN]],[1]Grille_Tarifs_Modulable!$B$10:$Q$204,16,FALSE)))</f>
        <v>15.039076199999998</v>
      </c>
      <c r="N1433" s="224">
        <v>42</v>
      </c>
      <c r="O1433" s="228">
        <f>ROUND(Tableau14[[#This Row],[Prix_Unit_HT]],2)*Tableau14[[#This Row],[Qte_commande]]</f>
        <v>526.26</v>
      </c>
      <c r="P1433" s="228">
        <f>ROUND(Tableau14[[#This Row],[Prix_Unit_TTC]],2)*Tableau14[[#This Row],[Qte_commande]]</f>
        <v>631.67999999999995</v>
      </c>
      <c r="Q1433" s="224">
        <v>42</v>
      </c>
      <c r="R1433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42</v>
      </c>
      <c r="U1433" s="224"/>
      <c r="V1433" s="224"/>
    </row>
    <row r="1434" spans="1:22" ht="14.65" customHeight="1" x14ac:dyDescent="0.2">
      <c r="A1434" s="225">
        <v>43551</v>
      </c>
      <c r="B1434" s="224" t="s">
        <v>742</v>
      </c>
      <c r="C1434" s="224" t="s">
        <v>737</v>
      </c>
      <c r="D1434" s="224" t="s">
        <v>209</v>
      </c>
      <c r="E1434" s="226"/>
      <c r="G1434" s="224" t="s">
        <v>1</v>
      </c>
      <c r="H1434" s="224" t="s">
        <v>289</v>
      </c>
      <c r="I1434" s="224" t="s">
        <v>15</v>
      </c>
      <c r="J1434" s="224">
        <v>70</v>
      </c>
      <c r="K1434" s="227">
        <f t="array" ref="K1434">IFERROR(INDEX([1]Grille_Tarifs_Modulable!$B$2:$B$204,MATCH(Tableau14[[#This Row],[Designation]]&amp;Tableau14[[#This Row],[CL]],[1]Grille_Tarifs_Modulable!$C$2:$C$204&amp;[1]Grille_Tarifs_Modulable!$F$2:$F$204,0)),0)</f>
        <v>4067700013859</v>
      </c>
      <c r="L1434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12.532563499999998</v>
      </c>
      <c r="M1434" s="228">
        <f>IF(Tableau14[[#This Row],[Prix_Unit_HT]]=0,0,Tableau14[[#This Row],[Prix_Unit_HT]]+(Tableau14[[#This Row],[Prix_Unit_HT]]*VLOOKUP(Tableau14[[#This Row],[EAN]],[1]Grille_Tarifs_Modulable!$B$10:$Q$204,16,FALSE)))</f>
        <v>15.039076199999998</v>
      </c>
      <c r="N1434" s="224">
        <v>138</v>
      </c>
      <c r="O1434" s="228">
        <f>ROUND(Tableau14[[#This Row],[Prix_Unit_HT]],2)*Tableau14[[#This Row],[Qte_commande]]</f>
        <v>1729.1399999999999</v>
      </c>
      <c r="P1434" s="228">
        <f>ROUND(Tableau14[[#This Row],[Prix_Unit_TTC]],2)*Tableau14[[#This Row],[Qte_commande]]</f>
        <v>2075.52</v>
      </c>
      <c r="Q1434" s="224">
        <v>138</v>
      </c>
      <c r="R1434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138</v>
      </c>
      <c r="U1434" s="224"/>
      <c r="V1434" s="224"/>
    </row>
    <row r="1435" spans="1:22" ht="14.65" customHeight="1" x14ac:dyDescent="0.2">
      <c r="A1435" s="225">
        <v>43551</v>
      </c>
      <c r="B1435" s="224" t="s">
        <v>246</v>
      </c>
      <c r="C1435" s="224" t="s">
        <v>232</v>
      </c>
      <c r="D1435" s="224" t="s">
        <v>233</v>
      </c>
      <c r="E1435" s="226"/>
      <c r="G1435" s="224" t="s">
        <v>13</v>
      </c>
      <c r="H1435" s="224" t="s">
        <v>196</v>
      </c>
      <c r="I1435" s="224" t="s">
        <v>66</v>
      </c>
      <c r="J1435" s="224">
        <v>20</v>
      </c>
      <c r="K1435" s="227">
        <f t="array" ref="K1435">IFERROR(INDEX([1]Grille_Tarifs_Modulable!$B$2:$B$204,MATCH(Tableau14[[#This Row],[Designation]]&amp;Tableau14[[#This Row],[CL]],[1]Grille_Tarifs_Modulable!$C$2:$C$204&amp;[1]Grille_Tarifs_Modulable!$F$2:$F$204,0)),0)</f>
        <v>4260310554785</v>
      </c>
      <c r="L1435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0.89</v>
      </c>
      <c r="M1435" s="228">
        <f>IF(Tableau14[[#This Row],[Prix_Unit_HT]]=0,0,Tableau14[[#This Row],[Prix_Unit_HT]]+(Tableau14[[#This Row],[Prix_Unit_HT]]*VLOOKUP(Tableau14[[#This Row],[EAN]],[1]Grille_Tarifs_Modulable!$B$10:$Q$204,16,FALSE)))</f>
        <v>0.93895000000000006</v>
      </c>
      <c r="N1435" s="224">
        <v>144</v>
      </c>
      <c r="O1435" s="228">
        <f>ROUND(Tableau14[[#This Row],[Prix_Unit_HT]],2)*Tableau14[[#This Row],[Qte_commande]]</f>
        <v>128.16</v>
      </c>
      <c r="P1435" s="228">
        <f>ROUND(Tableau14[[#This Row],[Prix_Unit_TTC]],2)*Tableau14[[#This Row],[Qte_commande]]</f>
        <v>135.35999999999999</v>
      </c>
      <c r="Q1435" s="224">
        <v>41.14</v>
      </c>
      <c r="R1435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41.142857142857146</v>
      </c>
      <c r="U1435" s="224"/>
      <c r="V1435" s="224"/>
    </row>
    <row r="1436" spans="1:22" ht="14.65" customHeight="1" x14ac:dyDescent="0.2">
      <c r="A1436" s="225">
        <v>43551</v>
      </c>
      <c r="B1436" s="224" t="s">
        <v>742</v>
      </c>
      <c r="C1436" s="224" t="s">
        <v>737</v>
      </c>
      <c r="D1436" s="224" t="s">
        <v>209</v>
      </c>
      <c r="E1436" s="226"/>
      <c r="G1436" s="224" t="s">
        <v>1</v>
      </c>
      <c r="H1436" s="224" t="s">
        <v>289</v>
      </c>
      <c r="I1436" s="224" t="s">
        <v>30</v>
      </c>
      <c r="J1436" s="224">
        <v>70</v>
      </c>
      <c r="K1436" s="227">
        <f t="array" ref="K1436">IFERROR(INDEX([1]Grille_Tarifs_Modulable!$B$2:$B$204,MATCH(Tableau14[[#This Row],[Designation]]&amp;Tableau14[[#This Row],[CL]],[1]Grille_Tarifs_Modulable!$C$2:$C$204&amp;[1]Grille_Tarifs_Modulable!$F$2:$F$204,0)),0)</f>
        <v>3257150101904</v>
      </c>
      <c r="L1436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16.346482999999999</v>
      </c>
      <c r="M1436" s="228">
        <f>IF(Tableau14[[#This Row],[Prix_Unit_HT]]=0,0,Tableau14[[#This Row],[Prix_Unit_HT]]+(Tableau14[[#This Row],[Prix_Unit_HT]]*VLOOKUP(Tableau14[[#This Row],[EAN]],[1]Grille_Tarifs_Modulable!$B$10:$Q$204,16,FALSE)))</f>
        <v>19.6157796</v>
      </c>
      <c r="N1436" s="224">
        <v>18</v>
      </c>
      <c r="O1436" s="228">
        <f>ROUND(Tableau14[[#This Row],[Prix_Unit_HT]],2)*Tableau14[[#This Row],[Qte_commande]]</f>
        <v>294.3</v>
      </c>
      <c r="P1436" s="228">
        <f>ROUND(Tableau14[[#This Row],[Prix_Unit_TTC]],2)*Tableau14[[#This Row],[Qte_commande]]</f>
        <v>353.16</v>
      </c>
      <c r="Q1436" s="224">
        <v>18</v>
      </c>
      <c r="R1436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18</v>
      </c>
      <c r="U1436" s="224"/>
      <c r="V1436" s="224"/>
    </row>
    <row r="1437" spans="1:22" ht="14.65" customHeight="1" x14ac:dyDescent="0.2">
      <c r="A1437" s="225">
        <v>43551</v>
      </c>
      <c r="B1437" s="224" t="s">
        <v>246</v>
      </c>
      <c r="C1437" s="224" t="s">
        <v>232</v>
      </c>
      <c r="D1437" s="224" t="s">
        <v>233</v>
      </c>
      <c r="E1437" s="226"/>
      <c r="G1437" s="224" t="s">
        <v>1</v>
      </c>
      <c r="H1437" s="224" t="s">
        <v>289</v>
      </c>
      <c r="I1437" s="224" t="s">
        <v>32</v>
      </c>
      <c r="J1437" s="224">
        <v>70</v>
      </c>
      <c r="K1437" s="227">
        <f t="array" ref="K1437">IFERROR(INDEX([1]Grille_Tarifs_Modulable!$B$2:$B$204,MATCH(Tableau14[[#This Row],[Designation]]&amp;Tableau14[[#This Row],[CL]],[1]Grille_Tarifs_Modulable!$C$2:$C$204&amp;[1]Grille_Tarifs_Modulable!$F$2:$F$204,0)),0)</f>
        <v>3257150100228</v>
      </c>
      <c r="L1437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19.998643999999999</v>
      </c>
      <c r="M1437" s="228">
        <f>IF(Tableau14[[#This Row],[Prix_Unit_HT]]=0,0,Tableau14[[#This Row],[Prix_Unit_HT]]+(Tableau14[[#This Row],[Prix_Unit_HT]]*VLOOKUP(Tableau14[[#This Row],[EAN]],[1]Grille_Tarifs_Modulable!$B$10:$Q$204,16,FALSE)))</f>
        <v>23.998372799999999</v>
      </c>
      <c r="N1437" s="224">
        <v>6</v>
      </c>
      <c r="O1437" s="228">
        <f>ROUND(Tableau14[[#This Row],[Prix_Unit_HT]],2)*Tableau14[[#This Row],[Qte_commande]]</f>
        <v>120</v>
      </c>
      <c r="P1437" s="228">
        <f>ROUND(Tableau14[[#This Row],[Prix_Unit_TTC]],2)*Tableau14[[#This Row],[Qte_commande]]</f>
        <v>144</v>
      </c>
      <c r="Q1437" s="224">
        <v>6</v>
      </c>
      <c r="R1437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6.0000000000000009</v>
      </c>
      <c r="U1437" s="224"/>
      <c r="V1437" s="224"/>
    </row>
    <row r="1438" spans="1:22" ht="14.65" customHeight="1" x14ac:dyDescent="0.2">
      <c r="A1438" s="225">
        <v>43551</v>
      </c>
      <c r="B1438" s="224" t="s">
        <v>246</v>
      </c>
      <c r="C1438" s="224" t="s">
        <v>232</v>
      </c>
      <c r="D1438" s="224" t="s">
        <v>233</v>
      </c>
      <c r="E1438" s="226"/>
      <c r="G1438" s="224" t="s">
        <v>1</v>
      </c>
      <c r="H1438" s="224" t="s">
        <v>289</v>
      </c>
      <c r="I1438" s="224" t="s">
        <v>31</v>
      </c>
      <c r="J1438" s="224">
        <v>70</v>
      </c>
      <c r="K1438" s="227">
        <f t="array" ref="K1438">IFERROR(INDEX([1]Grille_Tarifs_Modulable!$B$2:$B$204,MATCH(Tableau14[[#This Row],[Designation]]&amp;Tableau14[[#This Row],[CL]],[1]Grille_Tarifs_Modulable!$C$2:$C$204&amp;[1]Grille_Tarifs_Modulable!$F$2:$F$204,0)),0)</f>
        <v>3257150102017</v>
      </c>
      <c r="L1438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14.694322</v>
      </c>
      <c r="M1438" s="228">
        <f>IF(Tableau14[[#This Row],[Prix_Unit_HT]]=0,0,Tableau14[[#This Row],[Prix_Unit_HT]]+(Tableau14[[#This Row],[Prix_Unit_HT]]*VLOOKUP(Tableau14[[#This Row],[EAN]],[1]Grille_Tarifs_Modulable!$B$10:$Q$204,16,FALSE)))</f>
        <v>17.6331864</v>
      </c>
      <c r="N1438" s="224">
        <v>6</v>
      </c>
      <c r="O1438" s="228">
        <f>ROUND(Tableau14[[#This Row],[Prix_Unit_HT]],2)*Tableau14[[#This Row],[Qte_commande]]</f>
        <v>88.14</v>
      </c>
      <c r="P1438" s="228">
        <f>ROUND(Tableau14[[#This Row],[Prix_Unit_TTC]],2)*Tableau14[[#This Row],[Qte_commande]]</f>
        <v>105.78</v>
      </c>
      <c r="Q1438" s="224">
        <v>6</v>
      </c>
      <c r="R1438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6.0000000000000009</v>
      </c>
      <c r="U1438" s="224"/>
      <c r="V1438" s="224"/>
    </row>
    <row r="1439" spans="1:22" ht="14.65" customHeight="1" x14ac:dyDescent="0.2">
      <c r="A1439" s="225">
        <v>43551</v>
      </c>
      <c r="B1439" s="224" t="s">
        <v>246</v>
      </c>
      <c r="C1439" s="224" t="s">
        <v>232</v>
      </c>
      <c r="D1439" s="224" t="s">
        <v>233</v>
      </c>
      <c r="E1439" s="226"/>
      <c r="G1439" s="224" t="s">
        <v>1</v>
      </c>
      <c r="H1439" s="224" t="s">
        <v>289</v>
      </c>
      <c r="I1439" s="224" t="s">
        <v>44</v>
      </c>
      <c r="J1439" s="224">
        <v>50</v>
      </c>
      <c r="K1439" s="227">
        <f t="array" ref="K1439">IFERROR(INDEX([1]Grille_Tarifs_Modulable!$B$2:$B$204,MATCH(Tableau14[[#This Row],[Designation]]&amp;Tableau14[[#This Row],[CL]],[1]Grille_Tarifs_Modulable!$C$2:$C$204&amp;[1]Grille_Tarifs_Modulable!$F$2:$F$204,0)),0)</f>
        <v>4260270192645</v>
      </c>
      <c r="L1439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25.192506000000002</v>
      </c>
      <c r="M1439" s="228">
        <f>IF(Tableau14[[#This Row],[Prix_Unit_HT]]=0,0,Tableau14[[#This Row],[Prix_Unit_HT]]+(Tableau14[[#This Row],[Prix_Unit_HT]]*VLOOKUP(Tableau14[[#This Row],[EAN]],[1]Grille_Tarifs_Modulable!$B$10:$Q$204,16,FALSE)))</f>
        <v>30.231007200000001</v>
      </c>
      <c r="N1439" s="224">
        <v>6</v>
      </c>
      <c r="O1439" s="228">
        <f>ROUND(Tableau14[[#This Row],[Prix_Unit_HT]],2)*Tableau14[[#This Row],[Qte_commande]]</f>
        <v>151.14000000000001</v>
      </c>
      <c r="P1439" s="228">
        <f>ROUND(Tableau14[[#This Row],[Prix_Unit_TTC]],2)*Tableau14[[#This Row],[Qte_commande]]</f>
        <v>181.38</v>
      </c>
      <c r="Q1439" s="224">
        <v>4.29</v>
      </c>
      <c r="R1439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4.2857142857142856</v>
      </c>
      <c r="U1439" s="224"/>
      <c r="V1439" s="224"/>
    </row>
    <row r="1440" spans="1:22" ht="14.65" customHeight="1" x14ac:dyDescent="0.2">
      <c r="A1440" s="225">
        <v>43551</v>
      </c>
      <c r="B1440" s="224" t="s">
        <v>246</v>
      </c>
      <c r="C1440" s="224" t="s">
        <v>232</v>
      </c>
      <c r="D1440" s="224" t="s">
        <v>233</v>
      </c>
      <c r="E1440" s="226"/>
      <c r="G1440" s="224" t="s">
        <v>1</v>
      </c>
      <c r="H1440" s="224" t="s">
        <v>289</v>
      </c>
      <c r="I1440" s="224" t="s">
        <v>25</v>
      </c>
      <c r="J1440" s="224">
        <v>100</v>
      </c>
      <c r="K1440" s="227">
        <f t="array" ref="K1440">IFERROR(INDEX([1]Grille_Tarifs_Modulable!$B$2:$B$204,MATCH(Tableau14[[#This Row],[Designation]]&amp;Tableau14[[#This Row],[CL]],[1]Grille_Tarifs_Modulable!$C$2:$C$204&amp;[1]Grille_Tarifs_Modulable!$F$2:$F$204,0)),0)</f>
        <v>3257150410167</v>
      </c>
      <c r="L1440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15.778874</v>
      </c>
      <c r="M1440" s="228">
        <f>IF(Tableau14[[#This Row],[Prix_Unit_HT]]=0,0,Tableau14[[#This Row],[Prix_Unit_HT]]+(Tableau14[[#This Row],[Prix_Unit_HT]]*VLOOKUP(Tableau14[[#This Row],[EAN]],[1]Grille_Tarifs_Modulable!$B$10:$Q$204,16,FALSE)))</f>
        <v>18.934648800000002</v>
      </c>
      <c r="N1440" s="224">
        <v>72</v>
      </c>
      <c r="O1440" s="228">
        <f>ROUND(Tableau14[[#This Row],[Prix_Unit_HT]],2)*Tableau14[[#This Row],[Qte_commande]]</f>
        <v>1136.1599999999999</v>
      </c>
      <c r="P1440" s="228">
        <f>ROUND(Tableau14[[#This Row],[Prix_Unit_TTC]],2)*Tableau14[[#This Row],[Qte_commande]]</f>
        <v>1362.96</v>
      </c>
      <c r="Q1440" s="224">
        <v>102.86</v>
      </c>
      <c r="R1440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102.85714285714286</v>
      </c>
      <c r="U1440" s="224"/>
      <c r="V1440" s="224"/>
    </row>
    <row r="1441" spans="1:22" ht="14.65" customHeight="1" x14ac:dyDescent="0.2">
      <c r="A1441" s="225">
        <v>43551</v>
      </c>
      <c r="B1441" s="224" t="s">
        <v>246</v>
      </c>
      <c r="C1441" s="224" t="s">
        <v>232</v>
      </c>
      <c r="D1441" s="224" t="s">
        <v>233</v>
      </c>
      <c r="E1441" s="226"/>
      <c r="G1441" s="224" t="s">
        <v>1</v>
      </c>
      <c r="H1441" s="224" t="s">
        <v>196</v>
      </c>
      <c r="I1441" s="224" t="s">
        <v>64</v>
      </c>
      <c r="J1441" s="224">
        <v>20</v>
      </c>
      <c r="K1441" s="227">
        <f t="array" ref="K1441">IFERROR(INDEX([1]Grille_Tarifs_Modulable!$B$2:$B$204,MATCH(Tableau14[[#This Row],[Designation]]&amp;Tableau14[[#This Row],[CL]],[1]Grille_Tarifs_Modulable!$C$2:$C$204&amp;[1]Grille_Tarifs_Modulable!$F$2:$F$204,0)),0)</f>
        <v>4260310553849</v>
      </c>
      <c r="L1441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0.81</v>
      </c>
      <c r="M1441" s="228">
        <f>IF(Tableau14[[#This Row],[Prix_Unit_HT]]=0,0,Tableau14[[#This Row],[Prix_Unit_HT]]+(Tableau14[[#This Row],[Prix_Unit_HT]]*VLOOKUP(Tableau14[[#This Row],[EAN]],[1]Grille_Tarifs_Modulable!$B$10:$Q$204,16,FALSE)))</f>
        <v>0.85455000000000003</v>
      </c>
      <c r="N1441" s="224">
        <v>144</v>
      </c>
      <c r="O1441" s="228">
        <f>ROUND(Tableau14[[#This Row],[Prix_Unit_HT]],2)*Tableau14[[#This Row],[Qte_commande]]</f>
        <v>116.64000000000001</v>
      </c>
      <c r="P1441" s="228">
        <f>ROUND(Tableau14[[#This Row],[Prix_Unit_TTC]],2)*Tableau14[[#This Row],[Qte_commande]]</f>
        <v>122.39999999999999</v>
      </c>
      <c r="Q1441" s="224">
        <v>41.14</v>
      </c>
      <c r="R1441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41.142857142857146</v>
      </c>
      <c r="U1441" s="224"/>
      <c r="V1441" s="224"/>
    </row>
    <row r="1442" spans="1:22" ht="14.65" customHeight="1" x14ac:dyDescent="0.2">
      <c r="A1442" s="225">
        <v>43551</v>
      </c>
      <c r="B1442" s="224" t="s">
        <v>246</v>
      </c>
      <c r="C1442" s="224" t="s">
        <v>232</v>
      </c>
      <c r="D1442" s="224" t="s">
        <v>233</v>
      </c>
      <c r="E1442" s="226"/>
      <c r="G1442" s="224" t="s">
        <v>1</v>
      </c>
      <c r="H1442" s="224" t="s">
        <v>196</v>
      </c>
      <c r="I1442" s="224" t="s">
        <v>59</v>
      </c>
      <c r="J1442" s="224">
        <v>20</v>
      </c>
      <c r="K1442" s="227">
        <f t="array" ref="K1442">IFERROR(INDEX([1]Grille_Tarifs_Modulable!$B$2:$B$204,MATCH(Tableau14[[#This Row],[Designation]]&amp;Tableau14[[#This Row],[CL]],[1]Grille_Tarifs_Modulable!$C$2:$C$204&amp;[1]Grille_Tarifs_Modulable!$F$2:$F$204,0)),0)</f>
        <v>4260310553818</v>
      </c>
      <c r="L1442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0.81</v>
      </c>
      <c r="M1442" s="228">
        <f>IF(Tableau14[[#This Row],[Prix_Unit_HT]]=0,0,Tableau14[[#This Row],[Prix_Unit_HT]]+(Tableau14[[#This Row],[Prix_Unit_HT]]*VLOOKUP(Tableau14[[#This Row],[EAN]],[1]Grille_Tarifs_Modulable!$B$10:$Q$204,16,FALSE)))</f>
        <v>0.85455000000000003</v>
      </c>
      <c r="N1442" s="224">
        <v>288</v>
      </c>
      <c r="O1442" s="228">
        <f>ROUND(Tableau14[[#This Row],[Prix_Unit_HT]],2)*Tableau14[[#This Row],[Qte_commande]]</f>
        <v>233.28000000000003</v>
      </c>
      <c r="P1442" s="228">
        <f>ROUND(Tableau14[[#This Row],[Prix_Unit_TTC]],2)*Tableau14[[#This Row],[Qte_commande]]</f>
        <v>244.79999999999998</v>
      </c>
      <c r="Q1442" s="224">
        <v>82.29</v>
      </c>
      <c r="R1442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82.285714285714292</v>
      </c>
      <c r="U1442" s="224"/>
      <c r="V1442" s="224"/>
    </row>
    <row r="1443" spans="1:22" ht="14.65" customHeight="1" x14ac:dyDescent="0.2">
      <c r="A1443" s="225">
        <v>43552</v>
      </c>
      <c r="B1443" s="224" t="s">
        <v>280</v>
      </c>
      <c r="C1443" s="224" t="s">
        <v>265</v>
      </c>
      <c r="D1443" s="224" t="s">
        <v>266</v>
      </c>
      <c r="E1443" s="226"/>
      <c r="G1443" s="224" t="s">
        <v>1</v>
      </c>
      <c r="H1443" s="224" t="s">
        <v>196</v>
      </c>
      <c r="I1443" s="224" t="s">
        <v>63</v>
      </c>
      <c r="J1443" s="224">
        <v>20</v>
      </c>
      <c r="K1443" s="227">
        <f t="array" ref="K1443">IFERROR(INDEX([1]Grille_Tarifs_Modulable!$B$2:$B$204,MATCH(Tableau14[[#This Row],[Designation]]&amp;Tableau14[[#This Row],[CL]],[1]Grille_Tarifs_Modulable!$C$2:$C$204&amp;[1]Grille_Tarifs_Modulable!$F$2:$F$204,0)),0)</f>
        <v>4260310552941</v>
      </c>
      <c r="L1443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0.81</v>
      </c>
      <c r="M1443" s="228">
        <f>IF(Tableau14[[#This Row],[Prix_Unit_HT]]=0,0,Tableau14[[#This Row],[Prix_Unit_HT]]+(Tableau14[[#This Row],[Prix_Unit_HT]]*VLOOKUP(Tableau14[[#This Row],[EAN]],[1]Grille_Tarifs_Modulable!$B$10:$Q$204,16,FALSE)))</f>
        <v>0.85455000000000003</v>
      </c>
      <c r="N1443" s="224">
        <v>96</v>
      </c>
      <c r="O1443" s="228">
        <f>ROUND(Tableau14[[#This Row],[Prix_Unit_HT]],2)*Tableau14[[#This Row],[Qte_commande]]</f>
        <v>77.760000000000005</v>
      </c>
      <c r="P1443" s="228">
        <f>ROUND(Tableau14[[#This Row],[Prix_Unit_TTC]],2)*Tableau14[[#This Row],[Qte_commande]]</f>
        <v>81.599999999999994</v>
      </c>
      <c r="Q1443" s="224">
        <v>27.43</v>
      </c>
      <c r="R1443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27.428571428571431</v>
      </c>
      <c r="U1443" s="224"/>
      <c r="V1443" s="224"/>
    </row>
    <row r="1444" spans="1:22" ht="14.65" customHeight="1" x14ac:dyDescent="0.2">
      <c r="A1444" s="225">
        <v>43552</v>
      </c>
      <c r="B1444" s="224" t="s">
        <v>280</v>
      </c>
      <c r="C1444" s="224" t="s">
        <v>265</v>
      </c>
      <c r="D1444" s="224" t="s">
        <v>266</v>
      </c>
      <c r="E1444" s="226"/>
      <c r="G1444" s="224" t="s">
        <v>1</v>
      </c>
      <c r="H1444" s="224" t="s">
        <v>196</v>
      </c>
      <c r="I1444" s="224" t="s">
        <v>60</v>
      </c>
      <c r="J1444" s="224">
        <v>20</v>
      </c>
      <c r="K1444" s="227">
        <f t="array" ref="K1444">IFERROR(INDEX([1]Grille_Tarifs_Modulable!$B$2:$B$204,MATCH(Tableau14[[#This Row],[Designation]]&amp;Tableau14[[#This Row],[CL]],[1]Grille_Tarifs_Modulable!$C$2:$C$204&amp;[1]Grille_Tarifs_Modulable!$F$2:$F$204,0)),0)</f>
        <v>4260310553832</v>
      </c>
      <c r="L1444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0.81</v>
      </c>
      <c r="M1444" s="228">
        <f>IF(Tableau14[[#This Row],[Prix_Unit_HT]]=0,0,Tableau14[[#This Row],[Prix_Unit_HT]]+(Tableau14[[#This Row],[Prix_Unit_HT]]*VLOOKUP(Tableau14[[#This Row],[EAN]],[1]Grille_Tarifs_Modulable!$B$10:$Q$204,16,FALSE)))</f>
        <v>0.85455000000000003</v>
      </c>
      <c r="N1444" s="224">
        <v>72</v>
      </c>
      <c r="O1444" s="228">
        <f>ROUND(Tableau14[[#This Row],[Prix_Unit_HT]],2)*Tableau14[[#This Row],[Qte_commande]]</f>
        <v>58.320000000000007</v>
      </c>
      <c r="P1444" s="228">
        <f>ROUND(Tableau14[[#This Row],[Prix_Unit_TTC]],2)*Tableau14[[#This Row],[Qte_commande]]</f>
        <v>61.199999999999996</v>
      </c>
      <c r="Q1444" s="224">
        <v>20.57</v>
      </c>
      <c r="R1444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20.571428571428573</v>
      </c>
      <c r="U1444" s="224"/>
      <c r="V1444" s="224"/>
    </row>
    <row r="1445" spans="1:22" ht="14.65" customHeight="1" x14ac:dyDescent="0.2">
      <c r="A1445" s="225">
        <v>43552</v>
      </c>
      <c r="B1445" s="224" t="s">
        <v>513</v>
      </c>
      <c r="C1445" s="224" t="s">
        <v>265</v>
      </c>
      <c r="D1445" s="224" t="s">
        <v>266</v>
      </c>
      <c r="E1445" s="226"/>
      <c r="G1445" s="224" t="s">
        <v>1</v>
      </c>
      <c r="H1445" s="224" t="s">
        <v>196</v>
      </c>
      <c r="I1445" s="224" t="s">
        <v>60</v>
      </c>
      <c r="J1445" s="224">
        <v>20</v>
      </c>
      <c r="K1445" s="227">
        <f t="array" ref="K1445">IFERROR(INDEX([1]Grille_Tarifs_Modulable!$B$2:$B$204,MATCH(Tableau14[[#This Row],[Designation]]&amp;Tableau14[[#This Row],[CL]],[1]Grille_Tarifs_Modulable!$C$2:$C$204&amp;[1]Grille_Tarifs_Modulable!$F$2:$F$204,0)),0)</f>
        <v>4260310553832</v>
      </c>
      <c r="L1445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0.81</v>
      </c>
      <c r="M1445" s="228">
        <f>IF(Tableau14[[#This Row],[Prix_Unit_HT]]=0,0,Tableau14[[#This Row],[Prix_Unit_HT]]+(Tableau14[[#This Row],[Prix_Unit_HT]]*VLOOKUP(Tableau14[[#This Row],[EAN]],[1]Grille_Tarifs_Modulable!$B$10:$Q$204,16,FALSE)))</f>
        <v>0.85455000000000003</v>
      </c>
      <c r="N1445" s="224">
        <v>120</v>
      </c>
      <c r="O1445" s="228">
        <f>ROUND(Tableau14[[#This Row],[Prix_Unit_HT]],2)*Tableau14[[#This Row],[Qte_commande]]</f>
        <v>97.2</v>
      </c>
      <c r="P1445" s="228">
        <f>ROUND(Tableau14[[#This Row],[Prix_Unit_TTC]],2)*Tableau14[[#This Row],[Qte_commande]]</f>
        <v>102</v>
      </c>
      <c r="Q1445" s="224">
        <v>34.29</v>
      </c>
      <c r="R1445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34.285714285714285</v>
      </c>
      <c r="U1445" s="224"/>
      <c r="V1445" s="224"/>
    </row>
    <row r="1446" spans="1:22" ht="14.65" customHeight="1" x14ac:dyDescent="0.2">
      <c r="A1446" s="225">
        <v>43552</v>
      </c>
      <c r="B1446" s="224" t="s">
        <v>280</v>
      </c>
      <c r="C1446" s="224" t="s">
        <v>265</v>
      </c>
      <c r="D1446" s="224" t="s">
        <v>266</v>
      </c>
      <c r="E1446" s="226"/>
      <c r="G1446" s="224" t="s">
        <v>1</v>
      </c>
      <c r="H1446" s="224" t="s">
        <v>196</v>
      </c>
      <c r="I1446" s="224" t="s">
        <v>60</v>
      </c>
      <c r="J1446" s="224">
        <v>20</v>
      </c>
      <c r="K1446" s="227">
        <f t="array" ref="K1446">IFERROR(INDEX([1]Grille_Tarifs_Modulable!$B$2:$B$204,MATCH(Tableau14[[#This Row],[Designation]]&amp;Tableau14[[#This Row],[CL]],[1]Grille_Tarifs_Modulable!$C$2:$C$204&amp;[1]Grille_Tarifs_Modulable!$F$2:$F$204,0)),0)</f>
        <v>4260310553832</v>
      </c>
      <c r="L1446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0.81</v>
      </c>
      <c r="M1446" s="228">
        <f>IF(Tableau14[[#This Row],[Prix_Unit_HT]]=0,0,Tableau14[[#This Row],[Prix_Unit_HT]]+(Tableau14[[#This Row],[Prix_Unit_HT]]*VLOOKUP(Tableau14[[#This Row],[EAN]],[1]Grille_Tarifs_Modulable!$B$10:$Q$204,16,FALSE)))</f>
        <v>0.85455000000000003</v>
      </c>
      <c r="N1446" s="224">
        <v>120</v>
      </c>
      <c r="O1446" s="228">
        <f>ROUND(Tableau14[[#This Row],[Prix_Unit_HT]],2)*Tableau14[[#This Row],[Qte_commande]]</f>
        <v>97.2</v>
      </c>
      <c r="P1446" s="228">
        <f>ROUND(Tableau14[[#This Row],[Prix_Unit_TTC]],2)*Tableau14[[#This Row],[Qte_commande]]</f>
        <v>102</v>
      </c>
      <c r="Q1446" s="224">
        <v>34.29</v>
      </c>
      <c r="R1446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34.285714285714285</v>
      </c>
      <c r="U1446" s="224"/>
      <c r="V1446" s="224"/>
    </row>
    <row r="1447" spans="1:22" ht="14.65" customHeight="1" x14ac:dyDescent="0.2">
      <c r="A1447" s="225">
        <v>43552</v>
      </c>
      <c r="B1447" s="224" t="s">
        <v>280</v>
      </c>
      <c r="C1447" s="224" t="s">
        <v>265</v>
      </c>
      <c r="D1447" s="224" t="s">
        <v>266</v>
      </c>
      <c r="E1447" s="226"/>
      <c r="G1447" s="224" t="s">
        <v>1</v>
      </c>
      <c r="H1447" s="224" t="s">
        <v>289</v>
      </c>
      <c r="I1447" s="224" t="s">
        <v>15</v>
      </c>
      <c r="J1447" s="224">
        <v>70</v>
      </c>
      <c r="K1447" s="227">
        <f t="array" ref="K1447">IFERROR(INDEX([1]Grille_Tarifs_Modulable!$B$2:$B$204,MATCH(Tableau14[[#This Row],[Designation]]&amp;Tableau14[[#This Row],[CL]],[1]Grille_Tarifs_Modulable!$C$2:$C$204&amp;[1]Grille_Tarifs_Modulable!$F$2:$F$204,0)),0)</f>
        <v>4067700013859</v>
      </c>
      <c r="L1447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12.532563499999998</v>
      </c>
      <c r="M1447" s="228">
        <f>IF(Tableau14[[#This Row],[Prix_Unit_HT]]=0,0,Tableau14[[#This Row],[Prix_Unit_HT]]+(Tableau14[[#This Row],[Prix_Unit_HT]]*VLOOKUP(Tableau14[[#This Row],[EAN]],[1]Grille_Tarifs_Modulable!$B$10:$Q$204,16,FALSE)))</f>
        <v>15.039076199999998</v>
      </c>
      <c r="N1447" s="224">
        <v>138</v>
      </c>
      <c r="O1447" s="228">
        <f>ROUND(Tableau14[[#This Row],[Prix_Unit_HT]],2)*Tableau14[[#This Row],[Qte_commande]]</f>
        <v>1729.1399999999999</v>
      </c>
      <c r="P1447" s="228">
        <f>ROUND(Tableau14[[#This Row],[Prix_Unit_TTC]],2)*Tableau14[[#This Row],[Qte_commande]]</f>
        <v>2075.52</v>
      </c>
      <c r="Q1447" s="224">
        <v>138</v>
      </c>
      <c r="R1447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138</v>
      </c>
      <c r="U1447" s="224"/>
      <c r="V1447" s="224"/>
    </row>
    <row r="1448" spans="1:22" ht="14.65" customHeight="1" x14ac:dyDescent="0.2">
      <c r="A1448" s="225">
        <v>43552</v>
      </c>
      <c r="B1448" s="224" t="s">
        <v>513</v>
      </c>
      <c r="C1448" s="224" t="s">
        <v>265</v>
      </c>
      <c r="D1448" s="224" t="s">
        <v>266</v>
      </c>
      <c r="E1448" s="226"/>
      <c r="G1448" s="224" t="s">
        <v>1</v>
      </c>
      <c r="H1448" s="224" t="s">
        <v>289</v>
      </c>
      <c r="I1448" s="224" t="s">
        <v>15</v>
      </c>
      <c r="J1448" s="224">
        <v>70</v>
      </c>
      <c r="K1448" s="227">
        <f t="array" ref="K1448">IFERROR(INDEX([1]Grille_Tarifs_Modulable!$B$2:$B$204,MATCH(Tableau14[[#This Row],[Designation]]&amp;Tableau14[[#This Row],[CL]],[1]Grille_Tarifs_Modulable!$C$2:$C$204&amp;[1]Grille_Tarifs_Modulable!$F$2:$F$204,0)),0)</f>
        <v>4067700013859</v>
      </c>
      <c r="L1448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12.532563499999998</v>
      </c>
      <c r="M1448" s="228">
        <f>IF(Tableau14[[#This Row],[Prix_Unit_HT]]=0,0,Tableau14[[#This Row],[Prix_Unit_HT]]+(Tableau14[[#This Row],[Prix_Unit_HT]]*VLOOKUP(Tableau14[[#This Row],[EAN]],[1]Grille_Tarifs_Modulable!$B$10:$Q$204,16,FALSE)))</f>
        <v>15.039076199999998</v>
      </c>
      <c r="N1448" s="224">
        <v>240</v>
      </c>
      <c r="O1448" s="228">
        <f>ROUND(Tableau14[[#This Row],[Prix_Unit_HT]],2)*Tableau14[[#This Row],[Qte_commande]]</f>
        <v>3007.2</v>
      </c>
      <c r="P1448" s="228">
        <f>ROUND(Tableau14[[#This Row],[Prix_Unit_TTC]],2)*Tableau14[[#This Row],[Qte_commande]]</f>
        <v>3609.6</v>
      </c>
      <c r="Q1448" s="224">
        <v>240</v>
      </c>
      <c r="R1448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240.00000000000003</v>
      </c>
      <c r="U1448" s="224"/>
      <c r="V1448" s="224"/>
    </row>
    <row r="1449" spans="1:22" ht="14.65" customHeight="1" x14ac:dyDescent="0.2">
      <c r="A1449" s="225">
        <v>43552</v>
      </c>
      <c r="B1449" s="224" t="s">
        <v>280</v>
      </c>
      <c r="C1449" s="224" t="s">
        <v>265</v>
      </c>
      <c r="D1449" s="224" t="s">
        <v>266</v>
      </c>
      <c r="E1449" s="226"/>
      <c r="G1449" s="224" t="s">
        <v>1</v>
      </c>
      <c r="H1449" s="224" t="s">
        <v>289</v>
      </c>
      <c r="I1449" s="224" t="s">
        <v>15</v>
      </c>
      <c r="J1449" s="224">
        <v>70</v>
      </c>
      <c r="K1449" s="227">
        <f t="array" ref="K1449">IFERROR(INDEX([1]Grille_Tarifs_Modulable!$B$2:$B$204,MATCH(Tableau14[[#This Row],[Designation]]&amp;Tableau14[[#This Row],[CL]],[1]Grille_Tarifs_Modulable!$C$2:$C$204&amp;[1]Grille_Tarifs_Modulable!$F$2:$F$204,0)),0)</f>
        <v>4067700013859</v>
      </c>
      <c r="L1449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12.532563499999998</v>
      </c>
      <c r="M1449" s="228">
        <f>IF(Tableau14[[#This Row],[Prix_Unit_HT]]=0,0,Tableau14[[#This Row],[Prix_Unit_HT]]+(Tableau14[[#This Row],[Prix_Unit_HT]]*VLOOKUP(Tableau14[[#This Row],[EAN]],[1]Grille_Tarifs_Modulable!$B$10:$Q$204,16,FALSE)))</f>
        <v>15.039076199999998</v>
      </c>
      <c r="N1449" s="224">
        <v>102</v>
      </c>
      <c r="O1449" s="228">
        <f>ROUND(Tableau14[[#This Row],[Prix_Unit_HT]],2)*Tableau14[[#This Row],[Qte_commande]]</f>
        <v>1278.06</v>
      </c>
      <c r="P1449" s="228">
        <f>ROUND(Tableau14[[#This Row],[Prix_Unit_TTC]],2)*Tableau14[[#This Row],[Qte_commande]]</f>
        <v>1534.08</v>
      </c>
      <c r="Q1449" s="224">
        <v>102</v>
      </c>
      <c r="R1449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102.00000000000001</v>
      </c>
      <c r="U1449" s="224"/>
      <c r="V1449" s="224"/>
    </row>
    <row r="1450" spans="1:22" ht="14.65" customHeight="1" x14ac:dyDescent="0.2">
      <c r="A1450" s="225">
        <v>43552</v>
      </c>
      <c r="B1450" s="224" t="s">
        <v>743</v>
      </c>
      <c r="C1450" s="224" t="s">
        <v>308</v>
      </c>
      <c r="D1450" s="224" t="s">
        <v>309</v>
      </c>
      <c r="E1450" s="226"/>
      <c r="G1450" s="224" t="s">
        <v>1</v>
      </c>
      <c r="H1450" s="224" t="s">
        <v>289</v>
      </c>
      <c r="I1450" s="224" t="s">
        <v>15</v>
      </c>
      <c r="J1450" s="224">
        <v>100</v>
      </c>
      <c r="K1450" s="227">
        <f t="array" ref="K1450">IFERROR(INDEX([1]Grille_Tarifs_Modulable!$B$2:$B$204,MATCH(Tableau14[[#This Row],[Designation]]&amp;Tableau14[[#This Row],[CL]],[1]Grille_Tarifs_Modulable!$C$2:$C$204&amp;[1]Grille_Tarifs_Modulable!$F$2:$F$204,0)),0)</f>
        <v>4067700013842</v>
      </c>
      <c r="L1450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17.100804999999998</v>
      </c>
      <c r="M1450" s="228">
        <f>IF(Tableau14[[#This Row],[Prix_Unit_HT]]=0,0,Tableau14[[#This Row],[Prix_Unit_HT]]+(Tableau14[[#This Row],[Prix_Unit_HT]]*VLOOKUP(Tableau14[[#This Row],[EAN]],[1]Grille_Tarifs_Modulable!$B$10:$Q$204,16,FALSE)))</f>
        <v>20.520965999999998</v>
      </c>
      <c r="N1450" s="224">
        <v>306</v>
      </c>
      <c r="O1450" s="228">
        <f>ROUND(Tableau14[[#This Row],[Prix_Unit_HT]],2)*Tableau14[[#This Row],[Qte_commande]]</f>
        <v>5232.6000000000004</v>
      </c>
      <c r="P1450" s="228">
        <f>ROUND(Tableau14[[#This Row],[Prix_Unit_TTC]],2)*Tableau14[[#This Row],[Qte_commande]]</f>
        <v>6279.12</v>
      </c>
      <c r="Q1450" s="224">
        <v>437.14</v>
      </c>
      <c r="R1450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437.14285714285717</v>
      </c>
      <c r="U1450" s="224"/>
      <c r="V1450" s="224"/>
    </row>
    <row r="1451" spans="1:22" ht="14.65" customHeight="1" x14ac:dyDescent="0.2">
      <c r="A1451" s="225">
        <v>43552</v>
      </c>
      <c r="B1451" s="224" t="s">
        <v>513</v>
      </c>
      <c r="C1451" s="224" t="s">
        <v>265</v>
      </c>
      <c r="D1451" s="224" t="s">
        <v>266</v>
      </c>
      <c r="E1451" s="226"/>
      <c r="G1451" s="224" t="s">
        <v>13</v>
      </c>
      <c r="H1451" s="224" t="s">
        <v>196</v>
      </c>
      <c r="I1451" s="224" t="s">
        <v>66</v>
      </c>
      <c r="J1451" s="224">
        <v>20</v>
      </c>
      <c r="K1451" s="227">
        <f t="array" ref="K1451">IFERROR(INDEX([1]Grille_Tarifs_Modulable!$B$2:$B$204,MATCH(Tableau14[[#This Row],[Designation]]&amp;Tableau14[[#This Row],[CL]],[1]Grille_Tarifs_Modulable!$C$2:$C$204&amp;[1]Grille_Tarifs_Modulable!$F$2:$F$204,0)),0)</f>
        <v>4260310554785</v>
      </c>
      <c r="L1451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0.89</v>
      </c>
      <c r="M1451" s="228">
        <f>IF(Tableau14[[#This Row],[Prix_Unit_HT]]=0,0,Tableau14[[#This Row],[Prix_Unit_HT]]+(Tableau14[[#This Row],[Prix_Unit_HT]]*VLOOKUP(Tableau14[[#This Row],[EAN]],[1]Grille_Tarifs_Modulable!$B$10:$Q$204,16,FALSE)))</f>
        <v>0.93895000000000006</v>
      </c>
      <c r="N1451" s="224">
        <v>24</v>
      </c>
      <c r="O1451" s="228">
        <f>ROUND(Tableau14[[#This Row],[Prix_Unit_HT]],2)*Tableau14[[#This Row],[Qte_commande]]</f>
        <v>21.36</v>
      </c>
      <c r="P1451" s="228">
        <f>ROUND(Tableau14[[#This Row],[Prix_Unit_TTC]],2)*Tableau14[[#This Row],[Qte_commande]]</f>
        <v>22.56</v>
      </c>
      <c r="Q1451" s="224">
        <v>6.86</v>
      </c>
      <c r="R1451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6.8571428571428577</v>
      </c>
      <c r="U1451" s="224"/>
      <c r="V1451" s="224"/>
    </row>
    <row r="1452" spans="1:22" ht="14.65" customHeight="1" x14ac:dyDescent="0.2">
      <c r="A1452" s="225">
        <v>43552</v>
      </c>
      <c r="B1452" s="224" t="s">
        <v>513</v>
      </c>
      <c r="C1452" s="224" t="s">
        <v>265</v>
      </c>
      <c r="D1452" s="224" t="s">
        <v>266</v>
      </c>
      <c r="E1452" s="226"/>
      <c r="G1452" s="224" t="s">
        <v>1</v>
      </c>
      <c r="H1452" s="224" t="s">
        <v>196</v>
      </c>
      <c r="I1452" s="224" t="s">
        <v>64</v>
      </c>
      <c r="J1452" s="224">
        <v>20</v>
      </c>
      <c r="K1452" s="227">
        <f t="array" ref="K1452">IFERROR(INDEX([1]Grille_Tarifs_Modulable!$B$2:$B$204,MATCH(Tableau14[[#This Row],[Designation]]&amp;Tableau14[[#This Row],[CL]],[1]Grille_Tarifs_Modulable!$C$2:$C$204&amp;[1]Grille_Tarifs_Modulable!$F$2:$F$204,0)),0)</f>
        <v>4260310553849</v>
      </c>
      <c r="L1452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0.81</v>
      </c>
      <c r="M1452" s="228">
        <f>IF(Tableau14[[#This Row],[Prix_Unit_HT]]=0,0,Tableau14[[#This Row],[Prix_Unit_HT]]+(Tableau14[[#This Row],[Prix_Unit_HT]]*VLOOKUP(Tableau14[[#This Row],[EAN]],[1]Grille_Tarifs_Modulable!$B$10:$Q$204,16,FALSE)))</f>
        <v>0.85455000000000003</v>
      </c>
      <c r="N1452" s="224">
        <v>144</v>
      </c>
      <c r="O1452" s="228">
        <f>ROUND(Tableau14[[#This Row],[Prix_Unit_HT]],2)*Tableau14[[#This Row],[Qte_commande]]</f>
        <v>116.64000000000001</v>
      </c>
      <c r="P1452" s="228">
        <f>ROUND(Tableau14[[#This Row],[Prix_Unit_TTC]],2)*Tableau14[[#This Row],[Qte_commande]]</f>
        <v>122.39999999999999</v>
      </c>
      <c r="Q1452" s="224">
        <v>41.14</v>
      </c>
      <c r="R1452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41.142857142857146</v>
      </c>
      <c r="U1452" s="224"/>
      <c r="V1452" s="224"/>
    </row>
    <row r="1453" spans="1:22" ht="14.65" customHeight="1" x14ac:dyDescent="0.2">
      <c r="A1453" s="225">
        <v>43552</v>
      </c>
      <c r="B1453" s="224" t="s">
        <v>1251</v>
      </c>
      <c r="C1453" s="224" t="s">
        <v>1252</v>
      </c>
      <c r="D1453" s="224" t="s">
        <v>209</v>
      </c>
      <c r="E1453" s="226"/>
      <c r="G1453" s="224" t="s">
        <v>13</v>
      </c>
      <c r="H1453" s="224" t="s">
        <v>451</v>
      </c>
      <c r="I1453" s="224" t="s">
        <v>71</v>
      </c>
      <c r="J1453" s="227">
        <v>1</v>
      </c>
      <c r="K1453" s="227">
        <f t="array" ref="K1453">IFERROR(INDEX([1]Grille_Tarifs_Modulable!$B$2:$B$204,MATCH(Tableau14[[#This Row],[Designation]]&amp;Tableau14[[#This Row],[CL]],[1]Grille_Tarifs_Modulable!$C$2:$C$204&amp;[1]Grille_Tarifs_Modulable!$F$2:$F$204,0)),0)</f>
        <v>122</v>
      </c>
      <c r="L1453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299</v>
      </c>
      <c r="M1453" s="228">
        <f>IF(Tableau14[[#This Row],[Prix_Unit_HT]]=0,0,Tableau14[[#This Row],[Prix_Unit_HT]]+(Tableau14[[#This Row],[Prix_Unit_HT]]*VLOOKUP(Tableau14[[#This Row],[EAN]],[1]Grille_Tarifs_Modulable!$B$10:$Q$204,16,FALSE)))</f>
        <v>358.8</v>
      </c>
      <c r="N1453" s="224">
        <v>1</v>
      </c>
      <c r="O1453" s="228">
        <f>ROUND(Tableau14[[#This Row],[Prix_Unit_HT]],2)*Tableau14[[#This Row],[Qte_commande]]</f>
        <v>299</v>
      </c>
      <c r="P1453" s="228">
        <f>ROUND(Tableau14[[#This Row],[Prix_Unit_TTC]],2)*Tableau14[[#This Row],[Qte_commande]]</f>
        <v>358.8</v>
      </c>
      <c r="Q1453" s="224">
        <v>1</v>
      </c>
      <c r="R1453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</v>
      </c>
      <c r="U1453" s="224"/>
      <c r="V1453" s="224"/>
    </row>
    <row r="1454" spans="1:22" ht="14.65" customHeight="1" x14ac:dyDescent="0.2">
      <c r="A1454" s="225">
        <v>43553</v>
      </c>
      <c r="B1454" s="224" t="s">
        <v>744</v>
      </c>
      <c r="C1454" s="224" t="s">
        <v>530</v>
      </c>
      <c r="D1454" s="224" t="s">
        <v>531</v>
      </c>
      <c r="E1454" s="226"/>
      <c r="G1454" s="224" t="s">
        <v>1</v>
      </c>
      <c r="H1454" s="224" t="s">
        <v>289</v>
      </c>
      <c r="I1454" s="224" t="s">
        <v>15</v>
      </c>
      <c r="J1454" s="224">
        <v>70</v>
      </c>
      <c r="K1454" s="227">
        <f t="array" ref="K1454">IFERROR(INDEX([1]Grille_Tarifs_Modulable!$B$2:$B$204,MATCH(Tableau14[[#This Row],[Designation]]&amp;Tableau14[[#This Row],[CL]],[1]Grille_Tarifs_Modulable!$C$2:$C$204&amp;[1]Grille_Tarifs_Modulable!$F$2:$F$204,0)),0)</f>
        <v>4067700013859</v>
      </c>
      <c r="L1454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12.532563499999998</v>
      </c>
      <c r="M1454" s="228">
        <f>IF(Tableau14[[#This Row],[Prix_Unit_HT]]=0,0,Tableau14[[#This Row],[Prix_Unit_HT]]+(Tableau14[[#This Row],[Prix_Unit_HT]]*VLOOKUP(Tableau14[[#This Row],[EAN]],[1]Grille_Tarifs_Modulable!$B$10:$Q$204,16,FALSE)))</f>
        <v>15.039076199999998</v>
      </c>
      <c r="N1454" s="224">
        <v>240</v>
      </c>
      <c r="O1454" s="228">
        <f>ROUND(Tableau14[[#This Row],[Prix_Unit_HT]],2)*Tableau14[[#This Row],[Qte_commande]]</f>
        <v>3007.2</v>
      </c>
      <c r="P1454" s="228">
        <f>ROUND(Tableau14[[#This Row],[Prix_Unit_TTC]],2)*Tableau14[[#This Row],[Qte_commande]]</f>
        <v>3609.6</v>
      </c>
      <c r="Q1454" s="224">
        <v>240</v>
      </c>
      <c r="R1454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240.00000000000003</v>
      </c>
      <c r="U1454" s="224"/>
      <c r="V1454" s="224"/>
    </row>
    <row r="1455" spans="1:22" ht="14.65" customHeight="1" x14ac:dyDescent="0.2">
      <c r="A1455" s="225">
        <v>43557</v>
      </c>
      <c r="B1455" s="224" t="s">
        <v>745</v>
      </c>
      <c r="C1455" s="224" t="s">
        <v>557</v>
      </c>
      <c r="D1455" s="224" t="s">
        <v>558</v>
      </c>
      <c r="E1455" s="226"/>
      <c r="G1455" s="224" t="s">
        <v>1</v>
      </c>
      <c r="H1455" s="224" t="s">
        <v>289</v>
      </c>
      <c r="I1455" s="224" t="s">
        <v>15</v>
      </c>
      <c r="J1455" s="224">
        <v>70</v>
      </c>
      <c r="K1455" s="227">
        <f t="array" ref="K1455">IFERROR(INDEX([1]Grille_Tarifs_Modulable!$B$2:$B$204,MATCH(Tableau14[[#This Row],[Designation]]&amp;Tableau14[[#This Row],[CL]],[1]Grille_Tarifs_Modulable!$C$2:$C$204&amp;[1]Grille_Tarifs_Modulable!$F$2:$F$204,0)),0)</f>
        <v>4067700013859</v>
      </c>
      <c r="L1455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12.532563499999998</v>
      </c>
      <c r="M1455" s="228">
        <f>IF(Tableau14[[#This Row],[Prix_Unit_HT]]=0,0,Tableau14[[#This Row],[Prix_Unit_HT]]+(Tableau14[[#This Row],[Prix_Unit_HT]]*VLOOKUP(Tableau14[[#This Row],[EAN]],[1]Grille_Tarifs_Modulable!$B$10:$Q$204,16,FALSE)))</f>
        <v>15.039076199999998</v>
      </c>
      <c r="N1455" s="224">
        <v>480</v>
      </c>
      <c r="O1455" s="228">
        <f>ROUND(Tableau14[[#This Row],[Prix_Unit_HT]],2)*Tableau14[[#This Row],[Qte_commande]]</f>
        <v>6014.4</v>
      </c>
      <c r="P1455" s="228">
        <f>ROUND(Tableau14[[#This Row],[Prix_Unit_TTC]],2)*Tableau14[[#This Row],[Qte_commande]]</f>
        <v>7219.2</v>
      </c>
      <c r="Q1455" s="224">
        <v>480</v>
      </c>
      <c r="R1455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480.00000000000006</v>
      </c>
      <c r="U1455" s="224"/>
      <c r="V1455" s="224"/>
    </row>
    <row r="1456" spans="1:22" ht="14.65" customHeight="1" x14ac:dyDescent="0.2">
      <c r="A1456" s="225">
        <v>43557</v>
      </c>
      <c r="B1456" s="224" t="s">
        <v>1253</v>
      </c>
      <c r="C1456" s="224" t="s">
        <v>495</v>
      </c>
      <c r="D1456" s="224" t="s">
        <v>302</v>
      </c>
      <c r="E1456" s="226"/>
      <c r="G1456" s="224" t="s">
        <v>13</v>
      </c>
      <c r="H1456" s="224" t="s">
        <v>451</v>
      </c>
      <c r="I1456" s="224" t="s">
        <v>71</v>
      </c>
      <c r="J1456" s="227">
        <v>1</v>
      </c>
      <c r="K1456" s="227">
        <f t="array" ref="K1456">IFERROR(INDEX([1]Grille_Tarifs_Modulable!$B$2:$B$204,MATCH(Tableau14[[#This Row],[Designation]]&amp;Tableau14[[#This Row],[CL]],[1]Grille_Tarifs_Modulable!$C$2:$C$204&amp;[1]Grille_Tarifs_Modulable!$F$2:$F$204,0)),0)</f>
        <v>122</v>
      </c>
      <c r="L1456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299</v>
      </c>
      <c r="M1456" s="228">
        <f>IF(Tableau14[[#This Row],[Prix_Unit_HT]]=0,0,Tableau14[[#This Row],[Prix_Unit_HT]]+(Tableau14[[#This Row],[Prix_Unit_HT]]*VLOOKUP(Tableau14[[#This Row],[EAN]],[1]Grille_Tarifs_Modulable!$B$10:$Q$204,16,FALSE)))</f>
        <v>358.8</v>
      </c>
      <c r="N1456" s="224">
        <v>1</v>
      </c>
      <c r="O1456" s="228">
        <f>ROUND(Tableau14[[#This Row],[Prix_Unit_HT]],2)*Tableau14[[#This Row],[Qte_commande]]</f>
        <v>299</v>
      </c>
      <c r="P1456" s="228">
        <f>ROUND(Tableau14[[#This Row],[Prix_Unit_TTC]],2)*Tableau14[[#This Row],[Qte_commande]]</f>
        <v>358.8</v>
      </c>
      <c r="Q1456" s="224">
        <v>1</v>
      </c>
      <c r="R1456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</v>
      </c>
      <c r="U1456" s="224"/>
      <c r="V1456" s="224"/>
    </row>
    <row r="1457" spans="1:22" ht="14.65" customHeight="1" x14ac:dyDescent="0.2">
      <c r="A1457" s="225">
        <v>43558</v>
      </c>
      <c r="B1457" s="224" t="s">
        <v>341</v>
      </c>
      <c r="C1457" s="224" t="s">
        <v>211</v>
      </c>
      <c r="D1457" s="224" t="s">
        <v>212</v>
      </c>
      <c r="E1457" s="226"/>
      <c r="G1457" s="224" t="s">
        <v>1</v>
      </c>
      <c r="H1457" s="224" t="s">
        <v>289</v>
      </c>
      <c r="I1457" s="224" t="s">
        <v>22</v>
      </c>
      <c r="J1457" s="224">
        <v>70</v>
      </c>
      <c r="K1457" s="227">
        <f t="array" ref="K1457">IFERROR(INDEX([1]Grille_Tarifs_Modulable!$B$2:$B$204,MATCH(Tableau14[[#This Row],[Designation]]&amp;Tableau14[[#This Row],[CL]],[1]Grille_Tarifs_Modulable!$C$2:$C$204&amp;[1]Grille_Tarifs_Modulable!$F$2:$F$204,0)),0)</f>
        <v>4055800060200</v>
      </c>
      <c r="L1457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17.408644000000002</v>
      </c>
      <c r="M1457" s="228">
        <f>IF(Tableau14[[#This Row],[Prix_Unit_HT]]=0,0,Tableau14[[#This Row],[Prix_Unit_HT]]+(Tableau14[[#This Row],[Prix_Unit_HT]]*VLOOKUP(Tableau14[[#This Row],[EAN]],[1]Grille_Tarifs_Modulable!$B$10:$Q$204,16,FALSE)))</f>
        <v>20.890372800000002</v>
      </c>
      <c r="N1457" s="224">
        <v>6</v>
      </c>
      <c r="O1457" s="228">
        <f>ROUND(Tableau14[[#This Row],[Prix_Unit_HT]],2)*Tableau14[[#This Row],[Qte_commande]]</f>
        <v>104.46000000000001</v>
      </c>
      <c r="P1457" s="228">
        <f>ROUND(Tableau14[[#This Row],[Prix_Unit_TTC]],2)*Tableau14[[#This Row],[Qte_commande]]</f>
        <v>125.34</v>
      </c>
      <c r="Q1457" s="224">
        <v>6</v>
      </c>
      <c r="R1457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6.0000000000000009</v>
      </c>
      <c r="U1457" s="224"/>
      <c r="V1457" s="224"/>
    </row>
    <row r="1458" spans="1:22" ht="14.65" customHeight="1" x14ac:dyDescent="0.2">
      <c r="A1458" s="225">
        <v>43558</v>
      </c>
      <c r="B1458" s="224" t="s">
        <v>341</v>
      </c>
      <c r="C1458" s="224" t="s">
        <v>211</v>
      </c>
      <c r="D1458" s="224" t="s">
        <v>212</v>
      </c>
      <c r="E1458" s="226"/>
      <c r="G1458" s="224" t="s">
        <v>1</v>
      </c>
      <c r="H1458" s="224" t="s">
        <v>289</v>
      </c>
      <c r="I1458" s="224" t="s">
        <v>35</v>
      </c>
      <c r="J1458" s="224">
        <v>70</v>
      </c>
      <c r="K1458" s="227">
        <f t="array" ref="K1458">IFERROR(INDEX([1]Grille_Tarifs_Modulable!$B$2:$B$204,MATCH(Tableau14[[#This Row],[Designation]]&amp;Tableau14[[#This Row],[CL]],[1]Grille_Tarifs_Modulable!$C$2:$C$204&amp;[1]Grille_Tarifs_Modulable!$F$2:$F$204,0)),0)</f>
        <v>3257150107012</v>
      </c>
      <c r="L1458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29.828643999999997</v>
      </c>
      <c r="M1458" s="228">
        <f>IF(Tableau14[[#This Row],[Prix_Unit_HT]]=0,0,Tableau14[[#This Row],[Prix_Unit_HT]]+(Tableau14[[#This Row],[Prix_Unit_HT]]*VLOOKUP(Tableau14[[#This Row],[EAN]],[1]Grille_Tarifs_Modulable!$B$10:$Q$204,16,FALSE)))</f>
        <v>35.794372799999998</v>
      </c>
      <c r="N1458" s="224">
        <v>6</v>
      </c>
      <c r="O1458" s="228">
        <f>ROUND(Tableau14[[#This Row],[Prix_Unit_HT]],2)*Tableau14[[#This Row],[Qte_commande]]</f>
        <v>178.98</v>
      </c>
      <c r="P1458" s="228">
        <f>ROUND(Tableau14[[#This Row],[Prix_Unit_TTC]],2)*Tableau14[[#This Row],[Qte_commande]]</f>
        <v>214.74</v>
      </c>
      <c r="Q1458" s="224">
        <v>6</v>
      </c>
      <c r="R1458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6.0000000000000009</v>
      </c>
      <c r="U1458" s="224"/>
      <c r="V1458" s="224"/>
    </row>
    <row r="1459" spans="1:22" ht="14.65" customHeight="1" x14ac:dyDescent="0.2">
      <c r="A1459" s="225">
        <v>43558</v>
      </c>
      <c r="B1459" s="224" t="s">
        <v>341</v>
      </c>
      <c r="C1459" s="224" t="s">
        <v>211</v>
      </c>
      <c r="D1459" s="224" t="s">
        <v>212</v>
      </c>
      <c r="E1459" s="226"/>
      <c r="G1459" s="224" t="s">
        <v>1</v>
      </c>
      <c r="H1459" s="224" t="s">
        <v>289</v>
      </c>
      <c r="I1459" s="224" t="s">
        <v>15</v>
      </c>
      <c r="J1459" s="224">
        <v>100</v>
      </c>
      <c r="K1459" s="227">
        <f t="array" ref="K1459">IFERROR(INDEX([1]Grille_Tarifs_Modulable!$B$2:$B$204,MATCH(Tableau14[[#This Row],[Designation]]&amp;Tableau14[[#This Row],[CL]],[1]Grille_Tarifs_Modulable!$C$2:$C$204&amp;[1]Grille_Tarifs_Modulable!$F$2:$F$204,0)),0)</f>
        <v>4067700013842</v>
      </c>
      <c r="L1459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17.100804999999998</v>
      </c>
      <c r="M1459" s="228">
        <f>IF(Tableau14[[#This Row],[Prix_Unit_HT]]=0,0,Tableau14[[#This Row],[Prix_Unit_HT]]+(Tableau14[[#This Row],[Prix_Unit_HT]]*VLOOKUP(Tableau14[[#This Row],[EAN]],[1]Grille_Tarifs_Modulable!$B$10:$Q$204,16,FALSE)))</f>
        <v>20.520965999999998</v>
      </c>
      <c r="N1459" s="224">
        <v>120</v>
      </c>
      <c r="O1459" s="228">
        <f>ROUND(Tableau14[[#This Row],[Prix_Unit_HT]],2)*Tableau14[[#This Row],[Qte_commande]]</f>
        <v>2052</v>
      </c>
      <c r="P1459" s="228">
        <f>ROUND(Tableau14[[#This Row],[Prix_Unit_TTC]],2)*Tableau14[[#This Row],[Qte_commande]]</f>
        <v>2462.4</v>
      </c>
      <c r="Q1459" s="224">
        <v>171.43</v>
      </c>
      <c r="R1459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171.42857142857144</v>
      </c>
      <c r="U1459" s="224"/>
      <c r="V1459" s="224"/>
    </row>
    <row r="1460" spans="1:22" ht="14.65" customHeight="1" x14ac:dyDescent="0.2">
      <c r="A1460" s="225">
        <v>43558</v>
      </c>
      <c r="B1460" s="224" t="s">
        <v>341</v>
      </c>
      <c r="C1460" s="224" t="s">
        <v>211</v>
      </c>
      <c r="D1460" s="224" t="s">
        <v>212</v>
      </c>
      <c r="E1460" s="226"/>
      <c r="G1460" s="224" t="s">
        <v>1</v>
      </c>
      <c r="H1460" s="224" t="s">
        <v>289</v>
      </c>
      <c r="I1460" s="224" t="s">
        <v>32</v>
      </c>
      <c r="J1460" s="224">
        <v>70</v>
      </c>
      <c r="K1460" s="227">
        <f t="array" ref="K1460">IFERROR(INDEX([1]Grille_Tarifs_Modulable!$B$2:$B$204,MATCH(Tableau14[[#This Row],[Designation]]&amp;Tableau14[[#This Row],[CL]],[1]Grille_Tarifs_Modulable!$C$2:$C$204&amp;[1]Grille_Tarifs_Modulable!$F$2:$F$204,0)),0)</f>
        <v>3257150100228</v>
      </c>
      <c r="L1460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19.998643999999999</v>
      </c>
      <c r="M1460" s="228">
        <f>IF(Tableau14[[#This Row],[Prix_Unit_HT]]=0,0,Tableau14[[#This Row],[Prix_Unit_HT]]+(Tableau14[[#This Row],[Prix_Unit_HT]]*VLOOKUP(Tableau14[[#This Row],[EAN]],[1]Grille_Tarifs_Modulable!$B$10:$Q$204,16,FALSE)))</f>
        <v>23.998372799999999</v>
      </c>
      <c r="N1460" s="224">
        <v>6</v>
      </c>
      <c r="O1460" s="228">
        <f>ROUND(Tableau14[[#This Row],[Prix_Unit_HT]],2)*Tableau14[[#This Row],[Qte_commande]]</f>
        <v>120</v>
      </c>
      <c r="P1460" s="228">
        <f>ROUND(Tableau14[[#This Row],[Prix_Unit_TTC]],2)*Tableau14[[#This Row],[Qte_commande]]</f>
        <v>144</v>
      </c>
      <c r="Q1460" s="224">
        <v>6</v>
      </c>
      <c r="R1460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6.0000000000000009</v>
      </c>
      <c r="U1460" s="224"/>
      <c r="V1460" s="224"/>
    </row>
    <row r="1461" spans="1:22" ht="14.65" customHeight="1" x14ac:dyDescent="0.2">
      <c r="A1461" s="225">
        <v>43558</v>
      </c>
      <c r="B1461" s="224" t="s">
        <v>341</v>
      </c>
      <c r="C1461" s="224" t="s">
        <v>211</v>
      </c>
      <c r="D1461" s="224" t="s">
        <v>212</v>
      </c>
      <c r="E1461" s="226"/>
      <c r="G1461" s="224" t="s">
        <v>1</v>
      </c>
      <c r="H1461" s="224" t="s">
        <v>289</v>
      </c>
      <c r="I1461" s="224" t="s">
        <v>25</v>
      </c>
      <c r="J1461" s="224">
        <v>70</v>
      </c>
      <c r="K1461" s="227">
        <f t="array" ref="K1461">IFERROR(INDEX([1]Grille_Tarifs_Modulable!$B$2:$B$204,MATCH(Tableau14[[#This Row],[Designation]]&amp;Tableau14[[#This Row],[CL]],[1]Grille_Tarifs_Modulable!$C$2:$C$204&amp;[1]Grille_Tarifs_Modulable!$F$2:$F$204,0)),0)</f>
        <v>8500000917015</v>
      </c>
      <c r="L1461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11.8982118</v>
      </c>
      <c r="M1461" s="228">
        <f>IF(Tableau14[[#This Row],[Prix_Unit_HT]]=0,0,Tableau14[[#This Row],[Prix_Unit_HT]]+(Tableau14[[#This Row],[Prix_Unit_HT]]*VLOOKUP(Tableau14[[#This Row],[EAN]],[1]Grille_Tarifs_Modulable!$B$10:$Q$204,16,FALSE)))</f>
        <v>14.27785416</v>
      </c>
      <c r="N1461" s="224">
        <v>6</v>
      </c>
      <c r="O1461" s="228">
        <f>ROUND(Tableau14[[#This Row],[Prix_Unit_HT]],2)*Tableau14[[#This Row],[Qte_commande]]</f>
        <v>71.400000000000006</v>
      </c>
      <c r="P1461" s="228">
        <f>ROUND(Tableau14[[#This Row],[Prix_Unit_TTC]],2)*Tableau14[[#This Row],[Qte_commande]]</f>
        <v>85.679999999999993</v>
      </c>
      <c r="Q1461" s="224">
        <v>6</v>
      </c>
      <c r="R1461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6.0000000000000009</v>
      </c>
      <c r="U1461" s="224"/>
      <c r="V1461" s="224"/>
    </row>
    <row r="1462" spans="1:22" ht="14.65" customHeight="1" x14ac:dyDescent="0.2">
      <c r="A1462" s="225">
        <v>43558</v>
      </c>
      <c r="B1462" s="224" t="s">
        <v>341</v>
      </c>
      <c r="C1462" s="224" t="s">
        <v>211</v>
      </c>
      <c r="D1462" s="224" t="s">
        <v>212</v>
      </c>
      <c r="E1462" s="226"/>
      <c r="G1462" s="224" t="s">
        <v>1</v>
      </c>
      <c r="H1462" s="224" t="s">
        <v>289</v>
      </c>
      <c r="I1462" s="224" t="s">
        <v>42</v>
      </c>
      <c r="J1462" s="224">
        <v>70</v>
      </c>
      <c r="K1462" s="227">
        <f t="array" ref="K1462">IFERROR(INDEX([1]Grille_Tarifs_Modulable!$B$2:$B$204,MATCH(Tableau14[[#This Row],[Designation]]&amp;Tableau14[[#This Row],[CL]],[1]Grille_Tarifs_Modulable!$C$2:$C$204&amp;[1]Grille_Tarifs_Modulable!$F$2:$F$204,0)),0)</f>
        <v>3257150688009</v>
      </c>
      <c r="L1462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12.556915199999999</v>
      </c>
      <c r="M1462" s="228">
        <f>IF(Tableau14[[#This Row],[Prix_Unit_HT]]=0,0,Tableau14[[#This Row],[Prix_Unit_HT]]+(Tableau14[[#This Row],[Prix_Unit_HT]]*VLOOKUP(Tableau14[[#This Row],[EAN]],[1]Grille_Tarifs_Modulable!$B$10:$Q$204,16,FALSE)))</f>
        <v>15.068298239999999</v>
      </c>
      <c r="N1462" s="224">
        <v>36</v>
      </c>
      <c r="O1462" s="228">
        <f>ROUND(Tableau14[[#This Row],[Prix_Unit_HT]],2)*Tableau14[[#This Row],[Qte_commande]]</f>
        <v>452.16</v>
      </c>
      <c r="P1462" s="228">
        <f>ROUND(Tableau14[[#This Row],[Prix_Unit_TTC]],2)*Tableau14[[#This Row],[Qte_commande]]</f>
        <v>542.52</v>
      </c>
      <c r="Q1462" s="224">
        <v>36</v>
      </c>
      <c r="R1462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36</v>
      </c>
      <c r="U1462" s="224"/>
      <c r="V1462" s="224"/>
    </row>
    <row r="1463" spans="1:22" ht="14.65" customHeight="1" x14ac:dyDescent="0.2">
      <c r="A1463" s="225">
        <v>43558</v>
      </c>
      <c r="B1463" s="224" t="s">
        <v>341</v>
      </c>
      <c r="C1463" s="224" t="s">
        <v>211</v>
      </c>
      <c r="D1463" s="224" t="s">
        <v>212</v>
      </c>
      <c r="E1463" s="226"/>
      <c r="G1463" s="224" t="s">
        <v>1</v>
      </c>
      <c r="H1463" s="224" t="s">
        <v>196</v>
      </c>
      <c r="I1463" s="224" t="s">
        <v>64</v>
      </c>
      <c r="J1463" s="224">
        <v>20</v>
      </c>
      <c r="K1463" s="227">
        <f t="array" ref="K1463">IFERROR(INDEX([1]Grille_Tarifs_Modulable!$B$2:$B$204,MATCH(Tableau14[[#This Row],[Designation]]&amp;Tableau14[[#This Row],[CL]],[1]Grille_Tarifs_Modulable!$C$2:$C$204&amp;[1]Grille_Tarifs_Modulable!$F$2:$F$204,0)),0)</f>
        <v>4260310553849</v>
      </c>
      <c r="L1463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0.81</v>
      </c>
      <c r="M1463" s="228">
        <f>IF(Tableau14[[#This Row],[Prix_Unit_HT]]=0,0,Tableau14[[#This Row],[Prix_Unit_HT]]+(Tableau14[[#This Row],[Prix_Unit_HT]]*VLOOKUP(Tableau14[[#This Row],[EAN]],[1]Grille_Tarifs_Modulable!$B$10:$Q$204,16,FALSE)))</f>
        <v>0.85455000000000003</v>
      </c>
      <c r="N1463" s="224">
        <v>240</v>
      </c>
      <c r="O1463" s="228">
        <f>ROUND(Tableau14[[#This Row],[Prix_Unit_HT]],2)*Tableau14[[#This Row],[Qte_commande]]</f>
        <v>194.4</v>
      </c>
      <c r="P1463" s="228">
        <f>ROUND(Tableau14[[#This Row],[Prix_Unit_TTC]],2)*Tableau14[[#This Row],[Qte_commande]]</f>
        <v>204</v>
      </c>
      <c r="Q1463" s="224">
        <v>68.569999999999993</v>
      </c>
      <c r="R1463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68.571428571428569</v>
      </c>
      <c r="U1463" s="224"/>
      <c r="V1463" s="224"/>
    </row>
    <row r="1464" spans="1:22" ht="14.65" customHeight="1" x14ac:dyDescent="0.2">
      <c r="A1464" s="225">
        <v>43566</v>
      </c>
      <c r="B1464" s="224" t="s">
        <v>746</v>
      </c>
      <c r="C1464" s="224" t="s">
        <v>194</v>
      </c>
      <c r="D1464" s="224" t="s">
        <v>343</v>
      </c>
      <c r="E1464" s="226"/>
      <c r="G1464" s="224" t="s">
        <v>1</v>
      </c>
      <c r="H1464" s="224" t="s">
        <v>289</v>
      </c>
      <c r="I1464" s="224" t="s">
        <v>15</v>
      </c>
      <c r="J1464" s="224">
        <v>175</v>
      </c>
      <c r="K1464" s="227">
        <f t="array" ref="K1464">IFERROR(INDEX([1]Grille_Tarifs_Modulable!$B$2:$B$204,MATCH(Tableau14[[#This Row],[Designation]]&amp;Tableau14[[#This Row],[CL]],[1]Grille_Tarifs_Modulable!$C$2:$C$204&amp;[1]Grille_Tarifs_Modulable!$F$2:$F$204,0)),0)</f>
        <v>4067700013835</v>
      </c>
      <c r="L1464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28.916408750000002</v>
      </c>
      <c r="M1464" s="228">
        <f>IF(Tableau14[[#This Row],[Prix_Unit_HT]]=0,0,Tableau14[[#This Row],[Prix_Unit_HT]]+(Tableau14[[#This Row],[Prix_Unit_HT]]*VLOOKUP(Tableau14[[#This Row],[EAN]],[1]Grille_Tarifs_Modulable!$B$10:$Q$204,16,FALSE)))</f>
        <v>34.699690500000003</v>
      </c>
      <c r="N1464" s="224">
        <v>96</v>
      </c>
      <c r="O1464" s="228">
        <f>ROUND(Tableau14[[#This Row],[Prix_Unit_HT]],2)*Tableau14[[#This Row],[Qte_commande]]</f>
        <v>2776.32</v>
      </c>
      <c r="P1464" s="228">
        <f>ROUND(Tableau14[[#This Row],[Prix_Unit_TTC]],2)*Tableau14[[#This Row],[Qte_commande]]</f>
        <v>3331.2000000000003</v>
      </c>
      <c r="Q1464" s="224">
        <v>240</v>
      </c>
      <c r="R1464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240.00000000000003</v>
      </c>
      <c r="U1464" s="224"/>
      <c r="V1464" s="224"/>
    </row>
    <row r="1465" spans="1:22" ht="14.65" customHeight="1" x14ac:dyDescent="0.2">
      <c r="A1465" s="225">
        <v>43566</v>
      </c>
      <c r="B1465" s="224" t="s">
        <v>1347</v>
      </c>
      <c r="C1465" s="224" t="s">
        <v>211</v>
      </c>
      <c r="D1465" s="224" t="s">
        <v>212</v>
      </c>
      <c r="E1465" s="226"/>
      <c r="G1465" s="224" t="s">
        <v>1</v>
      </c>
      <c r="H1465" s="224" t="s">
        <v>196</v>
      </c>
      <c r="I1465" s="224" t="s">
        <v>59</v>
      </c>
      <c r="J1465" s="224">
        <v>20</v>
      </c>
      <c r="K1465" s="227">
        <f t="array" ref="K1465">IFERROR(INDEX([1]Grille_Tarifs_Modulable!$B$2:$B$204,MATCH(Tableau14[[#This Row],[Designation]]&amp;Tableau14[[#This Row],[CL]],[1]Grille_Tarifs_Modulable!$C$2:$C$204&amp;[1]Grille_Tarifs_Modulable!$F$2:$F$204,0)),0)</f>
        <v>4260310553818</v>
      </c>
      <c r="L1465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0.81</v>
      </c>
      <c r="M1465" s="228">
        <f>IF(Tableau14[[#This Row],[Prix_Unit_HT]]=0,0,Tableau14[[#This Row],[Prix_Unit_HT]]+(Tableau14[[#This Row],[Prix_Unit_HT]]*VLOOKUP(Tableau14[[#This Row],[EAN]],[1]Grille_Tarifs_Modulable!$B$10:$Q$204,16,FALSE)))</f>
        <v>0.85455000000000003</v>
      </c>
      <c r="N1465" s="224">
        <v>240</v>
      </c>
      <c r="O1465" s="228">
        <f>ROUND(Tableau14[[#This Row],[Prix_Unit_HT]],2)*Tableau14[[#This Row],[Qte_commande]]</f>
        <v>194.4</v>
      </c>
      <c r="P1465" s="228">
        <f>ROUND(Tableau14[[#This Row],[Prix_Unit_TTC]],2)*Tableau14[[#This Row],[Qte_commande]]</f>
        <v>204</v>
      </c>
      <c r="Q1465" s="224">
        <v>68.569999999999993</v>
      </c>
      <c r="R1465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68.571428571428569</v>
      </c>
      <c r="U1465" s="224"/>
      <c r="V1465" s="224"/>
    </row>
    <row r="1466" spans="1:22" ht="14.65" customHeight="1" x14ac:dyDescent="0.2">
      <c r="A1466" s="225">
        <v>43571</v>
      </c>
      <c r="B1466" s="224" t="s">
        <v>747</v>
      </c>
      <c r="C1466" s="224" t="s">
        <v>530</v>
      </c>
      <c r="D1466" s="224" t="s">
        <v>531</v>
      </c>
      <c r="E1466" s="226"/>
      <c r="G1466" s="224" t="s">
        <v>1</v>
      </c>
      <c r="H1466" s="224" t="s">
        <v>289</v>
      </c>
      <c r="I1466" s="224" t="s">
        <v>15</v>
      </c>
      <c r="J1466" s="224">
        <v>70</v>
      </c>
      <c r="K1466" s="227">
        <f t="array" ref="K1466">IFERROR(INDEX([1]Grille_Tarifs_Modulable!$B$2:$B$204,MATCH(Tableau14[[#This Row],[Designation]]&amp;Tableau14[[#This Row],[CL]],[1]Grille_Tarifs_Modulable!$C$2:$C$204&amp;[1]Grille_Tarifs_Modulable!$F$2:$F$204,0)),0)</f>
        <v>4067700013859</v>
      </c>
      <c r="L1466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12.532563499999998</v>
      </c>
      <c r="M1466" s="228">
        <f>IF(Tableau14[[#This Row],[Prix_Unit_HT]]=0,0,Tableau14[[#This Row],[Prix_Unit_HT]]+(Tableau14[[#This Row],[Prix_Unit_HT]]*VLOOKUP(Tableau14[[#This Row],[EAN]],[1]Grille_Tarifs_Modulable!$B$10:$Q$204,16,FALSE)))</f>
        <v>15.039076199999998</v>
      </c>
      <c r="N1466" s="224">
        <v>240</v>
      </c>
      <c r="O1466" s="228">
        <f>ROUND(Tableau14[[#This Row],[Prix_Unit_HT]],2)*Tableau14[[#This Row],[Qte_commande]]</f>
        <v>3007.2</v>
      </c>
      <c r="P1466" s="228">
        <f>ROUND(Tableau14[[#This Row],[Prix_Unit_TTC]],2)*Tableau14[[#This Row],[Qte_commande]]</f>
        <v>3609.6</v>
      </c>
      <c r="Q1466" s="224">
        <v>240</v>
      </c>
      <c r="R1466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240.00000000000003</v>
      </c>
      <c r="U1466" s="224"/>
      <c r="V1466" s="224"/>
    </row>
    <row r="1467" spans="1:22" ht="14.65" customHeight="1" x14ac:dyDescent="0.2">
      <c r="A1467" s="225">
        <v>43581</v>
      </c>
      <c r="B1467" s="224" t="s">
        <v>247</v>
      </c>
      <c r="C1467" s="224" t="s">
        <v>248</v>
      </c>
      <c r="D1467" s="224" t="s">
        <v>180</v>
      </c>
      <c r="E1467" s="226"/>
      <c r="G1467" s="224" t="s">
        <v>13</v>
      </c>
      <c r="H1467" s="224" t="s">
        <v>196</v>
      </c>
      <c r="I1467" s="224" t="s">
        <v>62</v>
      </c>
      <c r="J1467" s="224">
        <v>20</v>
      </c>
      <c r="K1467" s="227">
        <f t="array" ref="K1467">IFERROR(INDEX([1]Grille_Tarifs_Modulable!$B$2:$B$204,MATCH(Tableau14[[#This Row],[Designation]]&amp;Tableau14[[#This Row],[CL]],[1]Grille_Tarifs_Modulable!$C$2:$C$204&amp;[1]Grille_Tarifs_Modulable!$F$2:$F$204,0)),0)</f>
        <v>4260310550305</v>
      </c>
      <c r="L1467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0.89</v>
      </c>
      <c r="M1467" s="228">
        <f>IF(Tableau14[[#This Row],[Prix_Unit_HT]]=0,0,Tableau14[[#This Row],[Prix_Unit_HT]]+(Tableau14[[#This Row],[Prix_Unit_HT]]*VLOOKUP(Tableau14[[#This Row],[EAN]],[1]Grille_Tarifs_Modulable!$B$10:$Q$204,16,FALSE)))</f>
        <v>0.93895000000000006</v>
      </c>
      <c r="N1467" s="224">
        <v>24</v>
      </c>
      <c r="O1467" s="228">
        <f>ROUND(Tableau14[[#This Row],[Prix_Unit_HT]],2)*Tableau14[[#This Row],[Qte_commande]]</f>
        <v>21.36</v>
      </c>
      <c r="P1467" s="228">
        <f>ROUND(Tableau14[[#This Row],[Prix_Unit_TTC]],2)*Tableau14[[#This Row],[Qte_commande]]</f>
        <v>22.56</v>
      </c>
      <c r="Q1467" s="224">
        <v>6.86</v>
      </c>
      <c r="R1467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6.8571428571428577</v>
      </c>
      <c r="U1467" s="224"/>
      <c r="V1467" s="224"/>
    </row>
    <row r="1468" spans="1:22" ht="14.65" customHeight="1" x14ac:dyDescent="0.2">
      <c r="A1468" s="225">
        <v>43581</v>
      </c>
      <c r="B1468" s="224" t="s">
        <v>247</v>
      </c>
      <c r="C1468" s="224" t="s">
        <v>248</v>
      </c>
      <c r="D1468" s="224" t="s">
        <v>180</v>
      </c>
      <c r="E1468" s="226"/>
      <c r="G1468" s="224" t="s">
        <v>13</v>
      </c>
      <c r="H1468" s="224" t="s">
        <v>196</v>
      </c>
      <c r="I1468" s="224" t="s">
        <v>63</v>
      </c>
      <c r="J1468" s="224">
        <v>20</v>
      </c>
      <c r="K1468" s="227">
        <f t="array" ref="K1468">IFERROR(INDEX([1]Grille_Tarifs_Modulable!$B$2:$B$204,MATCH(Tableau14[[#This Row],[Designation]]&amp;Tableau14[[#This Row],[CL]],[1]Grille_Tarifs_Modulable!$C$2:$C$204&amp;[1]Grille_Tarifs_Modulable!$F$2:$F$204,0)),0)</f>
        <v>4260310552941</v>
      </c>
      <c r="L1468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0.89</v>
      </c>
      <c r="M1468" s="228">
        <f>IF(Tableau14[[#This Row],[Prix_Unit_HT]]=0,0,Tableau14[[#This Row],[Prix_Unit_HT]]+(Tableau14[[#This Row],[Prix_Unit_HT]]*VLOOKUP(Tableau14[[#This Row],[EAN]],[1]Grille_Tarifs_Modulable!$B$10:$Q$204,16,FALSE)))</f>
        <v>0.93895000000000006</v>
      </c>
      <c r="N1468" s="224">
        <v>24</v>
      </c>
      <c r="O1468" s="228">
        <f>ROUND(Tableau14[[#This Row],[Prix_Unit_HT]],2)*Tableau14[[#This Row],[Qte_commande]]</f>
        <v>21.36</v>
      </c>
      <c r="P1468" s="228">
        <f>ROUND(Tableau14[[#This Row],[Prix_Unit_TTC]],2)*Tableau14[[#This Row],[Qte_commande]]</f>
        <v>22.56</v>
      </c>
      <c r="Q1468" s="224">
        <v>6.86</v>
      </c>
      <c r="R1468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6.8571428571428577</v>
      </c>
      <c r="U1468" s="224"/>
      <c r="V1468" s="224"/>
    </row>
    <row r="1469" spans="1:22" ht="14.65" customHeight="1" x14ac:dyDescent="0.2">
      <c r="A1469" s="225">
        <v>43581</v>
      </c>
      <c r="B1469" s="224" t="s">
        <v>247</v>
      </c>
      <c r="C1469" s="224" t="s">
        <v>248</v>
      </c>
      <c r="D1469" s="224" t="s">
        <v>180</v>
      </c>
      <c r="E1469" s="226"/>
      <c r="G1469" s="224" t="s">
        <v>13</v>
      </c>
      <c r="H1469" s="224" t="s">
        <v>196</v>
      </c>
      <c r="I1469" s="224" t="s">
        <v>65</v>
      </c>
      <c r="J1469" s="224">
        <v>20</v>
      </c>
      <c r="K1469" s="227">
        <f t="array" ref="K1469">IFERROR(INDEX([1]Grille_Tarifs_Modulable!$B$2:$B$204,MATCH(Tableau14[[#This Row],[Designation]]&amp;Tableau14[[#This Row],[CL]],[1]Grille_Tarifs_Modulable!$C$2:$C$204&amp;[1]Grille_Tarifs_Modulable!$F$2:$F$204,0)),0)</f>
        <v>4260310553863</v>
      </c>
      <c r="L1469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0.89</v>
      </c>
      <c r="M1469" s="228">
        <f>IF(Tableau14[[#This Row],[Prix_Unit_HT]]=0,0,Tableau14[[#This Row],[Prix_Unit_HT]]+(Tableau14[[#This Row],[Prix_Unit_HT]]*VLOOKUP(Tableau14[[#This Row],[EAN]],[1]Grille_Tarifs_Modulable!$B$10:$Q$204,16,FALSE)))</f>
        <v>0.93895000000000006</v>
      </c>
      <c r="N1469" s="224">
        <v>24</v>
      </c>
      <c r="O1469" s="228">
        <f>ROUND(Tableau14[[#This Row],[Prix_Unit_HT]],2)*Tableau14[[#This Row],[Qte_commande]]</f>
        <v>21.36</v>
      </c>
      <c r="P1469" s="228">
        <f>ROUND(Tableau14[[#This Row],[Prix_Unit_TTC]],2)*Tableau14[[#This Row],[Qte_commande]]</f>
        <v>22.56</v>
      </c>
      <c r="Q1469" s="224">
        <v>6.86</v>
      </c>
      <c r="R1469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6.8571428571428577</v>
      </c>
      <c r="U1469" s="224"/>
      <c r="V1469" s="224"/>
    </row>
    <row r="1470" spans="1:22" ht="14.65" customHeight="1" x14ac:dyDescent="0.2">
      <c r="A1470" s="225">
        <v>43581</v>
      </c>
      <c r="B1470" s="224" t="s">
        <v>247</v>
      </c>
      <c r="C1470" s="224" t="s">
        <v>248</v>
      </c>
      <c r="D1470" s="224" t="s">
        <v>180</v>
      </c>
      <c r="E1470" s="226"/>
      <c r="G1470" s="224" t="s">
        <v>13</v>
      </c>
      <c r="H1470" s="224" t="s">
        <v>289</v>
      </c>
      <c r="I1470" s="224" t="s">
        <v>35</v>
      </c>
      <c r="J1470" s="224">
        <v>70</v>
      </c>
      <c r="K1470" s="227">
        <f t="array" ref="K1470">IFERROR(INDEX([1]Grille_Tarifs_Modulable!$B$2:$B$204,MATCH(Tableau14[[#This Row],[Designation]]&amp;Tableau14[[#This Row],[CL]],[1]Grille_Tarifs_Modulable!$C$2:$C$204&amp;[1]Grille_Tarifs_Modulable!$F$2:$F$204,0)),0)</f>
        <v>3257150107012</v>
      </c>
      <c r="L1470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32.408644000000002</v>
      </c>
      <c r="M1470" s="228">
        <f>IF(Tableau14[[#This Row],[Prix_Unit_HT]]=0,0,Tableau14[[#This Row],[Prix_Unit_HT]]+(Tableau14[[#This Row],[Prix_Unit_HT]]*VLOOKUP(Tableau14[[#This Row],[EAN]],[1]Grille_Tarifs_Modulable!$B$10:$Q$204,16,FALSE)))</f>
        <v>38.890372800000002</v>
      </c>
      <c r="N1470" s="224">
        <v>6</v>
      </c>
      <c r="O1470" s="228">
        <f>ROUND(Tableau14[[#This Row],[Prix_Unit_HT]],2)*Tableau14[[#This Row],[Qte_commande]]</f>
        <v>194.45999999999998</v>
      </c>
      <c r="P1470" s="228">
        <f>ROUND(Tableau14[[#This Row],[Prix_Unit_TTC]],2)*Tableau14[[#This Row],[Qte_commande]]</f>
        <v>233.34</v>
      </c>
      <c r="Q1470" s="224">
        <v>6</v>
      </c>
      <c r="R1470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6.0000000000000009</v>
      </c>
      <c r="U1470" s="224"/>
      <c r="V1470" s="224"/>
    </row>
    <row r="1471" spans="1:22" ht="14.65" customHeight="1" x14ac:dyDescent="0.2">
      <c r="A1471" s="225">
        <v>43581</v>
      </c>
      <c r="B1471" s="224" t="s">
        <v>247</v>
      </c>
      <c r="C1471" s="224" t="s">
        <v>248</v>
      </c>
      <c r="D1471" s="224" t="s">
        <v>180</v>
      </c>
      <c r="E1471" s="226"/>
      <c r="G1471" s="224" t="s">
        <v>13</v>
      </c>
      <c r="H1471" s="224" t="s">
        <v>196</v>
      </c>
      <c r="I1471" s="224" t="s">
        <v>60</v>
      </c>
      <c r="J1471" s="224">
        <v>20</v>
      </c>
      <c r="K1471" s="227">
        <f t="array" ref="K1471">IFERROR(INDEX([1]Grille_Tarifs_Modulable!$B$2:$B$204,MATCH(Tableau14[[#This Row],[Designation]]&amp;Tableau14[[#This Row],[CL]],[1]Grille_Tarifs_Modulable!$C$2:$C$204&amp;[1]Grille_Tarifs_Modulable!$F$2:$F$204,0)),0)</f>
        <v>4260310553832</v>
      </c>
      <c r="L1471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0.89</v>
      </c>
      <c r="M1471" s="228">
        <f>IF(Tableau14[[#This Row],[Prix_Unit_HT]]=0,0,Tableau14[[#This Row],[Prix_Unit_HT]]+(Tableau14[[#This Row],[Prix_Unit_HT]]*VLOOKUP(Tableau14[[#This Row],[EAN]],[1]Grille_Tarifs_Modulable!$B$10:$Q$204,16,FALSE)))</f>
        <v>0.93895000000000006</v>
      </c>
      <c r="N1471" s="224">
        <v>24</v>
      </c>
      <c r="O1471" s="228">
        <f>ROUND(Tableau14[[#This Row],[Prix_Unit_HT]],2)*Tableau14[[#This Row],[Qte_commande]]</f>
        <v>21.36</v>
      </c>
      <c r="P1471" s="228">
        <f>ROUND(Tableau14[[#This Row],[Prix_Unit_TTC]],2)*Tableau14[[#This Row],[Qte_commande]]</f>
        <v>22.56</v>
      </c>
      <c r="Q1471" s="224">
        <v>6.86</v>
      </c>
      <c r="R1471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6.8571428571428577</v>
      </c>
      <c r="U1471" s="224"/>
      <c r="V1471" s="224"/>
    </row>
    <row r="1472" spans="1:22" ht="14.65" customHeight="1" x14ac:dyDescent="0.2">
      <c r="A1472" s="225">
        <v>43581</v>
      </c>
      <c r="B1472" s="224" t="s">
        <v>247</v>
      </c>
      <c r="C1472" s="224" t="s">
        <v>248</v>
      </c>
      <c r="D1472" s="224" t="s">
        <v>180</v>
      </c>
      <c r="E1472" s="226"/>
      <c r="G1472" s="224" t="s">
        <v>13</v>
      </c>
      <c r="H1472" s="224" t="s">
        <v>196</v>
      </c>
      <c r="I1472" s="224" t="s">
        <v>66</v>
      </c>
      <c r="J1472" s="224">
        <v>20</v>
      </c>
      <c r="K1472" s="227">
        <f t="array" ref="K1472">IFERROR(INDEX([1]Grille_Tarifs_Modulable!$B$2:$B$204,MATCH(Tableau14[[#This Row],[Designation]]&amp;Tableau14[[#This Row],[CL]],[1]Grille_Tarifs_Modulable!$C$2:$C$204&amp;[1]Grille_Tarifs_Modulable!$F$2:$F$204,0)),0)</f>
        <v>4260310554785</v>
      </c>
      <c r="L1472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0.89</v>
      </c>
      <c r="M1472" s="228">
        <f>IF(Tableau14[[#This Row],[Prix_Unit_HT]]=0,0,Tableau14[[#This Row],[Prix_Unit_HT]]+(Tableau14[[#This Row],[Prix_Unit_HT]]*VLOOKUP(Tableau14[[#This Row],[EAN]],[1]Grille_Tarifs_Modulable!$B$10:$Q$204,16,FALSE)))</f>
        <v>0.93895000000000006</v>
      </c>
      <c r="N1472" s="224">
        <v>48</v>
      </c>
      <c r="O1472" s="228">
        <f>ROUND(Tableau14[[#This Row],[Prix_Unit_HT]],2)*Tableau14[[#This Row],[Qte_commande]]</f>
        <v>42.72</v>
      </c>
      <c r="P1472" s="228">
        <f>ROUND(Tableau14[[#This Row],[Prix_Unit_TTC]],2)*Tableau14[[#This Row],[Qte_commande]]</f>
        <v>45.12</v>
      </c>
      <c r="Q1472" s="224">
        <v>13.71</v>
      </c>
      <c r="R1472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13.714285714285715</v>
      </c>
      <c r="U1472" s="224"/>
      <c r="V1472" s="224"/>
    </row>
    <row r="1473" spans="1:22" ht="14.65" customHeight="1" x14ac:dyDescent="0.2">
      <c r="A1473" s="225">
        <v>43581</v>
      </c>
      <c r="B1473" s="224" t="s">
        <v>247</v>
      </c>
      <c r="C1473" s="224" t="s">
        <v>248</v>
      </c>
      <c r="D1473" s="224" t="s">
        <v>180</v>
      </c>
      <c r="E1473" s="226"/>
      <c r="G1473" s="224" t="s">
        <v>13</v>
      </c>
      <c r="H1473" s="224" t="s">
        <v>289</v>
      </c>
      <c r="I1473" s="224" t="s">
        <v>30</v>
      </c>
      <c r="J1473" s="224">
        <v>70</v>
      </c>
      <c r="K1473" s="227">
        <f t="array" ref="K1473">IFERROR(INDEX([1]Grille_Tarifs_Modulable!$B$2:$B$204,MATCH(Tableau14[[#This Row],[Designation]]&amp;Tableau14[[#This Row],[CL]],[1]Grille_Tarifs_Modulable!$C$2:$C$204&amp;[1]Grille_Tarifs_Modulable!$F$2:$F$204,0)),0)</f>
        <v>3257150101904</v>
      </c>
      <c r="L1473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18.506483000000003</v>
      </c>
      <c r="M1473" s="228">
        <f>IF(Tableau14[[#This Row],[Prix_Unit_HT]]=0,0,Tableau14[[#This Row],[Prix_Unit_HT]]+(Tableau14[[#This Row],[Prix_Unit_HT]]*VLOOKUP(Tableau14[[#This Row],[EAN]],[1]Grille_Tarifs_Modulable!$B$10:$Q$204,16,FALSE)))</f>
        <v>22.207779600000002</v>
      </c>
      <c r="N1473" s="224">
        <v>6</v>
      </c>
      <c r="O1473" s="228">
        <f>ROUND(Tableau14[[#This Row],[Prix_Unit_HT]],2)*Tableau14[[#This Row],[Qte_commande]]</f>
        <v>111.06</v>
      </c>
      <c r="P1473" s="228">
        <f>ROUND(Tableau14[[#This Row],[Prix_Unit_TTC]],2)*Tableau14[[#This Row],[Qte_commande]]</f>
        <v>133.26</v>
      </c>
      <c r="Q1473" s="224">
        <v>6</v>
      </c>
      <c r="R1473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6.0000000000000009</v>
      </c>
      <c r="U1473" s="224"/>
      <c r="V1473" s="224"/>
    </row>
    <row r="1474" spans="1:22" ht="14.65" customHeight="1" x14ac:dyDescent="0.2">
      <c r="A1474" s="225">
        <v>43581</v>
      </c>
      <c r="B1474" s="224" t="s">
        <v>247</v>
      </c>
      <c r="C1474" s="224" t="s">
        <v>248</v>
      </c>
      <c r="D1474" s="224" t="s">
        <v>180</v>
      </c>
      <c r="E1474" s="226"/>
      <c r="G1474" s="224" t="s">
        <v>13</v>
      </c>
      <c r="H1474" s="224" t="s">
        <v>289</v>
      </c>
      <c r="I1474" s="224" t="s">
        <v>31</v>
      </c>
      <c r="J1474" s="224">
        <v>70</v>
      </c>
      <c r="K1474" s="227">
        <f t="array" ref="K1474">IFERROR(INDEX([1]Grille_Tarifs_Modulable!$B$2:$B$204,MATCH(Tableau14[[#This Row],[Designation]]&amp;Tableau14[[#This Row],[CL]],[1]Grille_Tarifs_Modulable!$C$2:$C$204&amp;[1]Grille_Tarifs_Modulable!$F$2:$F$204,0)),0)</f>
        <v>3257150102017</v>
      </c>
      <c r="L1474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16.854322</v>
      </c>
      <c r="M1474" s="228">
        <f>IF(Tableau14[[#This Row],[Prix_Unit_HT]]=0,0,Tableau14[[#This Row],[Prix_Unit_HT]]+(Tableau14[[#This Row],[Prix_Unit_HT]]*VLOOKUP(Tableau14[[#This Row],[EAN]],[1]Grille_Tarifs_Modulable!$B$10:$Q$204,16,FALSE)))</f>
        <v>20.225186399999998</v>
      </c>
      <c r="N1474" s="224">
        <v>18</v>
      </c>
      <c r="O1474" s="228">
        <f>ROUND(Tableau14[[#This Row],[Prix_Unit_HT]],2)*Tableau14[[#This Row],[Qte_commande]]</f>
        <v>303.3</v>
      </c>
      <c r="P1474" s="228">
        <f>ROUND(Tableau14[[#This Row],[Prix_Unit_TTC]],2)*Tableau14[[#This Row],[Qte_commande]]</f>
        <v>364.14</v>
      </c>
      <c r="Q1474" s="224">
        <v>18</v>
      </c>
      <c r="R1474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18</v>
      </c>
      <c r="U1474" s="224"/>
      <c r="V1474" s="224"/>
    </row>
    <row r="1475" spans="1:22" ht="14.65" customHeight="1" x14ac:dyDescent="0.2">
      <c r="A1475" s="225">
        <v>43581</v>
      </c>
      <c r="B1475" s="224" t="s">
        <v>247</v>
      </c>
      <c r="C1475" s="224" t="s">
        <v>248</v>
      </c>
      <c r="D1475" s="224" t="s">
        <v>180</v>
      </c>
      <c r="E1475" s="226"/>
      <c r="G1475" s="224" t="s">
        <v>13</v>
      </c>
      <c r="H1475" s="224" t="s">
        <v>289</v>
      </c>
      <c r="I1475" s="224" t="s">
        <v>44</v>
      </c>
      <c r="J1475" s="224">
        <v>50</v>
      </c>
      <c r="K1475" s="227">
        <f t="array" ref="K1475">IFERROR(INDEX([1]Grille_Tarifs_Modulable!$B$2:$B$204,MATCH(Tableau14[[#This Row],[Designation]]&amp;Tableau14[[#This Row],[CL]],[1]Grille_Tarifs_Modulable!$C$2:$C$204&amp;[1]Grille_Tarifs_Modulable!$F$2:$F$204,0)),0)</f>
        <v>4260270192645</v>
      </c>
      <c r="L1475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28.052506000000001</v>
      </c>
      <c r="M1475" s="228">
        <f>IF(Tableau14[[#This Row],[Prix_Unit_HT]]=0,0,Tableau14[[#This Row],[Prix_Unit_HT]]+(Tableau14[[#This Row],[Prix_Unit_HT]]*VLOOKUP(Tableau14[[#This Row],[EAN]],[1]Grille_Tarifs_Modulable!$B$10:$Q$204,16,FALSE)))</f>
        <v>33.663007200000003</v>
      </c>
      <c r="N1475" s="224">
        <v>12</v>
      </c>
      <c r="O1475" s="228">
        <f>ROUND(Tableau14[[#This Row],[Prix_Unit_HT]],2)*Tableau14[[#This Row],[Qte_commande]]</f>
        <v>336.6</v>
      </c>
      <c r="P1475" s="228">
        <f>ROUND(Tableau14[[#This Row],[Prix_Unit_TTC]],2)*Tableau14[[#This Row],[Qte_commande]]</f>
        <v>403.91999999999996</v>
      </c>
      <c r="Q1475" s="224">
        <v>8.57</v>
      </c>
      <c r="R1475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8.5714285714285712</v>
      </c>
      <c r="U1475" s="224"/>
      <c r="V1475" s="224"/>
    </row>
    <row r="1476" spans="1:22" ht="14.65" customHeight="1" x14ac:dyDescent="0.2">
      <c r="A1476" s="225">
        <v>43581</v>
      </c>
      <c r="B1476" s="224" t="s">
        <v>247</v>
      </c>
      <c r="C1476" s="224" t="s">
        <v>248</v>
      </c>
      <c r="D1476" s="224" t="s">
        <v>180</v>
      </c>
      <c r="E1476" s="226"/>
      <c r="G1476" s="224" t="s">
        <v>13</v>
      </c>
      <c r="H1476" s="224" t="s">
        <v>196</v>
      </c>
      <c r="I1476" s="224" t="s">
        <v>64</v>
      </c>
      <c r="J1476" s="224">
        <v>20</v>
      </c>
      <c r="K1476" s="227">
        <f t="array" ref="K1476">IFERROR(INDEX([1]Grille_Tarifs_Modulable!$B$2:$B$204,MATCH(Tableau14[[#This Row],[Designation]]&amp;Tableau14[[#This Row],[CL]],[1]Grille_Tarifs_Modulable!$C$2:$C$204&amp;[1]Grille_Tarifs_Modulable!$F$2:$F$204,0)),0)</f>
        <v>4260310553849</v>
      </c>
      <c r="L1476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0.89</v>
      </c>
      <c r="M1476" s="228">
        <f>IF(Tableau14[[#This Row],[Prix_Unit_HT]]=0,0,Tableau14[[#This Row],[Prix_Unit_HT]]+(Tableau14[[#This Row],[Prix_Unit_HT]]*VLOOKUP(Tableau14[[#This Row],[EAN]],[1]Grille_Tarifs_Modulable!$B$10:$Q$204,16,FALSE)))</f>
        <v>0.93895000000000006</v>
      </c>
      <c r="N1476" s="224">
        <v>48</v>
      </c>
      <c r="O1476" s="228">
        <f>ROUND(Tableau14[[#This Row],[Prix_Unit_HT]],2)*Tableau14[[#This Row],[Qte_commande]]</f>
        <v>42.72</v>
      </c>
      <c r="P1476" s="228">
        <f>ROUND(Tableau14[[#This Row],[Prix_Unit_TTC]],2)*Tableau14[[#This Row],[Qte_commande]]</f>
        <v>45.12</v>
      </c>
      <c r="Q1476" s="224">
        <v>13.71</v>
      </c>
      <c r="R1476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13.714285714285715</v>
      </c>
      <c r="U1476" s="224"/>
      <c r="V1476" s="224"/>
    </row>
    <row r="1477" spans="1:22" ht="14.65" customHeight="1" x14ac:dyDescent="0.2">
      <c r="A1477" s="225">
        <v>43581</v>
      </c>
      <c r="B1477" s="224" t="s">
        <v>247</v>
      </c>
      <c r="C1477" s="224" t="s">
        <v>248</v>
      </c>
      <c r="D1477" s="224" t="s">
        <v>180</v>
      </c>
      <c r="E1477" s="226"/>
      <c r="G1477" s="224" t="s">
        <v>13</v>
      </c>
      <c r="H1477" s="224" t="s">
        <v>196</v>
      </c>
      <c r="I1477" s="224" t="s">
        <v>59</v>
      </c>
      <c r="J1477" s="224">
        <v>20</v>
      </c>
      <c r="K1477" s="227">
        <f t="array" ref="K1477">IFERROR(INDEX([1]Grille_Tarifs_Modulable!$B$2:$B$204,MATCH(Tableau14[[#This Row],[Designation]]&amp;Tableau14[[#This Row],[CL]],[1]Grille_Tarifs_Modulable!$C$2:$C$204&amp;[1]Grille_Tarifs_Modulable!$F$2:$F$204,0)),0)</f>
        <v>4260310553818</v>
      </c>
      <c r="L1477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0.89</v>
      </c>
      <c r="M1477" s="228">
        <f>IF(Tableau14[[#This Row],[Prix_Unit_HT]]=0,0,Tableau14[[#This Row],[Prix_Unit_HT]]+(Tableau14[[#This Row],[Prix_Unit_HT]]*VLOOKUP(Tableau14[[#This Row],[EAN]],[1]Grille_Tarifs_Modulable!$B$10:$Q$204,16,FALSE)))</f>
        <v>0.93895000000000006</v>
      </c>
      <c r="N1477" s="224">
        <v>72</v>
      </c>
      <c r="O1477" s="228">
        <f>ROUND(Tableau14[[#This Row],[Prix_Unit_HT]],2)*Tableau14[[#This Row],[Qte_commande]]</f>
        <v>64.08</v>
      </c>
      <c r="P1477" s="228">
        <f>ROUND(Tableau14[[#This Row],[Prix_Unit_TTC]],2)*Tableau14[[#This Row],[Qte_commande]]</f>
        <v>67.679999999999993</v>
      </c>
      <c r="Q1477" s="224">
        <v>20.57</v>
      </c>
      <c r="R1477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20.571428571428573</v>
      </c>
      <c r="U1477" s="224"/>
      <c r="V1477" s="224"/>
    </row>
    <row r="1478" spans="1:22" ht="14.65" customHeight="1" x14ac:dyDescent="0.2">
      <c r="A1478" s="225">
        <v>43584</v>
      </c>
      <c r="B1478" s="224" t="s">
        <v>748</v>
      </c>
      <c r="C1478" s="224" t="s">
        <v>557</v>
      </c>
      <c r="D1478" s="224" t="s">
        <v>558</v>
      </c>
      <c r="E1478" s="226"/>
      <c r="G1478" s="224" t="s">
        <v>1</v>
      </c>
      <c r="H1478" s="224" t="s">
        <v>289</v>
      </c>
      <c r="I1478" s="224" t="s">
        <v>15</v>
      </c>
      <c r="J1478" s="224">
        <v>70</v>
      </c>
      <c r="K1478" s="227">
        <f t="array" ref="K1478">IFERROR(INDEX([1]Grille_Tarifs_Modulable!$B$2:$B$204,MATCH(Tableau14[[#This Row],[Designation]]&amp;Tableau14[[#This Row],[CL]],[1]Grille_Tarifs_Modulable!$C$2:$C$204&amp;[1]Grille_Tarifs_Modulable!$F$2:$F$204,0)),0)</f>
        <v>4067700013859</v>
      </c>
      <c r="L1478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12.532563499999998</v>
      </c>
      <c r="M1478" s="228">
        <f>IF(Tableau14[[#This Row],[Prix_Unit_HT]]=0,0,Tableau14[[#This Row],[Prix_Unit_HT]]+(Tableau14[[#This Row],[Prix_Unit_HT]]*VLOOKUP(Tableau14[[#This Row],[EAN]],[1]Grille_Tarifs_Modulable!$B$10:$Q$204,16,FALSE)))</f>
        <v>15.039076199999998</v>
      </c>
      <c r="N1478" s="224">
        <v>0</v>
      </c>
      <c r="O1478" s="228">
        <f>ROUND(Tableau14[[#This Row],[Prix_Unit_HT]],2)*Tableau14[[#This Row],[Qte_commande]]</f>
        <v>0</v>
      </c>
      <c r="P1478" s="228">
        <f>ROUND(Tableau14[[#This Row],[Prix_Unit_TTC]],2)*Tableau14[[#This Row],[Qte_commande]]</f>
        <v>0</v>
      </c>
      <c r="Q1478" s="224">
        <v>0</v>
      </c>
      <c r="R1478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0</v>
      </c>
      <c r="U1478" s="224"/>
      <c r="V1478" s="224"/>
    </row>
    <row r="1479" spans="1:22" ht="14.65" customHeight="1" x14ac:dyDescent="0.2">
      <c r="A1479" s="225">
        <v>43592</v>
      </c>
      <c r="B1479" s="224" t="s">
        <v>249</v>
      </c>
      <c r="C1479" s="224" t="s">
        <v>198</v>
      </c>
      <c r="D1479" s="224" t="s">
        <v>199</v>
      </c>
      <c r="E1479" s="226"/>
      <c r="G1479" s="224" t="s">
        <v>1</v>
      </c>
      <c r="H1479" s="224" t="s">
        <v>196</v>
      </c>
      <c r="I1479" s="224" t="s">
        <v>62</v>
      </c>
      <c r="J1479" s="224">
        <v>20</v>
      </c>
      <c r="K1479" s="227">
        <f t="array" ref="K1479">IFERROR(INDEX([1]Grille_Tarifs_Modulable!$B$2:$B$204,MATCH(Tableau14[[#This Row],[Designation]]&amp;Tableau14[[#This Row],[CL]],[1]Grille_Tarifs_Modulable!$C$2:$C$204&amp;[1]Grille_Tarifs_Modulable!$F$2:$F$204,0)),0)</f>
        <v>4260310550305</v>
      </c>
      <c r="L1479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0.81</v>
      </c>
      <c r="M1479" s="228">
        <f>IF(Tableau14[[#This Row],[Prix_Unit_HT]]=0,0,Tableau14[[#This Row],[Prix_Unit_HT]]+(Tableau14[[#This Row],[Prix_Unit_HT]]*VLOOKUP(Tableau14[[#This Row],[EAN]],[1]Grille_Tarifs_Modulable!$B$10:$Q$204,16,FALSE)))</f>
        <v>0.85455000000000003</v>
      </c>
      <c r="N1479" s="224">
        <v>96</v>
      </c>
      <c r="O1479" s="228">
        <f>ROUND(Tableau14[[#This Row],[Prix_Unit_HT]],2)*Tableau14[[#This Row],[Qte_commande]]</f>
        <v>77.760000000000005</v>
      </c>
      <c r="P1479" s="228">
        <f>ROUND(Tableau14[[#This Row],[Prix_Unit_TTC]],2)*Tableau14[[#This Row],[Qte_commande]]</f>
        <v>81.599999999999994</v>
      </c>
      <c r="Q1479" s="224">
        <v>27.43</v>
      </c>
      <c r="R1479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27.428571428571431</v>
      </c>
      <c r="U1479" s="224"/>
      <c r="V1479" s="224"/>
    </row>
    <row r="1480" spans="1:22" ht="14.65" customHeight="1" x14ac:dyDescent="0.2">
      <c r="A1480" s="225">
        <v>43592</v>
      </c>
      <c r="B1480" s="224" t="s">
        <v>249</v>
      </c>
      <c r="C1480" s="224" t="s">
        <v>198</v>
      </c>
      <c r="D1480" s="224" t="s">
        <v>199</v>
      </c>
      <c r="E1480" s="226"/>
      <c r="G1480" s="224" t="s">
        <v>1</v>
      </c>
      <c r="H1480" s="224" t="s">
        <v>289</v>
      </c>
      <c r="I1480" s="224" t="s">
        <v>22</v>
      </c>
      <c r="J1480" s="224">
        <v>70</v>
      </c>
      <c r="K1480" s="227">
        <f t="array" ref="K1480">IFERROR(INDEX([1]Grille_Tarifs_Modulable!$B$2:$B$204,MATCH(Tableau14[[#This Row],[Designation]]&amp;Tableau14[[#This Row],[CL]],[1]Grille_Tarifs_Modulable!$C$2:$C$204&amp;[1]Grille_Tarifs_Modulable!$F$2:$F$204,0)),0)</f>
        <v>4055800060200</v>
      </c>
      <c r="L1480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17.408644000000002</v>
      </c>
      <c r="M1480" s="228">
        <f>IF(Tableau14[[#This Row],[Prix_Unit_HT]]=0,0,Tableau14[[#This Row],[Prix_Unit_HT]]+(Tableau14[[#This Row],[Prix_Unit_HT]]*VLOOKUP(Tableau14[[#This Row],[EAN]],[1]Grille_Tarifs_Modulable!$B$10:$Q$204,16,FALSE)))</f>
        <v>20.890372800000002</v>
      </c>
      <c r="N1480" s="224">
        <v>24</v>
      </c>
      <c r="O1480" s="228">
        <f>ROUND(Tableau14[[#This Row],[Prix_Unit_HT]],2)*Tableau14[[#This Row],[Qte_commande]]</f>
        <v>417.84000000000003</v>
      </c>
      <c r="P1480" s="228">
        <f>ROUND(Tableau14[[#This Row],[Prix_Unit_TTC]],2)*Tableau14[[#This Row],[Qte_commande]]</f>
        <v>501.36</v>
      </c>
      <c r="Q1480" s="224">
        <v>24</v>
      </c>
      <c r="R1480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24.000000000000004</v>
      </c>
      <c r="U1480" s="224"/>
      <c r="V1480" s="224"/>
    </row>
    <row r="1481" spans="1:22" ht="14.65" customHeight="1" x14ac:dyDescent="0.2">
      <c r="A1481" s="225">
        <v>43592</v>
      </c>
      <c r="B1481" s="224" t="s">
        <v>419</v>
      </c>
      <c r="C1481" s="224" t="s">
        <v>265</v>
      </c>
      <c r="D1481" s="224" t="s">
        <v>266</v>
      </c>
      <c r="E1481" s="226"/>
      <c r="G1481" s="224" t="s">
        <v>1</v>
      </c>
      <c r="H1481" s="224" t="s">
        <v>289</v>
      </c>
      <c r="I1481" s="224" t="s">
        <v>35</v>
      </c>
      <c r="J1481" s="224">
        <v>70</v>
      </c>
      <c r="K1481" s="227">
        <f t="array" ref="K1481">IFERROR(INDEX([1]Grille_Tarifs_Modulable!$B$2:$B$204,MATCH(Tableau14[[#This Row],[Designation]]&amp;Tableau14[[#This Row],[CL]],[1]Grille_Tarifs_Modulable!$C$2:$C$204&amp;[1]Grille_Tarifs_Modulable!$F$2:$F$204,0)),0)</f>
        <v>3257150107012</v>
      </c>
      <c r="L1481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29.828643999999997</v>
      </c>
      <c r="M1481" s="228">
        <f>IF(Tableau14[[#This Row],[Prix_Unit_HT]]=0,0,Tableau14[[#This Row],[Prix_Unit_HT]]+(Tableau14[[#This Row],[Prix_Unit_HT]]*VLOOKUP(Tableau14[[#This Row],[EAN]],[1]Grille_Tarifs_Modulable!$B$10:$Q$204,16,FALSE)))</f>
        <v>35.794372799999998</v>
      </c>
      <c r="N1481" s="224">
        <v>6</v>
      </c>
      <c r="O1481" s="228">
        <f>ROUND(Tableau14[[#This Row],[Prix_Unit_HT]],2)*Tableau14[[#This Row],[Qte_commande]]</f>
        <v>178.98</v>
      </c>
      <c r="P1481" s="228">
        <f>ROUND(Tableau14[[#This Row],[Prix_Unit_TTC]],2)*Tableau14[[#This Row],[Qte_commande]]</f>
        <v>214.74</v>
      </c>
      <c r="Q1481" s="224">
        <v>6</v>
      </c>
      <c r="R1481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6.0000000000000009</v>
      </c>
      <c r="U1481" s="224"/>
      <c r="V1481" s="224"/>
    </row>
    <row r="1482" spans="1:22" ht="14.65" customHeight="1" x14ac:dyDescent="0.2">
      <c r="A1482" s="225">
        <v>43592</v>
      </c>
      <c r="B1482" s="224" t="s">
        <v>749</v>
      </c>
      <c r="C1482" s="224" t="s">
        <v>265</v>
      </c>
      <c r="D1482" s="224" t="s">
        <v>266</v>
      </c>
      <c r="E1482" s="226"/>
      <c r="G1482" s="224" t="s">
        <v>1</v>
      </c>
      <c r="H1482" s="224" t="s">
        <v>289</v>
      </c>
      <c r="I1482" s="224" t="s">
        <v>15</v>
      </c>
      <c r="J1482" s="224">
        <v>70</v>
      </c>
      <c r="K1482" s="227">
        <f t="array" ref="K1482">IFERROR(INDEX([1]Grille_Tarifs_Modulable!$B$2:$B$204,MATCH(Tableau14[[#This Row],[Designation]]&amp;Tableau14[[#This Row],[CL]],[1]Grille_Tarifs_Modulable!$C$2:$C$204&amp;[1]Grille_Tarifs_Modulable!$F$2:$F$204,0)),0)</f>
        <v>4067700013859</v>
      </c>
      <c r="L1482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12.532563499999998</v>
      </c>
      <c r="M1482" s="228">
        <f>IF(Tableau14[[#This Row],[Prix_Unit_HT]]=0,0,Tableau14[[#This Row],[Prix_Unit_HT]]+(Tableau14[[#This Row],[Prix_Unit_HT]]*VLOOKUP(Tableau14[[#This Row],[EAN]],[1]Grille_Tarifs_Modulable!$B$10:$Q$204,16,FALSE)))</f>
        <v>15.039076199999998</v>
      </c>
      <c r="N1482" s="224">
        <v>240</v>
      </c>
      <c r="O1482" s="228">
        <f>ROUND(Tableau14[[#This Row],[Prix_Unit_HT]],2)*Tableau14[[#This Row],[Qte_commande]]</f>
        <v>3007.2</v>
      </c>
      <c r="P1482" s="228">
        <f>ROUND(Tableau14[[#This Row],[Prix_Unit_TTC]],2)*Tableau14[[#This Row],[Qte_commande]]</f>
        <v>3609.6</v>
      </c>
      <c r="Q1482" s="224">
        <v>240</v>
      </c>
      <c r="R1482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240.00000000000003</v>
      </c>
      <c r="U1482" s="224"/>
      <c r="V1482" s="224"/>
    </row>
    <row r="1483" spans="1:22" ht="14.65" customHeight="1" x14ac:dyDescent="0.2">
      <c r="A1483" s="225">
        <v>43592</v>
      </c>
      <c r="B1483" s="224" t="s">
        <v>419</v>
      </c>
      <c r="C1483" s="224" t="s">
        <v>265</v>
      </c>
      <c r="D1483" s="224" t="s">
        <v>266</v>
      </c>
      <c r="E1483" s="226"/>
      <c r="G1483" s="224" t="s">
        <v>1</v>
      </c>
      <c r="H1483" s="224" t="s">
        <v>289</v>
      </c>
      <c r="I1483" s="224" t="s">
        <v>15</v>
      </c>
      <c r="J1483" s="224">
        <v>70</v>
      </c>
      <c r="K1483" s="227">
        <f t="array" ref="K1483">IFERROR(INDEX([1]Grille_Tarifs_Modulable!$B$2:$B$204,MATCH(Tableau14[[#This Row],[Designation]]&amp;Tableau14[[#This Row],[CL]],[1]Grille_Tarifs_Modulable!$C$2:$C$204&amp;[1]Grille_Tarifs_Modulable!$F$2:$F$204,0)),0)</f>
        <v>4067700013859</v>
      </c>
      <c r="L1483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12.532563499999998</v>
      </c>
      <c r="M1483" s="228">
        <f>IF(Tableau14[[#This Row],[Prix_Unit_HT]]=0,0,Tableau14[[#This Row],[Prix_Unit_HT]]+(Tableau14[[#This Row],[Prix_Unit_HT]]*VLOOKUP(Tableau14[[#This Row],[EAN]],[1]Grille_Tarifs_Modulable!$B$10:$Q$204,16,FALSE)))</f>
        <v>15.039076199999998</v>
      </c>
      <c r="N1483" s="224">
        <v>222</v>
      </c>
      <c r="O1483" s="228">
        <f>ROUND(Tableau14[[#This Row],[Prix_Unit_HT]],2)*Tableau14[[#This Row],[Qte_commande]]</f>
        <v>2781.66</v>
      </c>
      <c r="P1483" s="228">
        <f>ROUND(Tableau14[[#This Row],[Prix_Unit_TTC]],2)*Tableau14[[#This Row],[Qte_commande]]</f>
        <v>3338.8799999999997</v>
      </c>
      <c r="Q1483" s="224">
        <v>222</v>
      </c>
      <c r="R1483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222.00000000000003</v>
      </c>
      <c r="U1483" s="224"/>
      <c r="V1483" s="224"/>
    </row>
    <row r="1484" spans="1:22" ht="14.65" customHeight="1" x14ac:dyDescent="0.2">
      <c r="A1484" s="225">
        <v>43592</v>
      </c>
      <c r="B1484" s="224" t="s">
        <v>419</v>
      </c>
      <c r="C1484" s="224" t="s">
        <v>265</v>
      </c>
      <c r="D1484" s="224" t="s">
        <v>266</v>
      </c>
      <c r="E1484" s="226"/>
      <c r="G1484" s="224" t="s">
        <v>1</v>
      </c>
      <c r="H1484" s="224" t="s">
        <v>289</v>
      </c>
      <c r="I1484" s="224" t="s">
        <v>15</v>
      </c>
      <c r="J1484" s="224">
        <v>70</v>
      </c>
      <c r="K1484" s="227">
        <f t="array" ref="K1484">IFERROR(INDEX([1]Grille_Tarifs_Modulable!$B$2:$B$204,MATCH(Tableau14[[#This Row],[Designation]]&amp;Tableau14[[#This Row],[CL]],[1]Grille_Tarifs_Modulable!$C$2:$C$204&amp;[1]Grille_Tarifs_Modulable!$F$2:$F$204,0)),0)</f>
        <v>4067700013859</v>
      </c>
      <c r="L1484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12.532563499999998</v>
      </c>
      <c r="M1484" s="228">
        <f>IF(Tableau14[[#This Row],[Prix_Unit_HT]]=0,0,Tableau14[[#This Row],[Prix_Unit_HT]]+(Tableau14[[#This Row],[Prix_Unit_HT]]*VLOOKUP(Tableau14[[#This Row],[EAN]],[1]Grille_Tarifs_Modulable!$B$10:$Q$204,16,FALSE)))</f>
        <v>15.039076199999998</v>
      </c>
      <c r="N1484" s="224">
        <v>18</v>
      </c>
      <c r="O1484" s="228">
        <f>ROUND(Tableau14[[#This Row],[Prix_Unit_HT]],2)*Tableau14[[#This Row],[Qte_commande]]</f>
        <v>225.54</v>
      </c>
      <c r="P1484" s="228">
        <f>ROUND(Tableau14[[#This Row],[Prix_Unit_TTC]],2)*Tableau14[[#This Row],[Qte_commande]]</f>
        <v>270.71999999999997</v>
      </c>
      <c r="Q1484" s="224">
        <v>18</v>
      </c>
      <c r="R1484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18</v>
      </c>
      <c r="U1484" s="224"/>
      <c r="V1484" s="224"/>
    </row>
    <row r="1485" spans="1:22" ht="14.65" customHeight="1" x14ac:dyDescent="0.2">
      <c r="A1485" s="225">
        <v>43592</v>
      </c>
      <c r="B1485" s="224" t="s">
        <v>750</v>
      </c>
      <c r="C1485" s="224" t="s">
        <v>308</v>
      </c>
      <c r="D1485" s="224" t="s">
        <v>309</v>
      </c>
      <c r="E1485" s="226"/>
      <c r="G1485" s="224" t="s">
        <v>1</v>
      </c>
      <c r="H1485" s="224" t="s">
        <v>289</v>
      </c>
      <c r="I1485" s="224" t="s">
        <v>15</v>
      </c>
      <c r="J1485" s="224">
        <v>100</v>
      </c>
      <c r="K1485" s="227">
        <f t="array" ref="K1485">IFERROR(INDEX([1]Grille_Tarifs_Modulable!$B$2:$B$204,MATCH(Tableau14[[#This Row],[Designation]]&amp;Tableau14[[#This Row],[CL]],[1]Grille_Tarifs_Modulable!$C$2:$C$204&amp;[1]Grille_Tarifs_Modulable!$F$2:$F$204,0)),0)</f>
        <v>4067700013842</v>
      </c>
      <c r="L1485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17.100804999999998</v>
      </c>
      <c r="M1485" s="228">
        <f>IF(Tableau14[[#This Row],[Prix_Unit_HT]]=0,0,Tableau14[[#This Row],[Prix_Unit_HT]]+(Tableau14[[#This Row],[Prix_Unit_HT]]*VLOOKUP(Tableau14[[#This Row],[EAN]],[1]Grille_Tarifs_Modulable!$B$10:$Q$204,16,FALSE)))</f>
        <v>20.520965999999998</v>
      </c>
      <c r="N1485" s="224">
        <v>306</v>
      </c>
      <c r="O1485" s="228">
        <f>ROUND(Tableau14[[#This Row],[Prix_Unit_HT]],2)*Tableau14[[#This Row],[Qte_commande]]</f>
        <v>5232.6000000000004</v>
      </c>
      <c r="P1485" s="228">
        <f>ROUND(Tableau14[[#This Row],[Prix_Unit_TTC]],2)*Tableau14[[#This Row],[Qte_commande]]</f>
        <v>6279.12</v>
      </c>
      <c r="Q1485" s="224">
        <v>437.14</v>
      </c>
      <c r="R1485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437.14285714285717</v>
      </c>
      <c r="U1485" s="224"/>
      <c r="V1485" s="224"/>
    </row>
    <row r="1486" spans="1:22" ht="14.65" customHeight="1" x14ac:dyDescent="0.2">
      <c r="A1486" s="225">
        <v>43592</v>
      </c>
      <c r="B1486" s="224" t="s">
        <v>249</v>
      </c>
      <c r="C1486" s="224" t="s">
        <v>198</v>
      </c>
      <c r="D1486" s="224" t="s">
        <v>199</v>
      </c>
      <c r="E1486" s="226"/>
      <c r="G1486" s="224" t="s">
        <v>1</v>
      </c>
      <c r="H1486" s="224" t="s">
        <v>289</v>
      </c>
      <c r="I1486" s="224" t="s">
        <v>15</v>
      </c>
      <c r="J1486" s="224">
        <v>175</v>
      </c>
      <c r="K1486" s="227">
        <f t="array" ref="K1486">IFERROR(INDEX([1]Grille_Tarifs_Modulable!$B$2:$B$204,MATCH(Tableau14[[#This Row],[Designation]]&amp;Tableau14[[#This Row],[CL]],[1]Grille_Tarifs_Modulable!$C$2:$C$204&amp;[1]Grille_Tarifs_Modulable!$F$2:$F$204,0)),0)</f>
        <v>4067700013835</v>
      </c>
      <c r="L1486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28.916408750000002</v>
      </c>
      <c r="M1486" s="228">
        <f>IF(Tableau14[[#This Row],[Prix_Unit_HT]]=0,0,Tableau14[[#This Row],[Prix_Unit_HT]]+(Tableau14[[#This Row],[Prix_Unit_HT]]*VLOOKUP(Tableau14[[#This Row],[EAN]],[1]Grille_Tarifs_Modulable!$B$10:$Q$204,16,FALSE)))</f>
        <v>34.699690500000003</v>
      </c>
      <c r="N1486" s="224">
        <v>48</v>
      </c>
      <c r="O1486" s="228">
        <f>ROUND(Tableau14[[#This Row],[Prix_Unit_HT]],2)*Tableau14[[#This Row],[Qte_commande]]</f>
        <v>1388.16</v>
      </c>
      <c r="P1486" s="228">
        <f>ROUND(Tableau14[[#This Row],[Prix_Unit_TTC]],2)*Tableau14[[#This Row],[Qte_commande]]</f>
        <v>1665.6000000000001</v>
      </c>
      <c r="Q1486" s="224">
        <v>120</v>
      </c>
      <c r="R1486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120.00000000000001</v>
      </c>
      <c r="U1486" s="224"/>
      <c r="V1486" s="224"/>
    </row>
    <row r="1487" spans="1:22" ht="14.65" customHeight="1" x14ac:dyDescent="0.2">
      <c r="A1487" s="225">
        <v>43592</v>
      </c>
      <c r="B1487" s="224" t="s">
        <v>749</v>
      </c>
      <c r="C1487" s="224" t="s">
        <v>265</v>
      </c>
      <c r="D1487" s="224" t="s">
        <v>266</v>
      </c>
      <c r="E1487" s="226"/>
      <c r="G1487" s="224" t="s">
        <v>13</v>
      </c>
      <c r="H1487" s="224" t="s">
        <v>196</v>
      </c>
      <c r="I1487" s="224" t="s">
        <v>66</v>
      </c>
      <c r="J1487" s="224">
        <v>20</v>
      </c>
      <c r="K1487" s="227">
        <f t="array" ref="K1487">IFERROR(INDEX([1]Grille_Tarifs_Modulable!$B$2:$B$204,MATCH(Tableau14[[#This Row],[Designation]]&amp;Tableau14[[#This Row],[CL]],[1]Grille_Tarifs_Modulable!$C$2:$C$204&amp;[1]Grille_Tarifs_Modulable!$F$2:$F$204,0)),0)</f>
        <v>4260310554785</v>
      </c>
      <c r="L1487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0.89</v>
      </c>
      <c r="M1487" s="228">
        <f>IF(Tableau14[[#This Row],[Prix_Unit_HT]]=0,0,Tableau14[[#This Row],[Prix_Unit_HT]]+(Tableau14[[#This Row],[Prix_Unit_HT]]*VLOOKUP(Tableau14[[#This Row],[EAN]],[1]Grille_Tarifs_Modulable!$B$10:$Q$204,16,FALSE)))</f>
        <v>0.93895000000000006</v>
      </c>
      <c r="N1487" s="224">
        <v>48</v>
      </c>
      <c r="O1487" s="228">
        <f>ROUND(Tableau14[[#This Row],[Prix_Unit_HT]],2)*Tableau14[[#This Row],[Qte_commande]]</f>
        <v>42.72</v>
      </c>
      <c r="P1487" s="228">
        <f>ROUND(Tableau14[[#This Row],[Prix_Unit_TTC]],2)*Tableau14[[#This Row],[Qte_commande]]</f>
        <v>45.12</v>
      </c>
      <c r="Q1487" s="224">
        <v>13.71</v>
      </c>
      <c r="R1487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13.714285714285715</v>
      </c>
      <c r="U1487" s="224"/>
      <c r="V1487" s="224"/>
    </row>
    <row r="1488" spans="1:22" ht="14.65" customHeight="1" x14ac:dyDescent="0.2">
      <c r="A1488" s="225">
        <v>43592</v>
      </c>
      <c r="B1488" s="224" t="s">
        <v>419</v>
      </c>
      <c r="C1488" s="224" t="s">
        <v>265</v>
      </c>
      <c r="D1488" s="224" t="s">
        <v>266</v>
      </c>
      <c r="E1488" s="226"/>
      <c r="G1488" s="224" t="s">
        <v>13</v>
      </c>
      <c r="H1488" s="224" t="s">
        <v>196</v>
      </c>
      <c r="I1488" s="224" t="s">
        <v>66</v>
      </c>
      <c r="J1488" s="224">
        <v>20</v>
      </c>
      <c r="K1488" s="227">
        <f t="array" ref="K1488">IFERROR(INDEX([1]Grille_Tarifs_Modulable!$B$2:$B$204,MATCH(Tableau14[[#This Row],[Designation]]&amp;Tableau14[[#This Row],[CL]],[1]Grille_Tarifs_Modulable!$C$2:$C$204&amp;[1]Grille_Tarifs_Modulable!$F$2:$F$204,0)),0)</f>
        <v>4260310554785</v>
      </c>
      <c r="L1488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0.89</v>
      </c>
      <c r="M1488" s="228">
        <f>IF(Tableau14[[#This Row],[Prix_Unit_HT]]=0,0,Tableau14[[#This Row],[Prix_Unit_HT]]+(Tableau14[[#This Row],[Prix_Unit_HT]]*VLOOKUP(Tableau14[[#This Row],[EAN]],[1]Grille_Tarifs_Modulable!$B$10:$Q$204,16,FALSE)))</f>
        <v>0.93895000000000006</v>
      </c>
      <c r="N1488" s="224">
        <v>72</v>
      </c>
      <c r="O1488" s="228">
        <f>ROUND(Tableau14[[#This Row],[Prix_Unit_HT]],2)*Tableau14[[#This Row],[Qte_commande]]</f>
        <v>64.08</v>
      </c>
      <c r="P1488" s="228">
        <f>ROUND(Tableau14[[#This Row],[Prix_Unit_TTC]],2)*Tableau14[[#This Row],[Qte_commande]]</f>
        <v>67.679999999999993</v>
      </c>
      <c r="Q1488" s="224">
        <v>20.57</v>
      </c>
      <c r="R1488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20.571428571428573</v>
      </c>
      <c r="U1488" s="224"/>
      <c r="V1488" s="224"/>
    </row>
    <row r="1489" spans="1:22" ht="14.65" customHeight="1" x14ac:dyDescent="0.2">
      <c r="A1489" s="225">
        <v>43592</v>
      </c>
      <c r="B1489" s="224" t="s">
        <v>419</v>
      </c>
      <c r="C1489" s="224" t="s">
        <v>265</v>
      </c>
      <c r="D1489" s="224" t="s">
        <v>266</v>
      </c>
      <c r="E1489" s="226"/>
      <c r="G1489" s="224" t="s">
        <v>1</v>
      </c>
      <c r="H1489" s="224" t="s">
        <v>289</v>
      </c>
      <c r="I1489" s="224" t="s">
        <v>30</v>
      </c>
      <c r="J1489" s="224">
        <v>70</v>
      </c>
      <c r="K1489" s="227">
        <f t="array" ref="K1489">IFERROR(INDEX([1]Grille_Tarifs_Modulable!$B$2:$B$204,MATCH(Tableau14[[#This Row],[Designation]]&amp;Tableau14[[#This Row],[CL]],[1]Grille_Tarifs_Modulable!$C$2:$C$204&amp;[1]Grille_Tarifs_Modulable!$F$2:$F$204,0)),0)</f>
        <v>3257150101904</v>
      </c>
      <c r="L1489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16.346482999999999</v>
      </c>
      <c r="M1489" s="228">
        <f>IF(Tableau14[[#This Row],[Prix_Unit_HT]]=0,0,Tableau14[[#This Row],[Prix_Unit_HT]]+(Tableau14[[#This Row],[Prix_Unit_HT]]*VLOOKUP(Tableau14[[#This Row],[EAN]],[1]Grille_Tarifs_Modulable!$B$10:$Q$204,16,FALSE)))</f>
        <v>19.6157796</v>
      </c>
      <c r="N1489" s="224">
        <v>6</v>
      </c>
      <c r="O1489" s="228">
        <f>ROUND(Tableau14[[#This Row],[Prix_Unit_HT]],2)*Tableau14[[#This Row],[Qte_commande]]</f>
        <v>98.100000000000009</v>
      </c>
      <c r="P1489" s="228">
        <f>ROUND(Tableau14[[#This Row],[Prix_Unit_TTC]],2)*Tableau14[[#This Row],[Qte_commande]]</f>
        <v>117.72</v>
      </c>
      <c r="Q1489" s="224">
        <v>6</v>
      </c>
      <c r="R1489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6.0000000000000009</v>
      </c>
      <c r="U1489" s="224"/>
      <c r="V1489" s="224"/>
    </row>
    <row r="1490" spans="1:22" ht="14.65" customHeight="1" x14ac:dyDescent="0.2">
      <c r="A1490" s="225">
        <v>43592</v>
      </c>
      <c r="B1490" s="224" t="s">
        <v>419</v>
      </c>
      <c r="C1490" s="224" t="s">
        <v>265</v>
      </c>
      <c r="D1490" s="224" t="s">
        <v>266</v>
      </c>
      <c r="E1490" s="226"/>
      <c r="G1490" s="224" t="s">
        <v>1</v>
      </c>
      <c r="H1490" s="224" t="s">
        <v>289</v>
      </c>
      <c r="I1490" s="224" t="s">
        <v>31</v>
      </c>
      <c r="J1490" s="224">
        <v>70</v>
      </c>
      <c r="K1490" s="227">
        <f t="array" ref="K1490">IFERROR(INDEX([1]Grille_Tarifs_Modulable!$B$2:$B$204,MATCH(Tableau14[[#This Row],[Designation]]&amp;Tableau14[[#This Row],[CL]],[1]Grille_Tarifs_Modulable!$C$2:$C$204&amp;[1]Grille_Tarifs_Modulable!$F$2:$F$204,0)),0)</f>
        <v>3257150102017</v>
      </c>
      <c r="L1490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14.694322</v>
      </c>
      <c r="M1490" s="228">
        <f>IF(Tableau14[[#This Row],[Prix_Unit_HT]]=0,0,Tableau14[[#This Row],[Prix_Unit_HT]]+(Tableau14[[#This Row],[Prix_Unit_HT]]*VLOOKUP(Tableau14[[#This Row],[EAN]],[1]Grille_Tarifs_Modulable!$B$10:$Q$204,16,FALSE)))</f>
        <v>17.6331864</v>
      </c>
      <c r="N1490" s="224">
        <v>6</v>
      </c>
      <c r="O1490" s="228">
        <f>ROUND(Tableau14[[#This Row],[Prix_Unit_HT]],2)*Tableau14[[#This Row],[Qte_commande]]</f>
        <v>88.14</v>
      </c>
      <c r="P1490" s="228">
        <f>ROUND(Tableau14[[#This Row],[Prix_Unit_TTC]],2)*Tableau14[[#This Row],[Qte_commande]]</f>
        <v>105.78</v>
      </c>
      <c r="Q1490" s="224">
        <v>6</v>
      </c>
      <c r="R1490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6.0000000000000009</v>
      </c>
      <c r="U1490" s="224"/>
      <c r="V1490" s="224"/>
    </row>
    <row r="1491" spans="1:22" ht="14.65" customHeight="1" x14ac:dyDescent="0.2">
      <c r="A1491" s="225">
        <v>43592</v>
      </c>
      <c r="B1491" s="224" t="s">
        <v>910</v>
      </c>
      <c r="C1491" s="224" t="s">
        <v>205</v>
      </c>
      <c r="D1491" s="224" t="s">
        <v>206</v>
      </c>
      <c r="E1491" s="226"/>
      <c r="G1491" s="224" t="s">
        <v>1</v>
      </c>
      <c r="H1491" s="224" t="s">
        <v>289</v>
      </c>
      <c r="I1491" s="224" t="s">
        <v>44</v>
      </c>
      <c r="J1491" s="224">
        <v>50</v>
      </c>
      <c r="K1491" s="227">
        <f t="array" ref="K1491">IFERROR(INDEX([1]Grille_Tarifs_Modulable!$B$2:$B$204,MATCH(Tableau14[[#This Row],[Designation]]&amp;Tableau14[[#This Row],[CL]],[1]Grille_Tarifs_Modulable!$C$2:$C$204&amp;[1]Grille_Tarifs_Modulable!$F$2:$F$204,0)),0)</f>
        <v>4260270192645</v>
      </c>
      <c r="L1491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25.192506000000002</v>
      </c>
      <c r="M1491" s="228">
        <f>IF(Tableau14[[#This Row],[Prix_Unit_HT]]=0,0,Tableau14[[#This Row],[Prix_Unit_HT]]+(Tableau14[[#This Row],[Prix_Unit_HT]]*VLOOKUP(Tableau14[[#This Row],[EAN]],[1]Grille_Tarifs_Modulable!$B$10:$Q$204,16,FALSE)))</f>
        <v>30.231007200000001</v>
      </c>
      <c r="N1491" s="224">
        <v>6</v>
      </c>
      <c r="O1491" s="228">
        <f>ROUND(Tableau14[[#This Row],[Prix_Unit_HT]],2)*Tableau14[[#This Row],[Qte_commande]]</f>
        <v>151.14000000000001</v>
      </c>
      <c r="P1491" s="228">
        <f>ROUND(Tableau14[[#This Row],[Prix_Unit_TTC]],2)*Tableau14[[#This Row],[Qte_commande]]</f>
        <v>181.38</v>
      </c>
      <c r="Q1491" s="224">
        <v>4.29</v>
      </c>
      <c r="R1491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4.2857142857142856</v>
      </c>
      <c r="U1491" s="224"/>
      <c r="V1491" s="224"/>
    </row>
    <row r="1492" spans="1:22" ht="14.65" customHeight="1" x14ac:dyDescent="0.2">
      <c r="A1492" s="225">
        <v>43592</v>
      </c>
      <c r="B1492" s="224" t="s">
        <v>419</v>
      </c>
      <c r="C1492" s="224" t="s">
        <v>265</v>
      </c>
      <c r="D1492" s="224" t="s">
        <v>266</v>
      </c>
      <c r="E1492" s="226"/>
      <c r="G1492" s="224" t="s">
        <v>1</v>
      </c>
      <c r="H1492" s="224" t="s">
        <v>289</v>
      </c>
      <c r="I1492" s="224" t="s">
        <v>44</v>
      </c>
      <c r="J1492" s="224">
        <v>50</v>
      </c>
      <c r="K1492" s="227">
        <f t="array" ref="K1492">IFERROR(INDEX([1]Grille_Tarifs_Modulable!$B$2:$B$204,MATCH(Tableau14[[#This Row],[Designation]]&amp;Tableau14[[#This Row],[CL]],[1]Grille_Tarifs_Modulable!$C$2:$C$204&amp;[1]Grille_Tarifs_Modulable!$F$2:$F$204,0)),0)</f>
        <v>4260270192645</v>
      </c>
      <c r="L1492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25.192506000000002</v>
      </c>
      <c r="M1492" s="228">
        <f>IF(Tableau14[[#This Row],[Prix_Unit_HT]]=0,0,Tableau14[[#This Row],[Prix_Unit_HT]]+(Tableau14[[#This Row],[Prix_Unit_HT]]*VLOOKUP(Tableau14[[#This Row],[EAN]],[1]Grille_Tarifs_Modulable!$B$10:$Q$204,16,FALSE)))</f>
        <v>30.231007200000001</v>
      </c>
      <c r="N1492" s="224">
        <v>6</v>
      </c>
      <c r="O1492" s="228">
        <f>ROUND(Tableau14[[#This Row],[Prix_Unit_HT]],2)*Tableau14[[#This Row],[Qte_commande]]</f>
        <v>151.14000000000001</v>
      </c>
      <c r="P1492" s="228">
        <f>ROUND(Tableau14[[#This Row],[Prix_Unit_TTC]],2)*Tableau14[[#This Row],[Qte_commande]]</f>
        <v>181.38</v>
      </c>
      <c r="Q1492" s="224">
        <v>4.29</v>
      </c>
      <c r="R1492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4.2857142857142856</v>
      </c>
      <c r="U1492" s="224"/>
      <c r="V1492" s="224"/>
    </row>
    <row r="1493" spans="1:22" ht="14.65" customHeight="1" x14ac:dyDescent="0.2">
      <c r="A1493" s="225">
        <v>43592</v>
      </c>
      <c r="B1493" s="224" t="s">
        <v>749</v>
      </c>
      <c r="C1493" s="224" t="s">
        <v>265</v>
      </c>
      <c r="D1493" s="224" t="s">
        <v>266</v>
      </c>
      <c r="E1493" s="226"/>
      <c r="G1493" s="224" t="s">
        <v>1</v>
      </c>
      <c r="H1493" s="224" t="s">
        <v>196</v>
      </c>
      <c r="I1493" s="224" t="s">
        <v>64</v>
      </c>
      <c r="J1493" s="224">
        <v>20</v>
      </c>
      <c r="K1493" s="227">
        <f t="array" ref="K1493">IFERROR(INDEX([1]Grille_Tarifs_Modulable!$B$2:$B$204,MATCH(Tableau14[[#This Row],[Designation]]&amp;Tableau14[[#This Row],[CL]],[1]Grille_Tarifs_Modulable!$C$2:$C$204&amp;[1]Grille_Tarifs_Modulable!$F$2:$F$204,0)),0)</f>
        <v>4260310553849</v>
      </c>
      <c r="L1493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0.81</v>
      </c>
      <c r="M1493" s="228">
        <f>IF(Tableau14[[#This Row],[Prix_Unit_HT]]=0,0,Tableau14[[#This Row],[Prix_Unit_HT]]+(Tableau14[[#This Row],[Prix_Unit_HT]]*VLOOKUP(Tableau14[[#This Row],[EAN]],[1]Grille_Tarifs_Modulable!$B$10:$Q$204,16,FALSE)))</f>
        <v>0.85455000000000003</v>
      </c>
      <c r="N1493" s="224">
        <v>480</v>
      </c>
      <c r="O1493" s="228">
        <f>ROUND(Tableau14[[#This Row],[Prix_Unit_HT]],2)*Tableau14[[#This Row],[Qte_commande]]</f>
        <v>388.8</v>
      </c>
      <c r="P1493" s="228">
        <f>ROUND(Tableau14[[#This Row],[Prix_Unit_TTC]],2)*Tableau14[[#This Row],[Qte_commande]]</f>
        <v>408</v>
      </c>
      <c r="Q1493" s="224">
        <v>137.13999999999999</v>
      </c>
      <c r="R1493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137.14285714285714</v>
      </c>
      <c r="U1493" s="224"/>
      <c r="V1493" s="224"/>
    </row>
    <row r="1494" spans="1:22" ht="14.65" customHeight="1" x14ac:dyDescent="0.2">
      <c r="A1494" s="225">
        <v>43592</v>
      </c>
      <c r="B1494" s="224" t="s">
        <v>419</v>
      </c>
      <c r="C1494" s="224" t="s">
        <v>265</v>
      </c>
      <c r="D1494" s="224" t="s">
        <v>266</v>
      </c>
      <c r="E1494" s="226"/>
      <c r="G1494" s="224" t="s">
        <v>1</v>
      </c>
      <c r="H1494" s="224" t="s">
        <v>196</v>
      </c>
      <c r="I1494" s="224" t="s">
        <v>64</v>
      </c>
      <c r="J1494" s="224">
        <v>20</v>
      </c>
      <c r="K1494" s="227">
        <f t="array" ref="K1494">IFERROR(INDEX([1]Grille_Tarifs_Modulable!$B$2:$B$204,MATCH(Tableau14[[#This Row],[Designation]]&amp;Tableau14[[#This Row],[CL]],[1]Grille_Tarifs_Modulable!$C$2:$C$204&amp;[1]Grille_Tarifs_Modulable!$F$2:$F$204,0)),0)</f>
        <v>4260310553849</v>
      </c>
      <c r="L1494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0.81</v>
      </c>
      <c r="M1494" s="228">
        <f>IF(Tableau14[[#This Row],[Prix_Unit_HT]]=0,0,Tableau14[[#This Row],[Prix_Unit_HT]]+(Tableau14[[#This Row],[Prix_Unit_HT]]*VLOOKUP(Tableau14[[#This Row],[EAN]],[1]Grille_Tarifs_Modulable!$B$10:$Q$204,16,FALSE)))</f>
        <v>0.85455000000000003</v>
      </c>
      <c r="N1494" s="224">
        <v>240</v>
      </c>
      <c r="O1494" s="228">
        <f>ROUND(Tableau14[[#This Row],[Prix_Unit_HT]],2)*Tableau14[[#This Row],[Qte_commande]]</f>
        <v>194.4</v>
      </c>
      <c r="P1494" s="228">
        <f>ROUND(Tableau14[[#This Row],[Prix_Unit_TTC]],2)*Tableau14[[#This Row],[Qte_commande]]</f>
        <v>204</v>
      </c>
      <c r="Q1494" s="224">
        <v>68.569999999999993</v>
      </c>
      <c r="R1494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68.571428571428569</v>
      </c>
      <c r="U1494" s="224"/>
      <c r="V1494" s="224"/>
    </row>
    <row r="1495" spans="1:22" ht="14.65" customHeight="1" x14ac:dyDescent="0.2">
      <c r="A1495" s="225">
        <v>43592</v>
      </c>
      <c r="B1495" s="224" t="s">
        <v>249</v>
      </c>
      <c r="C1495" s="224" t="s">
        <v>198</v>
      </c>
      <c r="D1495" s="224" t="s">
        <v>199</v>
      </c>
      <c r="E1495" s="226"/>
      <c r="G1495" s="224" t="s">
        <v>1</v>
      </c>
      <c r="H1495" s="224" t="s">
        <v>196</v>
      </c>
      <c r="I1495" s="224" t="s">
        <v>64</v>
      </c>
      <c r="J1495" s="224">
        <v>20</v>
      </c>
      <c r="K1495" s="227">
        <f t="array" ref="K1495">IFERROR(INDEX([1]Grille_Tarifs_Modulable!$B$2:$B$204,MATCH(Tableau14[[#This Row],[Designation]]&amp;Tableau14[[#This Row],[CL]],[1]Grille_Tarifs_Modulable!$C$2:$C$204&amp;[1]Grille_Tarifs_Modulable!$F$2:$F$204,0)),0)</f>
        <v>4260310553849</v>
      </c>
      <c r="L1495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0.81</v>
      </c>
      <c r="M1495" s="228">
        <f>IF(Tableau14[[#This Row],[Prix_Unit_HT]]=0,0,Tableau14[[#This Row],[Prix_Unit_HT]]+(Tableau14[[#This Row],[Prix_Unit_HT]]*VLOOKUP(Tableau14[[#This Row],[EAN]],[1]Grille_Tarifs_Modulable!$B$10:$Q$204,16,FALSE)))</f>
        <v>0.85455000000000003</v>
      </c>
      <c r="N1495" s="224">
        <v>720</v>
      </c>
      <c r="O1495" s="228">
        <f>ROUND(Tableau14[[#This Row],[Prix_Unit_HT]],2)*Tableau14[[#This Row],[Qte_commande]]</f>
        <v>583.20000000000005</v>
      </c>
      <c r="P1495" s="228">
        <f>ROUND(Tableau14[[#This Row],[Prix_Unit_TTC]],2)*Tableau14[[#This Row],[Qte_commande]]</f>
        <v>612</v>
      </c>
      <c r="Q1495" s="224">
        <v>205.71</v>
      </c>
      <c r="R1495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205.71428571428572</v>
      </c>
      <c r="U1495" s="224"/>
      <c r="V1495" s="224"/>
    </row>
    <row r="1496" spans="1:22" ht="14.65" customHeight="1" x14ac:dyDescent="0.2">
      <c r="A1496" s="225">
        <v>43592</v>
      </c>
      <c r="B1496" s="224" t="s">
        <v>1231</v>
      </c>
      <c r="C1496" s="224" t="s">
        <v>161</v>
      </c>
      <c r="D1496" s="224" t="s">
        <v>666</v>
      </c>
      <c r="E1496" s="226"/>
      <c r="G1496" s="224" t="s">
        <v>13</v>
      </c>
      <c r="H1496" s="224" t="s">
        <v>451</v>
      </c>
      <c r="I1496" s="224" t="s">
        <v>69</v>
      </c>
      <c r="J1496" s="227">
        <v>3</v>
      </c>
      <c r="K1496" s="227">
        <f t="array" ref="K1496">IFERROR(INDEX([1]Grille_Tarifs_Modulable!$B$2:$B$204,MATCH(Tableau14[[#This Row],[Designation]]&amp;Tableau14[[#This Row],[CL]],[1]Grille_Tarifs_Modulable!$C$2:$C$204&amp;[1]Grille_Tarifs_Modulable!$F$2:$F$204,0)),0)</f>
        <v>121</v>
      </c>
      <c r="L1496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299</v>
      </c>
      <c r="M1496" s="228">
        <f>IF(Tableau14[[#This Row],[Prix_Unit_HT]]=0,0,Tableau14[[#This Row],[Prix_Unit_HT]]+(Tableau14[[#This Row],[Prix_Unit_HT]]*VLOOKUP(Tableau14[[#This Row],[EAN]],[1]Grille_Tarifs_Modulable!$B$10:$Q$204,16,FALSE)))</f>
        <v>358.8</v>
      </c>
      <c r="N1496" s="224">
        <v>1</v>
      </c>
      <c r="O1496" s="228">
        <f>ROUND(Tableau14[[#This Row],[Prix_Unit_HT]],2)*Tableau14[[#This Row],[Qte_commande]]</f>
        <v>299</v>
      </c>
      <c r="P1496" s="228">
        <f>ROUND(Tableau14[[#This Row],[Prix_Unit_TTC]],2)*Tableau14[[#This Row],[Qte_commande]]</f>
        <v>358.8</v>
      </c>
      <c r="Q1496" s="224">
        <v>1</v>
      </c>
      <c r="R1496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</v>
      </c>
      <c r="U1496" s="224"/>
      <c r="V1496" s="224"/>
    </row>
    <row r="1497" spans="1:22" ht="14.65" customHeight="1" x14ac:dyDescent="0.2">
      <c r="A1497" s="225">
        <v>43592</v>
      </c>
      <c r="B1497" s="224" t="s">
        <v>1232</v>
      </c>
      <c r="C1497" s="224" t="s">
        <v>205</v>
      </c>
      <c r="D1497" s="224" t="s">
        <v>206</v>
      </c>
      <c r="E1497" s="226"/>
      <c r="G1497" s="224" t="s">
        <v>13</v>
      </c>
      <c r="H1497" s="224" t="s">
        <v>451</v>
      </c>
      <c r="I1497" s="224" t="s">
        <v>69</v>
      </c>
      <c r="J1497" s="227">
        <v>3</v>
      </c>
      <c r="K1497" s="227">
        <f t="array" ref="K1497">IFERROR(INDEX([1]Grille_Tarifs_Modulable!$B$2:$B$204,MATCH(Tableau14[[#This Row],[Designation]]&amp;Tableau14[[#This Row],[CL]],[1]Grille_Tarifs_Modulable!$C$2:$C$204&amp;[1]Grille_Tarifs_Modulable!$F$2:$F$204,0)),0)</f>
        <v>121</v>
      </c>
      <c r="L1497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299</v>
      </c>
      <c r="M1497" s="228">
        <f>IF(Tableau14[[#This Row],[Prix_Unit_HT]]=0,0,Tableau14[[#This Row],[Prix_Unit_HT]]+(Tableau14[[#This Row],[Prix_Unit_HT]]*VLOOKUP(Tableau14[[#This Row],[EAN]],[1]Grille_Tarifs_Modulable!$B$10:$Q$204,16,FALSE)))</f>
        <v>358.8</v>
      </c>
      <c r="N1497" s="224">
        <v>1</v>
      </c>
      <c r="O1497" s="228">
        <f>ROUND(Tableau14[[#This Row],[Prix_Unit_HT]],2)*Tableau14[[#This Row],[Qte_commande]]</f>
        <v>299</v>
      </c>
      <c r="P1497" s="228">
        <f>ROUND(Tableau14[[#This Row],[Prix_Unit_TTC]],2)*Tableau14[[#This Row],[Qte_commande]]</f>
        <v>358.8</v>
      </c>
      <c r="Q1497" s="224">
        <v>1</v>
      </c>
      <c r="R1497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</v>
      </c>
      <c r="U1497" s="224"/>
      <c r="V1497" s="224"/>
    </row>
    <row r="1498" spans="1:22" ht="14.65" customHeight="1" x14ac:dyDescent="0.2">
      <c r="A1498" s="225">
        <v>43592</v>
      </c>
      <c r="B1498" s="224" t="s">
        <v>1254</v>
      </c>
      <c r="C1498" s="224" t="s">
        <v>426</v>
      </c>
      <c r="D1498" s="224" t="s">
        <v>180</v>
      </c>
      <c r="E1498" s="226"/>
      <c r="G1498" s="224" t="s">
        <v>13</v>
      </c>
      <c r="H1498" s="224" t="s">
        <v>451</v>
      </c>
      <c r="I1498" s="224" t="s">
        <v>71</v>
      </c>
      <c r="J1498" s="227">
        <v>1</v>
      </c>
      <c r="K1498" s="227">
        <f t="array" ref="K1498">IFERROR(INDEX([1]Grille_Tarifs_Modulable!$B$2:$B$204,MATCH(Tableau14[[#This Row],[Designation]]&amp;Tableau14[[#This Row],[CL]],[1]Grille_Tarifs_Modulable!$C$2:$C$204&amp;[1]Grille_Tarifs_Modulable!$F$2:$F$204,0)),0)</f>
        <v>122</v>
      </c>
      <c r="L1498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299</v>
      </c>
      <c r="M1498" s="228">
        <f>IF(Tableau14[[#This Row],[Prix_Unit_HT]]=0,0,Tableau14[[#This Row],[Prix_Unit_HT]]+(Tableau14[[#This Row],[Prix_Unit_HT]]*VLOOKUP(Tableau14[[#This Row],[EAN]],[1]Grille_Tarifs_Modulable!$B$10:$Q$204,16,FALSE)))</f>
        <v>358.8</v>
      </c>
      <c r="N1498" s="224">
        <v>2</v>
      </c>
      <c r="O1498" s="228">
        <f>ROUND(Tableau14[[#This Row],[Prix_Unit_HT]],2)*Tableau14[[#This Row],[Qte_commande]]</f>
        <v>598</v>
      </c>
      <c r="P1498" s="228">
        <f>ROUND(Tableau14[[#This Row],[Prix_Unit_TTC]],2)*Tableau14[[#This Row],[Qte_commande]]</f>
        <v>717.6</v>
      </c>
      <c r="Q1498" s="224">
        <v>2</v>
      </c>
      <c r="R1498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2</v>
      </c>
      <c r="U1498" s="224"/>
      <c r="V1498" s="224"/>
    </row>
    <row r="1499" spans="1:22" ht="14.65" customHeight="1" x14ac:dyDescent="0.2">
      <c r="A1499" s="225">
        <v>43592</v>
      </c>
      <c r="B1499" s="224" t="s">
        <v>1255</v>
      </c>
      <c r="C1499" s="224" t="s">
        <v>1250</v>
      </c>
      <c r="D1499" s="224" t="s">
        <v>1037</v>
      </c>
      <c r="E1499" s="226"/>
      <c r="G1499" s="224" t="s">
        <v>13</v>
      </c>
      <c r="H1499" s="224" t="s">
        <v>451</v>
      </c>
      <c r="I1499" s="224" t="s">
        <v>71</v>
      </c>
      <c r="J1499" s="227">
        <v>1</v>
      </c>
      <c r="K1499" s="227">
        <f t="array" ref="K1499">IFERROR(INDEX([1]Grille_Tarifs_Modulable!$B$2:$B$204,MATCH(Tableau14[[#This Row],[Designation]]&amp;Tableau14[[#This Row],[CL]],[1]Grille_Tarifs_Modulable!$C$2:$C$204&amp;[1]Grille_Tarifs_Modulable!$F$2:$F$204,0)),0)</f>
        <v>122</v>
      </c>
      <c r="L1499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299</v>
      </c>
      <c r="M1499" s="228">
        <f>IF(Tableau14[[#This Row],[Prix_Unit_HT]]=0,0,Tableau14[[#This Row],[Prix_Unit_HT]]+(Tableau14[[#This Row],[Prix_Unit_HT]]*VLOOKUP(Tableau14[[#This Row],[EAN]],[1]Grille_Tarifs_Modulable!$B$10:$Q$204,16,FALSE)))</f>
        <v>358.8</v>
      </c>
      <c r="N1499" s="224">
        <v>1</v>
      </c>
      <c r="O1499" s="228">
        <f>ROUND(Tableau14[[#This Row],[Prix_Unit_HT]],2)*Tableau14[[#This Row],[Qte_commande]]</f>
        <v>299</v>
      </c>
      <c r="P1499" s="228">
        <f>ROUND(Tableau14[[#This Row],[Prix_Unit_TTC]],2)*Tableau14[[#This Row],[Qte_commande]]</f>
        <v>358.8</v>
      </c>
      <c r="Q1499" s="224">
        <v>1</v>
      </c>
      <c r="R1499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</v>
      </c>
      <c r="U1499" s="224"/>
      <c r="V1499" s="224"/>
    </row>
    <row r="1500" spans="1:22" ht="14.65" customHeight="1" x14ac:dyDescent="0.2">
      <c r="A1500" s="225">
        <v>43592</v>
      </c>
      <c r="B1500" s="224" t="s">
        <v>1256</v>
      </c>
      <c r="C1500" s="224" t="s">
        <v>1257</v>
      </c>
      <c r="D1500" s="224" t="s">
        <v>531</v>
      </c>
      <c r="E1500" s="226"/>
      <c r="G1500" s="224" t="s">
        <v>13</v>
      </c>
      <c r="H1500" s="224" t="s">
        <v>451</v>
      </c>
      <c r="I1500" s="224" t="s">
        <v>71</v>
      </c>
      <c r="J1500" s="227">
        <v>1</v>
      </c>
      <c r="K1500" s="227">
        <f t="array" ref="K1500">IFERROR(INDEX([1]Grille_Tarifs_Modulable!$B$2:$B$204,MATCH(Tableau14[[#This Row],[Designation]]&amp;Tableau14[[#This Row],[CL]],[1]Grille_Tarifs_Modulable!$C$2:$C$204&amp;[1]Grille_Tarifs_Modulable!$F$2:$F$204,0)),0)</f>
        <v>122</v>
      </c>
      <c r="L1500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299</v>
      </c>
      <c r="M1500" s="228">
        <f>IF(Tableau14[[#This Row],[Prix_Unit_HT]]=0,0,Tableau14[[#This Row],[Prix_Unit_HT]]+(Tableau14[[#This Row],[Prix_Unit_HT]]*VLOOKUP(Tableau14[[#This Row],[EAN]],[1]Grille_Tarifs_Modulable!$B$10:$Q$204,16,FALSE)))</f>
        <v>358.8</v>
      </c>
      <c r="N1500" s="224">
        <v>1</v>
      </c>
      <c r="O1500" s="228">
        <f>ROUND(Tableau14[[#This Row],[Prix_Unit_HT]],2)*Tableau14[[#This Row],[Qte_commande]]</f>
        <v>299</v>
      </c>
      <c r="P1500" s="228">
        <f>ROUND(Tableau14[[#This Row],[Prix_Unit_TTC]],2)*Tableau14[[#This Row],[Qte_commande]]</f>
        <v>358.8</v>
      </c>
      <c r="Q1500" s="224">
        <v>1</v>
      </c>
      <c r="R1500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</v>
      </c>
      <c r="U1500" s="224"/>
      <c r="V1500" s="224"/>
    </row>
    <row r="1501" spans="1:22" ht="14.65" customHeight="1" x14ac:dyDescent="0.2">
      <c r="A1501" s="225">
        <v>43599</v>
      </c>
      <c r="B1501" s="224" t="s">
        <v>250</v>
      </c>
      <c r="C1501" s="224" t="s">
        <v>251</v>
      </c>
      <c r="D1501" s="224" t="s">
        <v>180</v>
      </c>
      <c r="E1501" s="226"/>
      <c r="G1501" s="224" t="s">
        <v>13</v>
      </c>
      <c r="H1501" s="224" t="s">
        <v>196</v>
      </c>
      <c r="I1501" s="224" t="s">
        <v>62</v>
      </c>
      <c r="J1501" s="224">
        <v>20</v>
      </c>
      <c r="K1501" s="227">
        <f t="array" ref="K1501">IFERROR(INDEX([1]Grille_Tarifs_Modulable!$B$2:$B$204,MATCH(Tableau14[[#This Row],[Designation]]&amp;Tableau14[[#This Row],[CL]],[1]Grille_Tarifs_Modulable!$C$2:$C$204&amp;[1]Grille_Tarifs_Modulable!$F$2:$F$204,0)),0)</f>
        <v>4260310550305</v>
      </c>
      <c r="L1501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0.89</v>
      </c>
      <c r="M1501" s="228">
        <f>IF(Tableau14[[#This Row],[Prix_Unit_HT]]=0,0,Tableau14[[#This Row],[Prix_Unit_HT]]+(Tableau14[[#This Row],[Prix_Unit_HT]]*VLOOKUP(Tableau14[[#This Row],[EAN]],[1]Grille_Tarifs_Modulable!$B$10:$Q$204,16,FALSE)))</f>
        <v>0.93895000000000006</v>
      </c>
      <c r="N1501" s="224">
        <v>24</v>
      </c>
      <c r="O1501" s="228">
        <f>ROUND(Tableau14[[#This Row],[Prix_Unit_HT]],2)*Tableau14[[#This Row],[Qte_commande]]</f>
        <v>21.36</v>
      </c>
      <c r="P1501" s="228">
        <f>ROUND(Tableau14[[#This Row],[Prix_Unit_TTC]],2)*Tableau14[[#This Row],[Qte_commande]]</f>
        <v>22.56</v>
      </c>
      <c r="Q1501" s="224">
        <v>6.86</v>
      </c>
      <c r="R1501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6.8571428571428577</v>
      </c>
      <c r="U1501" s="224"/>
      <c r="V1501" s="224"/>
    </row>
    <row r="1502" spans="1:22" ht="14.65" customHeight="1" x14ac:dyDescent="0.2">
      <c r="A1502" s="225">
        <v>43599</v>
      </c>
      <c r="B1502" s="224" t="s">
        <v>250</v>
      </c>
      <c r="C1502" s="224" t="s">
        <v>251</v>
      </c>
      <c r="D1502" s="224" t="s">
        <v>180</v>
      </c>
      <c r="E1502" s="226"/>
      <c r="G1502" s="224" t="s">
        <v>13</v>
      </c>
      <c r="H1502" s="224" t="s">
        <v>196</v>
      </c>
      <c r="I1502" s="224" t="s">
        <v>63</v>
      </c>
      <c r="J1502" s="224">
        <v>20</v>
      </c>
      <c r="K1502" s="227">
        <f t="array" ref="K1502">IFERROR(INDEX([1]Grille_Tarifs_Modulable!$B$2:$B$204,MATCH(Tableau14[[#This Row],[Designation]]&amp;Tableau14[[#This Row],[CL]],[1]Grille_Tarifs_Modulable!$C$2:$C$204&amp;[1]Grille_Tarifs_Modulable!$F$2:$F$204,0)),0)</f>
        <v>4260310552941</v>
      </c>
      <c r="L1502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0.89</v>
      </c>
      <c r="M1502" s="228">
        <f>IF(Tableau14[[#This Row],[Prix_Unit_HT]]=0,0,Tableau14[[#This Row],[Prix_Unit_HT]]+(Tableau14[[#This Row],[Prix_Unit_HT]]*VLOOKUP(Tableau14[[#This Row],[EAN]],[1]Grille_Tarifs_Modulable!$B$10:$Q$204,16,FALSE)))</f>
        <v>0.93895000000000006</v>
      </c>
      <c r="N1502" s="224">
        <v>24</v>
      </c>
      <c r="O1502" s="228">
        <f>ROUND(Tableau14[[#This Row],[Prix_Unit_HT]],2)*Tableau14[[#This Row],[Qte_commande]]</f>
        <v>21.36</v>
      </c>
      <c r="P1502" s="228">
        <f>ROUND(Tableau14[[#This Row],[Prix_Unit_TTC]],2)*Tableau14[[#This Row],[Qte_commande]]</f>
        <v>22.56</v>
      </c>
      <c r="Q1502" s="224">
        <v>6.86</v>
      </c>
      <c r="R1502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6.8571428571428577</v>
      </c>
      <c r="U1502" s="224"/>
      <c r="V1502" s="224"/>
    </row>
    <row r="1503" spans="1:22" ht="14.65" customHeight="1" x14ac:dyDescent="0.2">
      <c r="A1503" s="225">
        <v>43599</v>
      </c>
      <c r="B1503" s="224" t="s">
        <v>250</v>
      </c>
      <c r="C1503" s="224" t="s">
        <v>251</v>
      </c>
      <c r="D1503" s="224" t="s">
        <v>180</v>
      </c>
      <c r="E1503" s="226"/>
      <c r="G1503" s="224" t="s">
        <v>13</v>
      </c>
      <c r="H1503" s="224" t="s">
        <v>289</v>
      </c>
      <c r="I1503" s="224" t="s">
        <v>35</v>
      </c>
      <c r="J1503" s="224">
        <v>70</v>
      </c>
      <c r="K1503" s="227">
        <f t="array" ref="K1503">IFERROR(INDEX([1]Grille_Tarifs_Modulable!$B$2:$B$204,MATCH(Tableau14[[#This Row],[Designation]]&amp;Tableau14[[#This Row],[CL]],[1]Grille_Tarifs_Modulable!$C$2:$C$204&amp;[1]Grille_Tarifs_Modulable!$F$2:$F$204,0)),0)</f>
        <v>3257150107012</v>
      </c>
      <c r="L1503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32.408644000000002</v>
      </c>
      <c r="M1503" s="228">
        <f>IF(Tableau14[[#This Row],[Prix_Unit_HT]]=0,0,Tableau14[[#This Row],[Prix_Unit_HT]]+(Tableau14[[#This Row],[Prix_Unit_HT]]*VLOOKUP(Tableau14[[#This Row],[EAN]],[1]Grille_Tarifs_Modulable!$B$10:$Q$204,16,FALSE)))</f>
        <v>38.890372800000002</v>
      </c>
      <c r="N1503" s="224">
        <v>6</v>
      </c>
      <c r="O1503" s="228">
        <f>ROUND(Tableau14[[#This Row],[Prix_Unit_HT]],2)*Tableau14[[#This Row],[Qte_commande]]</f>
        <v>194.45999999999998</v>
      </c>
      <c r="P1503" s="228">
        <f>ROUND(Tableau14[[#This Row],[Prix_Unit_TTC]],2)*Tableau14[[#This Row],[Qte_commande]]</f>
        <v>233.34</v>
      </c>
      <c r="Q1503" s="224">
        <v>6</v>
      </c>
      <c r="R1503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6.0000000000000009</v>
      </c>
      <c r="U1503" s="224"/>
      <c r="V1503" s="224"/>
    </row>
    <row r="1504" spans="1:22" ht="14.65" customHeight="1" x14ac:dyDescent="0.2">
      <c r="A1504" s="225">
        <v>43599</v>
      </c>
      <c r="B1504" s="224" t="s">
        <v>250</v>
      </c>
      <c r="C1504" s="224" t="s">
        <v>251</v>
      </c>
      <c r="D1504" s="224" t="s">
        <v>180</v>
      </c>
      <c r="E1504" s="226"/>
      <c r="G1504" s="224" t="s">
        <v>13</v>
      </c>
      <c r="H1504" s="224" t="s">
        <v>289</v>
      </c>
      <c r="I1504" s="224" t="s">
        <v>15</v>
      </c>
      <c r="J1504" s="224">
        <v>70</v>
      </c>
      <c r="K1504" s="227">
        <f t="array" ref="K1504">IFERROR(INDEX([1]Grille_Tarifs_Modulable!$B$2:$B$204,MATCH(Tableau14[[#This Row],[Designation]]&amp;Tableau14[[#This Row],[CL]],[1]Grille_Tarifs_Modulable!$C$2:$C$204&amp;[1]Grille_Tarifs_Modulable!$F$2:$F$204,0)),0)</f>
        <v>4067700013859</v>
      </c>
      <c r="L1504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13.942563499999999</v>
      </c>
      <c r="M1504" s="228">
        <f>IF(Tableau14[[#This Row],[Prix_Unit_HT]]=0,0,Tableau14[[#This Row],[Prix_Unit_HT]]+(Tableau14[[#This Row],[Prix_Unit_HT]]*VLOOKUP(Tableau14[[#This Row],[EAN]],[1]Grille_Tarifs_Modulable!$B$10:$Q$204,16,FALSE)))</f>
        <v>16.731076199999997</v>
      </c>
      <c r="N1504" s="224">
        <v>12</v>
      </c>
      <c r="O1504" s="228">
        <f>ROUND(Tableau14[[#This Row],[Prix_Unit_HT]],2)*Tableau14[[#This Row],[Qte_commande]]</f>
        <v>167.28</v>
      </c>
      <c r="P1504" s="228">
        <f>ROUND(Tableau14[[#This Row],[Prix_Unit_TTC]],2)*Tableau14[[#This Row],[Qte_commande]]</f>
        <v>200.76</v>
      </c>
      <c r="Q1504" s="224">
        <v>12</v>
      </c>
      <c r="R1504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12.000000000000002</v>
      </c>
      <c r="U1504" s="224"/>
      <c r="V1504" s="224"/>
    </row>
    <row r="1505" spans="1:22" ht="14.65" customHeight="1" x14ac:dyDescent="0.2">
      <c r="A1505" s="225">
        <v>43599</v>
      </c>
      <c r="B1505" s="224" t="s">
        <v>250</v>
      </c>
      <c r="C1505" s="224" t="s">
        <v>251</v>
      </c>
      <c r="D1505" s="224" t="s">
        <v>180</v>
      </c>
      <c r="E1505" s="226"/>
      <c r="G1505" s="224" t="s">
        <v>13</v>
      </c>
      <c r="H1505" s="224" t="s">
        <v>289</v>
      </c>
      <c r="I1505" s="224" t="s">
        <v>48</v>
      </c>
      <c r="J1505" s="224">
        <v>70</v>
      </c>
      <c r="K1505" s="227">
        <f t="array" ref="K1505">IFERROR(INDEX([1]Grille_Tarifs_Modulable!$B$2:$B$204,MATCH(Tableau14[[#This Row],[Designation]]&amp;Tableau14[[#This Row],[CL]],[1]Grille_Tarifs_Modulable!$C$2:$C$204&amp;[1]Grille_Tarifs_Modulable!$F$2:$F$204,0)),0)</f>
        <v>3257150673029</v>
      </c>
      <c r="L1505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23.269508399999999</v>
      </c>
      <c r="M1505" s="228">
        <f>IF(Tableau14[[#This Row],[Prix_Unit_HT]]=0,0,Tableau14[[#This Row],[Prix_Unit_HT]]+(Tableau14[[#This Row],[Prix_Unit_HT]]*VLOOKUP(Tableau14[[#This Row],[EAN]],[1]Grille_Tarifs_Modulable!$B$10:$Q$204,16,FALSE)))</f>
        <v>27.92341008</v>
      </c>
      <c r="N1505" s="224">
        <v>6</v>
      </c>
      <c r="O1505" s="228">
        <f>ROUND(Tableau14[[#This Row],[Prix_Unit_HT]],2)*Tableau14[[#This Row],[Qte_commande]]</f>
        <v>139.62</v>
      </c>
      <c r="P1505" s="228">
        <f>ROUND(Tableau14[[#This Row],[Prix_Unit_TTC]],2)*Tableau14[[#This Row],[Qte_commande]]</f>
        <v>167.52</v>
      </c>
      <c r="Q1505" s="224">
        <v>6</v>
      </c>
      <c r="R1505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6.0000000000000009</v>
      </c>
      <c r="U1505" s="224"/>
      <c r="V1505" s="224"/>
    </row>
    <row r="1506" spans="1:22" ht="14.65" customHeight="1" x14ac:dyDescent="0.2">
      <c r="A1506" s="225">
        <v>43599</v>
      </c>
      <c r="B1506" s="224" t="s">
        <v>250</v>
      </c>
      <c r="C1506" s="224" t="s">
        <v>251</v>
      </c>
      <c r="D1506" s="224" t="s">
        <v>180</v>
      </c>
      <c r="E1506" s="226"/>
      <c r="G1506" s="224" t="s">
        <v>13</v>
      </c>
      <c r="H1506" s="224" t="s">
        <v>289</v>
      </c>
      <c r="I1506" s="224" t="s">
        <v>30</v>
      </c>
      <c r="J1506" s="224">
        <v>70</v>
      </c>
      <c r="K1506" s="227">
        <f t="array" ref="K1506">IFERROR(INDEX([1]Grille_Tarifs_Modulable!$B$2:$B$204,MATCH(Tableau14[[#This Row],[Designation]]&amp;Tableau14[[#This Row],[CL]],[1]Grille_Tarifs_Modulable!$C$2:$C$204&amp;[1]Grille_Tarifs_Modulable!$F$2:$F$204,0)),0)</f>
        <v>3257150101904</v>
      </c>
      <c r="L1506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18.506483000000003</v>
      </c>
      <c r="M1506" s="228">
        <f>IF(Tableau14[[#This Row],[Prix_Unit_HT]]=0,0,Tableau14[[#This Row],[Prix_Unit_HT]]+(Tableau14[[#This Row],[Prix_Unit_HT]]*VLOOKUP(Tableau14[[#This Row],[EAN]],[1]Grille_Tarifs_Modulable!$B$10:$Q$204,16,FALSE)))</f>
        <v>22.207779600000002</v>
      </c>
      <c r="N1506" s="224">
        <v>6</v>
      </c>
      <c r="O1506" s="228">
        <f>ROUND(Tableau14[[#This Row],[Prix_Unit_HT]],2)*Tableau14[[#This Row],[Qte_commande]]</f>
        <v>111.06</v>
      </c>
      <c r="P1506" s="228">
        <f>ROUND(Tableau14[[#This Row],[Prix_Unit_TTC]],2)*Tableau14[[#This Row],[Qte_commande]]</f>
        <v>133.26</v>
      </c>
      <c r="Q1506" s="224">
        <v>6</v>
      </c>
      <c r="R1506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6.0000000000000009</v>
      </c>
      <c r="U1506" s="224"/>
      <c r="V1506" s="224"/>
    </row>
    <row r="1507" spans="1:22" ht="14.65" customHeight="1" x14ac:dyDescent="0.2">
      <c r="A1507" s="225">
        <v>43599</v>
      </c>
      <c r="B1507" s="224" t="s">
        <v>250</v>
      </c>
      <c r="C1507" s="224" t="s">
        <v>251</v>
      </c>
      <c r="D1507" s="224" t="s">
        <v>180</v>
      </c>
      <c r="E1507" s="226"/>
      <c r="G1507" s="224" t="s">
        <v>13</v>
      </c>
      <c r="H1507" s="224" t="s">
        <v>289</v>
      </c>
      <c r="I1507" s="224" t="s">
        <v>31</v>
      </c>
      <c r="J1507" s="224">
        <v>70</v>
      </c>
      <c r="K1507" s="227">
        <f t="array" ref="K1507">IFERROR(INDEX([1]Grille_Tarifs_Modulable!$B$2:$B$204,MATCH(Tableau14[[#This Row],[Designation]]&amp;Tableau14[[#This Row],[CL]],[1]Grille_Tarifs_Modulable!$C$2:$C$204&amp;[1]Grille_Tarifs_Modulable!$F$2:$F$204,0)),0)</f>
        <v>3257150102017</v>
      </c>
      <c r="L1507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16.854322</v>
      </c>
      <c r="M1507" s="228">
        <f>IF(Tableau14[[#This Row],[Prix_Unit_HT]]=0,0,Tableau14[[#This Row],[Prix_Unit_HT]]+(Tableau14[[#This Row],[Prix_Unit_HT]]*VLOOKUP(Tableau14[[#This Row],[EAN]],[1]Grille_Tarifs_Modulable!$B$10:$Q$204,16,FALSE)))</f>
        <v>20.225186399999998</v>
      </c>
      <c r="N1507" s="224">
        <v>6</v>
      </c>
      <c r="O1507" s="228">
        <f>ROUND(Tableau14[[#This Row],[Prix_Unit_HT]],2)*Tableau14[[#This Row],[Qte_commande]]</f>
        <v>101.10000000000001</v>
      </c>
      <c r="P1507" s="228">
        <f>ROUND(Tableau14[[#This Row],[Prix_Unit_TTC]],2)*Tableau14[[#This Row],[Qte_commande]]</f>
        <v>121.38</v>
      </c>
      <c r="Q1507" s="224">
        <v>6</v>
      </c>
      <c r="R1507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6.0000000000000009</v>
      </c>
      <c r="U1507" s="224"/>
      <c r="V1507" s="224"/>
    </row>
    <row r="1508" spans="1:22" ht="14.65" customHeight="1" x14ac:dyDescent="0.2">
      <c r="A1508" s="225">
        <v>43599</v>
      </c>
      <c r="B1508" s="224" t="s">
        <v>250</v>
      </c>
      <c r="C1508" s="224" t="s">
        <v>251</v>
      </c>
      <c r="D1508" s="224" t="s">
        <v>180</v>
      </c>
      <c r="E1508" s="226"/>
      <c r="G1508" s="224" t="s">
        <v>13</v>
      </c>
      <c r="H1508" s="224" t="s">
        <v>196</v>
      </c>
      <c r="I1508" s="224" t="s">
        <v>64</v>
      </c>
      <c r="J1508" s="224">
        <v>20</v>
      </c>
      <c r="K1508" s="227">
        <f t="array" ref="K1508">IFERROR(INDEX([1]Grille_Tarifs_Modulable!$B$2:$B$204,MATCH(Tableau14[[#This Row],[Designation]]&amp;Tableau14[[#This Row],[CL]],[1]Grille_Tarifs_Modulable!$C$2:$C$204&amp;[1]Grille_Tarifs_Modulable!$F$2:$F$204,0)),0)</f>
        <v>4260310553849</v>
      </c>
      <c r="L1508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0.89</v>
      </c>
      <c r="M1508" s="228">
        <f>IF(Tableau14[[#This Row],[Prix_Unit_HT]]=0,0,Tableau14[[#This Row],[Prix_Unit_HT]]+(Tableau14[[#This Row],[Prix_Unit_HT]]*VLOOKUP(Tableau14[[#This Row],[EAN]],[1]Grille_Tarifs_Modulable!$B$10:$Q$204,16,FALSE)))</f>
        <v>0.93895000000000006</v>
      </c>
      <c r="N1508" s="224">
        <v>72</v>
      </c>
      <c r="O1508" s="228">
        <f>ROUND(Tableau14[[#This Row],[Prix_Unit_HT]],2)*Tableau14[[#This Row],[Qte_commande]]</f>
        <v>64.08</v>
      </c>
      <c r="P1508" s="228">
        <f>ROUND(Tableau14[[#This Row],[Prix_Unit_TTC]],2)*Tableau14[[#This Row],[Qte_commande]]</f>
        <v>67.679999999999993</v>
      </c>
      <c r="Q1508" s="224">
        <v>20.57</v>
      </c>
      <c r="R1508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20.571428571428573</v>
      </c>
      <c r="U1508" s="224"/>
      <c r="V1508" s="224"/>
    </row>
    <row r="1509" spans="1:22" ht="14.65" customHeight="1" x14ac:dyDescent="0.2">
      <c r="A1509" s="225">
        <v>43600</v>
      </c>
      <c r="B1509" s="224" t="s">
        <v>832</v>
      </c>
      <c r="C1509" s="224" t="s">
        <v>823</v>
      </c>
      <c r="D1509" s="224" t="s">
        <v>209</v>
      </c>
      <c r="E1509" s="226"/>
      <c r="G1509" s="224" t="s">
        <v>13</v>
      </c>
      <c r="H1509" s="224" t="s">
        <v>196</v>
      </c>
      <c r="I1509" s="224" t="s">
        <v>66</v>
      </c>
      <c r="J1509" s="224">
        <v>20</v>
      </c>
      <c r="K1509" s="227">
        <f t="array" ref="K1509">IFERROR(INDEX([1]Grille_Tarifs_Modulable!$B$2:$B$204,MATCH(Tableau14[[#This Row],[Designation]]&amp;Tableau14[[#This Row],[CL]],[1]Grille_Tarifs_Modulable!$C$2:$C$204&amp;[1]Grille_Tarifs_Modulable!$F$2:$F$204,0)),0)</f>
        <v>4260310554785</v>
      </c>
      <c r="L1509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0.89</v>
      </c>
      <c r="M1509" s="228">
        <f>IF(Tableau14[[#This Row],[Prix_Unit_HT]]=0,0,Tableau14[[#This Row],[Prix_Unit_HT]]+(Tableau14[[#This Row],[Prix_Unit_HT]]*VLOOKUP(Tableau14[[#This Row],[EAN]],[1]Grille_Tarifs_Modulable!$B$10:$Q$204,16,FALSE)))</f>
        <v>0.93895000000000006</v>
      </c>
      <c r="N1509" s="224">
        <v>144</v>
      </c>
      <c r="O1509" s="228">
        <f>ROUND(Tableau14[[#This Row],[Prix_Unit_HT]],2)*Tableau14[[#This Row],[Qte_commande]]</f>
        <v>128.16</v>
      </c>
      <c r="P1509" s="228">
        <f>ROUND(Tableau14[[#This Row],[Prix_Unit_TTC]],2)*Tableau14[[#This Row],[Qte_commande]]</f>
        <v>135.35999999999999</v>
      </c>
      <c r="Q1509" s="224">
        <v>41.14</v>
      </c>
      <c r="R1509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41.142857142857146</v>
      </c>
      <c r="U1509" s="224"/>
      <c r="V1509" s="224"/>
    </row>
    <row r="1510" spans="1:22" ht="14.65" customHeight="1" x14ac:dyDescent="0.2">
      <c r="A1510" s="225">
        <v>43600</v>
      </c>
      <c r="B1510" s="224" t="s">
        <v>832</v>
      </c>
      <c r="C1510" s="224" t="s">
        <v>823</v>
      </c>
      <c r="D1510" s="224" t="s">
        <v>209</v>
      </c>
      <c r="E1510" s="226"/>
      <c r="G1510" s="224" t="s">
        <v>13</v>
      </c>
      <c r="H1510" s="224" t="s">
        <v>196</v>
      </c>
      <c r="I1510" s="224" t="s">
        <v>66</v>
      </c>
      <c r="J1510" s="224">
        <v>20</v>
      </c>
      <c r="K1510" s="227">
        <f t="array" ref="K1510">IFERROR(INDEX([1]Grille_Tarifs_Modulable!$B$2:$B$204,MATCH(Tableau14[[#This Row],[Designation]]&amp;Tableau14[[#This Row],[CL]],[1]Grille_Tarifs_Modulable!$C$2:$C$204&amp;[1]Grille_Tarifs_Modulable!$F$2:$F$204,0)),0)</f>
        <v>4260310554785</v>
      </c>
      <c r="L1510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0.89</v>
      </c>
      <c r="M1510" s="228">
        <f>IF(Tableau14[[#This Row],[Prix_Unit_HT]]=0,0,Tableau14[[#This Row],[Prix_Unit_HT]]+(Tableau14[[#This Row],[Prix_Unit_HT]]*VLOOKUP(Tableau14[[#This Row],[EAN]],[1]Grille_Tarifs_Modulable!$B$10:$Q$204,16,FALSE)))</f>
        <v>0.93895000000000006</v>
      </c>
      <c r="N1510" s="224">
        <v>24</v>
      </c>
      <c r="O1510" s="228">
        <f>ROUND(Tableau14[[#This Row],[Prix_Unit_HT]],2)*Tableau14[[#This Row],[Qte_commande]]</f>
        <v>21.36</v>
      </c>
      <c r="P1510" s="228">
        <f>ROUND(Tableau14[[#This Row],[Prix_Unit_TTC]],2)*Tableau14[[#This Row],[Qte_commande]]</f>
        <v>22.56</v>
      </c>
      <c r="Q1510" s="224">
        <v>6.86</v>
      </c>
      <c r="R1510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6.8571428571428577</v>
      </c>
      <c r="U1510" s="224"/>
      <c r="V1510" s="224"/>
    </row>
    <row r="1511" spans="1:22" ht="14.65" customHeight="1" x14ac:dyDescent="0.2">
      <c r="A1511" s="225">
        <v>43608</v>
      </c>
      <c r="B1511" s="224" t="s">
        <v>524</v>
      </c>
      <c r="C1511" s="224" t="s">
        <v>272</v>
      </c>
      <c r="D1511" s="224" t="s">
        <v>180</v>
      </c>
      <c r="E1511" s="226"/>
      <c r="G1511" s="224" t="s">
        <v>1</v>
      </c>
      <c r="H1511" s="224" t="s">
        <v>289</v>
      </c>
      <c r="I1511" s="224" t="s">
        <v>47</v>
      </c>
      <c r="J1511" s="224">
        <v>70</v>
      </c>
      <c r="K1511" s="227">
        <f t="array" ref="K1511">IFERROR(INDEX([1]Grille_Tarifs_Modulable!$B$2:$B$204,MATCH(Tableau14[[#This Row],[Designation]]&amp;Tableau14[[#This Row],[CL]],[1]Grille_Tarifs_Modulable!$C$2:$C$204&amp;[1]Grille_Tarifs_Modulable!$F$2:$F$204,0)),0)</f>
        <v>3257150673005</v>
      </c>
      <c r="L1511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20.158644000000002</v>
      </c>
      <c r="M1511" s="228">
        <f>IF(Tableau14[[#This Row],[Prix_Unit_HT]]=0,0,Tableau14[[#This Row],[Prix_Unit_HT]]+(Tableau14[[#This Row],[Prix_Unit_HT]]*VLOOKUP(Tableau14[[#This Row],[EAN]],[1]Grille_Tarifs_Modulable!$B$10:$Q$204,16,FALSE)))</f>
        <v>24.190372800000002</v>
      </c>
      <c r="N1511" s="224">
        <v>12</v>
      </c>
      <c r="O1511" s="228">
        <f>ROUND(Tableau14[[#This Row],[Prix_Unit_HT]],2)*Tableau14[[#This Row],[Qte_commande]]</f>
        <v>241.92000000000002</v>
      </c>
      <c r="P1511" s="228">
        <f>ROUND(Tableau14[[#This Row],[Prix_Unit_TTC]],2)*Tableau14[[#This Row],[Qte_commande]]</f>
        <v>290.28000000000003</v>
      </c>
      <c r="Q1511" s="224">
        <v>12</v>
      </c>
      <c r="R1511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12.000000000000002</v>
      </c>
      <c r="U1511" s="224"/>
      <c r="V1511" s="224"/>
    </row>
    <row r="1512" spans="1:22" ht="14.65" customHeight="1" x14ac:dyDescent="0.2">
      <c r="A1512" s="225">
        <v>43608</v>
      </c>
      <c r="B1512" s="224" t="s">
        <v>751</v>
      </c>
      <c r="C1512" s="224" t="s">
        <v>301</v>
      </c>
      <c r="D1512" s="224" t="s">
        <v>302</v>
      </c>
      <c r="E1512" s="226"/>
      <c r="G1512" s="224" t="s">
        <v>1</v>
      </c>
      <c r="H1512" s="224" t="s">
        <v>289</v>
      </c>
      <c r="I1512" s="224" t="s">
        <v>15</v>
      </c>
      <c r="J1512" s="224">
        <v>100</v>
      </c>
      <c r="K1512" s="227">
        <f t="array" ref="K1512">IFERROR(INDEX([1]Grille_Tarifs_Modulable!$B$2:$B$204,MATCH(Tableau14[[#This Row],[Designation]]&amp;Tableau14[[#This Row],[CL]],[1]Grille_Tarifs_Modulable!$C$2:$C$204&amp;[1]Grille_Tarifs_Modulable!$F$2:$F$204,0)),0)</f>
        <v>4067700013842</v>
      </c>
      <c r="L1512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17.100804999999998</v>
      </c>
      <c r="M1512" s="228">
        <f>IF(Tableau14[[#This Row],[Prix_Unit_HT]]=0,0,Tableau14[[#This Row],[Prix_Unit_HT]]+(Tableau14[[#This Row],[Prix_Unit_HT]]*VLOOKUP(Tableau14[[#This Row],[EAN]],[1]Grille_Tarifs_Modulable!$B$10:$Q$204,16,FALSE)))</f>
        <v>20.520965999999998</v>
      </c>
      <c r="N1512" s="224">
        <v>102</v>
      </c>
      <c r="O1512" s="228">
        <f>ROUND(Tableau14[[#This Row],[Prix_Unit_HT]],2)*Tableau14[[#This Row],[Qte_commande]]</f>
        <v>1744.2</v>
      </c>
      <c r="P1512" s="228">
        <f>ROUND(Tableau14[[#This Row],[Prix_Unit_TTC]],2)*Tableau14[[#This Row],[Qte_commande]]</f>
        <v>2093.04</v>
      </c>
      <c r="Q1512" s="224">
        <v>145.71</v>
      </c>
      <c r="R1512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145.71428571428572</v>
      </c>
      <c r="U1512" s="224"/>
      <c r="V1512" s="224"/>
    </row>
    <row r="1513" spans="1:22" ht="14.65" customHeight="1" x14ac:dyDescent="0.2">
      <c r="A1513" s="225">
        <v>43608</v>
      </c>
      <c r="B1513" s="224" t="s">
        <v>524</v>
      </c>
      <c r="C1513" s="224" t="s">
        <v>272</v>
      </c>
      <c r="D1513" s="224" t="s">
        <v>180</v>
      </c>
      <c r="E1513" s="226"/>
      <c r="G1513" s="224" t="s">
        <v>1</v>
      </c>
      <c r="H1513" s="224" t="s">
        <v>289</v>
      </c>
      <c r="I1513" s="224" t="s">
        <v>15</v>
      </c>
      <c r="J1513" s="224">
        <v>70</v>
      </c>
      <c r="K1513" s="227">
        <f t="array" ref="K1513">IFERROR(INDEX([1]Grille_Tarifs_Modulable!$B$2:$B$204,MATCH(Tableau14[[#This Row],[Designation]]&amp;Tableau14[[#This Row],[CL]],[1]Grille_Tarifs_Modulable!$C$2:$C$204&amp;[1]Grille_Tarifs_Modulable!$F$2:$F$204,0)),0)</f>
        <v>4067700013859</v>
      </c>
      <c r="L1513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12.532563499999998</v>
      </c>
      <c r="M1513" s="228">
        <f>IF(Tableau14[[#This Row],[Prix_Unit_HT]]=0,0,Tableau14[[#This Row],[Prix_Unit_HT]]+(Tableau14[[#This Row],[Prix_Unit_HT]]*VLOOKUP(Tableau14[[#This Row],[EAN]],[1]Grille_Tarifs_Modulable!$B$10:$Q$204,16,FALSE)))</f>
        <v>15.039076199999998</v>
      </c>
      <c r="N1513" s="224">
        <v>90</v>
      </c>
      <c r="O1513" s="228">
        <f>ROUND(Tableau14[[#This Row],[Prix_Unit_HT]],2)*Tableau14[[#This Row],[Qte_commande]]</f>
        <v>1127.7</v>
      </c>
      <c r="P1513" s="228">
        <f>ROUND(Tableau14[[#This Row],[Prix_Unit_TTC]],2)*Tableau14[[#This Row],[Qte_commande]]</f>
        <v>1353.6</v>
      </c>
      <c r="Q1513" s="224">
        <v>90</v>
      </c>
      <c r="R1513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90</v>
      </c>
      <c r="U1513" s="224"/>
      <c r="V1513" s="224"/>
    </row>
    <row r="1514" spans="1:22" ht="14.65" customHeight="1" x14ac:dyDescent="0.2">
      <c r="A1514" s="225">
        <v>43608</v>
      </c>
      <c r="B1514" s="224" t="s">
        <v>751</v>
      </c>
      <c r="C1514" s="224" t="s">
        <v>301</v>
      </c>
      <c r="D1514" s="224" t="s">
        <v>302</v>
      </c>
      <c r="E1514" s="226"/>
      <c r="G1514" s="224" t="s">
        <v>1</v>
      </c>
      <c r="H1514" s="224" t="s">
        <v>289</v>
      </c>
      <c r="I1514" s="224" t="s">
        <v>48</v>
      </c>
      <c r="J1514" s="224">
        <v>70</v>
      </c>
      <c r="K1514" s="227">
        <f t="array" ref="K1514">IFERROR(INDEX([1]Grille_Tarifs_Modulable!$B$2:$B$204,MATCH(Tableau14[[#This Row],[Designation]]&amp;Tableau14[[#This Row],[CL]],[1]Grille_Tarifs_Modulable!$C$2:$C$204&amp;[1]Grille_Tarifs_Modulable!$F$2:$F$204,0)),0)</f>
        <v>3257150673029</v>
      </c>
      <c r="L1514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17.769508399999999</v>
      </c>
      <c r="M1514" s="228">
        <f>IF(Tableau14[[#This Row],[Prix_Unit_HT]]=0,0,Tableau14[[#This Row],[Prix_Unit_HT]]+(Tableau14[[#This Row],[Prix_Unit_HT]]*VLOOKUP(Tableau14[[#This Row],[EAN]],[1]Grille_Tarifs_Modulable!$B$10:$Q$204,16,FALSE)))</f>
        <v>21.323410079999999</v>
      </c>
      <c r="N1514" s="224">
        <v>6</v>
      </c>
      <c r="O1514" s="228">
        <f>ROUND(Tableau14[[#This Row],[Prix_Unit_HT]],2)*Tableau14[[#This Row],[Qte_commande]]</f>
        <v>106.62</v>
      </c>
      <c r="P1514" s="228">
        <f>ROUND(Tableau14[[#This Row],[Prix_Unit_TTC]],2)*Tableau14[[#This Row],[Qte_commande]]</f>
        <v>127.92</v>
      </c>
      <c r="Q1514" s="224">
        <v>6</v>
      </c>
      <c r="R1514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6.0000000000000009</v>
      </c>
      <c r="U1514" s="224"/>
      <c r="V1514" s="224"/>
    </row>
    <row r="1515" spans="1:22" ht="14.65" customHeight="1" x14ac:dyDescent="0.2">
      <c r="A1515" s="225">
        <v>43608</v>
      </c>
      <c r="B1515" s="224" t="s">
        <v>751</v>
      </c>
      <c r="C1515" s="224" t="s">
        <v>301</v>
      </c>
      <c r="D1515" s="224" t="s">
        <v>302</v>
      </c>
      <c r="E1515" s="226"/>
      <c r="G1515" s="224" t="s">
        <v>1</v>
      </c>
      <c r="H1515" s="224" t="s">
        <v>289</v>
      </c>
      <c r="I1515" s="224" t="s">
        <v>32</v>
      </c>
      <c r="J1515" s="224">
        <v>70</v>
      </c>
      <c r="K1515" s="227">
        <f t="array" ref="K1515">IFERROR(INDEX([1]Grille_Tarifs_Modulable!$B$2:$B$204,MATCH(Tableau14[[#This Row],[Designation]]&amp;Tableau14[[#This Row],[CL]],[1]Grille_Tarifs_Modulable!$C$2:$C$204&amp;[1]Grille_Tarifs_Modulable!$F$2:$F$204,0)),0)</f>
        <v>3257150100228</v>
      </c>
      <c r="L1515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19.998643999999999</v>
      </c>
      <c r="M1515" s="228">
        <f>IF(Tableau14[[#This Row],[Prix_Unit_HT]]=0,0,Tableau14[[#This Row],[Prix_Unit_HT]]+(Tableau14[[#This Row],[Prix_Unit_HT]]*VLOOKUP(Tableau14[[#This Row],[EAN]],[1]Grille_Tarifs_Modulable!$B$10:$Q$204,16,FALSE)))</f>
        <v>23.998372799999999</v>
      </c>
      <c r="N1515" s="224">
        <v>6</v>
      </c>
      <c r="O1515" s="228">
        <f>ROUND(Tableau14[[#This Row],[Prix_Unit_HT]],2)*Tableau14[[#This Row],[Qte_commande]]</f>
        <v>120</v>
      </c>
      <c r="P1515" s="228">
        <f>ROUND(Tableau14[[#This Row],[Prix_Unit_TTC]],2)*Tableau14[[#This Row],[Qte_commande]]</f>
        <v>144</v>
      </c>
      <c r="Q1515" s="224">
        <v>6</v>
      </c>
      <c r="R1515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6.0000000000000009</v>
      </c>
      <c r="U1515" s="224"/>
      <c r="V1515" s="224"/>
    </row>
    <row r="1516" spans="1:22" ht="14.65" customHeight="1" x14ac:dyDescent="0.2">
      <c r="A1516" s="225">
        <v>43608</v>
      </c>
      <c r="B1516" s="224" t="s">
        <v>751</v>
      </c>
      <c r="C1516" s="224" t="s">
        <v>301</v>
      </c>
      <c r="D1516" s="224" t="s">
        <v>302</v>
      </c>
      <c r="E1516" s="226"/>
      <c r="G1516" s="224" t="s">
        <v>1</v>
      </c>
      <c r="H1516" s="224" t="s">
        <v>289</v>
      </c>
      <c r="I1516" s="224" t="s">
        <v>31</v>
      </c>
      <c r="J1516" s="224">
        <v>70</v>
      </c>
      <c r="K1516" s="227">
        <f t="array" ref="K1516">IFERROR(INDEX([1]Grille_Tarifs_Modulable!$B$2:$B$204,MATCH(Tableau14[[#This Row],[Designation]]&amp;Tableau14[[#This Row],[CL]],[1]Grille_Tarifs_Modulable!$C$2:$C$204&amp;[1]Grille_Tarifs_Modulable!$F$2:$F$204,0)),0)</f>
        <v>3257150102017</v>
      </c>
      <c r="L1516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14.694322</v>
      </c>
      <c r="M1516" s="228">
        <f>IF(Tableau14[[#This Row],[Prix_Unit_HT]]=0,0,Tableau14[[#This Row],[Prix_Unit_HT]]+(Tableau14[[#This Row],[Prix_Unit_HT]]*VLOOKUP(Tableau14[[#This Row],[EAN]],[1]Grille_Tarifs_Modulable!$B$10:$Q$204,16,FALSE)))</f>
        <v>17.6331864</v>
      </c>
      <c r="N1516" s="224">
        <v>6</v>
      </c>
      <c r="O1516" s="228">
        <f>ROUND(Tableau14[[#This Row],[Prix_Unit_HT]],2)*Tableau14[[#This Row],[Qte_commande]]</f>
        <v>88.14</v>
      </c>
      <c r="P1516" s="228">
        <f>ROUND(Tableau14[[#This Row],[Prix_Unit_TTC]],2)*Tableau14[[#This Row],[Qte_commande]]</f>
        <v>105.78</v>
      </c>
      <c r="Q1516" s="224">
        <v>6</v>
      </c>
      <c r="R1516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6.0000000000000009</v>
      </c>
      <c r="U1516" s="224"/>
      <c r="V1516" s="224"/>
    </row>
    <row r="1517" spans="1:22" ht="14.65" customHeight="1" x14ac:dyDescent="0.2">
      <c r="A1517" s="225">
        <v>43608</v>
      </c>
      <c r="B1517" s="224" t="s">
        <v>751</v>
      </c>
      <c r="C1517" s="224" t="s">
        <v>301</v>
      </c>
      <c r="D1517" s="224" t="s">
        <v>302</v>
      </c>
      <c r="E1517" s="226"/>
      <c r="G1517" s="224" t="s">
        <v>1</v>
      </c>
      <c r="H1517" s="224" t="s">
        <v>289</v>
      </c>
      <c r="I1517" s="224" t="s">
        <v>25</v>
      </c>
      <c r="J1517" s="224">
        <v>70</v>
      </c>
      <c r="K1517" s="227">
        <f t="array" ref="K1517">IFERROR(INDEX([1]Grille_Tarifs_Modulable!$B$2:$B$204,MATCH(Tableau14[[#This Row],[Designation]]&amp;Tableau14[[#This Row],[CL]],[1]Grille_Tarifs_Modulable!$C$2:$C$204&amp;[1]Grille_Tarifs_Modulable!$F$2:$F$204,0)),0)</f>
        <v>8500000917015</v>
      </c>
      <c r="L1517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11.8982118</v>
      </c>
      <c r="M1517" s="228">
        <f>IF(Tableau14[[#This Row],[Prix_Unit_HT]]=0,0,Tableau14[[#This Row],[Prix_Unit_HT]]+(Tableau14[[#This Row],[Prix_Unit_HT]]*VLOOKUP(Tableau14[[#This Row],[EAN]],[1]Grille_Tarifs_Modulable!$B$10:$Q$204,16,FALSE)))</f>
        <v>14.27785416</v>
      </c>
      <c r="N1517" s="224">
        <v>174</v>
      </c>
      <c r="O1517" s="228">
        <f>ROUND(Tableau14[[#This Row],[Prix_Unit_HT]],2)*Tableau14[[#This Row],[Qte_commande]]</f>
        <v>2070.6</v>
      </c>
      <c r="P1517" s="228">
        <f>ROUND(Tableau14[[#This Row],[Prix_Unit_TTC]],2)*Tableau14[[#This Row],[Qte_commande]]</f>
        <v>2484.7199999999998</v>
      </c>
      <c r="Q1517" s="224">
        <v>174</v>
      </c>
      <c r="R1517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174</v>
      </c>
      <c r="U1517" s="224"/>
      <c r="V1517" s="224"/>
    </row>
    <row r="1518" spans="1:22" ht="14.65" customHeight="1" x14ac:dyDescent="0.2">
      <c r="A1518" s="225">
        <v>43608</v>
      </c>
      <c r="B1518" s="224" t="s">
        <v>524</v>
      </c>
      <c r="C1518" s="224" t="s">
        <v>272</v>
      </c>
      <c r="D1518" s="224" t="s">
        <v>180</v>
      </c>
      <c r="E1518" s="226"/>
      <c r="G1518" s="224" t="s">
        <v>1</v>
      </c>
      <c r="H1518" s="224" t="s">
        <v>289</v>
      </c>
      <c r="I1518" s="224" t="s">
        <v>25</v>
      </c>
      <c r="J1518" s="224">
        <v>70</v>
      </c>
      <c r="K1518" s="227">
        <f t="array" ref="K1518">IFERROR(INDEX([1]Grille_Tarifs_Modulable!$B$2:$B$204,MATCH(Tableau14[[#This Row],[Designation]]&amp;Tableau14[[#This Row],[CL]],[1]Grille_Tarifs_Modulable!$C$2:$C$204&amp;[1]Grille_Tarifs_Modulable!$F$2:$F$204,0)),0)</f>
        <v>8500000917015</v>
      </c>
      <c r="L1518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11.8982118</v>
      </c>
      <c r="M1518" s="228">
        <f>IF(Tableau14[[#This Row],[Prix_Unit_HT]]=0,0,Tableau14[[#This Row],[Prix_Unit_HT]]+(Tableau14[[#This Row],[Prix_Unit_HT]]*VLOOKUP(Tableau14[[#This Row],[EAN]],[1]Grille_Tarifs_Modulable!$B$10:$Q$204,16,FALSE)))</f>
        <v>14.27785416</v>
      </c>
      <c r="N1518" s="224">
        <v>6</v>
      </c>
      <c r="O1518" s="228">
        <f>ROUND(Tableau14[[#This Row],[Prix_Unit_HT]],2)*Tableau14[[#This Row],[Qte_commande]]</f>
        <v>71.400000000000006</v>
      </c>
      <c r="P1518" s="228">
        <f>ROUND(Tableau14[[#This Row],[Prix_Unit_TTC]],2)*Tableau14[[#This Row],[Qte_commande]]</f>
        <v>85.679999999999993</v>
      </c>
      <c r="Q1518" s="224">
        <v>6</v>
      </c>
      <c r="R1518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6.0000000000000009</v>
      </c>
      <c r="U1518" s="224"/>
      <c r="V1518" s="224"/>
    </row>
    <row r="1519" spans="1:22" ht="14.65" customHeight="1" x14ac:dyDescent="0.2">
      <c r="A1519" s="225">
        <v>43608</v>
      </c>
      <c r="B1519" s="224" t="s">
        <v>524</v>
      </c>
      <c r="C1519" s="224" t="s">
        <v>272</v>
      </c>
      <c r="D1519" s="224" t="s">
        <v>180</v>
      </c>
      <c r="E1519" s="226"/>
      <c r="G1519" s="224" t="s">
        <v>1</v>
      </c>
      <c r="H1519" s="224" t="s">
        <v>196</v>
      </c>
      <c r="I1519" s="224" t="s">
        <v>64</v>
      </c>
      <c r="J1519" s="224">
        <v>20</v>
      </c>
      <c r="K1519" s="227">
        <f t="array" ref="K1519">IFERROR(INDEX([1]Grille_Tarifs_Modulable!$B$2:$B$204,MATCH(Tableau14[[#This Row],[Designation]]&amp;Tableau14[[#This Row],[CL]],[1]Grille_Tarifs_Modulable!$C$2:$C$204&amp;[1]Grille_Tarifs_Modulable!$F$2:$F$204,0)),0)</f>
        <v>4260310553849</v>
      </c>
      <c r="L1519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0.81</v>
      </c>
      <c r="M1519" s="228">
        <f>IF(Tableau14[[#This Row],[Prix_Unit_HT]]=0,0,Tableau14[[#This Row],[Prix_Unit_HT]]+(Tableau14[[#This Row],[Prix_Unit_HT]]*VLOOKUP(Tableau14[[#This Row],[EAN]],[1]Grille_Tarifs_Modulable!$B$10:$Q$204,16,FALSE)))</f>
        <v>0.85455000000000003</v>
      </c>
      <c r="N1519" s="224">
        <v>24</v>
      </c>
      <c r="O1519" s="228">
        <f>ROUND(Tableau14[[#This Row],[Prix_Unit_HT]],2)*Tableau14[[#This Row],[Qte_commande]]</f>
        <v>19.440000000000001</v>
      </c>
      <c r="P1519" s="228">
        <f>ROUND(Tableau14[[#This Row],[Prix_Unit_TTC]],2)*Tableau14[[#This Row],[Qte_commande]]</f>
        <v>20.399999999999999</v>
      </c>
      <c r="Q1519" s="224">
        <v>6.86</v>
      </c>
      <c r="R1519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6.8571428571428577</v>
      </c>
      <c r="U1519" s="224"/>
      <c r="V1519" s="224"/>
    </row>
    <row r="1520" spans="1:22" ht="14.65" customHeight="1" x14ac:dyDescent="0.2">
      <c r="A1520" s="225">
        <v>43613</v>
      </c>
      <c r="B1520" s="224" t="s">
        <v>752</v>
      </c>
      <c r="C1520" s="224" t="s">
        <v>530</v>
      </c>
      <c r="D1520" s="224" t="s">
        <v>531</v>
      </c>
      <c r="E1520" s="226"/>
      <c r="G1520" s="224" t="s">
        <v>1</v>
      </c>
      <c r="H1520" s="224" t="s">
        <v>289</v>
      </c>
      <c r="I1520" s="224" t="s">
        <v>15</v>
      </c>
      <c r="J1520" s="224">
        <v>70</v>
      </c>
      <c r="K1520" s="227">
        <f t="array" ref="K1520">IFERROR(INDEX([1]Grille_Tarifs_Modulable!$B$2:$B$204,MATCH(Tableau14[[#This Row],[Designation]]&amp;Tableau14[[#This Row],[CL]],[1]Grille_Tarifs_Modulable!$C$2:$C$204&amp;[1]Grille_Tarifs_Modulable!$F$2:$F$204,0)),0)</f>
        <v>4067700013859</v>
      </c>
      <c r="L1520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12.532563499999998</v>
      </c>
      <c r="M1520" s="228">
        <f>IF(Tableau14[[#This Row],[Prix_Unit_HT]]=0,0,Tableau14[[#This Row],[Prix_Unit_HT]]+(Tableau14[[#This Row],[Prix_Unit_HT]]*VLOOKUP(Tableau14[[#This Row],[EAN]],[1]Grille_Tarifs_Modulable!$B$10:$Q$204,16,FALSE)))</f>
        <v>15.039076199999998</v>
      </c>
      <c r="N1520" s="224">
        <v>222</v>
      </c>
      <c r="O1520" s="228">
        <f>ROUND(Tableau14[[#This Row],[Prix_Unit_HT]],2)*Tableau14[[#This Row],[Qte_commande]]</f>
        <v>2781.66</v>
      </c>
      <c r="P1520" s="228">
        <f>ROUND(Tableau14[[#This Row],[Prix_Unit_TTC]],2)*Tableau14[[#This Row],[Qte_commande]]</f>
        <v>3338.8799999999997</v>
      </c>
      <c r="Q1520" s="224">
        <v>222</v>
      </c>
      <c r="R1520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222.00000000000003</v>
      </c>
      <c r="U1520" s="224"/>
      <c r="V1520" s="224"/>
    </row>
    <row r="1521" spans="1:22" ht="14.65" customHeight="1" x14ac:dyDescent="0.2">
      <c r="A1521" s="225">
        <v>43613</v>
      </c>
      <c r="B1521" s="224" t="s">
        <v>752</v>
      </c>
      <c r="C1521" s="224" t="s">
        <v>530</v>
      </c>
      <c r="D1521" s="224" t="s">
        <v>531</v>
      </c>
      <c r="E1521" s="226"/>
      <c r="G1521" s="224" t="s">
        <v>1</v>
      </c>
      <c r="H1521" s="224" t="s">
        <v>289</v>
      </c>
      <c r="I1521" s="224" t="s">
        <v>15</v>
      </c>
      <c r="J1521" s="224">
        <v>70</v>
      </c>
      <c r="K1521" s="227">
        <f t="array" ref="K1521">IFERROR(INDEX([1]Grille_Tarifs_Modulable!$B$2:$B$204,MATCH(Tableau14[[#This Row],[Designation]]&amp;Tableau14[[#This Row],[CL]],[1]Grille_Tarifs_Modulable!$C$2:$C$204&amp;[1]Grille_Tarifs_Modulable!$F$2:$F$204,0)),0)</f>
        <v>4067700013859</v>
      </c>
      <c r="L1521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12.532563499999998</v>
      </c>
      <c r="M1521" s="228">
        <f>IF(Tableau14[[#This Row],[Prix_Unit_HT]]=0,0,Tableau14[[#This Row],[Prix_Unit_HT]]+(Tableau14[[#This Row],[Prix_Unit_HT]]*VLOOKUP(Tableau14[[#This Row],[EAN]],[1]Grille_Tarifs_Modulable!$B$10:$Q$204,16,FALSE)))</f>
        <v>15.039076199999998</v>
      </c>
      <c r="N1521" s="224">
        <v>18</v>
      </c>
      <c r="O1521" s="228">
        <f>ROUND(Tableau14[[#This Row],[Prix_Unit_HT]],2)*Tableau14[[#This Row],[Qte_commande]]</f>
        <v>225.54</v>
      </c>
      <c r="P1521" s="228">
        <f>ROUND(Tableau14[[#This Row],[Prix_Unit_TTC]],2)*Tableau14[[#This Row],[Qte_commande]]</f>
        <v>270.71999999999997</v>
      </c>
      <c r="Q1521" s="224">
        <v>18</v>
      </c>
      <c r="R1521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18</v>
      </c>
      <c r="U1521" s="224"/>
      <c r="V1521" s="224"/>
    </row>
    <row r="1522" spans="1:22" ht="14.65" customHeight="1" x14ac:dyDescent="0.2">
      <c r="A1522" s="225">
        <v>43614</v>
      </c>
      <c r="B1522" s="224" t="s">
        <v>963</v>
      </c>
      <c r="C1522" s="224" t="s">
        <v>156</v>
      </c>
      <c r="D1522" s="224" t="s">
        <v>209</v>
      </c>
      <c r="E1522" s="226"/>
      <c r="G1522" s="224" t="s">
        <v>1</v>
      </c>
      <c r="H1522" s="224" t="s">
        <v>451</v>
      </c>
      <c r="I1522" s="224" t="s">
        <v>73</v>
      </c>
      <c r="J1522" s="227">
        <v>2</v>
      </c>
      <c r="K1522" s="227">
        <f t="array" ref="K1522">IFERROR(INDEX([1]Grille_Tarifs_Modulable!$B$2:$B$204,MATCH(Tableau14[[#This Row],[Designation]]&amp;Tableau14[[#This Row],[CL]],[1]Grille_Tarifs_Modulable!$C$2:$C$204&amp;[1]Grille_Tarifs_Modulable!$F$2:$F$204,0)),0)</f>
        <v>124</v>
      </c>
      <c r="L1522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249</v>
      </c>
      <c r="M1522" s="228">
        <f>IF(Tableau14[[#This Row],[Prix_Unit_HT]]=0,0,Tableau14[[#This Row],[Prix_Unit_HT]]+(Tableau14[[#This Row],[Prix_Unit_HT]]*VLOOKUP(Tableau14[[#This Row],[EAN]],[1]Grille_Tarifs_Modulable!$B$10:$Q$204,16,FALSE)))</f>
        <v>298.8</v>
      </c>
      <c r="N1522" s="224">
        <v>1</v>
      </c>
      <c r="O1522" s="228">
        <f>ROUND(Tableau14[[#This Row],[Prix_Unit_HT]],2)*Tableau14[[#This Row],[Qte_commande]]</f>
        <v>249</v>
      </c>
      <c r="P1522" s="228">
        <f>ROUND(Tableau14[[#This Row],[Prix_Unit_TTC]],2)*Tableau14[[#This Row],[Qte_commande]]</f>
        <v>298.8</v>
      </c>
      <c r="Q1522" s="224">
        <v>1</v>
      </c>
      <c r="R1522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</v>
      </c>
      <c r="U1522" s="224"/>
      <c r="V1522" s="224"/>
    </row>
    <row r="1523" spans="1:22" ht="14.65" customHeight="1" x14ac:dyDescent="0.2">
      <c r="A1523" s="225">
        <v>43614</v>
      </c>
      <c r="B1523" s="224" t="s">
        <v>1233</v>
      </c>
      <c r="C1523" s="224" t="s">
        <v>1147</v>
      </c>
      <c r="D1523" s="224" t="s">
        <v>523</v>
      </c>
      <c r="E1523" s="226"/>
      <c r="G1523" s="224" t="s">
        <v>13</v>
      </c>
      <c r="H1523" s="224" t="s">
        <v>451</v>
      </c>
      <c r="I1523" s="224" t="s">
        <v>69</v>
      </c>
      <c r="J1523" s="227">
        <v>3</v>
      </c>
      <c r="K1523" s="227">
        <f t="array" ref="K1523">IFERROR(INDEX([1]Grille_Tarifs_Modulable!$B$2:$B$204,MATCH(Tableau14[[#This Row],[Designation]]&amp;Tableau14[[#This Row],[CL]],[1]Grille_Tarifs_Modulable!$C$2:$C$204&amp;[1]Grille_Tarifs_Modulable!$F$2:$F$204,0)),0)</f>
        <v>121</v>
      </c>
      <c r="L1523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299</v>
      </c>
      <c r="M1523" s="228">
        <f>IF(Tableau14[[#This Row],[Prix_Unit_HT]]=0,0,Tableau14[[#This Row],[Prix_Unit_HT]]+(Tableau14[[#This Row],[Prix_Unit_HT]]*VLOOKUP(Tableau14[[#This Row],[EAN]],[1]Grille_Tarifs_Modulable!$B$10:$Q$204,16,FALSE)))</f>
        <v>358.8</v>
      </c>
      <c r="N1523" s="224">
        <v>4</v>
      </c>
      <c r="O1523" s="228">
        <f>ROUND(Tableau14[[#This Row],[Prix_Unit_HT]],2)*Tableau14[[#This Row],[Qte_commande]]</f>
        <v>1196</v>
      </c>
      <c r="P1523" s="228">
        <f>ROUND(Tableau14[[#This Row],[Prix_Unit_TTC]],2)*Tableau14[[#This Row],[Qte_commande]]</f>
        <v>1435.2</v>
      </c>
      <c r="Q1523" s="224">
        <v>4</v>
      </c>
      <c r="R1523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4</v>
      </c>
      <c r="U1523" s="224"/>
      <c r="V1523" s="224"/>
    </row>
    <row r="1524" spans="1:22" ht="14.65" customHeight="1" x14ac:dyDescent="0.2">
      <c r="A1524" s="225">
        <v>43614</v>
      </c>
      <c r="B1524" s="224" t="s">
        <v>1258</v>
      </c>
      <c r="C1524" s="224" t="s">
        <v>1185</v>
      </c>
      <c r="D1524" s="224" t="s">
        <v>233</v>
      </c>
      <c r="E1524" s="226"/>
      <c r="G1524" s="224" t="s">
        <v>13</v>
      </c>
      <c r="H1524" s="224" t="s">
        <v>451</v>
      </c>
      <c r="I1524" s="224" t="s">
        <v>71</v>
      </c>
      <c r="J1524" s="227">
        <v>1</v>
      </c>
      <c r="K1524" s="227">
        <f t="array" ref="K1524">IFERROR(INDEX([1]Grille_Tarifs_Modulable!$B$2:$B$204,MATCH(Tableau14[[#This Row],[Designation]]&amp;Tableau14[[#This Row],[CL]],[1]Grille_Tarifs_Modulable!$C$2:$C$204&amp;[1]Grille_Tarifs_Modulable!$F$2:$F$204,0)),0)</f>
        <v>122</v>
      </c>
      <c r="L1524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299</v>
      </c>
      <c r="M1524" s="228">
        <f>IF(Tableau14[[#This Row],[Prix_Unit_HT]]=0,0,Tableau14[[#This Row],[Prix_Unit_HT]]+(Tableau14[[#This Row],[Prix_Unit_HT]]*VLOOKUP(Tableau14[[#This Row],[EAN]],[1]Grille_Tarifs_Modulable!$B$10:$Q$204,16,FALSE)))</f>
        <v>358.8</v>
      </c>
      <c r="N1524" s="224">
        <v>2</v>
      </c>
      <c r="O1524" s="228">
        <f>ROUND(Tableau14[[#This Row],[Prix_Unit_HT]],2)*Tableau14[[#This Row],[Qte_commande]]</f>
        <v>598</v>
      </c>
      <c r="P1524" s="228">
        <f>ROUND(Tableau14[[#This Row],[Prix_Unit_TTC]],2)*Tableau14[[#This Row],[Qte_commande]]</f>
        <v>717.6</v>
      </c>
      <c r="Q1524" s="224">
        <v>2</v>
      </c>
      <c r="R1524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2</v>
      </c>
      <c r="U1524" s="224"/>
      <c r="V1524" s="224"/>
    </row>
    <row r="1525" spans="1:22" ht="14.65" customHeight="1" x14ac:dyDescent="0.2">
      <c r="A1525" s="225">
        <v>43614</v>
      </c>
      <c r="B1525" s="224" t="s">
        <v>1259</v>
      </c>
      <c r="C1525" s="224" t="s">
        <v>1260</v>
      </c>
      <c r="D1525" s="224" t="s">
        <v>209</v>
      </c>
      <c r="E1525" s="226"/>
      <c r="G1525" s="224" t="s">
        <v>13</v>
      </c>
      <c r="H1525" s="224" t="s">
        <v>451</v>
      </c>
      <c r="I1525" s="224" t="s">
        <v>71</v>
      </c>
      <c r="J1525" s="227">
        <v>1</v>
      </c>
      <c r="K1525" s="227">
        <f t="array" ref="K1525">IFERROR(INDEX([1]Grille_Tarifs_Modulable!$B$2:$B$204,MATCH(Tableau14[[#This Row],[Designation]]&amp;Tableau14[[#This Row],[CL]],[1]Grille_Tarifs_Modulable!$C$2:$C$204&amp;[1]Grille_Tarifs_Modulable!$F$2:$F$204,0)),0)</f>
        <v>122</v>
      </c>
      <c r="L1525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299</v>
      </c>
      <c r="M1525" s="228">
        <f>IF(Tableau14[[#This Row],[Prix_Unit_HT]]=0,0,Tableau14[[#This Row],[Prix_Unit_HT]]+(Tableau14[[#This Row],[Prix_Unit_HT]]*VLOOKUP(Tableau14[[#This Row],[EAN]],[1]Grille_Tarifs_Modulable!$B$10:$Q$204,16,FALSE)))</f>
        <v>358.8</v>
      </c>
      <c r="N1525" s="224">
        <v>1</v>
      </c>
      <c r="O1525" s="228">
        <f>ROUND(Tableau14[[#This Row],[Prix_Unit_HT]],2)*Tableau14[[#This Row],[Qte_commande]]</f>
        <v>299</v>
      </c>
      <c r="P1525" s="228">
        <f>ROUND(Tableau14[[#This Row],[Prix_Unit_TTC]],2)*Tableau14[[#This Row],[Qte_commande]]</f>
        <v>358.8</v>
      </c>
      <c r="Q1525" s="224">
        <v>1</v>
      </c>
      <c r="R1525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</v>
      </c>
      <c r="U1525" s="224"/>
      <c r="V1525" s="224"/>
    </row>
    <row r="1526" spans="1:22" ht="14.65" customHeight="1" x14ac:dyDescent="0.2">
      <c r="A1526" s="225">
        <v>43614</v>
      </c>
      <c r="B1526" s="224" t="s">
        <v>1261</v>
      </c>
      <c r="C1526" s="224" t="s">
        <v>467</v>
      </c>
      <c r="D1526" s="224" t="s">
        <v>209</v>
      </c>
      <c r="E1526" s="226"/>
      <c r="G1526" s="224" t="s">
        <v>13</v>
      </c>
      <c r="H1526" s="224" t="s">
        <v>451</v>
      </c>
      <c r="I1526" s="224" t="s">
        <v>71</v>
      </c>
      <c r="J1526" s="227">
        <v>1</v>
      </c>
      <c r="K1526" s="227">
        <f t="array" ref="K1526">IFERROR(INDEX([1]Grille_Tarifs_Modulable!$B$2:$B$204,MATCH(Tableau14[[#This Row],[Designation]]&amp;Tableau14[[#This Row],[CL]],[1]Grille_Tarifs_Modulable!$C$2:$C$204&amp;[1]Grille_Tarifs_Modulable!$F$2:$F$204,0)),0)</f>
        <v>122</v>
      </c>
      <c r="L1526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299</v>
      </c>
      <c r="M1526" s="228">
        <f>IF(Tableau14[[#This Row],[Prix_Unit_HT]]=0,0,Tableau14[[#This Row],[Prix_Unit_HT]]+(Tableau14[[#This Row],[Prix_Unit_HT]]*VLOOKUP(Tableau14[[#This Row],[EAN]],[1]Grille_Tarifs_Modulable!$B$10:$Q$204,16,FALSE)))</f>
        <v>358.8</v>
      </c>
      <c r="N1526" s="224">
        <v>1</v>
      </c>
      <c r="O1526" s="228">
        <f>ROUND(Tableau14[[#This Row],[Prix_Unit_HT]],2)*Tableau14[[#This Row],[Qte_commande]]</f>
        <v>299</v>
      </c>
      <c r="P1526" s="228">
        <f>ROUND(Tableau14[[#This Row],[Prix_Unit_TTC]],2)*Tableau14[[#This Row],[Qte_commande]]</f>
        <v>358.8</v>
      </c>
      <c r="Q1526" s="224">
        <v>1</v>
      </c>
      <c r="R1526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</v>
      </c>
      <c r="U1526" s="224"/>
      <c r="V1526" s="224"/>
    </row>
    <row r="1527" spans="1:22" ht="14.65" customHeight="1" x14ac:dyDescent="0.2">
      <c r="A1527" s="225">
        <v>43614</v>
      </c>
      <c r="B1527" s="224" t="s">
        <v>1262</v>
      </c>
      <c r="C1527" s="224" t="s">
        <v>450</v>
      </c>
      <c r="D1527" s="224" t="s">
        <v>203</v>
      </c>
      <c r="E1527" s="226"/>
      <c r="G1527" s="224" t="s">
        <v>13</v>
      </c>
      <c r="H1527" s="224" t="s">
        <v>451</v>
      </c>
      <c r="I1527" s="224" t="s">
        <v>71</v>
      </c>
      <c r="J1527" s="227">
        <v>1</v>
      </c>
      <c r="K1527" s="227">
        <f t="array" ref="K1527">IFERROR(INDEX([1]Grille_Tarifs_Modulable!$B$2:$B$204,MATCH(Tableau14[[#This Row],[Designation]]&amp;Tableau14[[#This Row],[CL]],[1]Grille_Tarifs_Modulable!$C$2:$C$204&amp;[1]Grille_Tarifs_Modulable!$F$2:$F$204,0)),0)</f>
        <v>122</v>
      </c>
      <c r="L1527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299</v>
      </c>
      <c r="M1527" s="228">
        <f>IF(Tableau14[[#This Row],[Prix_Unit_HT]]=0,0,Tableau14[[#This Row],[Prix_Unit_HT]]+(Tableau14[[#This Row],[Prix_Unit_HT]]*VLOOKUP(Tableau14[[#This Row],[EAN]],[1]Grille_Tarifs_Modulable!$B$10:$Q$204,16,FALSE)))</f>
        <v>358.8</v>
      </c>
      <c r="N1527" s="224">
        <v>6</v>
      </c>
      <c r="O1527" s="228">
        <f>ROUND(Tableau14[[#This Row],[Prix_Unit_HT]],2)*Tableau14[[#This Row],[Qte_commande]]</f>
        <v>1794</v>
      </c>
      <c r="P1527" s="228">
        <f>ROUND(Tableau14[[#This Row],[Prix_Unit_TTC]],2)*Tableau14[[#This Row],[Qte_commande]]</f>
        <v>2152.8000000000002</v>
      </c>
      <c r="Q1527" s="224">
        <v>6</v>
      </c>
      <c r="R1527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</v>
      </c>
      <c r="U1527" s="224"/>
      <c r="V1527" s="224"/>
    </row>
    <row r="1528" spans="1:22" ht="14.65" customHeight="1" x14ac:dyDescent="0.2">
      <c r="A1528" s="225">
        <v>43614</v>
      </c>
      <c r="B1528" s="224" t="s">
        <v>1263</v>
      </c>
      <c r="C1528" s="224" t="s">
        <v>1203</v>
      </c>
      <c r="D1528" s="224" t="s">
        <v>233</v>
      </c>
      <c r="E1528" s="226"/>
      <c r="G1528" s="224" t="s">
        <v>13</v>
      </c>
      <c r="H1528" s="224" t="s">
        <v>451</v>
      </c>
      <c r="I1528" s="224" t="s">
        <v>71</v>
      </c>
      <c r="J1528" s="227">
        <v>1</v>
      </c>
      <c r="K1528" s="227">
        <f t="array" ref="K1528">IFERROR(INDEX([1]Grille_Tarifs_Modulable!$B$2:$B$204,MATCH(Tableau14[[#This Row],[Designation]]&amp;Tableau14[[#This Row],[CL]],[1]Grille_Tarifs_Modulable!$C$2:$C$204&amp;[1]Grille_Tarifs_Modulable!$F$2:$F$204,0)),0)</f>
        <v>122</v>
      </c>
      <c r="L1528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299</v>
      </c>
      <c r="M1528" s="228">
        <f>IF(Tableau14[[#This Row],[Prix_Unit_HT]]=0,0,Tableau14[[#This Row],[Prix_Unit_HT]]+(Tableau14[[#This Row],[Prix_Unit_HT]]*VLOOKUP(Tableau14[[#This Row],[EAN]],[1]Grille_Tarifs_Modulable!$B$10:$Q$204,16,FALSE)))</f>
        <v>358.8</v>
      </c>
      <c r="N1528" s="224">
        <v>1</v>
      </c>
      <c r="O1528" s="228">
        <f>ROUND(Tableau14[[#This Row],[Prix_Unit_HT]],2)*Tableau14[[#This Row],[Qte_commande]]</f>
        <v>299</v>
      </c>
      <c r="P1528" s="228">
        <f>ROUND(Tableau14[[#This Row],[Prix_Unit_TTC]],2)*Tableau14[[#This Row],[Qte_commande]]</f>
        <v>358.8</v>
      </c>
      <c r="Q1528" s="224">
        <v>1</v>
      </c>
      <c r="R1528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</v>
      </c>
      <c r="U1528" s="224"/>
      <c r="V1528" s="224"/>
    </row>
    <row r="1529" spans="1:22" ht="14.65" customHeight="1" x14ac:dyDescent="0.2">
      <c r="A1529" s="225">
        <v>43614</v>
      </c>
      <c r="B1529" s="224" t="s">
        <v>1264</v>
      </c>
      <c r="C1529" s="224" t="s">
        <v>995</v>
      </c>
      <c r="D1529" s="224" t="s">
        <v>330</v>
      </c>
      <c r="E1529" s="226"/>
      <c r="G1529" s="224" t="s">
        <v>13</v>
      </c>
      <c r="H1529" s="224" t="s">
        <v>451</v>
      </c>
      <c r="I1529" s="224" t="s">
        <v>71</v>
      </c>
      <c r="J1529" s="227">
        <v>1</v>
      </c>
      <c r="K1529" s="227">
        <f t="array" ref="K1529">IFERROR(INDEX([1]Grille_Tarifs_Modulable!$B$2:$B$204,MATCH(Tableau14[[#This Row],[Designation]]&amp;Tableau14[[#This Row],[CL]],[1]Grille_Tarifs_Modulable!$C$2:$C$204&amp;[1]Grille_Tarifs_Modulable!$F$2:$F$204,0)),0)</f>
        <v>122</v>
      </c>
      <c r="L1529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299</v>
      </c>
      <c r="M1529" s="228">
        <f>IF(Tableau14[[#This Row],[Prix_Unit_HT]]=0,0,Tableau14[[#This Row],[Prix_Unit_HT]]+(Tableau14[[#This Row],[Prix_Unit_HT]]*VLOOKUP(Tableau14[[#This Row],[EAN]],[1]Grille_Tarifs_Modulable!$B$10:$Q$204,16,FALSE)))</f>
        <v>358.8</v>
      </c>
      <c r="N1529" s="224">
        <v>6</v>
      </c>
      <c r="O1529" s="228">
        <f>ROUND(Tableau14[[#This Row],[Prix_Unit_HT]],2)*Tableau14[[#This Row],[Qte_commande]]</f>
        <v>1794</v>
      </c>
      <c r="P1529" s="228">
        <f>ROUND(Tableau14[[#This Row],[Prix_Unit_TTC]],2)*Tableau14[[#This Row],[Qte_commande]]</f>
        <v>2152.8000000000002</v>
      </c>
      <c r="Q1529" s="224">
        <v>6</v>
      </c>
      <c r="R1529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</v>
      </c>
      <c r="U1529" s="224"/>
      <c r="V1529" s="224"/>
    </row>
    <row r="1530" spans="1:22" ht="14.65" customHeight="1" x14ac:dyDescent="0.2">
      <c r="A1530" s="225">
        <v>43616</v>
      </c>
      <c r="B1530" s="224" t="s">
        <v>1234</v>
      </c>
      <c r="C1530" s="224" t="s">
        <v>1175</v>
      </c>
      <c r="D1530" s="224" t="s">
        <v>1176</v>
      </c>
      <c r="E1530" s="226"/>
      <c r="G1530" s="224" t="s">
        <v>13</v>
      </c>
      <c r="H1530" s="224" t="s">
        <v>451</v>
      </c>
      <c r="I1530" s="224" t="s">
        <v>69</v>
      </c>
      <c r="J1530" s="227">
        <v>3</v>
      </c>
      <c r="K1530" s="227">
        <f t="array" ref="K1530">IFERROR(INDEX([1]Grille_Tarifs_Modulable!$B$2:$B$204,MATCH(Tableau14[[#This Row],[Designation]]&amp;Tableau14[[#This Row],[CL]],[1]Grille_Tarifs_Modulable!$C$2:$C$204&amp;[1]Grille_Tarifs_Modulable!$F$2:$F$204,0)),0)</f>
        <v>121</v>
      </c>
      <c r="L1530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299</v>
      </c>
      <c r="M1530" s="228">
        <f>IF(Tableau14[[#This Row],[Prix_Unit_HT]]=0,0,Tableau14[[#This Row],[Prix_Unit_HT]]+(Tableau14[[#This Row],[Prix_Unit_HT]]*VLOOKUP(Tableau14[[#This Row],[EAN]],[1]Grille_Tarifs_Modulable!$B$10:$Q$204,16,FALSE)))</f>
        <v>358.8</v>
      </c>
      <c r="N1530" s="224">
        <v>1</v>
      </c>
      <c r="O1530" s="228">
        <f>ROUND(Tableau14[[#This Row],[Prix_Unit_HT]],2)*Tableau14[[#This Row],[Qte_commande]]</f>
        <v>299</v>
      </c>
      <c r="P1530" s="228">
        <f>ROUND(Tableau14[[#This Row],[Prix_Unit_TTC]],2)*Tableau14[[#This Row],[Qte_commande]]</f>
        <v>358.8</v>
      </c>
      <c r="Q1530" s="224">
        <v>1</v>
      </c>
      <c r="R1530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</v>
      </c>
      <c r="U1530" s="224"/>
      <c r="V1530" s="224"/>
    </row>
    <row r="1531" spans="1:22" ht="14.65" customHeight="1" x14ac:dyDescent="0.2">
      <c r="A1531" s="225">
        <v>43616</v>
      </c>
      <c r="B1531" s="224" t="s">
        <v>1265</v>
      </c>
      <c r="C1531" s="224" t="s">
        <v>1009</v>
      </c>
      <c r="D1531" s="224" t="s">
        <v>527</v>
      </c>
      <c r="E1531" s="226"/>
      <c r="G1531" s="224" t="s">
        <v>13</v>
      </c>
      <c r="H1531" s="224" t="s">
        <v>451</v>
      </c>
      <c r="I1531" s="224" t="s">
        <v>71</v>
      </c>
      <c r="J1531" s="227">
        <v>1</v>
      </c>
      <c r="K1531" s="227">
        <f t="array" ref="K1531">IFERROR(INDEX([1]Grille_Tarifs_Modulable!$B$2:$B$204,MATCH(Tableau14[[#This Row],[Designation]]&amp;Tableau14[[#This Row],[CL]],[1]Grille_Tarifs_Modulable!$C$2:$C$204&amp;[1]Grille_Tarifs_Modulable!$F$2:$F$204,0)),0)</f>
        <v>122</v>
      </c>
      <c r="L1531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299</v>
      </c>
      <c r="M1531" s="228">
        <f>IF(Tableau14[[#This Row],[Prix_Unit_HT]]=0,0,Tableau14[[#This Row],[Prix_Unit_HT]]+(Tableau14[[#This Row],[Prix_Unit_HT]]*VLOOKUP(Tableau14[[#This Row],[EAN]],[1]Grille_Tarifs_Modulable!$B$10:$Q$204,16,FALSE)))</f>
        <v>358.8</v>
      </c>
      <c r="N1531" s="224">
        <v>4</v>
      </c>
      <c r="O1531" s="228">
        <f>ROUND(Tableau14[[#This Row],[Prix_Unit_HT]],2)*Tableau14[[#This Row],[Qte_commande]]</f>
        <v>1196</v>
      </c>
      <c r="P1531" s="228">
        <f>ROUND(Tableau14[[#This Row],[Prix_Unit_TTC]],2)*Tableau14[[#This Row],[Qte_commande]]</f>
        <v>1435.2</v>
      </c>
      <c r="Q1531" s="224">
        <v>4</v>
      </c>
      <c r="R1531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4</v>
      </c>
      <c r="U1531" s="224"/>
      <c r="V1531" s="224"/>
    </row>
    <row r="1532" spans="1:22" ht="14.65" customHeight="1" x14ac:dyDescent="0.2">
      <c r="A1532" s="225">
        <v>43616</v>
      </c>
      <c r="B1532" s="224" t="s">
        <v>1266</v>
      </c>
      <c r="C1532" s="224" t="s">
        <v>493</v>
      </c>
      <c r="D1532" s="224" t="s">
        <v>203</v>
      </c>
      <c r="E1532" s="226"/>
      <c r="G1532" s="224" t="s">
        <v>13</v>
      </c>
      <c r="H1532" s="224" t="s">
        <v>451</v>
      </c>
      <c r="I1532" s="224" t="s">
        <v>71</v>
      </c>
      <c r="J1532" s="227">
        <v>1</v>
      </c>
      <c r="K1532" s="227">
        <f t="array" ref="K1532">IFERROR(INDEX([1]Grille_Tarifs_Modulable!$B$2:$B$204,MATCH(Tableau14[[#This Row],[Designation]]&amp;Tableau14[[#This Row],[CL]],[1]Grille_Tarifs_Modulable!$C$2:$C$204&amp;[1]Grille_Tarifs_Modulable!$F$2:$F$204,0)),0)</f>
        <v>122</v>
      </c>
      <c r="L1532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299</v>
      </c>
      <c r="M1532" s="228">
        <f>IF(Tableau14[[#This Row],[Prix_Unit_HT]]=0,0,Tableau14[[#This Row],[Prix_Unit_HT]]+(Tableau14[[#This Row],[Prix_Unit_HT]]*VLOOKUP(Tableau14[[#This Row],[EAN]],[1]Grille_Tarifs_Modulable!$B$10:$Q$204,16,FALSE)))</f>
        <v>358.8</v>
      </c>
      <c r="N1532" s="224">
        <v>1</v>
      </c>
      <c r="O1532" s="228">
        <f>ROUND(Tableau14[[#This Row],[Prix_Unit_HT]],2)*Tableau14[[#This Row],[Qte_commande]]</f>
        <v>299</v>
      </c>
      <c r="P1532" s="228">
        <f>ROUND(Tableau14[[#This Row],[Prix_Unit_TTC]],2)*Tableau14[[#This Row],[Qte_commande]]</f>
        <v>358.8</v>
      </c>
      <c r="Q1532" s="224">
        <v>1</v>
      </c>
      <c r="R1532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</v>
      </c>
      <c r="U1532" s="224"/>
      <c r="V1532" s="224"/>
    </row>
    <row r="1533" spans="1:22" ht="14.65" customHeight="1" x14ac:dyDescent="0.2">
      <c r="A1533" s="225">
        <v>43616</v>
      </c>
      <c r="B1533" s="224" t="s">
        <v>1267</v>
      </c>
      <c r="C1533" s="224" t="s">
        <v>682</v>
      </c>
      <c r="D1533" s="224" t="s">
        <v>683</v>
      </c>
      <c r="E1533" s="226"/>
      <c r="G1533" s="224" t="s">
        <v>13</v>
      </c>
      <c r="H1533" s="224" t="s">
        <v>451</v>
      </c>
      <c r="I1533" s="224" t="s">
        <v>71</v>
      </c>
      <c r="J1533" s="227">
        <v>1</v>
      </c>
      <c r="K1533" s="227">
        <f t="array" ref="K1533">IFERROR(INDEX([1]Grille_Tarifs_Modulable!$B$2:$B$204,MATCH(Tableau14[[#This Row],[Designation]]&amp;Tableau14[[#This Row],[CL]],[1]Grille_Tarifs_Modulable!$C$2:$C$204&amp;[1]Grille_Tarifs_Modulable!$F$2:$F$204,0)),0)</f>
        <v>122</v>
      </c>
      <c r="L1533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299</v>
      </c>
      <c r="M1533" s="228">
        <f>IF(Tableau14[[#This Row],[Prix_Unit_HT]]=0,0,Tableau14[[#This Row],[Prix_Unit_HT]]+(Tableau14[[#This Row],[Prix_Unit_HT]]*VLOOKUP(Tableau14[[#This Row],[EAN]],[1]Grille_Tarifs_Modulable!$B$10:$Q$204,16,FALSE)))</f>
        <v>358.8</v>
      </c>
      <c r="N1533" s="224">
        <v>6</v>
      </c>
      <c r="O1533" s="228">
        <f>ROUND(Tableau14[[#This Row],[Prix_Unit_HT]],2)*Tableau14[[#This Row],[Qte_commande]]</f>
        <v>1794</v>
      </c>
      <c r="P1533" s="228">
        <f>ROUND(Tableau14[[#This Row],[Prix_Unit_TTC]],2)*Tableau14[[#This Row],[Qte_commande]]</f>
        <v>2152.8000000000002</v>
      </c>
      <c r="Q1533" s="224">
        <v>6</v>
      </c>
      <c r="R1533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</v>
      </c>
      <c r="U1533" s="224"/>
      <c r="V1533" s="224"/>
    </row>
    <row r="1534" spans="1:22" ht="14.65" customHeight="1" x14ac:dyDescent="0.2">
      <c r="A1534" s="225">
        <v>43616</v>
      </c>
      <c r="B1534" s="224" t="s">
        <v>1268</v>
      </c>
      <c r="C1534" s="224" t="s">
        <v>1067</v>
      </c>
      <c r="D1534" s="224" t="s">
        <v>1068</v>
      </c>
      <c r="E1534" s="226"/>
      <c r="G1534" s="224" t="s">
        <v>13</v>
      </c>
      <c r="H1534" s="224" t="s">
        <v>451</v>
      </c>
      <c r="I1534" s="224" t="s">
        <v>71</v>
      </c>
      <c r="J1534" s="227">
        <v>1</v>
      </c>
      <c r="K1534" s="227">
        <f t="array" ref="K1534">IFERROR(INDEX([1]Grille_Tarifs_Modulable!$B$2:$B$204,MATCH(Tableau14[[#This Row],[Designation]]&amp;Tableau14[[#This Row],[CL]],[1]Grille_Tarifs_Modulable!$C$2:$C$204&amp;[1]Grille_Tarifs_Modulable!$F$2:$F$204,0)),0)</f>
        <v>122</v>
      </c>
      <c r="L1534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299</v>
      </c>
      <c r="M1534" s="228">
        <f>IF(Tableau14[[#This Row],[Prix_Unit_HT]]=0,0,Tableau14[[#This Row],[Prix_Unit_HT]]+(Tableau14[[#This Row],[Prix_Unit_HT]]*VLOOKUP(Tableau14[[#This Row],[EAN]],[1]Grille_Tarifs_Modulable!$B$10:$Q$204,16,FALSE)))</f>
        <v>358.8</v>
      </c>
      <c r="N1534" s="224">
        <v>3</v>
      </c>
      <c r="O1534" s="228">
        <f>ROUND(Tableau14[[#This Row],[Prix_Unit_HT]],2)*Tableau14[[#This Row],[Qte_commande]]</f>
        <v>897</v>
      </c>
      <c r="P1534" s="228">
        <f>ROUND(Tableau14[[#This Row],[Prix_Unit_TTC]],2)*Tableau14[[#This Row],[Qte_commande]]</f>
        <v>1076.4000000000001</v>
      </c>
      <c r="Q1534" s="224">
        <v>3</v>
      </c>
      <c r="R1534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3</v>
      </c>
      <c r="U1534" s="224"/>
      <c r="V1534" s="224"/>
    </row>
    <row r="1535" spans="1:22" ht="14.65" customHeight="1" x14ac:dyDescent="0.2">
      <c r="A1535" s="225">
        <v>43616</v>
      </c>
      <c r="B1535" s="224" t="s">
        <v>1269</v>
      </c>
      <c r="C1535" s="224" t="s">
        <v>1207</v>
      </c>
      <c r="D1535" s="224" t="s">
        <v>233</v>
      </c>
      <c r="E1535" s="226"/>
      <c r="G1535" s="224" t="s">
        <v>13</v>
      </c>
      <c r="H1535" s="224" t="s">
        <v>451</v>
      </c>
      <c r="I1535" s="224" t="s">
        <v>71</v>
      </c>
      <c r="J1535" s="227">
        <v>1</v>
      </c>
      <c r="K1535" s="227">
        <f t="array" ref="K1535">IFERROR(INDEX([1]Grille_Tarifs_Modulable!$B$2:$B$204,MATCH(Tableau14[[#This Row],[Designation]]&amp;Tableau14[[#This Row],[CL]],[1]Grille_Tarifs_Modulable!$C$2:$C$204&amp;[1]Grille_Tarifs_Modulable!$F$2:$F$204,0)),0)</f>
        <v>122</v>
      </c>
      <c r="L1535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299</v>
      </c>
      <c r="M1535" s="228">
        <f>IF(Tableau14[[#This Row],[Prix_Unit_HT]]=0,0,Tableau14[[#This Row],[Prix_Unit_HT]]+(Tableau14[[#This Row],[Prix_Unit_HT]]*VLOOKUP(Tableau14[[#This Row],[EAN]],[1]Grille_Tarifs_Modulable!$B$10:$Q$204,16,FALSE)))</f>
        <v>358.8</v>
      </c>
      <c r="N1535" s="224">
        <v>1</v>
      </c>
      <c r="O1535" s="228">
        <f>ROUND(Tableau14[[#This Row],[Prix_Unit_HT]],2)*Tableau14[[#This Row],[Qte_commande]]</f>
        <v>299</v>
      </c>
      <c r="P1535" s="228">
        <f>ROUND(Tableau14[[#This Row],[Prix_Unit_TTC]],2)*Tableau14[[#This Row],[Qte_commande]]</f>
        <v>358.8</v>
      </c>
      <c r="Q1535" s="224">
        <v>1</v>
      </c>
      <c r="R1535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</v>
      </c>
      <c r="U1535" s="224"/>
      <c r="V1535" s="224"/>
    </row>
    <row r="1536" spans="1:22" ht="14.65" customHeight="1" x14ac:dyDescent="0.2">
      <c r="A1536" s="225">
        <v>43620</v>
      </c>
      <c r="B1536" s="224" t="s">
        <v>252</v>
      </c>
      <c r="C1536" s="224" t="s">
        <v>214</v>
      </c>
      <c r="D1536" s="224" t="s">
        <v>215</v>
      </c>
      <c r="E1536" s="226"/>
      <c r="G1536" s="224" t="s">
        <v>1</v>
      </c>
      <c r="H1536" s="224" t="s">
        <v>196</v>
      </c>
      <c r="I1536" s="224" t="s">
        <v>62</v>
      </c>
      <c r="J1536" s="224">
        <v>20</v>
      </c>
      <c r="K1536" s="227">
        <f t="array" ref="K1536">IFERROR(INDEX([1]Grille_Tarifs_Modulable!$B$2:$B$204,MATCH(Tableau14[[#This Row],[Designation]]&amp;Tableau14[[#This Row],[CL]],[1]Grille_Tarifs_Modulable!$C$2:$C$204&amp;[1]Grille_Tarifs_Modulable!$F$2:$F$204,0)),0)</f>
        <v>4260310550305</v>
      </c>
      <c r="L1536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0.81</v>
      </c>
      <c r="M1536" s="228">
        <f>IF(Tableau14[[#This Row],[Prix_Unit_HT]]=0,0,Tableau14[[#This Row],[Prix_Unit_HT]]+(Tableau14[[#This Row],[Prix_Unit_HT]]*VLOOKUP(Tableau14[[#This Row],[EAN]],[1]Grille_Tarifs_Modulable!$B$10:$Q$204,16,FALSE)))</f>
        <v>0.85455000000000003</v>
      </c>
      <c r="N1536" s="224">
        <v>48</v>
      </c>
      <c r="O1536" s="228">
        <f>ROUND(Tableau14[[#This Row],[Prix_Unit_HT]],2)*Tableau14[[#This Row],[Qte_commande]]</f>
        <v>38.880000000000003</v>
      </c>
      <c r="P1536" s="228">
        <f>ROUND(Tableau14[[#This Row],[Prix_Unit_TTC]],2)*Tableau14[[#This Row],[Qte_commande]]</f>
        <v>40.799999999999997</v>
      </c>
      <c r="Q1536" s="224">
        <v>13.71</v>
      </c>
      <c r="R1536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13.714285714285715</v>
      </c>
      <c r="U1536" s="224"/>
      <c r="V1536" s="224"/>
    </row>
    <row r="1537" spans="1:22" ht="14.65" customHeight="1" x14ac:dyDescent="0.2">
      <c r="A1537" s="225">
        <v>43620</v>
      </c>
      <c r="B1537" s="224" t="s">
        <v>252</v>
      </c>
      <c r="C1537" s="224" t="s">
        <v>214</v>
      </c>
      <c r="D1537" s="224" t="s">
        <v>215</v>
      </c>
      <c r="E1537" s="226"/>
      <c r="G1537" s="224" t="s">
        <v>1</v>
      </c>
      <c r="H1537" s="224" t="s">
        <v>196</v>
      </c>
      <c r="I1537" s="224" t="s">
        <v>63</v>
      </c>
      <c r="J1537" s="224">
        <v>20</v>
      </c>
      <c r="K1537" s="227">
        <f t="array" ref="K1537">IFERROR(INDEX([1]Grille_Tarifs_Modulable!$B$2:$B$204,MATCH(Tableau14[[#This Row],[Designation]]&amp;Tableau14[[#This Row],[CL]],[1]Grille_Tarifs_Modulable!$C$2:$C$204&amp;[1]Grille_Tarifs_Modulable!$F$2:$F$204,0)),0)</f>
        <v>4260310552941</v>
      </c>
      <c r="L1537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0.81</v>
      </c>
      <c r="M1537" s="228">
        <f>IF(Tableau14[[#This Row],[Prix_Unit_HT]]=0,0,Tableau14[[#This Row],[Prix_Unit_HT]]+(Tableau14[[#This Row],[Prix_Unit_HT]]*VLOOKUP(Tableau14[[#This Row],[EAN]],[1]Grille_Tarifs_Modulable!$B$10:$Q$204,16,FALSE)))</f>
        <v>0.85455000000000003</v>
      </c>
      <c r="N1537" s="224">
        <v>48</v>
      </c>
      <c r="O1537" s="228">
        <f>ROUND(Tableau14[[#This Row],[Prix_Unit_HT]],2)*Tableau14[[#This Row],[Qte_commande]]</f>
        <v>38.880000000000003</v>
      </c>
      <c r="P1537" s="228">
        <f>ROUND(Tableau14[[#This Row],[Prix_Unit_TTC]],2)*Tableau14[[#This Row],[Qte_commande]]</f>
        <v>40.799999999999997</v>
      </c>
      <c r="Q1537" s="224">
        <v>13.71</v>
      </c>
      <c r="R1537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13.714285714285715</v>
      </c>
      <c r="U1537" s="224"/>
      <c r="V1537" s="224"/>
    </row>
    <row r="1538" spans="1:22" ht="14.65" customHeight="1" x14ac:dyDescent="0.2">
      <c r="A1538" s="225">
        <v>43620</v>
      </c>
      <c r="B1538" s="224" t="s">
        <v>252</v>
      </c>
      <c r="C1538" s="224" t="s">
        <v>214</v>
      </c>
      <c r="D1538" s="224" t="s">
        <v>215</v>
      </c>
      <c r="E1538" s="226"/>
      <c r="G1538" s="224" t="s">
        <v>1</v>
      </c>
      <c r="H1538" s="224" t="s">
        <v>196</v>
      </c>
      <c r="I1538" s="224" t="s">
        <v>65</v>
      </c>
      <c r="J1538" s="224">
        <v>20</v>
      </c>
      <c r="K1538" s="227">
        <f t="array" ref="K1538">IFERROR(INDEX([1]Grille_Tarifs_Modulable!$B$2:$B$204,MATCH(Tableau14[[#This Row],[Designation]]&amp;Tableau14[[#This Row],[CL]],[1]Grille_Tarifs_Modulable!$C$2:$C$204&amp;[1]Grille_Tarifs_Modulable!$F$2:$F$204,0)),0)</f>
        <v>4260310553863</v>
      </c>
      <c r="L1538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0.81</v>
      </c>
      <c r="M1538" s="228">
        <f>IF(Tableau14[[#This Row],[Prix_Unit_HT]]=0,0,Tableau14[[#This Row],[Prix_Unit_HT]]+(Tableau14[[#This Row],[Prix_Unit_HT]]*VLOOKUP(Tableau14[[#This Row],[EAN]],[1]Grille_Tarifs_Modulable!$B$10:$Q$204,16,FALSE)))</f>
        <v>0.85455000000000003</v>
      </c>
      <c r="N1538" s="224">
        <v>120</v>
      </c>
      <c r="O1538" s="228">
        <f>ROUND(Tableau14[[#This Row],[Prix_Unit_HT]],2)*Tableau14[[#This Row],[Qte_commande]]</f>
        <v>97.2</v>
      </c>
      <c r="P1538" s="228">
        <f>ROUND(Tableau14[[#This Row],[Prix_Unit_TTC]],2)*Tableau14[[#This Row],[Qte_commande]]</f>
        <v>102</v>
      </c>
      <c r="Q1538" s="224">
        <v>34.29</v>
      </c>
      <c r="R1538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34.285714285714285</v>
      </c>
      <c r="U1538" s="224"/>
      <c r="V1538" s="224"/>
    </row>
    <row r="1539" spans="1:22" ht="14.65" customHeight="1" x14ac:dyDescent="0.2">
      <c r="A1539" s="225">
        <v>43620</v>
      </c>
      <c r="B1539" s="224" t="s">
        <v>252</v>
      </c>
      <c r="C1539" s="224" t="s">
        <v>214</v>
      </c>
      <c r="D1539" s="224" t="s">
        <v>215</v>
      </c>
      <c r="E1539" s="226"/>
      <c r="G1539" s="224" t="s">
        <v>1</v>
      </c>
      <c r="H1539" s="224" t="s">
        <v>196</v>
      </c>
      <c r="I1539" s="224" t="s">
        <v>60</v>
      </c>
      <c r="J1539" s="224">
        <v>20</v>
      </c>
      <c r="K1539" s="227">
        <f t="array" ref="K1539">IFERROR(INDEX([1]Grille_Tarifs_Modulable!$B$2:$B$204,MATCH(Tableau14[[#This Row],[Designation]]&amp;Tableau14[[#This Row],[CL]],[1]Grille_Tarifs_Modulable!$C$2:$C$204&amp;[1]Grille_Tarifs_Modulable!$F$2:$F$204,0)),0)</f>
        <v>4260310553832</v>
      </c>
      <c r="L1539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0.81</v>
      </c>
      <c r="M1539" s="228">
        <f>IF(Tableau14[[#This Row],[Prix_Unit_HT]]=0,0,Tableau14[[#This Row],[Prix_Unit_HT]]+(Tableau14[[#This Row],[Prix_Unit_HT]]*VLOOKUP(Tableau14[[#This Row],[EAN]],[1]Grille_Tarifs_Modulable!$B$10:$Q$204,16,FALSE)))</f>
        <v>0.85455000000000003</v>
      </c>
      <c r="N1539" s="224">
        <v>120</v>
      </c>
      <c r="O1539" s="228">
        <f>ROUND(Tableau14[[#This Row],[Prix_Unit_HT]],2)*Tableau14[[#This Row],[Qte_commande]]</f>
        <v>97.2</v>
      </c>
      <c r="P1539" s="228">
        <f>ROUND(Tableau14[[#This Row],[Prix_Unit_TTC]],2)*Tableau14[[#This Row],[Qte_commande]]</f>
        <v>102</v>
      </c>
      <c r="Q1539" s="224">
        <v>34.29</v>
      </c>
      <c r="R1539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34.285714285714285</v>
      </c>
      <c r="U1539" s="224"/>
      <c r="V1539" s="224"/>
    </row>
    <row r="1540" spans="1:22" ht="14.65" customHeight="1" x14ac:dyDescent="0.2">
      <c r="A1540" s="225">
        <v>43620</v>
      </c>
      <c r="B1540" s="224" t="s">
        <v>252</v>
      </c>
      <c r="C1540" s="224" t="s">
        <v>214</v>
      </c>
      <c r="D1540" s="224" t="s">
        <v>215</v>
      </c>
      <c r="E1540" s="226"/>
      <c r="G1540" s="224" t="s">
        <v>1</v>
      </c>
      <c r="H1540" s="224" t="s">
        <v>289</v>
      </c>
      <c r="I1540" s="224" t="s">
        <v>20</v>
      </c>
      <c r="J1540" s="224">
        <v>70</v>
      </c>
      <c r="K1540" s="227">
        <f t="array" ref="K1540">IFERROR(INDEX([1]Grille_Tarifs_Modulable!$B$2:$B$204,MATCH(Tableau14[[#This Row],[Designation]]&amp;Tableau14[[#This Row],[CL]],[1]Grille_Tarifs_Modulable!$C$2:$C$204&amp;[1]Grille_Tarifs_Modulable!$F$2:$F$204,0)),0)</f>
        <v>8017450002104</v>
      </c>
      <c r="L1540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14.266482999999999</v>
      </c>
      <c r="M1540" s="228">
        <f>IF(Tableau14[[#This Row],[Prix_Unit_HT]]=0,0,Tableau14[[#This Row],[Prix_Unit_HT]]+(Tableau14[[#This Row],[Prix_Unit_HT]]*VLOOKUP(Tableau14[[#This Row],[EAN]],[1]Grille_Tarifs_Modulable!$B$10:$Q$204,16,FALSE)))</f>
        <v>17.119779600000001</v>
      </c>
      <c r="N1540" s="224">
        <v>24</v>
      </c>
      <c r="O1540" s="228">
        <f>ROUND(Tableau14[[#This Row],[Prix_Unit_HT]],2)*Tableau14[[#This Row],[Qte_commande]]</f>
        <v>342.48</v>
      </c>
      <c r="P1540" s="228">
        <f>ROUND(Tableau14[[#This Row],[Prix_Unit_TTC]],2)*Tableau14[[#This Row],[Qte_commande]]</f>
        <v>410.88</v>
      </c>
      <c r="Q1540" s="224">
        <v>24</v>
      </c>
      <c r="R1540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24.000000000000004</v>
      </c>
      <c r="U1540" s="224"/>
      <c r="V1540" s="224"/>
    </row>
    <row r="1541" spans="1:22" ht="14.65" customHeight="1" x14ac:dyDescent="0.2">
      <c r="A1541" s="225">
        <v>43620</v>
      </c>
      <c r="B1541" s="224" t="s">
        <v>252</v>
      </c>
      <c r="C1541" s="224" t="s">
        <v>214</v>
      </c>
      <c r="D1541" s="224" t="s">
        <v>215</v>
      </c>
      <c r="E1541" s="226"/>
      <c r="G1541" s="224" t="s">
        <v>13</v>
      </c>
      <c r="H1541" s="224" t="s">
        <v>196</v>
      </c>
      <c r="I1541" s="224" t="s">
        <v>66</v>
      </c>
      <c r="J1541" s="224">
        <v>20</v>
      </c>
      <c r="K1541" s="227">
        <f t="array" ref="K1541">IFERROR(INDEX([1]Grille_Tarifs_Modulable!$B$2:$B$204,MATCH(Tableau14[[#This Row],[Designation]]&amp;Tableau14[[#This Row],[CL]],[1]Grille_Tarifs_Modulable!$C$2:$C$204&amp;[1]Grille_Tarifs_Modulable!$F$2:$F$204,0)),0)</f>
        <v>4260310554785</v>
      </c>
      <c r="L1541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0.89</v>
      </c>
      <c r="M1541" s="228">
        <f>IF(Tableau14[[#This Row],[Prix_Unit_HT]]=0,0,Tableau14[[#This Row],[Prix_Unit_HT]]+(Tableau14[[#This Row],[Prix_Unit_HT]]*VLOOKUP(Tableau14[[#This Row],[EAN]],[1]Grille_Tarifs_Modulable!$B$10:$Q$204,16,FALSE)))</f>
        <v>0.93895000000000006</v>
      </c>
      <c r="N1541" s="224">
        <v>48</v>
      </c>
      <c r="O1541" s="228">
        <f>ROUND(Tableau14[[#This Row],[Prix_Unit_HT]],2)*Tableau14[[#This Row],[Qte_commande]]</f>
        <v>42.72</v>
      </c>
      <c r="P1541" s="228">
        <f>ROUND(Tableau14[[#This Row],[Prix_Unit_TTC]],2)*Tableau14[[#This Row],[Qte_commande]]</f>
        <v>45.12</v>
      </c>
      <c r="Q1541" s="224">
        <v>13.71</v>
      </c>
      <c r="R1541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13.714285714285715</v>
      </c>
      <c r="U1541" s="224"/>
      <c r="V1541" s="224"/>
    </row>
    <row r="1542" spans="1:22" ht="14.65" customHeight="1" x14ac:dyDescent="0.2">
      <c r="A1542" s="225">
        <v>43620</v>
      </c>
      <c r="B1542" s="224" t="s">
        <v>252</v>
      </c>
      <c r="C1542" s="224" t="s">
        <v>214</v>
      </c>
      <c r="D1542" s="224" t="s">
        <v>215</v>
      </c>
      <c r="E1542" s="226"/>
      <c r="G1542" s="224" t="s">
        <v>1</v>
      </c>
      <c r="H1542" s="224" t="s">
        <v>289</v>
      </c>
      <c r="I1542" s="224" t="s">
        <v>44</v>
      </c>
      <c r="J1542" s="224">
        <v>50</v>
      </c>
      <c r="K1542" s="227">
        <f t="array" ref="K1542">IFERROR(INDEX([1]Grille_Tarifs_Modulable!$B$2:$B$204,MATCH(Tableau14[[#This Row],[Designation]]&amp;Tableau14[[#This Row],[CL]],[1]Grille_Tarifs_Modulable!$C$2:$C$204&amp;[1]Grille_Tarifs_Modulable!$F$2:$F$204,0)),0)</f>
        <v>4260270192645</v>
      </c>
      <c r="L1542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25.192506000000002</v>
      </c>
      <c r="M1542" s="228">
        <f>IF(Tableau14[[#This Row],[Prix_Unit_HT]]=0,0,Tableau14[[#This Row],[Prix_Unit_HT]]+(Tableau14[[#This Row],[Prix_Unit_HT]]*VLOOKUP(Tableau14[[#This Row],[EAN]],[1]Grille_Tarifs_Modulable!$B$10:$Q$204,16,FALSE)))</f>
        <v>30.231007200000001</v>
      </c>
      <c r="N1542" s="224">
        <v>6</v>
      </c>
      <c r="O1542" s="228">
        <f>ROUND(Tableau14[[#This Row],[Prix_Unit_HT]],2)*Tableau14[[#This Row],[Qte_commande]]</f>
        <v>151.14000000000001</v>
      </c>
      <c r="P1542" s="228">
        <f>ROUND(Tableau14[[#This Row],[Prix_Unit_TTC]],2)*Tableau14[[#This Row],[Qte_commande]]</f>
        <v>181.38</v>
      </c>
      <c r="Q1542" s="224">
        <v>4.29</v>
      </c>
      <c r="R1542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4.2857142857142856</v>
      </c>
      <c r="U1542" s="224"/>
      <c r="V1542" s="224"/>
    </row>
    <row r="1543" spans="1:22" ht="14.65" customHeight="1" x14ac:dyDescent="0.2">
      <c r="A1543" s="225">
        <v>43620</v>
      </c>
      <c r="B1543" s="224" t="s">
        <v>252</v>
      </c>
      <c r="C1543" s="224" t="s">
        <v>214</v>
      </c>
      <c r="D1543" s="224" t="s">
        <v>215</v>
      </c>
      <c r="E1543" s="226"/>
      <c r="G1543" s="224" t="s">
        <v>1</v>
      </c>
      <c r="H1543" s="224" t="s">
        <v>289</v>
      </c>
      <c r="I1543" s="224" t="s">
        <v>17</v>
      </c>
      <c r="J1543" s="224">
        <v>70</v>
      </c>
      <c r="K1543" s="227">
        <f t="array" ref="K1543">IFERROR(INDEX([1]Grille_Tarifs_Modulable!$B$2:$B$204,MATCH(Tableau14[[#This Row],[Designation]]&amp;Tableau14[[#This Row],[CL]],[1]Grille_Tarifs_Modulable!$C$2:$C$204&amp;[1]Grille_Tarifs_Modulable!$F$2:$F$204,0)),0)</f>
        <v>8002095100001</v>
      </c>
      <c r="L1543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16.028644</v>
      </c>
      <c r="M1543" s="228">
        <f>IF(Tableau14[[#This Row],[Prix_Unit_HT]]=0,0,Tableau14[[#This Row],[Prix_Unit_HT]]+(Tableau14[[#This Row],[Prix_Unit_HT]]*VLOOKUP(Tableau14[[#This Row],[EAN]],[1]Grille_Tarifs_Modulable!$B$10:$Q$204,16,FALSE)))</f>
        <v>19.234372799999999</v>
      </c>
      <c r="N1543" s="224">
        <v>6</v>
      </c>
      <c r="O1543" s="228">
        <f>ROUND(Tableau14[[#This Row],[Prix_Unit_HT]],2)*Tableau14[[#This Row],[Qte_commande]]</f>
        <v>96.18</v>
      </c>
      <c r="P1543" s="228">
        <f>ROUND(Tableau14[[#This Row],[Prix_Unit_TTC]],2)*Tableau14[[#This Row],[Qte_commande]]</f>
        <v>115.38</v>
      </c>
      <c r="Q1543" s="224">
        <v>6</v>
      </c>
      <c r="R1543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6.0000000000000009</v>
      </c>
      <c r="U1543" s="224"/>
      <c r="V1543" s="224"/>
    </row>
    <row r="1544" spans="1:22" ht="14.65" customHeight="1" x14ac:dyDescent="0.2">
      <c r="A1544" s="225">
        <v>43620</v>
      </c>
      <c r="B1544" s="224" t="s">
        <v>252</v>
      </c>
      <c r="C1544" s="224" t="s">
        <v>214</v>
      </c>
      <c r="D1544" s="224" t="s">
        <v>215</v>
      </c>
      <c r="E1544" s="226"/>
      <c r="G1544" s="224" t="s">
        <v>1</v>
      </c>
      <c r="H1544" s="224" t="s">
        <v>196</v>
      </c>
      <c r="I1544" s="224" t="s">
        <v>64</v>
      </c>
      <c r="J1544" s="224">
        <v>20</v>
      </c>
      <c r="K1544" s="227">
        <f t="array" ref="K1544">IFERROR(INDEX([1]Grille_Tarifs_Modulable!$B$2:$B$204,MATCH(Tableau14[[#This Row],[Designation]]&amp;Tableau14[[#This Row],[CL]],[1]Grille_Tarifs_Modulable!$C$2:$C$204&amp;[1]Grille_Tarifs_Modulable!$F$2:$F$204,0)),0)</f>
        <v>4260310553849</v>
      </c>
      <c r="L1544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0.81</v>
      </c>
      <c r="M1544" s="228">
        <f>IF(Tableau14[[#This Row],[Prix_Unit_HT]]=0,0,Tableau14[[#This Row],[Prix_Unit_HT]]+(Tableau14[[#This Row],[Prix_Unit_HT]]*VLOOKUP(Tableau14[[#This Row],[EAN]],[1]Grille_Tarifs_Modulable!$B$10:$Q$204,16,FALSE)))</f>
        <v>0.85455000000000003</v>
      </c>
      <c r="N1544" s="224">
        <v>360</v>
      </c>
      <c r="O1544" s="228">
        <f>ROUND(Tableau14[[#This Row],[Prix_Unit_HT]],2)*Tableau14[[#This Row],[Qte_commande]]</f>
        <v>291.60000000000002</v>
      </c>
      <c r="P1544" s="228">
        <f>ROUND(Tableau14[[#This Row],[Prix_Unit_TTC]],2)*Tableau14[[#This Row],[Qte_commande]]</f>
        <v>306</v>
      </c>
      <c r="Q1544" s="224">
        <v>102.86</v>
      </c>
      <c r="R1544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102.85714285714286</v>
      </c>
      <c r="U1544" s="224"/>
      <c r="V1544" s="224"/>
    </row>
    <row r="1545" spans="1:22" ht="14.65" customHeight="1" x14ac:dyDescent="0.2">
      <c r="A1545" s="225">
        <v>43620</v>
      </c>
      <c r="B1545" s="224" t="s">
        <v>252</v>
      </c>
      <c r="C1545" s="224" t="s">
        <v>214</v>
      </c>
      <c r="D1545" s="224" t="s">
        <v>215</v>
      </c>
      <c r="E1545" s="226"/>
      <c r="G1545" s="224" t="s">
        <v>1</v>
      </c>
      <c r="H1545" s="224" t="s">
        <v>196</v>
      </c>
      <c r="I1545" s="224" t="s">
        <v>59</v>
      </c>
      <c r="J1545" s="224">
        <v>20</v>
      </c>
      <c r="K1545" s="227">
        <f t="array" ref="K1545">IFERROR(INDEX([1]Grille_Tarifs_Modulable!$B$2:$B$204,MATCH(Tableau14[[#This Row],[Designation]]&amp;Tableau14[[#This Row],[CL]],[1]Grille_Tarifs_Modulable!$C$2:$C$204&amp;[1]Grille_Tarifs_Modulable!$F$2:$F$204,0)),0)</f>
        <v>4260310553818</v>
      </c>
      <c r="L1545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0.81</v>
      </c>
      <c r="M1545" s="228">
        <f>IF(Tableau14[[#This Row],[Prix_Unit_HT]]=0,0,Tableau14[[#This Row],[Prix_Unit_HT]]+(Tableau14[[#This Row],[Prix_Unit_HT]]*VLOOKUP(Tableau14[[#This Row],[EAN]],[1]Grille_Tarifs_Modulable!$B$10:$Q$204,16,FALSE)))</f>
        <v>0.85455000000000003</v>
      </c>
      <c r="N1545" s="224">
        <v>480</v>
      </c>
      <c r="O1545" s="228">
        <f>ROUND(Tableau14[[#This Row],[Prix_Unit_HT]],2)*Tableau14[[#This Row],[Qte_commande]]</f>
        <v>388.8</v>
      </c>
      <c r="P1545" s="228">
        <f>ROUND(Tableau14[[#This Row],[Prix_Unit_TTC]],2)*Tableau14[[#This Row],[Qte_commande]]</f>
        <v>408</v>
      </c>
      <c r="Q1545" s="224">
        <v>137.13999999999999</v>
      </c>
      <c r="R1545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137.14285714285714</v>
      </c>
      <c r="U1545" s="224"/>
      <c r="V1545" s="224"/>
    </row>
    <row r="1546" spans="1:22" ht="14.65" customHeight="1" x14ac:dyDescent="0.2">
      <c r="A1546" s="225">
        <v>43622</v>
      </c>
      <c r="B1546" s="224" t="s">
        <v>420</v>
      </c>
      <c r="C1546" s="224" t="s">
        <v>265</v>
      </c>
      <c r="D1546" s="224" t="s">
        <v>266</v>
      </c>
      <c r="E1546" s="226"/>
      <c r="G1546" s="224" t="s">
        <v>1</v>
      </c>
      <c r="H1546" s="224" t="s">
        <v>289</v>
      </c>
      <c r="I1546" s="224" t="s">
        <v>35</v>
      </c>
      <c r="J1546" s="224">
        <v>70</v>
      </c>
      <c r="K1546" s="227">
        <f t="array" ref="K1546">IFERROR(INDEX([1]Grille_Tarifs_Modulable!$B$2:$B$204,MATCH(Tableau14[[#This Row],[Designation]]&amp;Tableau14[[#This Row],[CL]],[1]Grille_Tarifs_Modulable!$C$2:$C$204&amp;[1]Grille_Tarifs_Modulable!$F$2:$F$204,0)),0)</f>
        <v>3257150107012</v>
      </c>
      <c r="L1546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29.828643999999997</v>
      </c>
      <c r="M1546" s="228">
        <f>IF(Tableau14[[#This Row],[Prix_Unit_HT]]=0,0,Tableau14[[#This Row],[Prix_Unit_HT]]+(Tableau14[[#This Row],[Prix_Unit_HT]]*VLOOKUP(Tableau14[[#This Row],[EAN]],[1]Grille_Tarifs_Modulable!$B$10:$Q$204,16,FALSE)))</f>
        <v>35.794372799999998</v>
      </c>
      <c r="N1546" s="224">
        <v>4</v>
      </c>
      <c r="O1546" s="228">
        <f>ROUND(Tableau14[[#This Row],[Prix_Unit_HT]],2)*Tableau14[[#This Row],[Qte_commande]]</f>
        <v>119.32</v>
      </c>
      <c r="P1546" s="228">
        <f>ROUND(Tableau14[[#This Row],[Prix_Unit_TTC]],2)*Tableau14[[#This Row],[Qte_commande]]</f>
        <v>143.16</v>
      </c>
      <c r="Q1546" s="224">
        <v>4</v>
      </c>
      <c r="R1546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4</v>
      </c>
      <c r="U1546" s="224"/>
      <c r="V1546" s="224"/>
    </row>
    <row r="1547" spans="1:22" ht="14.65" customHeight="1" x14ac:dyDescent="0.2">
      <c r="A1547" s="225">
        <v>43622</v>
      </c>
      <c r="B1547" s="224" t="s">
        <v>420</v>
      </c>
      <c r="C1547" s="224" t="s">
        <v>265</v>
      </c>
      <c r="D1547" s="224" t="s">
        <v>266</v>
      </c>
      <c r="E1547" s="226"/>
      <c r="G1547" s="224" t="s">
        <v>1</v>
      </c>
      <c r="H1547" s="224" t="s">
        <v>289</v>
      </c>
      <c r="I1547" s="224" t="s">
        <v>15</v>
      </c>
      <c r="J1547" s="224">
        <v>70</v>
      </c>
      <c r="K1547" s="227">
        <f t="array" ref="K1547">IFERROR(INDEX([1]Grille_Tarifs_Modulable!$B$2:$B$204,MATCH(Tableau14[[#This Row],[Designation]]&amp;Tableau14[[#This Row],[CL]],[1]Grille_Tarifs_Modulable!$C$2:$C$204&amp;[1]Grille_Tarifs_Modulable!$F$2:$F$204,0)),0)</f>
        <v>4067700013859</v>
      </c>
      <c r="L1547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12.532563499999998</v>
      </c>
      <c r="M1547" s="228">
        <f>IF(Tableau14[[#This Row],[Prix_Unit_HT]]=0,0,Tableau14[[#This Row],[Prix_Unit_HT]]+(Tableau14[[#This Row],[Prix_Unit_HT]]*VLOOKUP(Tableau14[[#This Row],[EAN]],[1]Grille_Tarifs_Modulable!$B$10:$Q$204,16,FALSE)))</f>
        <v>15.039076199999998</v>
      </c>
      <c r="N1547" s="224">
        <v>240</v>
      </c>
      <c r="O1547" s="228">
        <f>ROUND(Tableau14[[#This Row],[Prix_Unit_HT]],2)*Tableau14[[#This Row],[Qte_commande]]</f>
        <v>3007.2</v>
      </c>
      <c r="P1547" s="228">
        <f>ROUND(Tableau14[[#This Row],[Prix_Unit_TTC]],2)*Tableau14[[#This Row],[Qte_commande]]</f>
        <v>3609.6</v>
      </c>
      <c r="Q1547" s="224">
        <v>240</v>
      </c>
      <c r="R1547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240.00000000000003</v>
      </c>
      <c r="U1547" s="224"/>
      <c r="V1547" s="224"/>
    </row>
    <row r="1548" spans="1:22" ht="14.65" customHeight="1" x14ac:dyDescent="0.2">
      <c r="A1548" s="225">
        <v>43622</v>
      </c>
      <c r="B1548" s="224" t="s">
        <v>420</v>
      </c>
      <c r="C1548" s="224" t="s">
        <v>265</v>
      </c>
      <c r="D1548" s="224" t="s">
        <v>266</v>
      </c>
      <c r="E1548" s="226"/>
      <c r="G1548" s="224" t="s">
        <v>13</v>
      </c>
      <c r="H1548" s="224" t="s">
        <v>196</v>
      </c>
      <c r="I1548" s="224" t="s">
        <v>66</v>
      </c>
      <c r="J1548" s="224">
        <v>20</v>
      </c>
      <c r="K1548" s="227">
        <f t="array" ref="K1548">IFERROR(INDEX([1]Grille_Tarifs_Modulable!$B$2:$B$204,MATCH(Tableau14[[#This Row],[Designation]]&amp;Tableau14[[#This Row],[CL]],[1]Grille_Tarifs_Modulable!$C$2:$C$204&amp;[1]Grille_Tarifs_Modulable!$F$2:$F$204,0)),0)</f>
        <v>4260310554785</v>
      </c>
      <c r="L1548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0.89</v>
      </c>
      <c r="M1548" s="228">
        <f>IF(Tableau14[[#This Row],[Prix_Unit_HT]]=0,0,Tableau14[[#This Row],[Prix_Unit_HT]]+(Tableau14[[#This Row],[Prix_Unit_HT]]*VLOOKUP(Tableau14[[#This Row],[EAN]],[1]Grille_Tarifs_Modulable!$B$10:$Q$204,16,FALSE)))</f>
        <v>0.93895000000000006</v>
      </c>
      <c r="N1548" s="224">
        <v>24</v>
      </c>
      <c r="O1548" s="228">
        <f>ROUND(Tableau14[[#This Row],[Prix_Unit_HT]],2)*Tableau14[[#This Row],[Qte_commande]]</f>
        <v>21.36</v>
      </c>
      <c r="P1548" s="228">
        <f>ROUND(Tableau14[[#This Row],[Prix_Unit_TTC]],2)*Tableau14[[#This Row],[Qte_commande]]</f>
        <v>22.56</v>
      </c>
      <c r="Q1548" s="224">
        <v>6.86</v>
      </c>
      <c r="R1548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6.8571428571428577</v>
      </c>
      <c r="U1548" s="224"/>
      <c r="V1548" s="224"/>
    </row>
    <row r="1549" spans="1:22" ht="14.65" customHeight="1" x14ac:dyDescent="0.2">
      <c r="A1549" s="225">
        <v>43622</v>
      </c>
      <c r="B1549" s="224" t="s">
        <v>833</v>
      </c>
      <c r="C1549" s="224" t="s">
        <v>198</v>
      </c>
      <c r="D1549" s="224" t="s">
        <v>199</v>
      </c>
      <c r="E1549" s="226"/>
      <c r="G1549" s="224" t="s">
        <v>13</v>
      </c>
      <c r="H1549" s="224" t="s">
        <v>196</v>
      </c>
      <c r="I1549" s="224" t="s">
        <v>66</v>
      </c>
      <c r="J1549" s="224">
        <v>20</v>
      </c>
      <c r="K1549" s="227">
        <f t="array" ref="K1549">IFERROR(INDEX([1]Grille_Tarifs_Modulable!$B$2:$B$204,MATCH(Tableau14[[#This Row],[Designation]]&amp;Tableau14[[#This Row],[CL]],[1]Grille_Tarifs_Modulable!$C$2:$C$204&amp;[1]Grille_Tarifs_Modulable!$F$2:$F$204,0)),0)</f>
        <v>4260310554785</v>
      </c>
      <c r="L1549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0.89</v>
      </c>
      <c r="M1549" s="228">
        <f>IF(Tableau14[[#This Row],[Prix_Unit_HT]]=0,0,Tableau14[[#This Row],[Prix_Unit_HT]]+(Tableau14[[#This Row],[Prix_Unit_HT]]*VLOOKUP(Tableau14[[#This Row],[EAN]],[1]Grille_Tarifs_Modulable!$B$10:$Q$204,16,FALSE)))</f>
        <v>0.93895000000000006</v>
      </c>
      <c r="N1549" s="224">
        <v>240</v>
      </c>
      <c r="O1549" s="228">
        <f>ROUND(Tableau14[[#This Row],[Prix_Unit_HT]],2)*Tableau14[[#This Row],[Qte_commande]]</f>
        <v>213.6</v>
      </c>
      <c r="P1549" s="228">
        <f>ROUND(Tableau14[[#This Row],[Prix_Unit_TTC]],2)*Tableau14[[#This Row],[Qte_commande]]</f>
        <v>225.6</v>
      </c>
      <c r="Q1549" s="224">
        <v>68.569999999999993</v>
      </c>
      <c r="R1549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68.571428571428569</v>
      </c>
      <c r="U1549" s="224"/>
      <c r="V1549" s="224"/>
    </row>
    <row r="1550" spans="1:22" ht="14.65" customHeight="1" x14ac:dyDescent="0.2">
      <c r="A1550" s="225">
        <v>43622</v>
      </c>
      <c r="B1550" s="224" t="s">
        <v>833</v>
      </c>
      <c r="C1550" s="224" t="s">
        <v>198</v>
      </c>
      <c r="D1550" s="224" t="s">
        <v>199</v>
      </c>
      <c r="E1550" s="226"/>
      <c r="G1550" s="224" t="s">
        <v>13</v>
      </c>
      <c r="H1550" s="224" t="s">
        <v>196</v>
      </c>
      <c r="I1550" s="224" t="s">
        <v>66</v>
      </c>
      <c r="J1550" s="224">
        <v>20</v>
      </c>
      <c r="K1550" s="227">
        <f t="array" ref="K1550">IFERROR(INDEX([1]Grille_Tarifs_Modulable!$B$2:$B$204,MATCH(Tableau14[[#This Row],[Designation]]&amp;Tableau14[[#This Row],[CL]],[1]Grille_Tarifs_Modulable!$C$2:$C$204&amp;[1]Grille_Tarifs_Modulable!$F$2:$F$204,0)),0)</f>
        <v>4260310554785</v>
      </c>
      <c r="L1550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0.89</v>
      </c>
      <c r="M1550" s="228">
        <f>IF(Tableau14[[#This Row],[Prix_Unit_HT]]=0,0,Tableau14[[#This Row],[Prix_Unit_HT]]+(Tableau14[[#This Row],[Prix_Unit_HT]]*VLOOKUP(Tableau14[[#This Row],[EAN]],[1]Grille_Tarifs_Modulable!$B$10:$Q$204,16,FALSE)))</f>
        <v>0.93895000000000006</v>
      </c>
      <c r="N1550" s="224">
        <v>24</v>
      </c>
      <c r="O1550" s="228">
        <f>ROUND(Tableau14[[#This Row],[Prix_Unit_HT]],2)*Tableau14[[#This Row],[Qte_commande]]</f>
        <v>21.36</v>
      </c>
      <c r="P1550" s="228">
        <f>ROUND(Tableau14[[#This Row],[Prix_Unit_TTC]],2)*Tableau14[[#This Row],[Qte_commande]]</f>
        <v>22.56</v>
      </c>
      <c r="Q1550" s="224">
        <v>6.86</v>
      </c>
      <c r="R1550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6.8571428571428577</v>
      </c>
      <c r="U1550" s="224"/>
      <c r="V1550" s="224"/>
    </row>
    <row r="1551" spans="1:22" ht="14.65" customHeight="1" x14ac:dyDescent="0.2">
      <c r="A1551" s="225">
        <v>43622</v>
      </c>
      <c r="B1551" s="224" t="s">
        <v>883</v>
      </c>
      <c r="C1551" s="224" t="s">
        <v>884</v>
      </c>
      <c r="D1551" s="224" t="s">
        <v>523</v>
      </c>
      <c r="E1551" s="226"/>
      <c r="G1551" s="224" t="s">
        <v>13</v>
      </c>
      <c r="H1551" s="224" t="s">
        <v>289</v>
      </c>
      <c r="I1551" s="224" t="s">
        <v>37</v>
      </c>
      <c r="J1551" s="224">
        <v>5</v>
      </c>
      <c r="K1551" s="227">
        <f t="array" ref="K1551">IFERROR(INDEX([1]Grille_Tarifs_Modulable!$B$2:$B$204,MATCH(Tableau14[[#This Row],[Designation]]&amp;Tableau14[[#This Row],[CL]],[1]Grille_Tarifs_Modulable!$C$2:$C$204&amp;[1]Grille_Tarifs_Modulable!$F$2:$F$204,0)),0)</f>
        <v>3257150100821</v>
      </c>
      <c r="L1551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7.872046000000001</v>
      </c>
      <c r="M1551" s="228">
        <f>IF(Tableau14[[#This Row],[Prix_Unit_HT]]=0,0,Tableau14[[#This Row],[Prix_Unit_HT]]+(Tableau14[[#This Row],[Prix_Unit_HT]]*VLOOKUP(Tableau14[[#This Row],[EAN]],[1]Grille_Tarifs_Modulable!$B$10:$Q$204,16,FALSE)))</f>
        <v>9.4464552000000008</v>
      </c>
      <c r="N1551" s="224">
        <v>30</v>
      </c>
      <c r="O1551" s="228">
        <f>ROUND(Tableau14[[#This Row],[Prix_Unit_HT]],2)*Tableau14[[#This Row],[Qte_commande]]</f>
        <v>236.1</v>
      </c>
      <c r="P1551" s="228">
        <f>ROUND(Tableau14[[#This Row],[Prix_Unit_TTC]],2)*Tableau14[[#This Row],[Qte_commande]]</f>
        <v>283.5</v>
      </c>
      <c r="Q1551" s="224">
        <v>2.14</v>
      </c>
      <c r="R1551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2.1428571428571428</v>
      </c>
      <c r="U1551" s="224"/>
      <c r="V1551" s="224"/>
    </row>
    <row r="1552" spans="1:22" ht="14.65" customHeight="1" x14ac:dyDescent="0.2">
      <c r="A1552" s="225">
        <v>43622</v>
      </c>
      <c r="B1552" s="224" t="s">
        <v>420</v>
      </c>
      <c r="C1552" s="224" t="s">
        <v>265</v>
      </c>
      <c r="D1552" s="224" t="s">
        <v>266</v>
      </c>
      <c r="E1552" s="226"/>
      <c r="G1552" s="224" t="s">
        <v>1</v>
      </c>
      <c r="H1552" s="224" t="s">
        <v>289</v>
      </c>
      <c r="I1552" s="224" t="s">
        <v>44</v>
      </c>
      <c r="J1552" s="224">
        <v>50</v>
      </c>
      <c r="K1552" s="227">
        <f t="array" ref="K1552">IFERROR(INDEX([1]Grille_Tarifs_Modulable!$B$2:$B$204,MATCH(Tableau14[[#This Row],[Designation]]&amp;Tableau14[[#This Row],[CL]],[1]Grille_Tarifs_Modulable!$C$2:$C$204&amp;[1]Grille_Tarifs_Modulable!$F$2:$F$204,0)),0)</f>
        <v>4260270192645</v>
      </c>
      <c r="L1552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25.192506000000002</v>
      </c>
      <c r="M1552" s="228">
        <f>IF(Tableau14[[#This Row],[Prix_Unit_HT]]=0,0,Tableau14[[#This Row],[Prix_Unit_HT]]+(Tableau14[[#This Row],[Prix_Unit_HT]]*VLOOKUP(Tableau14[[#This Row],[EAN]],[1]Grille_Tarifs_Modulable!$B$10:$Q$204,16,FALSE)))</f>
        <v>30.231007200000001</v>
      </c>
      <c r="N1552" s="224">
        <v>6</v>
      </c>
      <c r="O1552" s="228">
        <f>ROUND(Tableau14[[#This Row],[Prix_Unit_HT]],2)*Tableau14[[#This Row],[Qte_commande]]</f>
        <v>151.14000000000001</v>
      </c>
      <c r="P1552" s="228">
        <f>ROUND(Tableau14[[#This Row],[Prix_Unit_TTC]],2)*Tableau14[[#This Row],[Qte_commande]]</f>
        <v>181.38</v>
      </c>
      <c r="Q1552" s="224">
        <v>4.29</v>
      </c>
      <c r="R1552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4.2857142857142856</v>
      </c>
      <c r="U1552" s="224"/>
      <c r="V1552" s="224"/>
    </row>
    <row r="1553" spans="1:22" ht="14.65" customHeight="1" x14ac:dyDescent="0.2">
      <c r="A1553" s="225">
        <v>43622</v>
      </c>
      <c r="B1553" s="224" t="s">
        <v>420</v>
      </c>
      <c r="C1553" s="224" t="s">
        <v>265</v>
      </c>
      <c r="D1553" s="224" t="s">
        <v>266</v>
      </c>
      <c r="E1553" s="226"/>
      <c r="G1553" s="224" t="s">
        <v>1</v>
      </c>
      <c r="H1553" s="224" t="s">
        <v>196</v>
      </c>
      <c r="I1553" s="224" t="s">
        <v>64</v>
      </c>
      <c r="J1553" s="224">
        <v>20</v>
      </c>
      <c r="K1553" s="227">
        <f t="array" ref="K1553">IFERROR(INDEX([1]Grille_Tarifs_Modulable!$B$2:$B$204,MATCH(Tableau14[[#This Row],[Designation]]&amp;Tableau14[[#This Row],[CL]],[1]Grille_Tarifs_Modulable!$C$2:$C$204&amp;[1]Grille_Tarifs_Modulable!$F$2:$F$204,0)),0)</f>
        <v>4260310553849</v>
      </c>
      <c r="L1553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0.81</v>
      </c>
      <c r="M1553" s="228">
        <f>IF(Tableau14[[#This Row],[Prix_Unit_HT]]=0,0,Tableau14[[#This Row],[Prix_Unit_HT]]+(Tableau14[[#This Row],[Prix_Unit_HT]]*VLOOKUP(Tableau14[[#This Row],[EAN]],[1]Grille_Tarifs_Modulable!$B$10:$Q$204,16,FALSE)))</f>
        <v>0.85455000000000003</v>
      </c>
      <c r="N1553" s="224">
        <v>240</v>
      </c>
      <c r="O1553" s="228">
        <f>ROUND(Tableau14[[#This Row],[Prix_Unit_HT]],2)*Tableau14[[#This Row],[Qte_commande]]</f>
        <v>194.4</v>
      </c>
      <c r="P1553" s="228">
        <f>ROUND(Tableau14[[#This Row],[Prix_Unit_TTC]],2)*Tableau14[[#This Row],[Qte_commande]]</f>
        <v>204</v>
      </c>
      <c r="Q1553" s="224">
        <v>68.569999999999993</v>
      </c>
      <c r="R1553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68.571428571428569</v>
      </c>
      <c r="U1553" s="224"/>
      <c r="V1553" s="224"/>
    </row>
    <row r="1554" spans="1:22" ht="14.65" customHeight="1" x14ac:dyDescent="0.2">
      <c r="A1554" s="225">
        <v>43622</v>
      </c>
      <c r="B1554" s="224" t="s">
        <v>833</v>
      </c>
      <c r="C1554" s="224" t="s">
        <v>198</v>
      </c>
      <c r="D1554" s="224" t="s">
        <v>199</v>
      </c>
      <c r="E1554" s="226"/>
      <c r="G1554" s="224" t="s">
        <v>1</v>
      </c>
      <c r="H1554" s="224" t="s">
        <v>196</v>
      </c>
      <c r="I1554" s="224" t="s">
        <v>64</v>
      </c>
      <c r="J1554" s="224">
        <v>20</v>
      </c>
      <c r="K1554" s="227">
        <f t="array" ref="K1554">IFERROR(INDEX([1]Grille_Tarifs_Modulable!$B$2:$B$204,MATCH(Tableau14[[#This Row],[Designation]]&amp;Tableau14[[#This Row],[CL]],[1]Grille_Tarifs_Modulable!$C$2:$C$204&amp;[1]Grille_Tarifs_Modulable!$F$2:$F$204,0)),0)</f>
        <v>4260310553849</v>
      </c>
      <c r="L1554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0.81</v>
      </c>
      <c r="M1554" s="228">
        <f>IF(Tableau14[[#This Row],[Prix_Unit_HT]]=0,0,Tableau14[[#This Row],[Prix_Unit_HT]]+(Tableau14[[#This Row],[Prix_Unit_HT]]*VLOOKUP(Tableau14[[#This Row],[EAN]],[1]Grille_Tarifs_Modulable!$B$10:$Q$204,16,FALSE)))</f>
        <v>0.85455000000000003</v>
      </c>
      <c r="N1554" s="224">
        <v>360</v>
      </c>
      <c r="O1554" s="228">
        <f>ROUND(Tableau14[[#This Row],[Prix_Unit_HT]],2)*Tableau14[[#This Row],[Qte_commande]]</f>
        <v>291.60000000000002</v>
      </c>
      <c r="P1554" s="228">
        <f>ROUND(Tableau14[[#This Row],[Prix_Unit_TTC]],2)*Tableau14[[#This Row],[Qte_commande]]</f>
        <v>306</v>
      </c>
      <c r="Q1554" s="224">
        <v>102.86</v>
      </c>
      <c r="R1554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102.85714285714286</v>
      </c>
      <c r="U1554" s="224"/>
      <c r="V1554" s="224"/>
    </row>
    <row r="1555" spans="1:22" ht="14.65" customHeight="1" x14ac:dyDescent="0.2">
      <c r="A1555" s="225">
        <v>43622</v>
      </c>
      <c r="B1555" s="224" t="s">
        <v>420</v>
      </c>
      <c r="C1555" s="224" t="s">
        <v>265</v>
      </c>
      <c r="D1555" s="224" t="s">
        <v>266</v>
      </c>
      <c r="E1555" s="226"/>
      <c r="G1555" s="224" t="s">
        <v>1</v>
      </c>
      <c r="H1555" s="224" t="s">
        <v>196</v>
      </c>
      <c r="I1555" s="224" t="s">
        <v>59</v>
      </c>
      <c r="J1555" s="224">
        <v>20</v>
      </c>
      <c r="K1555" s="227">
        <f t="array" ref="K1555">IFERROR(INDEX([1]Grille_Tarifs_Modulable!$B$2:$B$204,MATCH(Tableau14[[#This Row],[Designation]]&amp;Tableau14[[#This Row],[CL]],[1]Grille_Tarifs_Modulable!$C$2:$C$204&amp;[1]Grille_Tarifs_Modulable!$F$2:$F$204,0)),0)</f>
        <v>4260310553818</v>
      </c>
      <c r="L1555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0.81</v>
      </c>
      <c r="M1555" s="228">
        <f>IF(Tableau14[[#This Row],[Prix_Unit_HT]]=0,0,Tableau14[[#This Row],[Prix_Unit_HT]]+(Tableau14[[#This Row],[Prix_Unit_HT]]*VLOOKUP(Tableau14[[#This Row],[EAN]],[1]Grille_Tarifs_Modulable!$B$10:$Q$204,16,FALSE)))</f>
        <v>0.85455000000000003</v>
      </c>
      <c r="N1555" s="224">
        <v>192</v>
      </c>
      <c r="O1555" s="228">
        <f>ROUND(Tableau14[[#This Row],[Prix_Unit_HT]],2)*Tableau14[[#This Row],[Qte_commande]]</f>
        <v>155.52000000000001</v>
      </c>
      <c r="P1555" s="228">
        <f>ROUND(Tableau14[[#This Row],[Prix_Unit_TTC]],2)*Tableau14[[#This Row],[Qte_commande]]</f>
        <v>163.19999999999999</v>
      </c>
      <c r="Q1555" s="224">
        <v>54.86</v>
      </c>
      <c r="R1555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54.857142857142861</v>
      </c>
      <c r="U1555" s="224"/>
      <c r="V1555" s="224"/>
    </row>
    <row r="1556" spans="1:22" ht="14.65" customHeight="1" x14ac:dyDescent="0.2">
      <c r="A1556" s="225">
        <v>43622</v>
      </c>
      <c r="B1556" s="224" t="s">
        <v>883</v>
      </c>
      <c r="C1556" s="224" t="s">
        <v>884</v>
      </c>
      <c r="D1556" s="224" t="s">
        <v>523</v>
      </c>
      <c r="E1556" s="226"/>
      <c r="G1556" s="224" t="s">
        <v>13</v>
      </c>
      <c r="H1556" s="224"/>
      <c r="I1556" s="224" t="s">
        <v>1348</v>
      </c>
      <c r="J1556" s="228" t="s">
        <v>448</v>
      </c>
      <c r="K1556" s="227">
        <f t="array" ref="K1556">IFERROR(INDEX([1]Grille_Tarifs_Modulable!$B$2:$B$204,MATCH(Tableau14[[#This Row],[Designation]]&amp;Tableau14[[#This Row],[CL]],[1]Grille_Tarifs_Modulable!$C$2:$C$204&amp;[1]Grille_Tarifs_Modulable!$F$2:$F$204,0)),0)</f>
        <v>0</v>
      </c>
      <c r="L1556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</v>
      </c>
      <c r="M1556" s="228">
        <f>IF(Tableau14[[#This Row],[Prix_Unit_HT]]=0,0,Tableau14[[#This Row],[Prix_Unit_HT]]+(Tableau14[[#This Row],[Prix_Unit_HT]]*VLOOKUP(Tableau14[[#This Row],[EAN]],[1]Grille_Tarifs_Modulable!$B$10:$Q$204,16,FALSE)))</f>
        <v>0</v>
      </c>
      <c r="N1556" s="224">
        <v>1</v>
      </c>
      <c r="O1556" s="228">
        <f>ROUND(Tableau14[[#This Row],[Prix_Unit_HT]],2)*Tableau14[[#This Row],[Qte_commande]]</f>
        <v>0</v>
      </c>
      <c r="P1556" s="228">
        <f>ROUND(Tableau14[[#This Row],[Prix_Unit_TTC]],2)*Tableau14[[#This Row],[Qte_commande]]</f>
        <v>0</v>
      </c>
      <c r="Q1556" s="224">
        <v>1</v>
      </c>
      <c r="R1556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0</v>
      </c>
      <c r="U1556" s="224"/>
      <c r="V1556" s="224"/>
    </row>
    <row r="1557" spans="1:22" ht="14.65" customHeight="1" x14ac:dyDescent="0.2">
      <c r="A1557" s="225">
        <v>43623</v>
      </c>
      <c r="B1557" s="224" t="s">
        <v>253</v>
      </c>
      <c r="C1557" s="224" t="s">
        <v>248</v>
      </c>
      <c r="D1557" s="224" t="s">
        <v>180</v>
      </c>
      <c r="E1557" s="226"/>
      <c r="G1557" s="224" t="s">
        <v>13</v>
      </c>
      <c r="H1557" s="224" t="s">
        <v>196</v>
      </c>
      <c r="I1557" s="224" t="s">
        <v>62</v>
      </c>
      <c r="J1557" s="224">
        <v>20</v>
      </c>
      <c r="K1557" s="227">
        <f t="array" ref="K1557">IFERROR(INDEX([1]Grille_Tarifs_Modulable!$B$2:$B$204,MATCH(Tableau14[[#This Row],[Designation]]&amp;Tableau14[[#This Row],[CL]],[1]Grille_Tarifs_Modulable!$C$2:$C$204&amp;[1]Grille_Tarifs_Modulable!$F$2:$F$204,0)),0)</f>
        <v>4260310550305</v>
      </c>
      <c r="L1557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0.89</v>
      </c>
      <c r="M1557" s="228">
        <f>IF(Tableau14[[#This Row],[Prix_Unit_HT]]=0,0,Tableau14[[#This Row],[Prix_Unit_HT]]+(Tableau14[[#This Row],[Prix_Unit_HT]]*VLOOKUP(Tableau14[[#This Row],[EAN]],[1]Grille_Tarifs_Modulable!$B$10:$Q$204,16,FALSE)))</f>
        <v>0.93895000000000006</v>
      </c>
      <c r="N1557" s="224">
        <v>72</v>
      </c>
      <c r="O1557" s="228">
        <f>ROUND(Tableau14[[#This Row],[Prix_Unit_HT]],2)*Tableau14[[#This Row],[Qte_commande]]</f>
        <v>64.08</v>
      </c>
      <c r="P1557" s="228">
        <f>ROUND(Tableau14[[#This Row],[Prix_Unit_TTC]],2)*Tableau14[[#This Row],[Qte_commande]]</f>
        <v>67.679999999999993</v>
      </c>
      <c r="Q1557" s="224">
        <v>20.57</v>
      </c>
      <c r="R1557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20.571428571428573</v>
      </c>
      <c r="U1557" s="224"/>
      <c r="V1557" s="224"/>
    </row>
    <row r="1558" spans="1:22" ht="14.65" customHeight="1" x14ac:dyDescent="0.2">
      <c r="A1558" s="225">
        <v>43623</v>
      </c>
      <c r="B1558" s="224" t="s">
        <v>253</v>
      </c>
      <c r="C1558" s="224" t="s">
        <v>248</v>
      </c>
      <c r="D1558" s="224" t="s">
        <v>180</v>
      </c>
      <c r="E1558" s="226"/>
      <c r="G1558" s="224" t="s">
        <v>13</v>
      </c>
      <c r="H1558" s="224" t="s">
        <v>196</v>
      </c>
      <c r="I1558" s="224" t="s">
        <v>63</v>
      </c>
      <c r="J1558" s="224">
        <v>20</v>
      </c>
      <c r="K1558" s="227">
        <f t="array" ref="K1558">IFERROR(INDEX([1]Grille_Tarifs_Modulable!$B$2:$B$204,MATCH(Tableau14[[#This Row],[Designation]]&amp;Tableau14[[#This Row],[CL]],[1]Grille_Tarifs_Modulable!$C$2:$C$204&amp;[1]Grille_Tarifs_Modulable!$F$2:$F$204,0)),0)</f>
        <v>4260310552941</v>
      </c>
      <c r="L1558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0.89</v>
      </c>
      <c r="M1558" s="228">
        <f>IF(Tableau14[[#This Row],[Prix_Unit_HT]]=0,0,Tableau14[[#This Row],[Prix_Unit_HT]]+(Tableau14[[#This Row],[Prix_Unit_HT]]*VLOOKUP(Tableau14[[#This Row],[EAN]],[1]Grille_Tarifs_Modulable!$B$10:$Q$204,16,FALSE)))</f>
        <v>0.93895000000000006</v>
      </c>
      <c r="N1558" s="224">
        <v>72</v>
      </c>
      <c r="O1558" s="228">
        <f>ROUND(Tableau14[[#This Row],[Prix_Unit_HT]],2)*Tableau14[[#This Row],[Qte_commande]]</f>
        <v>64.08</v>
      </c>
      <c r="P1558" s="228">
        <f>ROUND(Tableau14[[#This Row],[Prix_Unit_TTC]],2)*Tableau14[[#This Row],[Qte_commande]]</f>
        <v>67.679999999999993</v>
      </c>
      <c r="Q1558" s="224">
        <v>20.57</v>
      </c>
      <c r="R1558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20.571428571428573</v>
      </c>
      <c r="U1558" s="224"/>
      <c r="V1558" s="224"/>
    </row>
    <row r="1559" spans="1:22" ht="14.65" customHeight="1" x14ac:dyDescent="0.2">
      <c r="A1559" s="225">
        <v>43623</v>
      </c>
      <c r="B1559" s="224" t="s">
        <v>253</v>
      </c>
      <c r="C1559" s="224" t="s">
        <v>248</v>
      </c>
      <c r="D1559" s="224" t="s">
        <v>180</v>
      </c>
      <c r="E1559" s="226"/>
      <c r="G1559" s="224" t="s">
        <v>13</v>
      </c>
      <c r="H1559" s="224" t="s">
        <v>196</v>
      </c>
      <c r="I1559" s="224" t="s">
        <v>65</v>
      </c>
      <c r="J1559" s="224">
        <v>20</v>
      </c>
      <c r="K1559" s="227">
        <f t="array" ref="K1559">IFERROR(INDEX([1]Grille_Tarifs_Modulable!$B$2:$B$204,MATCH(Tableau14[[#This Row],[Designation]]&amp;Tableau14[[#This Row],[CL]],[1]Grille_Tarifs_Modulable!$C$2:$C$204&amp;[1]Grille_Tarifs_Modulable!$F$2:$F$204,0)),0)</f>
        <v>4260310553863</v>
      </c>
      <c r="L1559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0.89</v>
      </c>
      <c r="M1559" s="228">
        <f>IF(Tableau14[[#This Row],[Prix_Unit_HT]]=0,0,Tableau14[[#This Row],[Prix_Unit_HT]]+(Tableau14[[#This Row],[Prix_Unit_HT]]*VLOOKUP(Tableau14[[#This Row],[EAN]],[1]Grille_Tarifs_Modulable!$B$10:$Q$204,16,FALSE)))</f>
        <v>0.93895000000000006</v>
      </c>
      <c r="N1559" s="224">
        <v>48</v>
      </c>
      <c r="O1559" s="228">
        <f>ROUND(Tableau14[[#This Row],[Prix_Unit_HT]],2)*Tableau14[[#This Row],[Qte_commande]]</f>
        <v>42.72</v>
      </c>
      <c r="P1559" s="228">
        <f>ROUND(Tableau14[[#This Row],[Prix_Unit_TTC]],2)*Tableau14[[#This Row],[Qte_commande]]</f>
        <v>45.12</v>
      </c>
      <c r="Q1559" s="224">
        <v>13.71</v>
      </c>
      <c r="R1559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13.714285714285715</v>
      </c>
      <c r="U1559" s="224"/>
      <c r="V1559" s="224"/>
    </row>
    <row r="1560" spans="1:22" ht="14.65" customHeight="1" x14ac:dyDescent="0.2">
      <c r="A1560" s="225">
        <v>43623</v>
      </c>
      <c r="B1560" s="224" t="s">
        <v>253</v>
      </c>
      <c r="C1560" s="224" t="s">
        <v>248</v>
      </c>
      <c r="D1560" s="224" t="s">
        <v>180</v>
      </c>
      <c r="E1560" s="226"/>
      <c r="G1560" s="224" t="s">
        <v>13</v>
      </c>
      <c r="H1560" s="224" t="s">
        <v>196</v>
      </c>
      <c r="I1560" s="224" t="s">
        <v>60</v>
      </c>
      <c r="J1560" s="224">
        <v>20</v>
      </c>
      <c r="K1560" s="227">
        <f t="array" ref="K1560">IFERROR(INDEX([1]Grille_Tarifs_Modulable!$B$2:$B$204,MATCH(Tableau14[[#This Row],[Designation]]&amp;Tableau14[[#This Row],[CL]],[1]Grille_Tarifs_Modulable!$C$2:$C$204&amp;[1]Grille_Tarifs_Modulable!$F$2:$F$204,0)),0)</f>
        <v>4260310553832</v>
      </c>
      <c r="L1560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0.89</v>
      </c>
      <c r="M1560" s="228">
        <f>IF(Tableau14[[#This Row],[Prix_Unit_HT]]=0,0,Tableau14[[#This Row],[Prix_Unit_HT]]+(Tableau14[[#This Row],[Prix_Unit_HT]]*VLOOKUP(Tableau14[[#This Row],[EAN]],[1]Grille_Tarifs_Modulable!$B$10:$Q$204,16,FALSE)))</f>
        <v>0.93895000000000006</v>
      </c>
      <c r="N1560" s="224">
        <v>96</v>
      </c>
      <c r="O1560" s="228">
        <f>ROUND(Tableau14[[#This Row],[Prix_Unit_HT]],2)*Tableau14[[#This Row],[Qte_commande]]</f>
        <v>85.44</v>
      </c>
      <c r="P1560" s="228">
        <f>ROUND(Tableau14[[#This Row],[Prix_Unit_TTC]],2)*Tableau14[[#This Row],[Qte_commande]]</f>
        <v>90.24</v>
      </c>
      <c r="Q1560" s="224">
        <v>27.43</v>
      </c>
      <c r="R1560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27.428571428571431</v>
      </c>
      <c r="U1560" s="224"/>
      <c r="V1560" s="224"/>
    </row>
    <row r="1561" spans="1:22" ht="14.65" customHeight="1" x14ac:dyDescent="0.2">
      <c r="A1561" s="225">
        <v>43623</v>
      </c>
      <c r="B1561" s="224" t="s">
        <v>253</v>
      </c>
      <c r="C1561" s="224" t="s">
        <v>248</v>
      </c>
      <c r="D1561" s="224" t="s">
        <v>180</v>
      </c>
      <c r="E1561" s="226"/>
      <c r="G1561" s="224" t="s">
        <v>13</v>
      </c>
      <c r="H1561" s="224" t="s">
        <v>196</v>
      </c>
      <c r="I1561" s="224" t="s">
        <v>66</v>
      </c>
      <c r="J1561" s="224">
        <v>20</v>
      </c>
      <c r="K1561" s="227">
        <f t="array" ref="K1561">IFERROR(INDEX([1]Grille_Tarifs_Modulable!$B$2:$B$204,MATCH(Tableau14[[#This Row],[Designation]]&amp;Tableau14[[#This Row],[CL]],[1]Grille_Tarifs_Modulable!$C$2:$C$204&amp;[1]Grille_Tarifs_Modulable!$F$2:$F$204,0)),0)</f>
        <v>4260310554785</v>
      </c>
      <c r="L1561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0.89</v>
      </c>
      <c r="M1561" s="228">
        <f>IF(Tableau14[[#This Row],[Prix_Unit_HT]]=0,0,Tableau14[[#This Row],[Prix_Unit_HT]]+(Tableau14[[#This Row],[Prix_Unit_HT]]*VLOOKUP(Tableau14[[#This Row],[EAN]],[1]Grille_Tarifs_Modulable!$B$10:$Q$204,16,FALSE)))</f>
        <v>0.93895000000000006</v>
      </c>
      <c r="N1561" s="224">
        <v>24</v>
      </c>
      <c r="O1561" s="228">
        <f>ROUND(Tableau14[[#This Row],[Prix_Unit_HT]],2)*Tableau14[[#This Row],[Qte_commande]]</f>
        <v>21.36</v>
      </c>
      <c r="P1561" s="228">
        <f>ROUND(Tableau14[[#This Row],[Prix_Unit_TTC]],2)*Tableau14[[#This Row],[Qte_commande]]</f>
        <v>22.56</v>
      </c>
      <c r="Q1561" s="224">
        <v>6.86</v>
      </c>
      <c r="R1561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6.8571428571428577</v>
      </c>
      <c r="U1561" s="224"/>
      <c r="V1561" s="224"/>
    </row>
    <row r="1562" spans="1:22" ht="14.65" customHeight="1" x14ac:dyDescent="0.2">
      <c r="A1562" s="225">
        <v>43623</v>
      </c>
      <c r="B1562" s="224" t="s">
        <v>253</v>
      </c>
      <c r="C1562" s="224" t="s">
        <v>248</v>
      </c>
      <c r="D1562" s="224" t="s">
        <v>180</v>
      </c>
      <c r="E1562" s="226"/>
      <c r="G1562" s="224" t="s">
        <v>13</v>
      </c>
      <c r="H1562" s="224" t="s">
        <v>196</v>
      </c>
      <c r="I1562" s="224" t="s">
        <v>64</v>
      </c>
      <c r="J1562" s="224">
        <v>20</v>
      </c>
      <c r="K1562" s="227">
        <f t="array" ref="K1562">IFERROR(INDEX([1]Grille_Tarifs_Modulable!$B$2:$B$204,MATCH(Tableau14[[#This Row],[Designation]]&amp;Tableau14[[#This Row],[CL]],[1]Grille_Tarifs_Modulable!$C$2:$C$204&amp;[1]Grille_Tarifs_Modulable!$F$2:$F$204,0)),0)</f>
        <v>4260310553849</v>
      </c>
      <c r="L1562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0.89</v>
      </c>
      <c r="M1562" s="228">
        <f>IF(Tableau14[[#This Row],[Prix_Unit_HT]]=0,0,Tableau14[[#This Row],[Prix_Unit_HT]]+(Tableau14[[#This Row],[Prix_Unit_HT]]*VLOOKUP(Tableau14[[#This Row],[EAN]],[1]Grille_Tarifs_Modulable!$B$10:$Q$204,16,FALSE)))</f>
        <v>0.93895000000000006</v>
      </c>
      <c r="N1562" s="224">
        <v>48</v>
      </c>
      <c r="O1562" s="228">
        <f>ROUND(Tableau14[[#This Row],[Prix_Unit_HT]],2)*Tableau14[[#This Row],[Qte_commande]]</f>
        <v>42.72</v>
      </c>
      <c r="P1562" s="228">
        <f>ROUND(Tableau14[[#This Row],[Prix_Unit_TTC]],2)*Tableau14[[#This Row],[Qte_commande]]</f>
        <v>45.12</v>
      </c>
      <c r="Q1562" s="224">
        <v>13.71</v>
      </c>
      <c r="R1562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13.714285714285715</v>
      </c>
      <c r="U1562" s="224"/>
      <c r="V1562" s="224"/>
    </row>
    <row r="1563" spans="1:22" ht="14.65" customHeight="1" x14ac:dyDescent="0.2">
      <c r="A1563" s="225">
        <v>43623</v>
      </c>
      <c r="B1563" s="224" t="s">
        <v>253</v>
      </c>
      <c r="C1563" s="224" t="s">
        <v>248</v>
      </c>
      <c r="D1563" s="224" t="s">
        <v>180</v>
      </c>
      <c r="E1563" s="226"/>
      <c r="G1563" s="224" t="s">
        <v>13</v>
      </c>
      <c r="H1563" s="224" t="s">
        <v>196</v>
      </c>
      <c r="I1563" s="224" t="s">
        <v>59</v>
      </c>
      <c r="J1563" s="224">
        <v>20</v>
      </c>
      <c r="K1563" s="227">
        <f t="array" ref="K1563">IFERROR(INDEX([1]Grille_Tarifs_Modulable!$B$2:$B$204,MATCH(Tableau14[[#This Row],[Designation]]&amp;Tableau14[[#This Row],[CL]],[1]Grille_Tarifs_Modulable!$C$2:$C$204&amp;[1]Grille_Tarifs_Modulable!$F$2:$F$204,0)),0)</f>
        <v>4260310553818</v>
      </c>
      <c r="L1563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0.89</v>
      </c>
      <c r="M1563" s="228">
        <f>IF(Tableau14[[#This Row],[Prix_Unit_HT]]=0,0,Tableau14[[#This Row],[Prix_Unit_HT]]+(Tableau14[[#This Row],[Prix_Unit_HT]]*VLOOKUP(Tableau14[[#This Row],[EAN]],[1]Grille_Tarifs_Modulable!$B$10:$Q$204,16,FALSE)))</f>
        <v>0.93895000000000006</v>
      </c>
      <c r="N1563" s="224">
        <v>120</v>
      </c>
      <c r="O1563" s="228">
        <f>ROUND(Tableau14[[#This Row],[Prix_Unit_HT]],2)*Tableau14[[#This Row],[Qte_commande]]</f>
        <v>106.8</v>
      </c>
      <c r="P1563" s="228">
        <f>ROUND(Tableau14[[#This Row],[Prix_Unit_TTC]],2)*Tableau14[[#This Row],[Qte_commande]]</f>
        <v>112.8</v>
      </c>
      <c r="Q1563" s="224">
        <v>34.29</v>
      </c>
      <c r="R1563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34.285714285714285</v>
      </c>
      <c r="U1563" s="224"/>
      <c r="V1563" s="224"/>
    </row>
    <row r="1564" spans="1:22" ht="14.65" customHeight="1" x14ac:dyDescent="0.2">
      <c r="A1564" s="225">
        <v>43627</v>
      </c>
      <c r="B1564" s="224" t="s">
        <v>753</v>
      </c>
      <c r="C1564" s="224" t="s">
        <v>557</v>
      </c>
      <c r="D1564" s="224" t="s">
        <v>558</v>
      </c>
      <c r="E1564" s="226"/>
      <c r="G1564" s="224" t="s">
        <v>1</v>
      </c>
      <c r="H1564" s="224" t="s">
        <v>289</v>
      </c>
      <c r="I1564" s="224" t="s">
        <v>15</v>
      </c>
      <c r="J1564" s="224">
        <v>70</v>
      </c>
      <c r="K1564" s="227">
        <f t="array" ref="K1564">IFERROR(INDEX([1]Grille_Tarifs_Modulable!$B$2:$B$204,MATCH(Tableau14[[#This Row],[Designation]]&amp;Tableau14[[#This Row],[CL]],[1]Grille_Tarifs_Modulable!$C$2:$C$204&amp;[1]Grille_Tarifs_Modulable!$F$2:$F$204,0)),0)</f>
        <v>4067700013859</v>
      </c>
      <c r="L1564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12.532563499999998</v>
      </c>
      <c r="M1564" s="228">
        <f>IF(Tableau14[[#This Row],[Prix_Unit_HT]]=0,0,Tableau14[[#This Row],[Prix_Unit_HT]]+(Tableau14[[#This Row],[Prix_Unit_HT]]*VLOOKUP(Tableau14[[#This Row],[EAN]],[1]Grille_Tarifs_Modulable!$B$10:$Q$204,16,FALSE)))</f>
        <v>15.039076199999998</v>
      </c>
      <c r="N1564" s="224">
        <v>480</v>
      </c>
      <c r="O1564" s="228">
        <f>ROUND(Tableau14[[#This Row],[Prix_Unit_HT]],2)*Tableau14[[#This Row],[Qte_commande]]</f>
        <v>6014.4</v>
      </c>
      <c r="P1564" s="228">
        <f>ROUND(Tableau14[[#This Row],[Prix_Unit_TTC]],2)*Tableau14[[#This Row],[Qte_commande]]</f>
        <v>7219.2</v>
      </c>
      <c r="Q1564" s="224">
        <v>480</v>
      </c>
      <c r="R1564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480.00000000000006</v>
      </c>
      <c r="U1564" s="224"/>
      <c r="V1564" s="224"/>
    </row>
    <row r="1565" spans="1:22" ht="14.65" customHeight="1" x14ac:dyDescent="0.2">
      <c r="A1565" s="225">
        <v>43629</v>
      </c>
      <c r="B1565" s="224" t="s">
        <v>834</v>
      </c>
      <c r="C1565" s="224" t="s">
        <v>198</v>
      </c>
      <c r="D1565" s="224" t="s">
        <v>199</v>
      </c>
      <c r="E1565" s="226"/>
      <c r="G1565" s="224" t="s">
        <v>13</v>
      </c>
      <c r="H1565" s="224" t="s">
        <v>196</v>
      </c>
      <c r="I1565" s="224" t="s">
        <v>66</v>
      </c>
      <c r="J1565" s="224">
        <v>20</v>
      </c>
      <c r="K1565" s="227">
        <f t="array" ref="K1565">IFERROR(INDEX([1]Grille_Tarifs_Modulable!$B$2:$B$204,MATCH(Tableau14[[#This Row],[Designation]]&amp;Tableau14[[#This Row],[CL]],[1]Grille_Tarifs_Modulable!$C$2:$C$204&amp;[1]Grille_Tarifs_Modulable!$F$2:$F$204,0)),0)</f>
        <v>4260310554785</v>
      </c>
      <c r="L1565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0.89</v>
      </c>
      <c r="M1565" s="228">
        <f>IF(Tableau14[[#This Row],[Prix_Unit_HT]]=0,0,Tableau14[[#This Row],[Prix_Unit_HT]]+(Tableau14[[#This Row],[Prix_Unit_HT]]*VLOOKUP(Tableau14[[#This Row],[EAN]],[1]Grille_Tarifs_Modulable!$B$10:$Q$204,16,FALSE)))</f>
        <v>0.93895000000000006</v>
      </c>
      <c r="N1565" s="224">
        <v>480</v>
      </c>
      <c r="O1565" s="228">
        <f>ROUND(Tableau14[[#This Row],[Prix_Unit_HT]],2)*Tableau14[[#This Row],[Qte_commande]]</f>
        <v>427.2</v>
      </c>
      <c r="P1565" s="228">
        <f>ROUND(Tableau14[[#This Row],[Prix_Unit_TTC]],2)*Tableau14[[#This Row],[Qte_commande]]</f>
        <v>451.2</v>
      </c>
      <c r="Q1565" s="224">
        <v>137.13999999999999</v>
      </c>
      <c r="R1565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137.14285714285714</v>
      </c>
      <c r="U1565" s="224"/>
      <c r="V1565" s="224"/>
    </row>
    <row r="1566" spans="1:22" ht="14.65" customHeight="1" x14ac:dyDescent="0.2">
      <c r="A1566" s="225">
        <v>43629</v>
      </c>
      <c r="B1566" s="224" t="s">
        <v>834</v>
      </c>
      <c r="C1566" s="224" t="s">
        <v>198</v>
      </c>
      <c r="D1566" s="224" t="s">
        <v>199</v>
      </c>
      <c r="E1566" s="226"/>
      <c r="G1566" s="224" t="s">
        <v>13</v>
      </c>
      <c r="H1566" s="224" t="s">
        <v>196</v>
      </c>
      <c r="I1566" s="224" t="s">
        <v>66</v>
      </c>
      <c r="J1566" s="224">
        <v>20</v>
      </c>
      <c r="K1566" s="227">
        <f t="array" ref="K1566">IFERROR(INDEX([1]Grille_Tarifs_Modulable!$B$2:$B$204,MATCH(Tableau14[[#This Row],[Designation]]&amp;Tableau14[[#This Row],[CL]],[1]Grille_Tarifs_Modulable!$C$2:$C$204&amp;[1]Grille_Tarifs_Modulable!$F$2:$F$204,0)),0)</f>
        <v>4260310554785</v>
      </c>
      <c r="L1566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0.89</v>
      </c>
      <c r="M1566" s="228">
        <f>IF(Tableau14[[#This Row],[Prix_Unit_HT]]=0,0,Tableau14[[#This Row],[Prix_Unit_HT]]+(Tableau14[[#This Row],[Prix_Unit_HT]]*VLOOKUP(Tableau14[[#This Row],[EAN]],[1]Grille_Tarifs_Modulable!$B$10:$Q$204,16,FALSE)))</f>
        <v>0.93895000000000006</v>
      </c>
      <c r="N1566" s="224">
        <v>48</v>
      </c>
      <c r="O1566" s="228">
        <f>ROUND(Tableau14[[#This Row],[Prix_Unit_HT]],2)*Tableau14[[#This Row],[Qte_commande]]</f>
        <v>42.72</v>
      </c>
      <c r="P1566" s="228">
        <f>ROUND(Tableau14[[#This Row],[Prix_Unit_TTC]],2)*Tableau14[[#This Row],[Qte_commande]]</f>
        <v>45.12</v>
      </c>
      <c r="Q1566" s="224">
        <v>13.71</v>
      </c>
      <c r="R1566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13.714285714285715</v>
      </c>
      <c r="U1566" s="224"/>
      <c r="V1566" s="224"/>
    </row>
    <row r="1567" spans="1:22" ht="14.65" customHeight="1" x14ac:dyDescent="0.2">
      <c r="A1567" s="225">
        <v>43629</v>
      </c>
      <c r="B1567" s="224" t="s">
        <v>834</v>
      </c>
      <c r="C1567" s="224" t="s">
        <v>198</v>
      </c>
      <c r="D1567" s="224" t="s">
        <v>199</v>
      </c>
      <c r="E1567" s="226"/>
      <c r="G1567" s="224" t="s">
        <v>1</v>
      </c>
      <c r="H1567" s="224" t="s">
        <v>289</v>
      </c>
      <c r="I1567" s="224" t="s">
        <v>44</v>
      </c>
      <c r="J1567" s="224">
        <v>50</v>
      </c>
      <c r="K1567" s="227">
        <f t="array" ref="K1567">IFERROR(INDEX([1]Grille_Tarifs_Modulable!$B$2:$B$204,MATCH(Tableau14[[#This Row],[Designation]]&amp;Tableau14[[#This Row],[CL]],[1]Grille_Tarifs_Modulable!$C$2:$C$204&amp;[1]Grille_Tarifs_Modulable!$F$2:$F$204,0)),0)</f>
        <v>4260270192645</v>
      </c>
      <c r="L1567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25.192506000000002</v>
      </c>
      <c r="M1567" s="228">
        <f>IF(Tableau14[[#This Row],[Prix_Unit_HT]]=0,0,Tableau14[[#This Row],[Prix_Unit_HT]]+(Tableau14[[#This Row],[Prix_Unit_HT]]*VLOOKUP(Tableau14[[#This Row],[EAN]],[1]Grille_Tarifs_Modulable!$B$10:$Q$204,16,FALSE)))</f>
        <v>30.231007200000001</v>
      </c>
      <c r="N1567" s="224">
        <v>6</v>
      </c>
      <c r="O1567" s="228">
        <f>ROUND(Tableau14[[#This Row],[Prix_Unit_HT]],2)*Tableau14[[#This Row],[Qte_commande]]</f>
        <v>151.14000000000001</v>
      </c>
      <c r="P1567" s="228">
        <f>ROUND(Tableau14[[#This Row],[Prix_Unit_TTC]],2)*Tableau14[[#This Row],[Qte_commande]]</f>
        <v>181.38</v>
      </c>
      <c r="Q1567" s="224">
        <v>4.29</v>
      </c>
      <c r="R1567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4.2857142857142856</v>
      </c>
      <c r="U1567" s="224"/>
      <c r="V1567" s="224"/>
    </row>
    <row r="1568" spans="1:22" ht="14.65" customHeight="1" x14ac:dyDescent="0.2">
      <c r="A1568" s="225">
        <v>43629</v>
      </c>
      <c r="B1568" s="224" t="s">
        <v>834</v>
      </c>
      <c r="C1568" s="224" t="s">
        <v>198</v>
      </c>
      <c r="D1568" s="224" t="s">
        <v>199</v>
      </c>
      <c r="E1568" s="226"/>
      <c r="G1568" s="224" t="s">
        <v>1</v>
      </c>
      <c r="H1568" s="224" t="s">
        <v>196</v>
      </c>
      <c r="I1568" s="224" t="s">
        <v>64</v>
      </c>
      <c r="J1568" s="224">
        <v>20</v>
      </c>
      <c r="K1568" s="227">
        <f t="array" ref="K1568">IFERROR(INDEX([1]Grille_Tarifs_Modulable!$B$2:$B$204,MATCH(Tableau14[[#This Row],[Designation]]&amp;Tableau14[[#This Row],[CL]],[1]Grille_Tarifs_Modulable!$C$2:$C$204&amp;[1]Grille_Tarifs_Modulable!$F$2:$F$204,0)),0)</f>
        <v>4260310553849</v>
      </c>
      <c r="L1568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0.81</v>
      </c>
      <c r="M1568" s="228">
        <f>IF(Tableau14[[#This Row],[Prix_Unit_HT]]=0,0,Tableau14[[#This Row],[Prix_Unit_HT]]+(Tableau14[[#This Row],[Prix_Unit_HT]]*VLOOKUP(Tableau14[[#This Row],[EAN]],[1]Grille_Tarifs_Modulable!$B$10:$Q$204,16,FALSE)))</f>
        <v>0.85455000000000003</v>
      </c>
      <c r="N1568" s="224">
        <v>360</v>
      </c>
      <c r="O1568" s="228">
        <f>ROUND(Tableau14[[#This Row],[Prix_Unit_HT]],2)*Tableau14[[#This Row],[Qte_commande]]</f>
        <v>291.60000000000002</v>
      </c>
      <c r="P1568" s="228">
        <f>ROUND(Tableau14[[#This Row],[Prix_Unit_TTC]],2)*Tableau14[[#This Row],[Qte_commande]]</f>
        <v>306</v>
      </c>
      <c r="Q1568" s="224">
        <v>102.86</v>
      </c>
      <c r="R1568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102.85714285714286</v>
      </c>
      <c r="U1568" s="224"/>
      <c r="V1568" s="224"/>
    </row>
    <row r="1569" spans="1:22" ht="14.65" customHeight="1" x14ac:dyDescent="0.2">
      <c r="A1569" s="225">
        <v>43629</v>
      </c>
      <c r="B1569" s="224" t="s">
        <v>1270</v>
      </c>
      <c r="C1569" s="224" t="s">
        <v>1271</v>
      </c>
      <c r="D1569" s="224" t="s">
        <v>233</v>
      </c>
      <c r="E1569" s="226"/>
      <c r="G1569" s="224" t="s">
        <v>13</v>
      </c>
      <c r="H1569" s="224" t="s">
        <v>451</v>
      </c>
      <c r="I1569" s="224" t="s">
        <v>71</v>
      </c>
      <c r="J1569" s="227">
        <v>1</v>
      </c>
      <c r="K1569" s="227">
        <f t="array" ref="K1569">IFERROR(INDEX([1]Grille_Tarifs_Modulable!$B$2:$B$204,MATCH(Tableau14[[#This Row],[Designation]]&amp;Tableau14[[#This Row],[CL]],[1]Grille_Tarifs_Modulable!$C$2:$C$204&amp;[1]Grille_Tarifs_Modulable!$F$2:$F$204,0)),0)</f>
        <v>122</v>
      </c>
      <c r="L1569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299</v>
      </c>
      <c r="M1569" s="228">
        <f>IF(Tableau14[[#This Row],[Prix_Unit_HT]]=0,0,Tableau14[[#This Row],[Prix_Unit_HT]]+(Tableau14[[#This Row],[Prix_Unit_HT]]*VLOOKUP(Tableau14[[#This Row],[EAN]],[1]Grille_Tarifs_Modulable!$B$10:$Q$204,16,FALSE)))</f>
        <v>358.8</v>
      </c>
      <c r="N1569" s="224">
        <v>1</v>
      </c>
      <c r="O1569" s="228">
        <f>ROUND(Tableau14[[#This Row],[Prix_Unit_HT]],2)*Tableau14[[#This Row],[Qte_commande]]</f>
        <v>299</v>
      </c>
      <c r="P1569" s="228">
        <f>ROUND(Tableau14[[#This Row],[Prix_Unit_TTC]],2)*Tableau14[[#This Row],[Qte_commande]]</f>
        <v>358.8</v>
      </c>
      <c r="Q1569" s="224">
        <v>1</v>
      </c>
      <c r="R1569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</v>
      </c>
      <c r="U1569" s="224"/>
      <c r="V1569" s="224"/>
    </row>
    <row r="1570" spans="1:22" ht="14.65" customHeight="1" x14ac:dyDescent="0.2">
      <c r="A1570" s="225">
        <v>43633</v>
      </c>
      <c r="B1570" s="224" t="s">
        <v>835</v>
      </c>
      <c r="C1570" s="224" t="s">
        <v>198</v>
      </c>
      <c r="D1570" s="224" t="s">
        <v>199</v>
      </c>
      <c r="E1570" s="226"/>
      <c r="G1570" s="224" t="s">
        <v>13</v>
      </c>
      <c r="H1570" s="224" t="s">
        <v>196</v>
      </c>
      <c r="I1570" s="224" t="s">
        <v>66</v>
      </c>
      <c r="J1570" s="224">
        <v>20</v>
      </c>
      <c r="K1570" s="227">
        <f t="array" ref="K1570">IFERROR(INDEX([1]Grille_Tarifs_Modulable!$B$2:$B$204,MATCH(Tableau14[[#This Row],[Designation]]&amp;Tableau14[[#This Row],[CL]],[1]Grille_Tarifs_Modulable!$C$2:$C$204&amp;[1]Grille_Tarifs_Modulable!$F$2:$F$204,0)),0)</f>
        <v>4260310554785</v>
      </c>
      <c r="L1570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0.89</v>
      </c>
      <c r="M1570" s="228">
        <f>IF(Tableau14[[#This Row],[Prix_Unit_HT]]=0,0,Tableau14[[#This Row],[Prix_Unit_HT]]+(Tableau14[[#This Row],[Prix_Unit_HT]]*VLOOKUP(Tableau14[[#This Row],[EAN]],[1]Grille_Tarifs_Modulable!$B$10:$Q$204,16,FALSE)))</f>
        <v>0.93895000000000006</v>
      </c>
      <c r="N1570" s="224">
        <v>0</v>
      </c>
      <c r="O1570" s="228">
        <f>ROUND(Tableau14[[#This Row],[Prix_Unit_HT]],2)*Tableau14[[#This Row],[Qte_commande]]</f>
        <v>0</v>
      </c>
      <c r="P1570" s="228">
        <f>ROUND(Tableau14[[#This Row],[Prix_Unit_TTC]],2)*Tableau14[[#This Row],[Qte_commande]]</f>
        <v>0</v>
      </c>
      <c r="Q1570" s="224">
        <v>0</v>
      </c>
      <c r="R1570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0</v>
      </c>
      <c r="U1570" s="224"/>
      <c r="V1570" s="224"/>
    </row>
    <row r="1571" spans="1:22" ht="14.65" customHeight="1" x14ac:dyDescent="0.2">
      <c r="A1571" s="225">
        <v>43633</v>
      </c>
      <c r="B1571" s="224" t="s">
        <v>836</v>
      </c>
      <c r="C1571" s="224" t="s">
        <v>198</v>
      </c>
      <c r="D1571" s="224" t="s">
        <v>199</v>
      </c>
      <c r="E1571" s="226"/>
      <c r="G1571" s="224" t="s">
        <v>13</v>
      </c>
      <c r="H1571" s="224" t="s">
        <v>196</v>
      </c>
      <c r="I1571" s="224" t="s">
        <v>66</v>
      </c>
      <c r="J1571" s="224">
        <v>50</v>
      </c>
      <c r="K1571" s="227">
        <f t="array" ref="K1571">IFERROR(INDEX([1]Grille_Tarifs_Modulable!$B$2:$B$204,MATCH(Tableau14[[#This Row],[Designation]]&amp;Tableau14[[#This Row],[CL]],[1]Grille_Tarifs_Modulable!$C$2:$C$204&amp;[1]Grille_Tarifs_Modulable!$F$2:$F$204,0)),0)</f>
        <v>4260310553382</v>
      </c>
      <c r="L1571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1.1000000000000001</v>
      </c>
      <c r="M1571" s="228">
        <f>IF(Tableau14[[#This Row],[Prix_Unit_HT]]=0,0,Tableau14[[#This Row],[Prix_Unit_HT]]+(Tableau14[[#This Row],[Prix_Unit_HT]]*VLOOKUP(Tableau14[[#This Row],[EAN]],[1]Grille_Tarifs_Modulable!$B$10:$Q$204,16,FALSE)))</f>
        <v>1.1605000000000001</v>
      </c>
      <c r="N1571" s="224">
        <v>0</v>
      </c>
      <c r="O1571" s="228">
        <f>ROUND(Tableau14[[#This Row],[Prix_Unit_HT]],2)*Tableau14[[#This Row],[Qte_commande]]</f>
        <v>0</v>
      </c>
      <c r="P1571" s="228">
        <f>ROUND(Tableau14[[#This Row],[Prix_Unit_TTC]],2)*Tableau14[[#This Row],[Qte_commande]]</f>
        <v>0</v>
      </c>
      <c r="Q1571" s="224">
        <v>0</v>
      </c>
      <c r="R1571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0</v>
      </c>
      <c r="U1571" s="224"/>
      <c r="V1571" s="224"/>
    </row>
    <row r="1572" spans="1:22" ht="14.65" customHeight="1" x14ac:dyDescent="0.2">
      <c r="A1572" s="225">
        <v>43634</v>
      </c>
      <c r="B1572" s="224" t="s">
        <v>421</v>
      </c>
      <c r="C1572" s="224" t="s">
        <v>422</v>
      </c>
      <c r="D1572" s="224" t="s">
        <v>209</v>
      </c>
      <c r="E1572" s="226"/>
      <c r="G1572" s="224" t="s">
        <v>13</v>
      </c>
      <c r="H1572" s="224" t="s">
        <v>289</v>
      </c>
      <c r="I1572" s="224" t="s">
        <v>35</v>
      </c>
      <c r="J1572" s="224">
        <v>70</v>
      </c>
      <c r="K1572" s="227">
        <f t="array" ref="K1572">IFERROR(INDEX([1]Grille_Tarifs_Modulable!$B$2:$B$204,MATCH(Tableau14[[#This Row],[Designation]]&amp;Tableau14[[#This Row],[CL]],[1]Grille_Tarifs_Modulable!$C$2:$C$204&amp;[1]Grille_Tarifs_Modulable!$F$2:$F$204,0)),0)</f>
        <v>3257150107012</v>
      </c>
      <c r="L1572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32.408644000000002</v>
      </c>
      <c r="M1572" s="228">
        <f>IF(Tableau14[[#This Row],[Prix_Unit_HT]]=0,0,Tableau14[[#This Row],[Prix_Unit_HT]]+(Tableau14[[#This Row],[Prix_Unit_HT]]*VLOOKUP(Tableau14[[#This Row],[EAN]],[1]Grille_Tarifs_Modulable!$B$10:$Q$204,16,FALSE)))</f>
        <v>38.890372800000002</v>
      </c>
      <c r="N1572" s="224">
        <v>12</v>
      </c>
      <c r="O1572" s="228">
        <f>ROUND(Tableau14[[#This Row],[Prix_Unit_HT]],2)*Tableau14[[#This Row],[Qte_commande]]</f>
        <v>388.91999999999996</v>
      </c>
      <c r="P1572" s="228">
        <f>ROUND(Tableau14[[#This Row],[Prix_Unit_TTC]],2)*Tableau14[[#This Row],[Qte_commande]]</f>
        <v>466.68</v>
      </c>
      <c r="Q1572" s="224">
        <v>12</v>
      </c>
      <c r="R1572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12.000000000000002</v>
      </c>
      <c r="U1572" s="224"/>
      <c r="V1572" s="224"/>
    </row>
    <row r="1573" spans="1:22" ht="14.65" customHeight="1" x14ac:dyDescent="0.2">
      <c r="A1573" s="225">
        <v>43634</v>
      </c>
      <c r="B1573" s="224" t="s">
        <v>421</v>
      </c>
      <c r="C1573" s="224" t="s">
        <v>422</v>
      </c>
      <c r="D1573" s="224" t="s">
        <v>209</v>
      </c>
      <c r="E1573" s="226"/>
      <c r="G1573" s="224" t="s">
        <v>13</v>
      </c>
      <c r="H1573" s="224" t="s">
        <v>289</v>
      </c>
      <c r="I1573" s="224" t="s">
        <v>20</v>
      </c>
      <c r="J1573" s="224">
        <v>70</v>
      </c>
      <c r="K1573" s="227">
        <f t="array" ref="K1573">IFERROR(INDEX([1]Grille_Tarifs_Modulable!$B$2:$B$204,MATCH(Tableau14[[#This Row],[Designation]]&amp;Tableau14[[#This Row],[CL]],[1]Grille_Tarifs_Modulable!$C$2:$C$204&amp;[1]Grille_Tarifs_Modulable!$F$2:$F$204,0)),0)</f>
        <v>8017450002104</v>
      </c>
      <c r="L1573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14.266482999999999</v>
      </c>
      <c r="M1573" s="228">
        <f>IF(Tableau14[[#This Row],[Prix_Unit_HT]]=0,0,Tableau14[[#This Row],[Prix_Unit_HT]]+(Tableau14[[#This Row],[Prix_Unit_HT]]*VLOOKUP(Tableau14[[#This Row],[EAN]],[1]Grille_Tarifs_Modulable!$B$10:$Q$204,16,FALSE)))</f>
        <v>17.119779600000001</v>
      </c>
      <c r="N1573" s="224">
        <v>18</v>
      </c>
      <c r="O1573" s="228">
        <f>ROUND(Tableau14[[#This Row],[Prix_Unit_HT]],2)*Tableau14[[#This Row],[Qte_commande]]</f>
        <v>256.86</v>
      </c>
      <c r="P1573" s="228">
        <f>ROUND(Tableau14[[#This Row],[Prix_Unit_TTC]],2)*Tableau14[[#This Row],[Qte_commande]]</f>
        <v>308.16000000000003</v>
      </c>
      <c r="Q1573" s="224">
        <v>18</v>
      </c>
      <c r="R1573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18</v>
      </c>
      <c r="U1573" s="224"/>
      <c r="V1573" s="224"/>
    </row>
    <row r="1574" spans="1:22" ht="14.65" customHeight="1" x14ac:dyDescent="0.2">
      <c r="A1574" s="225">
        <v>43634</v>
      </c>
      <c r="B1574" s="224" t="s">
        <v>421</v>
      </c>
      <c r="C1574" s="224" t="s">
        <v>422</v>
      </c>
      <c r="D1574" s="224" t="s">
        <v>209</v>
      </c>
      <c r="E1574" s="226"/>
      <c r="G1574" s="224" t="s">
        <v>13</v>
      </c>
      <c r="H1574" s="224" t="s">
        <v>289</v>
      </c>
      <c r="I1574" s="224" t="s">
        <v>48</v>
      </c>
      <c r="J1574" s="224">
        <v>70</v>
      </c>
      <c r="K1574" s="227">
        <f t="array" ref="K1574">IFERROR(INDEX([1]Grille_Tarifs_Modulable!$B$2:$B$204,MATCH(Tableau14[[#This Row],[Designation]]&amp;Tableau14[[#This Row],[CL]],[1]Grille_Tarifs_Modulable!$C$2:$C$204&amp;[1]Grille_Tarifs_Modulable!$F$2:$F$204,0)),0)</f>
        <v>3257150673029</v>
      </c>
      <c r="L1574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23.269508399999999</v>
      </c>
      <c r="M1574" s="228">
        <f>IF(Tableau14[[#This Row],[Prix_Unit_HT]]=0,0,Tableau14[[#This Row],[Prix_Unit_HT]]+(Tableau14[[#This Row],[Prix_Unit_HT]]*VLOOKUP(Tableau14[[#This Row],[EAN]],[1]Grille_Tarifs_Modulable!$B$10:$Q$204,16,FALSE)))</f>
        <v>27.92341008</v>
      </c>
      <c r="N1574" s="224">
        <v>12</v>
      </c>
      <c r="O1574" s="228">
        <f>ROUND(Tableau14[[#This Row],[Prix_Unit_HT]],2)*Tableau14[[#This Row],[Qte_commande]]</f>
        <v>279.24</v>
      </c>
      <c r="P1574" s="228">
        <f>ROUND(Tableau14[[#This Row],[Prix_Unit_TTC]],2)*Tableau14[[#This Row],[Qte_commande]]</f>
        <v>335.04</v>
      </c>
      <c r="Q1574" s="224">
        <v>12</v>
      </c>
      <c r="R1574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12.000000000000002</v>
      </c>
      <c r="U1574" s="224"/>
      <c r="V1574" s="224"/>
    </row>
    <row r="1575" spans="1:22" ht="14.65" customHeight="1" x14ac:dyDescent="0.2">
      <c r="A1575" s="225">
        <v>43634</v>
      </c>
      <c r="B1575" s="224" t="s">
        <v>421</v>
      </c>
      <c r="C1575" s="224" t="s">
        <v>422</v>
      </c>
      <c r="D1575" s="224" t="s">
        <v>209</v>
      </c>
      <c r="E1575" s="226"/>
      <c r="G1575" s="224" t="s">
        <v>13</v>
      </c>
      <c r="H1575" s="224" t="s">
        <v>289</v>
      </c>
      <c r="I1575" s="224" t="s">
        <v>34</v>
      </c>
      <c r="J1575" s="224">
        <v>70</v>
      </c>
      <c r="K1575" s="227">
        <f t="array" ref="K1575">IFERROR(INDEX([1]Grille_Tarifs_Modulable!$B$2:$B$204,MATCH(Tableau14[[#This Row],[Designation]]&amp;Tableau14[[#This Row],[CL]],[1]Grille_Tarifs_Modulable!$C$2:$C$204&amp;[1]Grille_Tarifs_Modulable!$F$2:$F$204,0)),0)</f>
        <v>3257150100167</v>
      </c>
      <c r="L1575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29.948644000000002</v>
      </c>
      <c r="M1575" s="228">
        <f>IF(Tableau14[[#This Row],[Prix_Unit_HT]]=0,0,Tableau14[[#This Row],[Prix_Unit_HT]]+(Tableau14[[#This Row],[Prix_Unit_HT]]*VLOOKUP(Tableau14[[#This Row],[EAN]],[1]Grille_Tarifs_Modulable!$B$10:$Q$204,16,FALSE)))</f>
        <v>35.938372800000003</v>
      </c>
      <c r="N1575" s="224">
        <v>12</v>
      </c>
      <c r="O1575" s="228">
        <f>ROUND(Tableau14[[#This Row],[Prix_Unit_HT]],2)*Tableau14[[#This Row],[Qte_commande]]</f>
        <v>359.4</v>
      </c>
      <c r="P1575" s="228">
        <f>ROUND(Tableau14[[#This Row],[Prix_Unit_TTC]],2)*Tableau14[[#This Row],[Qte_commande]]</f>
        <v>431.28</v>
      </c>
      <c r="Q1575" s="224">
        <v>12</v>
      </c>
      <c r="R1575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12.000000000000002</v>
      </c>
      <c r="U1575" s="224"/>
      <c r="V1575" s="224"/>
    </row>
    <row r="1576" spans="1:22" ht="14.65" customHeight="1" x14ac:dyDescent="0.2">
      <c r="A1576" s="225">
        <v>43634</v>
      </c>
      <c r="B1576" s="224" t="s">
        <v>421</v>
      </c>
      <c r="C1576" s="224" t="s">
        <v>422</v>
      </c>
      <c r="D1576" s="224" t="s">
        <v>209</v>
      </c>
      <c r="E1576" s="226"/>
      <c r="G1576" s="224" t="s">
        <v>13</v>
      </c>
      <c r="H1576" s="224" t="s">
        <v>289</v>
      </c>
      <c r="I1576" s="224" t="s">
        <v>36</v>
      </c>
      <c r="J1576" s="224">
        <v>70</v>
      </c>
      <c r="K1576" s="227">
        <f t="array" ref="K1576">IFERROR(INDEX([1]Grille_Tarifs_Modulable!$B$2:$B$204,MATCH(Tableau14[[#This Row],[Designation]]&amp;Tableau14[[#This Row],[CL]],[1]Grille_Tarifs_Modulable!$C$2:$C$204&amp;[1]Grille_Tarifs_Modulable!$F$2:$F$204,0)),0)</f>
        <v>3257150100792</v>
      </c>
      <c r="L1576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78.608643999999998</v>
      </c>
      <c r="M1576" s="228">
        <f>IF(Tableau14[[#This Row],[Prix_Unit_HT]]=0,0,Tableau14[[#This Row],[Prix_Unit_HT]]+(Tableau14[[#This Row],[Prix_Unit_HT]]*VLOOKUP(Tableau14[[#This Row],[EAN]],[1]Grille_Tarifs_Modulable!$B$10:$Q$204,16,FALSE)))</f>
        <v>94.330372799999992</v>
      </c>
      <c r="N1576" s="224">
        <v>3</v>
      </c>
      <c r="O1576" s="228">
        <f>ROUND(Tableau14[[#This Row],[Prix_Unit_HT]],2)*Tableau14[[#This Row],[Qte_commande]]</f>
        <v>235.82999999999998</v>
      </c>
      <c r="P1576" s="228">
        <f>ROUND(Tableau14[[#This Row],[Prix_Unit_TTC]],2)*Tableau14[[#This Row],[Qte_commande]]</f>
        <v>282.99</v>
      </c>
      <c r="Q1576" s="224">
        <v>3</v>
      </c>
      <c r="R1576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3.0000000000000004</v>
      </c>
      <c r="U1576" s="224"/>
      <c r="V1576" s="224"/>
    </row>
    <row r="1577" spans="1:22" ht="14.65" customHeight="1" x14ac:dyDescent="0.2">
      <c r="A1577" s="225">
        <v>43634</v>
      </c>
      <c r="B1577" s="224" t="s">
        <v>421</v>
      </c>
      <c r="C1577" s="224" t="s">
        <v>422</v>
      </c>
      <c r="D1577" s="224" t="s">
        <v>209</v>
      </c>
      <c r="E1577" s="226"/>
      <c r="G1577" s="224" t="s">
        <v>13</v>
      </c>
      <c r="H1577" s="224" t="s">
        <v>289</v>
      </c>
      <c r="I1577" s="224" t="s">
        <v>44</v>
      </c>
      <c r="J1577" s="224">
        <v>50</v>
      </c>
      <c r="K1577" s="227">
        <f t="array" ref="K1577">IFERROR(INDEX([1]Grille_Tarifs_Modulable!$B$2:$B$204,MATCH(Tableau14[[#This Row],[Designation]]&amp;Tableau14[[#This Row],[CL]],[1]Grille_Tarifs_Modulable!$C$2:$C$204&amp;[1]Grille_Tarifs_Modulable!$F$2:$F$204,0)),0)</f>
        <v>4260270192645</v>
      </c>
      <c r="L1577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28.052506000000001</v>
      </c>
      <c r="M1577" s="228">
        <f>IF(Tableau14[[#This Row],[Prix_Unit_HT]]=0,0,Tableau14[[#This Row],[Prix_Unit_HT]]+(Tableau14[[#This Row],[Prix_Unit_HT]]*VLOOKUP(Tableau14[[#This Row],[EAN]],[1]Grille_Tarifs_Modulable!$B$10:$Q$204,16,FALSE)))</f>
        <v>33.663007200000003</v>
      </c>
      <c r="N1577" s="224">
        <v>12</v>
      </c>
      <c r="O1577" s="228">
        <f>ROUND(Tableau14[[#This Row],[Prix_Unit_HT]],2)*Tableau14[[#This Row],[Qte_commande]]</f>
        <v>336.6</v>
      </c>
      <c r="P1577" s="228">
        <f>ROUND(Tableau14[[#This Row],[Prix_Unit_TTC]],2)*Tableau14[[#This Row],[Qte_commande]]</f>
        <v>403.91999999999996</v>
      </c>
      <c r="Q1577" s="224">
        <v>8.57</v>
      </c>
      <c r="R1577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8.5714285714285712</v>
      </c>
      <c r="U1577" s="224"/>
      <c r="V1577" s="224"/>
    </row>
    <row r="1578" spans="1:22" ht="14.65" customHeight="1" x14ac:dyDescent="0.2">
      <c r="A1578" s="225">
        <v>43634</v>
      </c>
      <c r="B1578" s="224" t="s">
        <v>421</v>
      </c>
      <c r="C1578" s="224" t="s">
        <v>422</v>
      </c>
      <c r="D1578" s="224" t="s">
        <v>209</v>
      </c>
      <c r="E1578" s="226"/>
      <c r="G1578" s="224" t="s">
        <v>13</v>
      </c>
      <c r="H1578" s="224" t="s">
        <v>289</v>
      </c>
      <c r="I1578" s="224" t="s">
        <v>24</v>
      </c>
      <c r="J1578" s="224">
        <v>70</v>
      </c>
      <c r="K1578" s="227">
        <f t="array" ref="K1578">IFERROR(INDEX([1]Grille_Tarifs_Modulable!$B$2:$B$204,MATCH(Tableau14[[#This Row],[Designation]]&amp;Tableau14[[#This Row],[CL]],[1]Grille_Tarifs_Modulable!$C$2:$C$204&amp;[1]Grille_Tarifs_Modulable!$F$2:$F$204,0)),0)</f>
        <v>8500000917008</v>
      </c>
      <c r="L1578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11.528211800000001</v>
      </c>
      <c r="M1578" s="228">
        <f>IF(Tableau14[[#This Row],[Prix_Unit_HT]]=0,0,Tableau14[[#This Row],[Prix_Unit_HT]]+(Tableau14[[#This Row],[Prix_Unit_HT]]*VLOOKUP(Tableau14[[#This Row],[EAN]],[1]Grille_Tarifs_Modulable!$B$10:$Q$204,16,FALSE)))</f>
        <v>13.833854160000001</v>
      </c>
      <c r="N1578" s="224">
        <v>24</v>
      </c>
      <c r="O1578" s="228">
        <f>ROUND(Tableau14[[#This Row],[Prix_Unit_HT]],2)*Tableau14[[#This Row],[Qte_commande]]</f>
        <v>276.71999999999997</v>
      </c>
      <c r="P1578" s="228">
        <f>ROUND(Tableau14[[#This Row],[Prix_Unit_TTC]],2)*Tableau14[[#This Row],[Qte_commande]]</f>
        <v>331.92</v>
      </c>
      <c r="Q1578" s="224">
        <v>24</v>
      </c>
      <c r="R1578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24.000000000000004</v>
      </c>
      <c r="U1578" s="224"/>
      <c r="V1578" s="224"/>
    </row>
    <row r="1579" spans="1:22" ht="14.65" customHeight="1" x14ac:dyDescent="0.2">
      <c r="A1579" s="225">
        <v>43634</v>
      </c>
      <c r="B1579" s="224" t="s">
        <v>1272</v>
      </c>
      <c r="C1579" s="224" t="s">
        <v>1077</v>
      </c>
      <c r="D1579" s="224" t="s">
        <v>1078</v>
      </c>
      <c r="E1579" s="226"/>
      <c r="G1579" s="224" t="s">
        <v>13</v>
      </c>
      <c r="H1579" s="224" t="s">
        <v>451</v>
      </c>
      <c r="I1579" s="224" t="s">
        <v>71</v>
      </c>
      <c r="J1579" s="227">
        <v>1</v>
      </c>
      <c r="K1579" s="227">
        <f t="array" ref="K1579">IFERROR(INDEX([1]Grille_Tarifs_Modulable!$B$2:$B$204,MATCH(Tableau14[[#This Row],[Designation]]&amp;Tableau14[[#This Row],[CL]],[1]Grille_Tarifs_Modulable!$C$2:$C$204&amp;[1]Grille_Tarifs_Modulable!$F$2:$F$204,0)),0)</f>
        <v>122</v>
      </c>
      <c r="L1579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299</v>
      </c>
      <c r="M1579" s="228">
        <f>IF(Tableau14[[#This Row],[Prix_Unit_HT]]=0,0,Tableau14[[#This Row],[Prix_Unit_HT]]+(Tableau14[[#This Row],[Prix_Unit_HT]]*VLOOKUP(Tableau14[[#This Row],[EAN]],[1]Grille_Tarifs_Modulable!$B$10:$Q$204,16,FALSE)))</f>
        <v>358.8</v>
      </c>
      <c r="N1579" s="224">
        <v>6</v>
      </c>
      <c r="O1579" s="228">
        <f>ROUND(Tableau14[[#This Row],[Prix_Unit_HT]],2)*Tableau14[[#This Row],[Qte_commande]]</f>
        <v>1794</v>
      </c>
      <c r="P1579" s="228">
        <f>ROUND(Tableau14[[#This Row],[Prix_Unit_TTC]],2)*Tableau14[[#This Row],[Qte_commande]]</f>
        <v>2152.8000000000002</v>
      </c>
      <c r="Q1579" s="224">
        <v>6</v>
      </c>
      <c r="R1579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</v>
      </c>
      <c r="U1579" s="224"/>
      <c r="V1579" s="224"/>
    </row>
    <row r="1580" spans="1:22" ht="14.65" customHeight="1" x14ac:dyDescent="0.2">
      <c r="A1580" s="225">
        <v>43634</v>
      </c>
      <c r="B1580" s="224" t="s">
        <v>1273</v>
      </c>
      <c r="C1580" s="224" t="s">
        <v>426</v>
      </c>
      <c r="D1580" s="224" t="s">
        <v>180</v>
      </c>
      <c r="E1580" s="226"/>
      <c r="G1580" s="224" t="s">
        <v>13</v>
      </c>
      <c r="H1580" s="224" t="s">
        <v>451</v>
      </c>
      <c r="I1580" s="224" t="s">
        <v>71</v>
      </c>
      <c r="J1580" s="227">
        <v>1</v>
      </c>
      <c r="K1580" s="227">
        <f t="array" ref="K1580">IFERROR(INDEX([1]Grille_Tarifs_Modulable!$B$2:$B$204,MATCH(Tableau14[[#This Row],[Designation]]&amp;Tableau14[[#This Row],[CL]],[1]Grille_Tarifs_Modulable!$C$2:$C$204&amp;[1]Grille_Tarifs_Modulable!$F$2:$F$204,0)),0)</f>
        <v>122</v>
      </c>
      <c r="L1580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299</v>
      </c>
      <c r="M1580" s="228">
        <f>IF(Tableau14[[#This Row],[Prix_Unit_HT]]=0,0,Tableau14[[#This Row],[Prix_Unit_HT]]+(Tableau14[[#This Row],[Prix_Unit_HT]]*VLOOKUP(Tableau14[[#This Row],[EAN]],[1]Grille_Tarifs_Modulable!$B$10:$Q$204,16,FALSE)))</f>
        <v>358.8</v>
      </c>
      <c r="N1580" s="224">
        <v>3</v>
      </c>
      <c r="O1580" s="228">
        <f>ROUND(Tableau14[[#This Row],[Prix_Unit_HT]],2)*Tableau14[[#This Row],[Qte_commande]]</f>
        <v>897</v>
      </c>
      <c r="P1580" s="228">
        <f>ROUND(Tableau14[[#This Row],[Prix_Unit_TTC]],2)*Tableau14[[#This Row],[Qte_commande]]</f>
        <v>1076.4000000000001</v>
      </c>
      <c r="Q1580" s="224">
        <v>3</v>
      </c>
      <c r="R1580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3</v>
      </c>
      <c r="U1580" s="224"/>
      <c r="V1580" s="224"/>
    </row>
    <row r="1581" spans="1:22" ht="14.65" customHeight="1" x14ac:dyDescent="0.2">
      <c r="A1581" s="225">
        <v>43634</v>
      </c>
      <c r="B1581" s="224" t="s">
        <v>1274</v>
      </c>
      <c r="C1581" s="224" t="s">
        <v>1062</v>
      </c>
      <c r="D1581" s="224" t="s">
        <v>1063</v>
      </c>
      <c r="E1581" s="226"/>
      <c r="G1581" s="224" t="s">
        <v>13</v>
      </c>
      <c r="H1581" s="224" t="s">
        <v>451</v>
      </c>
      <c r="I1581" s="224" t="s">
        <v>71</v>
      </c>
      <c r="J1581" s="227">
        <v>1</v>
      </c>
      <c r="K1581" s="227">
        <f t="array" ref="K1581">IFERROR(INDEX([1]Grille_Tarifs_Modulable!$B$2:$B$204,MATCH(Tableau14[[#This Row],[Designation]]&amp;Tableau14[[#This Row],[CL]],[1]Grille_Tarifs_Modulable!$C$2:$C$204&amp;[1]Grille_Tarifs_Modulable!$F$2:$F$204,0)),0)</f>
        <v>122</v>
      </c>
      <c r="L1581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299</v>
      </c>
      <c r="M1581" s="228">
        <f>IF(Tableau14[[#This Row],[Prix_Unit_HT]]=0,0,Tableau14[[#This Row],[Prix_Unit_HT]]+(Tableau14[[#This Row],[Prix_Unit_HT]]*VLOOKUP(Tableau14[[#This Row],[EAN]],[1]Grille_Tarifs_Modulable!$B$10:$Q$204,16,FALSE)))</f>
        <v>358.8</v>
      </c>
      <c r="N1581" s="224">
        <v>2</v>
      </c>
      <c r="O1581" s="228">
        <f>ROUND(Tableau14[[#This Row],[Prix_Unit_HT]],2)*Tableau14[[#This Row],[Qte_commande]]</f>
        <v>598</v>
      </c>
      <c r="P1581" s="228">
        <f>ROUND(Tableau14[[#This Row],[Prix_Unit_TTC]],2)*Tableau14[[#This Row],[Qte_commande]]</f>
        <v>717.6</v>
      </c>
      <c r="Q1581" s="224">
        <v>2</v>
      </c>
      <c r="R1581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2</v>
      </c>
      <c r="U1581" s="224"/>
      <c r="V1581" s="224"/>
    </row>
    <row r="1582" spans="1:22" ht="14.65" customHeight="1" x14ac:dyDescent="0.2">
      <c r="A1582" s="225">
        <v>43634</v>
      </c>
      <c r="B1582" s="224" t="s">
        <v>1275</v>
      </c>
      <c r="C1582" s="224" t="s">
        <v>1164</v>
      </c>
      <c r="D1582" s="224" t="s">
        <v>1165</v>
      </c>
      <c r="E1582" s="226"/>
      <c r="G1582" s="224" t="s">
        <v>13</v>
      </c>
      <c r="H1582" s="224" t="s">
        <v>451</v>
      </c>
      <c r="I1582" s="224" t="s">
        <v>71</v>
      </c>
      <c r="J1582" s="227">
        <v>1</v>
      </c>
      <c r="K1582" s="227">
        <f t="array" ref="K1582">IFERROR(INDEX([1]Grille_Tarifs_Modulable!$B$2:$B$204,MATCH(Tableau14[[#This Row],[Designation]]&amp;Tableau14[[#This Row],[CL]],[1]Grille_Tarifs_Modulable!$C$2:$C$204&amp;[1]Grille_Tarifs_Modulable!$F$2:$F$204,0)),0)</f>
        <v>122</v>
      </c>
      <c r="L1582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299</v>
      </c>
      <c r="M1582" s="228">
        <f>IF(Tableau14[[#This Row],[Prix_Unit_HT]]=0,0,Tableau14[[#This Row],[Prix_Unit_HT]]+(Tableau14[[#This Row],[Prix_Unit_HT]]*VLOOKUP(Tableau14[[#This Row],[EAN]],[1]Grille_Tarifs_Modulable!$B$10:$Q$204,16,FALSE)))</f>
        <v>358.8</v>
      </c>
      <c r="N1582" s="224">
        <v>6</v>
      </c>
      <c r="O1582" s="228">
        <f>ROUND(Tableau14[[#This Row],[Prix_Unit_HT]],2)*Tableau14[[#This Row],[Qte_commande]]</f>
        <v>1794</v>
      </c>
      <c r="P1582" s="228">
        <f>ROUND(Tableau14[[#This Row],[Prix_Unit_TTC]],2)*Tableau14[[#This Row],[Qte_commande]]</f>
        <v>2152.8000000000002</v>
      </c>
      <c r="Q1582" s="224">
        <v>6</v>
      </c>
      <c r="R1582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</v>
      </c>
      <c r="U1582" s="224"/>
      <c r="V1582" s="224"/>
    </row>
    <row r="1583" spans="1:22" ht="14.65" customHeight="1" x14ac:dyDescent="0.2">
      <c r="A1583" s="225">
        <v>43634</v>
      </c>
      <c r="B1583" s="224" t="s">
        <v>1276</v>
      </c>
      <c r="C1583" s="224" t="s">
        <v>251</v>
      </c>
      <c r="D1583" s="224" t="s">
        <v>180</v>
      </c>
      <c r="E1583" s="226"/>
      <c r="G1583" s="224" t="s">
        <v>13</v>
      </c>
      <c r="H1583" s="224" t="s">
        <v>451</v>
      </c>
      <c r="I1583" s="224" t="s">
        <v>71</v>
      </c>
      <c r="J1583" s="227">
        <v>1</v>
      </c>
      <c r="K1583" s="227">
        <f t="array" ref="K1583">IFERROR(INDEX([1]Grille_Tarifs_Modulable!$B$2:$B$204,MATCH(Tableau14[[#This Row],[Designation]]&amp;Tableau14[[#This Row],[CL]],[1]Grille_Tarifs_Modulable!$C$2:$C$204&amp;[1]Grille_Tarifs_Modulable!$F$2:$F$204,0)),0)</f>
        <v>122</v>
      </c>
      <c r="L1583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299</v>
      </c>
      <c r="M1583" s="228">
        <f>IF(Tableau14[[#This Row],[Prix_Unit_HT]]=0,0,Tableau14[[#This Row],[Prix_Unit_HT]]+(Tableau14[[#This Row],[Prix_Unit_HT]]*VLOOKUP(Tableau14[[#This Row],[EAN]],[1]Grille_Tarifs_Modulable!$B$10:$Q$204,16,FALSE)))</f>
        <v>358.8</v>
      </c>
      <c r="N1583" s="224">
        <v>1</v>
      </c>
      <c r="O1583" s="228">
        <f>ROUND(Tableau14[[#This Row],[Prix_Unit_HT]],2)*Tableau14[[#This Row],[Qte_commande]]</f>
        <v>299</v>
      </c>
      <c r="P1583" s="228">
        <f>ROUND(Tableau14[[#This Row],[Prix_Unit_TTC]],2)*Tableau14[[#This Row],[Qte_commande]]</f>
        <v>358.8</v>
      </c>
      <c r="Q1583" s="224">
        <v>1</v>
      </c>
      <c r="R1583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</v>
      </c>
      <c r="U1583" s="224"/>
      <c r="V1583" s="224"/>
    </row>
    <row r="1584" spans="1:22" ht="14.65" customHeight="1" x14ac:dyDescent="0.2">
      <c r="A1584" s="225">
        <v>43634</v>
      </c>
      <c r="B1584" s="224" t="s">
        <v>1277</v>
      </c>
      <c r="C1584" s="224" t="s">
        <v>480</v>
      </c>
      <c r="D1584" s="224" t="s">
        <v>443</v>
      </c>
      <c r="E1584" s="226"/>
      <c r="G1584" s="224" t="s">
        <v>13</v>
      </c>
      <c r="H1584" s="224" t="s">
        <v>451</v>
      </c>
      <c r="I1584" s="224" t="s">
        <v>71</v>
      </c>
      <c r="J1584" s="227">
        <v>1</v>
      </c>
      <c r="K1584" s="227">
        <f t="array" ref="K1584">IFERROR(INDEX([1]Grille_Tarifs_Modulable!$B$2:$B$204,MATCH(Tableau14[[#This Row],[Designation]]&amp;Tableau14[[#This Row],[CL]],[1]Grille_Tarifs_Modulable!$C$2:$C$204&amp;[1]Grille_Tarifs_Modulable!$F$2:$F$204,0)),0)</f>
        <v>122</v>
      </c>
      <c r="L1584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299</v>
      </c>
      <c r="M1584" s="228">
        <f>IF(Tableau14[[#This Row],[Prix_Unit_HT]]=0,0,Tableau14[[#This Row],[Prix_Unit_HT]]+(Tableau14[[#This Row],[Prix_Unit_HT]]*VLOOKUP(Tableau14[[#This Row],[EAN]],[1]Grille_Tarifs_Modulable!$B$10:$Q$204,16,FALSE)))</f>
        <v>358.8</v>
      </c>
      <c r="N1584" s="224">
        <v>1</v>
      </c>
      <c r="O1584" s="228">
        <f>ROUND(Tableau14[[#This Row],[Prix_Unit_HT]],2)*Tableau14[[#This Row],[Qte_commande]]</f>
        <v>299</v>
      </c>
      <c r="P1584" s="228">
        <f>ROUND(Tableau14[[#This Row],[Prix_Unit_TTC]],2)*Tableau14[[#This Row],[Qte_commande]]</f>
        <v>358.8</v>
      </c>
      <c r="Q1584" s="224">
        <v>1</v>
      </c>
      <c r="R1584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</v>
      </c>
      <c r="U1584" s="224"/>
      <c r="V1584" s="224"/>
    </row>
    <row r="1585" spans="1:22" ht="14.65" customHeight="1" x14ac:dyDescent="0.2">
      <c r="A1585" s="225">
        <v>43634</v>
      </c>
      <c r="B1585" s="224" t="s">
        <v>1278</v>
      </c>
      <c r="C1585" s="224" t="s">
        <v>1279</v>
      </c>
      <c r="D1585" s="224" t="s">
        <v>1280</v>
      </c>
      <c r="E1585" s="226"/>
      <c r="G1585" s="224" t="s">
        <v>13</v>
      </c>
      <c r="H1585" s="224" t="s">
        <v>451</v>
      </c>
      <c r="I1585" s="224" t="s">
        <v>71</v>
      </c>
      <c r="J1585" s="227">
        <v>1</v>
      </c>
      <c r="K1585" s="227">
        <f t="array" ref="K1585">IFERROR(INDEX([1]Grille_Tarifs_Modulable!$B$2:$B$204,MATCH(Tableau14[[#This Row],[Designation]]&amp;Tableau14[[#This Row],[CL]],[1]Grille_Tarifs_Modulable!$C$2:$C$204&amp;[1]Grille_Tarifs_Modulable!$F$2:$F$204,0)),0)</f>
        <v>122</v>
      </c>
      <c r="L1585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299</v>
      </c>
      <c r="M1585" s="228">
        <f>IF(Tableau14[[#This Row],[Prix_Unit_HT]]=0,0,Tableau14[[#This Row],[Prix_Unit_HT]]+(Tableau14[[#This Row],[Prix_Unit_HT]]*VLOOKUP(Tableau14[[#This Row],[EAN]],[1]Grille_Tarifs_Modulable!$B$10:$Q$204,16,FALSE)))</f>
        <v>358.8</v>
      </c>
      <c r="N1585" s="224">
        <v>1</v>
      </c>
      <c r="O1585" s="228">
        <f>ROUND(Tableau14[[#This Row],[Prix_Unit_HT]],2)*Tableau14[[#This Row],[Qte_commande]]</f>
        <v>299</v>
      </c>
      <c r="P1585" s="228">
        <f>ROUND(Tableau14[[#This Row],[Prix_Unit_TTC]],2)*Tableau14[[#This Row],[Qte_commande]]</f>
        <v>358.8</v>
      </c>
      <c r="Q1585" s="224">
        <v>1</v>
      </c>
      <c r="R1585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</v>
      </c>
      <c r="U1585" s="224"/>
      <c r="V1585" s="224"/>
    </row>
    <row r="1586" spans="1:22" ht="14.65" customHeight="1" x14ac:dyDescent="0.2">
      <c r="A1586" s="225">
        <v>43640</v>
      </c>
      <c r="B1586" s="224" t="s">
        <v>754</v>
      </c>
      <c r="C1586" s="224" t="s">
        <v>530</v>
      </c>
      <c r="D1586" s="224" t="s">
        <v>531</v>
      </c>
      <c r="E1586" s="226"/>
      <c r="G1586" s="224" t="s">
        <v>1</v>
      </c>
      <c r="H1586" s="224" t="s">
        <v>289</v>
      </c>
      <c r="I1586" s="224" t="s">
        <v>15</v>
      </c>
      <c r="J1586" s="224">
        <v>70</v>
      </c>
      <c r="K1586" s="227">
        <f t="array" ref="K1586">IFERROR(INDEX([1]Grille_Tarifs_Modulable!$B$2:$B$204,MATCH(Tableau14[[#This Row],[Designation]]&amp;Tableau14[[#This Row],[CL]],[1]Grille_Tarifs_Modulable!$C$2:$C$204&amp;[1]Grille_Tarifs_Modulable!$F$2:$F$204,0)),0)</f>
        <v>4067700013859</v>
      </c>
      <c r="L1586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12.532563499999998</v>
      </c>
      <c r="M1586" s="228">
        <f>IF(Tableau14[[#This Row],[Prix_Unit_HT]]=0,0,Tableau14[[#This Row],[Prix_Unit_HT]]+(Tableau14[[#This Row],[Prix_Unit_HT]]*VLOOKUP(Tableau14[[#This Row],[EAN]],[1]Grille_Tarifs_Modulable!$B$10:$Q$204,16,FALSE)))</f>
        <v>15.039076199999998</v>
      </c>
      <c r="N1586" s="224">
        <v>150</v>
      </c>
      <c r="O1586" s="228">
        <f>ROUND(Tableau14[[#This Row],[Prix_Unit_HT]],2)*Tableau14[[#This Row],[Qte_commande]]</f>
        <v>1879.5</v>
      </c>
      <c r="P1586" s="228">
        <f>ROUND(Tableau14[[#This Row],[Prix_Unit_TTC]],2)*Tableau14[[#This Row],[Qte_commande]]</f>
        <v>2256</v>
      </c>
      <c r="Q1586" s="224">
        <v>150</v>
      </c>
      <c r="R1586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150</v>
      </c>
      <c r="U1586" s="224"/>
      <c r="V1586" s="224"/>
    </row>
    <row r="1587" spans="1:22" ht="14.65" customHeight="1" x14ac:dyDescent="0.2">
      <c r="A1587" s="225">
        <v>43640</v>
      </c>
      <c r="B1587" s="224" t="s">
        <v>754</v>
      </c>
      <c r="C1587" s="224" t="s">
        <v>530</v>
      </c>
      <c r="D1587" s="224" t="s">
        <v>531</v>
      </c>
      <c r="E1587" s="226"/>
      <c r="G1587" s="224" t="s">
        <v>1</v>
      </c>
      <c r="H1587" s="224" t="s">
        <v>289</v>
      </c>
      <c r="I1587" s="224" t="s">
        <v>15</v>
      </c>
      <c r="J1587" s="224">
        <v>70</v>
      </c>
      <c r="K1587" s="227">
        <f t="array" ref="K1587">IFERROR(INDEX([1]Grille_Tarifs_Modulable!$B$2:$B$204,MATCH(Tableau14[[#This Row],[Designation]]&amp;Tableau14[[#This Row],[CL]],[1]Grille_Tarifs_Modulable!$C$2:$C$204&amp;[1]Grille_Tarifs_Modulable!$F$2:$F$204,0)),0)</f>
        <v>4067700013859</v>
      </c>
      <c r="L1587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12.532563499999998</v>
      </c>
      <c r="M1587" s="228">
        <f>IF(Tableau14[[#This Row],[Prix_Unit_HT]]=0,0,Tableau14[[#This Row],[Prix_Unit_HT]]+(Tableau14[[#This Row],[Prix_Unit_HT]]*VLOOKUP(Tableau14[[#This Row],[EAN]],[1]Grille_Tarifs_Modulable!$B$10:$Q$204,16,FALSE)))</f>
        <v>15.039076199999998</v>
      </c>
      <c r="N1587" s="224">
        <v>90</v>
      </c>
      <c r="O1587" s="228">
        <f>ROUND(Tableau14[[#This Row],[Prix_Unit_HT]],2)*Tableau14[[#This Row],[Qte_commande]]</f>
        <v>1127.7</v>
      </c>
      <c r="P1587" s="228">
        <f>ROUND(Tableau14[[#This Row],[Prix_Unit_TTC]],2)*Tableau14[[#This Row],[Qte_commande]]</f>
        <v>1353.6</v>
      </c>
      <c r="Q1587" s="224">
        <v>90</v>
      </c>
      <c r="R1587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90</v>
      </c>
      <c r="U1587" s="224"/>
      <c r="V1587" s="224"/>
    </row>
    <row r="1588" spans="1:22" ht="14.65" customHeight="1" x14ac:dyDescent="0.2">
      <c r="A1588" s="225">
        <v>43641</v>
      </c>
      <c r="B1588" s="224" t="s">
        <v>755</v>
      </c>
      <c r="C1588" s="224" t="s">
        <v>159</v>
      </c>
      <c r="D1588" s="224" t="s">
        <v>209</v>
      </c>
      <c r="E1588" s="226"/>
      <c r="G1588" s="224" t="s">
        <v>1</v>
      </c>
      <c r="H1588" s="224" t="s">
        <v>289</v>
      </c>
      <c r="I1588" s="224" t="s">
        <v>15</v>
      </c>
      <c r="J1588" s="224">
        <v>100</v>
      </c>
      <c r="K1588" s="227">
        <f t="array" ref="K1588">IFERROR(INDEX([1]Grille_Tarifs_Modulable!$B$2:$B$204,MATCH(Tableau14[[#This Row],[Designation]]&amp;Tableau14[[#This Row],[CL]],[1]Grille_Tarifs_Modulable!$C$2:$C$204&amp;[1]Grille_Tarifs_Modulable!$F$2:$F$204,0)),0)</f>
        <v>4067700013842</v>
      </c>
      <c r="L1588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17.100804999999998</v>
      </c>
      <c r="M1588" s="228">
        <f>IF(Tableau14[[#This Row],[Prix_Unit_HT]]=0,0,Tableau14[[#This Row],[Prix_Unit_HT]]+(Tableau14[[#This Row],[Prix_Unit_HT]]*VLOOKUP(Tableau14[[#This Row],[EAN]],[1]Grille_Tarifs_Modulable!$B$10:$Q$204,16,FALSE)))</f>
        <v>20.520965999999998</v>
      </c>
      <c r="N1588" s="224">
        <v>90</v>
      </c>
      <c r="O1588" s="228">
        <f>ROUND(Tableau14[[#This Row],[Prix_Unit_HT]],2)*Tableau14[[#This Row],[Qte_commande]]</f>
        <v>1539.0000000000002</v>
      </c>
      <c r="P1588" s="228">
        <f>ROUND(Tableau14[[#This Row],[Prix_Unit_TTC]],2)*Tableau14[[#This Row],[Qte_commande]]</f>
        <v>1846.8</v>
      </c>
      <c r="Q1588" s="224">
        <v>128.57</v>
      </c>
      <c r="R1588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128.57142857142858</v>
      </c>
      <c r="U1588" s="224"/>
      <c r="V1588" s="224"/>
    </row>
    <row r="1589" spans="1:22" ht="14.65" customHeight="1" x14ac:dyDescent="0.2">
      <c r="A1589" s="225">
        <v>43641</v>
      </c>
      <c r="B1589" s="224" t="s">
        <v>755</v>
      </c>
      <c r="C1589" s="224" t="s">
        <v>159</v>
      </c>
      <c r="D1589" s="224" t="s">
        <v>209</v>
      </c>
      <c r="E1589" s="226"/>
      <c r="G1589" s="224" t="s">
        <v>1</v>
      </c>
      <c r="H1589" s="224" t="s">
        <v>289</v>
      </c>
      <c r="I1589" s="224" t="s">
        <v>48</v>
      </c>
      <c r="J1589" s="224">
        <v>70</v>
      </c>
      <c r="K1589" s="227">
        <f t="array" ref="K1589">IFERROR(INDEX([1]Grille_Tarifs_Modulable!$B$2:$B$204,MATCH(Tableau14[[#This Row],[Designation]]&amp;Tableau14[[#This Row],[CL]],[1]Grille_Tarifs_Modulable!$C$2:$C$204&amp;[1]Grille_Tarifs_Modulable!$F$2:$F$204,0)),0)</f>
        <v>3257150673029</v>
      </c>
      <c r="L1589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17.769508399999999</v>
      </c>
      <c r="M1589" s="228">
        <f>IF(Tableau14[[#This Row],[Prix_Unit_HT]]=0,0,Tableau14[[#This Row],[Prix_Unit_HT]]+(Tableau14[[#This Row],[Prix_Unit_HT]]*VLOOKUP(Tableau14[[#This Row],[EAN]],[1]Grille_Tarifs_Modulable!$B$10:$Q$204,16,FALSE)))</f>
        <v>21.323410079999999</v>
      </c>
      <c r="N1589" s="224">
        <v>6</v>
      </c>
      <c r="O1589" s="228">
        <f>ROUND(Tableau14[[#This Row],[Prix_Unit_HT]],2)*Tableau14[[#This Row],[Qte_commande]]</f>
        <v>106.62</v>
      </c>
      <c r="P1589" s="228">
        <f>ROUND(Tableau14[[#This Row],[Prix_Unit_TTC]],2)*Tableau14[[#This Row],[Qte_commande]]</f>
        <v>127.92</v>
      </c>
      <c r="Q1589" s="224">
        <v>6</v>
      </c>
      <c r="R1589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6.0000000000000009</v>
      </c>
      <c r="U1589" s="224"/>
      <c r="V1589" s="224"/>
    </row>
    <row r="1590" spans="1:22" ht="14.65" customHeight="1" x14ac:dyDescent="0.2">
      <c r="A1590" s="225">
        <v>43641</v>
      </c>
      <c r="B1590" s="224" t="s">
        <v>755</v>
      </c>
      <c r="C1590" s="224" t="s">
        <v>159</v>
      </c>
      <c r="D1590" s="224" t="s">
        <v>209</v>
      </c>
      <c r="E1590" s="226"/>
      <c r="G1590" s="224" t="s">
        <v>1</v>
      </c>
      <c r="H1590" s="224" t="s">
        <v>289</v>
      </c>
      <c r="I1590" s="224" t="s">
        <v>32</v>
      </c>
      <c r="J1590" s="224">
        <v>70</v>
      </c>
      <c r="K1590" s="227">
        <f t="array" ref="K1590">IFERROR(INDEX([1]Grille_Tarifs_Modulable!$B$2:$B$204,MATCH(Tableau14[[#This Row],[Designation]]&amp;Tableau14[[#This Row],[CL]],[1]Grille_Tarifs_Modulable!$C$2:$C$204&amp;[1]Grille_Tarifs_Modulable!$F$2:$F$204,0)),0)</f>
        <v>3257150100228</v>
      </c>
      <c r="L1590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19.998643999999999</v>
      </c>
      <c r="M1590" s="228">
        <f>IF(Tableau14[[#This Row],[Prix_Unit_HT]]=0,0,Tableau14[[#This Row],[Prix_Unit_HT]]+(Tableau14[[#This Row],[Prix_Unit_HT]]*VLOOKUP(Tableau14[[#This Row],[EAN]],[1]Grille_Tarifs_Modulable!$B$10:$Q$204,16,FALSE)))</f>
        <v>23.998372799999999</v>
      </c>
      <c r="N1590" s="224">
        <v>12</v>
      </c>
      <c r="O1590" s="228">
        <f>ROUND(Tableau14[[#This Row],[Prix_Unit_HT]],2)*Tableau14[[#This Row],[Qte_commande]]</f>
        <v>240</v>
      </c>
      <c r="P1590" s="228">
        <f>ROUND(Tableau14[[#This Row],[Prix_Unit_TTC]],2)*Tableau14[[#This Row],[Qte_commande]]</f>
        <v>288</v>
      </c>
      <c r="Q1590" s="224">
        <v>12</v>
      </c>
      <c r="R1590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12.000000000000002</v>
      </c>
      <c r="U1590" s="224"/>
      <c r="V1590" s="224"/>
    </row>
    <row r="1591" spans="1:22" ht="14.65" customHeight="1" x14ac:dyDescent="0.2">
      <c r="A1591" s="225">
        <v>43641</v>
      </c>
      <c r="B1591" s="224" t="s">
        <v>755</v>
      </c>
      <c r="C1591" s="224" t="s">
        <v>159</v>
      </c>
      <c r="D1591" s="224" t="s">
        <v>209</v>
      </c>
      <c r="E1591" s="226"/>
      <c r="G1591" s="224" t="s">
        <v>1</v>
      </c>
      <c r="H1591" s="224" t="s">
        <v>289</v>
      </c>
      <c r="I1591" s="224" t="s">
        <v>25</v>
      </c>
      <c r="J1591" s="224">
        <v>70</v>
      </c>
      <c r="K1591" s="227">
        <f t="array" ref="K1591">IFERROR(INDEX([1]Grille_Tarifs_Modulable!$B$2:$B$204,MATCH(Tableau14[[#This Row],[Designation]]&amp;Tableau14[[#This Row],[CL]],[1]Grille_Tarifs_Modulable!$C$2:$C$204&amp;[1]Grille_Tarifs_Modulable!$F$2:$F$204,0)),0)</f>
        <v>8500000917015</v>
      </c>
      <c r="L1591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11.8982118</v>
      </c>
      <c r="M1591" s="228">
        <f>IF(Tableau14[[#This Row],[Prix_Unit_HT]]=0,0,Tableau14[[#This Row],[Prix_Unit_HT]]+(Tableau14[[#This Row],[Prix_Unit_HT]]*VLOOKUP(Tableau14[[#This Row],[EAN]],[1]Grille_Tarifs_Modulable!$B$10:$Q$204,16,FALSE)))</f>
        <v>14.27785416</v>
      </c>
      <c r="N1591" s="224">
        <v>180</v>
      </c>
      <c r="O1591" s="228">
        <f>ROUND(Tableau14[[#This Row],[Prix_Unit_HT]],2)*Tableau14[[#This Row],[Qte_commande]]</f>
        <v>2142</v>
      </c>
      <c r="P1591" s="228">
        <f>ROUND(Tableau14[[#This Row],[Prix_Unit_TTC]],2)*Tableau14[[#This Row],[Qte_commande]]</f>
        <v>2570.4</v>
      </c>
      <c r="Q1591" s="224">
        <v>180</v>
      </c>
      <c r="R1591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180</v>
      </c>
      <c r="U1591" s="224"/>
      <c r="V1591" s="224"/>
    </row>
    <row r="1592" spans="1:22" ht="14.65" customHeight="1" x14ac:dyDescent="0.2">
      <c r="A1592" s="225">
        <v>43641</v>
      </c>
      <c r="B1592" s="224" t="s">
        <v>962</v>
      </c>
      <c r="C1592" s="224" t="s">
        <v>198</v>
      </c>
      <c r="D1592" s="224" t="s">
        <v>199</v>
      </c>
      <c r="E1592" s="226"/>
      <c r="G1592" s="224" t="s">
        <v>1</v>
      </c>
      <c r="H1592" s="224" t="s">
        <v>196</v>
      </c>
      <c r="I1592" s="224" t="s">
        <v>64</v>
      </c>
      <c r="J1592" s="224">
        <v>20</v>
      </c>
      <c r="K1592" s="227">
        <f t="array" ref="K1592">IFERROR(INDEX([1]Grille_Tarifs_Modulable!$B$2:$B$204,MATCH(Tableau14[[#This Row],[Designation]]&amp;Tableau14[[#This Row],[CL]],[1]Grille_Tarifs_Modulable!$C$2:$C$204&amp;[1]Grille_Tarifs_Modulable!$F$2:$F$204,0)),0)</f>
        <v>4260310553849</v>
      </c>
      <c r="L1592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0.81</v>
      </c>
      <c r="M1592" s="228">
        <f>IF(Tableau14[[#This Row],[Prix_Unit_HT]]=0,0,Tableau14[[#This Row],[Prix_Unit_HT]]+(Tableau14[[#This Row],[Prix_Unit_HT]]*VLOOKUP(Tableau14[[#This Row],[EAN]],[1]Grille_Tarifs_Modulable!$B$10:$Q$204,16,FALSE)))</f>
        <v>0.85455000000000003</v>
      </c>
      <c r="N1592" s="224">
        <v>720</v>
      </c>
      <c r="O1592" s="228">
        <f>ROUND(Tableau14[[#This Row],[Prix_Unit_HT]],2)*Tableau14[[#This Row],[Qte_commande]]</f>
        <v>583.20000000000005</v>
      </c>
      <c r="P1592" s="228">
        <f>ROUND(Tableau14[[#This Row],[Prix_Unit_TTC]],2)*Tableau14[[#This Row],[Qte_commande]]</f>
        <v>612</v>
      </c>
      <c r="Q1592" s="224">
        <v>205.71</v>
      </c>
      <c r="R1592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205.71428571428572</v>
      </c>
      <c r="U1592" s="224"/>
      <c r="V1592" s="224"/>
    </row>
    <row r="1593" spans="1:22" ht="14.65" customHeight="1" x14ac:dyDescent="0.2">
      <c r="A1593" s="225">
        <v>43647</v>
      </c>
      <c r="B1593" s="224" t="s">
        <v>837</v>
      </c>
      <c r="C1593" s="224" t="s">
        <v>198</v>
      </c>
      <c r="D1593" s="224" t="s">
        <v>199</v>
      </c>
      <c r="E1593" s="226"/>
      <c r="G1593" s="224" t="s">
        <v>13</v>
      </c>
      <c r="H1593" s="224" t="s">
        <v>196</v>
      </c>
      <c r="I1593" s="224" t="s">
        <v>66</v>
      </c>
      <c r="J1593" s="224">
        <v>20</v>
      </c>
      <c r="K1593" s="227">
        <f t="array" ref="K1593">IFERROR(INDEX([1]Grille_Tarifs_Modulable!$B$2:$B$204,MATCH(Tableau14[[#This Row],[Designation]]&amp;Tableau14[[#This Row],[CL]],[1]Grille_Tarifs_Modulable!$C$2:$C$204&amp;[1]Grille_Tarifs_Modulable!$F$2:$F$204,0)),0)</f>
        <v>4260310554785</v>
      </c>
      <c r="L1593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0.89</v>
      </c>
      <c r="M1593" s="228">
        <f>IF(Tableau14[[#This Row],[Prix_Unit_HT]]=0,0,Tableau14[[#This Row],[Prix_Unit_HT]]+(Tableau14[[#This Row],[Prix_Unit_HT]]*VLOOKUP(Tableau14[[#This Row],[EAN]],[1]Grille_Tarifs_Modulable!$B$10:$Q$204,16,FALSE)))</f>
        <v>0.93895000000000006</v>
      </c>
      <c r="N1593" s="224">
        <v>720</v>
      </c>
      <c r="O1593" s="228">
        <f>ROUND(Tableau14[[#This Row],[Prix_Unit_HT]],2)*Tableau14[[#This Row],[Qte_commande]]</f>
        <v>640.79999999999995</v>
      </c>
      <c r="P1593" s="228">
        <f>ROUND(Tableau14[[#This Row],[Prix_Unit_TTC]],2)*Tableau14[[#This Row],[Qte_commande]]</f>
        <v>676.8</v>
      </c>
      <c r="Q1593" s="224">
        <v>205.71</v>
      </c>
      <c r="R1593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205.71428571428572</v>
      </c>
      <c r="U1593" s="224"/>
      <c r="V1593" s="224"/>
    </row>
    <row r="1594" spans="1:22" ht="14.65" customHeight="1" x14ac:dyDescent="0.2">
      <c r="A1594" s="225">
        <v>43647</v>
      </c>
      <c r="B1594" s="224" t="s">
        <v>837</v>
      </c>
      <c r="C1594" s="224" t="s">
        <v>198</v>
      </c>
      <c r="D1594" s="224" t="s">
        <v>199</v>
      </c>
      <c r="E1594" s="226"/>
      <c r="G1594" s="224" t="s">
        <v>13</v>
      </c>
      <c r="H1594" s="224" t="s">
        <v>196</v>
      </c>
      <c r="I1594" s="224" t="s">
        <v>66</v>
      </c>
      <c r="J1594" s="224">
        <v>20</v>
      </c>
      <c r="K1594" s="227">
        <f t="array" ref="K1594">IFERROR(INDEX([1]Grille_Tarifs_Modulable!$B$2:$B$204,MATCH(Tableau14[[#This Row],[Designation]]&amp;Tableau14[[#This Row],[CL]],[1]Grille_Tarifs_Modulable!$C$2:$C$204&amp;[1]Grille_Tarifs_Modulable!$F$2:$F$204,0)),0)</f>
        <v>4260310554785</v>
      </c>
      <c r="L1594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0.89</v>
      </c>
      <c r="M1594" s="228">
        <f>IF(Tableau14[[#This Row],[Prix_Unit_HT]]=0,0,Tableau14[[#This Row],[Prix_Unit_HT]]+(Tableau14[[#This Row],[Prix_Unit_HT]]*VLOOKUP(Tableau14[[#This Row],[EAN]],[1]Grille_Tarifs_Modulable!$B$10:$Q$204,16,FALSE)))</f>
        <v>0.93895000000000006</v>
      </c>
      <c r="N1594" s="224">
        <v>72</v>
      </c>
      <c r="O1594" s="228">
        <f>ROUND(Tableau14[[#This Row],[Prix_Unit_HT]],2)*Tableau14[[#This Row],[Qte_commande]]</f>
        <v>64.08</v>
      </c>
      <c r="P1594" s="228">
        <f>ROUND(Tableau14[[#This Row],[Prix_Unit_TTC]],2)*Tableau14[[#This Row],[Qte_commande]]</f>
        <v>67.679999999999993</v>
      </c>
      <c r="Q1594" s="224">
        <v>20.57</v>
      </c>
      <c r="R1594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20.571428571428573</v>
      </c>
      <c r="U1594" s="224"/>
      <c r="V1594" s="224"/>
    </row>
    <row r="1595" spans="1:22" ht="14.65" customHeight="1" x14ac:dyDescent="0.2">
      <c r="A1595" s="225">
        <v>43647</v>
      </c>
      <c r="B1595" s="224" t="s">
        <v>838</v>
      </c>
      <c r="C1595" s="224" t="s">
        <v>198</v>
      </c>
      <c r="D1595" s="224" t="s">
        <v>199</v>
      </c>
      <c r="E1595" s="226"/>
      <c r="G1595" s="224" t="s">
        <v>13</v>
      </c>
      <c r="H1595" s="224" t="s">
        <v>196</v>
      </c>
      <c r="I1595" s="224" t="s">
        <v>66</v>
      </c>
      <c r="J1595" s="224">
        <v>20</v>
      </c>
      <c r="K1595" s="227">
        <f t="array" ref="K1595">IFERROR(INDEX([1]Grille_Tarifs_Modulable!$B$2:$B$204,MATCH(Tableau14[[#This Row],[Designation]]&amp;Tableau14[[#This Row],[CL]],[1]Grille_Tarifs_Modulable!$C$2:$C$204&amp;[1]Grille_Tarifs_Modulable!$F$2:$F$204,0)),0)</f>
        <v>4260310554785</v>
      </c>
      <c r="L1595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0.89</v>
      </c>
      <c r="M1595" s="228">
        <f>IF(Tableau14[[#This Row],[Prix_Unit_HT]]=0,0,Tableau14[[#This Row],[Prix_Unit_HT]]+(Tableau14[[#This Row],[Prix_Unit_HT]]*VLOOKUP(Tableau14[[#This Row],[EAN]],[1]Grille_Tarifs_Modulable!$B$10:$Q$204,16,FALSE)))</f>
        <v>0.93895000000000006</v>
      </c>
      <c r="N1595" s="224">
        <v>0</v>
      </c>
      <c r="O1595" s="228">
        <f>ROUND(Tableau14[[#This Row],[Prix_Unit_HT]],2)*Tableau14[[#This Row],[Qte_commande]]</f>
        <v>0</v>
      </c>
      <c r="P1595" s="228">
        <f>ROUND(Tableau14[[#This Row],[Prix_Unit_TTC]],2)*Tableau14[[#This Row],[Qte_commande]]</f>
        <v>0</v>
      </c>
      <c r="Q1595" s="224">
        <v>0</v>
      </c>
      <c r="R1595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0</v>
      </c>
      <c r="U1595" s="224"/>
      <c r="V1595" s="224"/>
    </row>
    <row r="1596" spans="1:22" ht="14.65" customHeight="1" x14ac:dyDescent="0.2">
      <c r="A1596" s="225">
        <v>43654</v>
      </c>
      <c r="B1596" s="224" t="s">
        <v>364</v>
      </c>
      <c r="C1596" s="224" t="s">
        <v>211</v>
      </c>
      <c r="D1596" s="224" t="s">
        <v>212</v>
      </c>
      <c r="E1596" s="226"/>
      <c r="G1596" s="224" t="s">
        <v>1</v>
      </c>
      <c r="H1596" s="224" t="s">
        <v>196</v>
      </c>
      <c r="I1596" s="224" t="s">
        <v>65</v>
      </c>
      <c r="J1596" s="224">
        <v>20</v>
      </c>
      <c r="K1596" s="227">
        <f t="array" ref="K1596">IFERROR(INDEX([1]Grille_Tarifs_Modulable!$B$2:$B$204,MATCH(Tableau14[[#This Row],[Designation]]&amp;Tableau14[[#This Row],[CL]],[1]Grille_Tarifs_Modulable!$C$2:$C$204&amp;[1]Grille_Tarifs_Modulable!$F$2:$F$204,0)),0)</f>
        <v>4260310553863</v>
      </c>
      <c r="L1596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0.81</v>
      </c>
      <c r="M1596" s="228">
        <f>IF(Tableau14[[#This Row],[Prix_Unit_HT]]=0,0,Tableau14[[#This Row],[Prix_Unit_HT]]+(Tableau14[[#This Row],[Prix_Unit_HT]]*VLOOKUP(Tableau14[[#This Row],[EAN]],[1]Grille_Tarifs_Modulable!$B$10:$Q$204,16,FALSE)))</f>
        <v>0.85455000000000003</v>
      </c>
      <c r="N1596" s="224">
        <v>144</v>
      </c>
      <c r="O1596" s="228">
        <f>ROUND(Tableau14[[#This Row],[Prix_Unit_HT]],2)*Tableau14[[#This Row],[Qte_commande]]</f>
        <v>116.64000000000001</v>
      </c>
      <c r="P1596" s="228">
        <f>ROUND(Tableau14[[#This Row],[Prix_Unit_TTC]],2)*Tableau14[[#This Row],[Qte_commande]]</f>
        <v>122.39999999999999</v>
      </c>
      <c r="Q1596" s="224">
        <v>41.14</v>
      </c>
      <c r="R1596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41.142857142857146</v>
      </c>
      <c r="U1596" s="224"/>
      <c r="V1596" s="224"/>
    </row>
    <row r="1597" spans="1:22" ht="14.65" customHeight="1" x14ac:dyDescent="0.2">
      <c r="A1597" s="225">
        <v>43654</v>
      </c>
      <c r="B1597" s="224" t="s">
        <v>364</v>
      </c>
      <c r="C1597" s="224" t="s">
        <v>211</v>
      </c>
      <c r="D1597" s="224" t="s">
        <v>212</v>
      </c>
      <c r="E1597" s="226"/>
      <c r="G1597" s="224" t="s">
        <v>1</v>
      </c>
      <c r="H1597" s="224" t="s">
        <v>289</v>
      </c>
      <c r="I1597" s="224" t="s">
        <v>35</v>
      </c>
      <c r="J1597" s="224">
        <v>70</v>
      </c>
      <c r="K1597" s="227">
        <f t="array" ref="K1597">IFERROR(INDEX([1]Grille_Tarifs_Modulable!$B$2:$B$204,MATCH(Tableau14[[#This Row],[Designation]]&amp;Tableau14[[#This Row],[CL]],[1]Grille_Tarifs_Modulable!$C$2:$C$204&amp;[1]Grille_Tarifs_Modulable!$F$2:$F$204,0)),0)</f>
        <v>3257150107012</v>
      </c>
      <c r="L1597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29.828643999999997</v>
      </c>
      <c r="M1597" s="228">
        <f>IF(Tableau14[[#This Row],[Prix_Unit_HT]]=0,0,Tableau14[[#This Row],[Prix_Unit_HT]]+(Tableau14[[#This Row],[Prix_Unit_HT]]*VLOOKUP(Tableau14[[#This Row],[EAN]],[1]Grille_Tarifs_Modulable!$B$10:$Q$204,16,FALSE)))</f>
        <v>35.794372799999998</v>
      </c>
      <c r="N1597" s="224">
        <v>6</v>
      </c>
      <c r="O1597" s="228">
        <f>ROUND(Tableau14[[#This Row],[Prix_Unit_HT]],2)*Tableau14[[#This Row],[Qte_commande]]</f>
        <v>178.98</v>
      </c>
      <c r="P1597" s="228">
        <f>ROUND(Tableau14[[#This Row],[Prix_Unit_TTC]],2)*Tableau14[[#This Row],[Qte_commande]]</f>
        <v>214.74</v>
      </c>
      <c r="Q1597" s="224">
        <v>6</v>
      </c>
      <c r="R1597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6.0000000000000009</v>
      </c>
      <c r="U1597" s="224"/>
      <c r="V1597" s="224"/>
    </row>
    <row r="1598" spans="1:22" ht="14.65" customHeight="1" x14ac:dyDescent="0.2">
      <c r="A1598" s="225">
        <v>43654</v>
      </c>
      <c r="B1598" s="224" t="s">
        <v>364</v>
      </c>
      <c r="C1598" s="224" t="s">
        <v>211</v>
      </c>
      <c r="D1598" s="224" t="s">
        <v>212</v>
      </c>
      <c r="E1598" s="226"/>
      <c r="G1598" s="224" t="s">
        <v>1</v>
      </c>
      <c r="H1598" s="224" t="s">
        <v>289</v>
      </c>
      <c r="I1598" s="224" t="s">
        <v>15</v>
      </c>
      <c r="J1598" s="224">
        <v>100</v>
      </c>
      <c r="K1598" s="227">
        <f t="array" ref="K1598">IFERROR(INDEX([1]Grille_Tarifs_Modulable!$B$2:$B$204,MATCH(Tableau14[[#This Row],[Designation]]&amp;Tableau14[[#This Row],[CL]],[1]Grille_Tarifs_Modulable!$C$2:$C$204&amp;[1]Grille_Tarifs_Modulable!$F$2:$F$204,0)),0)</f>
        <v>4067700013842</v>
      </c>
      <c r="L1598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17.100804999999998</v>
      </c>
      <c r="M1598" s="228">
        <f>IF(Tableau14[[#This Row],[Prix_Unit_HT]]=0,0,Tableau14[[#This Row],[Prix_Unit_HT]]+(Tableau14[[#This Row],[Prix_Unit_HT]]*VLOOKUP(Tableau14[[#This Row],[EAN]],[1]Grille_Tarifs_Modulable!$B$10:$Q$204,16,FALSE)))</f>
        <v>20.520965999999998</v>
      </c>
      <c r="N1598" s="224">
        <v>90</v>
      </c>
      <c r="O1598" s="228">
        <f>ROUND(Tableau14[[#This Row],[Prix_Unit_HT]],2)*Tableau14[[#This Row],[Qte_commande]]</f>
        <v>1539.0000000000002</v>
      </c>
      <c r="P1598" s="228">
        <f>ROUND(Tableau14[[#This Row],[Prix_Unit_TTC]],2)*Tableau14[[#This Row],[Qte_commande]]</f>
        <v>1846.8</v>
      </c>
      <c r="Q1598" s="224">
        <v>128.57</v>
      </c>
      <c r="R1598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128.57142857142858</v>
      </c>
      <c r="U1598" s="224"/>
      <c r="V1598" s="224"/>
    </row>
    <row r="1599" spans="1:22" ht="14.65" customHeight="1" x14ac:dyDescent="0.2">
      <c r="A1599" s="225">
        <v>43654</v>
      </c>
      <c r="B1599" s="224" t="s">
        <v>364</v>
      </c>
      <c r="C1599" s="224" t="s">
        <v>211</v>
      </c>
      <c r="D1599" s="224" t="s">
        <v>212</v>
      </c>
      <c r="E1599" s="226"/>
      <c r="G1599" s="224" t="s">
        <v>1</v>
      </c>
      <c r="H1599" s="224" t="s">
        <v>289</v>
      </c>
      <c r="I1599" s="224" t="s">
        <v>24</v>
      </c>
      <c r="J1599" s="224">
        <v>70</v>
      </c>
      <c r="K1599" s="227">
        <f t="array" ref="K1599">IFERROR(INDEX([1]Grille_Tarifs_Modulable!$B$2:$B$204,MATCH(Tableau14[[#This Row],[Designation]]&amp;Tableau14[[#This Row],[CL]],[1]Grille_Tarifs_Modulable!$C$2:$C$204&amp;[1]Grille_Tarifs_Modulable!$F$2:$F$204,0)),0)</f>
        <v>8500000917008</v>
      </c>
      <c r="L1599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11.028211800000001</v>
      </c>
      <c r="M1599" s="228">
        <f>IF(Tableau14[[#This Row],[Prix_Unit_HT]]=0,0,Tableau14[[#This Row],[Prix_Unit_HT]]+(Tableau14[[#This Row],[Prix_Unit_HT]]*VLOOKUP(Tableau14[[#This Row],[EAN]],[1]Grille_Tarifs_Modulable!$B$10:$Q$204,16,FALSE)))</f>
        <v>13.233854160000002</v>
      </c>
      <c r="N1599" s="224">
        <v>36</v>
      </c>
      <c r="O1599" s="228">
        <f>ROUND(Tableau14[[#This Row],[Prix_Unit_HT]],2)*Tableau14[[#This Row],[Qte_commande]]</f>
        <v>397.08</v>
      </c>
      <c r="P1599" s="228">
        <f>ROUND(Tableau14[[#This Row],[Prix_Unit_TTC]],2)*Tableau14[[#This Row],[Qte_commande]]</f>
        <v>476.28000000000003</v>
      </c>
      <c r="Q1599" s="224">
        <v>36</v>
      </c>
      <c r="R1599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36</v>
      </c>
      <c r="U1599" s="224"/>
      <c r="V1599" s="224"/>
    </row>
    <row r="1600" spans="1:22" ht="14.65" customHeight="1" x14ac:dyDescent="0.2">
      <c r="A1600" s="225">
        <v>43654</v>
      </c>
      <c r="B1600" s="224" t="s">
        <v>364</v>
      </c>
      <c r="C1600" s="224" t="s">
        <v>211</v>
      </c>
      <c r="D1600" s="224" t="s">
        <v>212</v>
      </c>
      <c r="E1600" s="226"/>
      <c r="G1600" s="224" t="s">
        <v>1</v>
      </c>
      <c r="H1600" s="224" t="s">
        <v>289</v>
      </c>
      <c r="I1600" s="224" t="s">
        <v>42</v>
      </c>
      <c r="J1600" s="224">
        <v>70</v>
      </c>
      <c r="K1600" s="227">
        <f t="array" ref="K1600">IFERROR(INDEX([1]Grille_Tarifs_Modulable!$B$2:$B$204,MATCH(Tableau14[[#This Row],[Designation]]&amp;Tableau14[[#This Row],[CL]],[1]Grille_Tarifs_Modulable!$C$2:$C$204&amp;[1]Grille_Tarifs_Modulable!$F$2:$F$204,0)),0)</f>
        <v>3257150688009</v>
      </c>
      <c r="L1600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12.556915199999999</v>
      </c>
      <c r="M1600" s="228">
        <f>IF(Tableau14[[#This Row],[Prix_Unit_HT]]=0,0,Tableau14[[#This Row],[Prix_Unit_HT]]+(Tableau14[[#This Row],[Prix_Unit_HT]]*VLOOKUP(Tableau14[[#This Row],[EAN]],[1]Grille_Tarifs_Modulable!$B$10:$Q$204,16,FALSE)))</f>
        <v>15.068298239999999</v>
      </c>
      <c r="N1600" s="224">
        <v>12</v>
      </c>
      <c r="O1600" s="228">
        <f>ROUND(Tableau14[[#This Row],[Prix_Unit_HT]],2)*Tableau14[[#This Row],[Qte_commande]]</f>
        <v>150.72</v>
      </c>
      <c r="P1600" s="228">
        <f>ROUND(Tableau14[[#This Row],[Prix_Unit_TTC]],2)*Tableau14[[#This Row],[Qte_commande]]</f>
        <v>180.84</v>
      </c>
      <c r="Q1600" s="224">
        <v>12</v>
      </c>
      <c r="R1600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12.000000000000002</v>
      </c>
      <c r="U1600" s="224"/>
      <c r="V1600" s="224"/>
    </row>
    <row r="1601" spans="1:22" ht="14.65" customHeight="1" x14ac:dyDescent="0.2">
      <c r="A1601" s="225">
        <v>43654</v>
      </c>
      <c r="B1601" s="224" t="s">
        <v>364</v>
      </c>
      <c r="C1601" s="224" t="s">
        <v>211</v>
      </c>
      <c r="D1601" s="224" t="s">
        <v>212</v>
      </c>
      <c r="E1601" s="226"/>
      <c r="G1601" s="224" t="s">
        <v>1</v>
      </c>
      <c r="H1601" s="224" t="s">
        <v>196</v>
      </c>
      <c r="I1601" s="224" t="s">
        <v>64</v>
      </c>
      <c r="J1601" s="224">
        <v>20</v>
      </c>
      <c r="K1601" s="227">
        <f t="array" ref="K1601">IFERROR(INDEX([1]Grille_Tarifs_Modulable!$B$2:$B$204,MATCH(Tableau14[[#This Row],[Designation]]&amp;Tableau14[[#This Row],[CL]],[1]Grille_Tarifs_Modulable!$C$2:$C$204&amp;[1]Grille_Tarifs_Modulable!$F$2:$F$204,0)),0)</f>
        <v>4260310553849</v>
      </c>
      <c r="L1601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0.81</v>
      </c>
      <c r="M1601" s="228">
        <f>IF(Tableau14[[#This Row],[Prix_Unit_HT]]=0,0,Tableau14[[#This Row],[Prix_Unit_HT]]+(Tableau14[[#This Row],[Prix_Unit_HT]]*VLOOKUP(Tableau14[[#This Row],[EAN]],[1]Grille_Tarifs_Modulable!$B$10:$Q$204,16,FALSE)))</f>
        <v>0.85455000000000003</v>
      </c>
      <c r="N1601" s="224">
        <v>192</v>
      </c>
      <c r="O1601" s="228">
        <f>ROUND(Tableau14[[#This Row],[Prix_Unit_HT]],2)*Tableau14[[#This Row],[Qte_commande]]</f>
        <v>155.52000000000001</v>
      </c>
      <c r="P1601" s="228">
        <f>ROUND(Tableau14[[#This Row],[Prix_Unit_TTC]],2)*Tableau14[[#This Row],[Qte_commande]]</f>
        <v>163.19999999999999</v>
      </c>
      <c r="Q1601" s="224">
        <v>54.86</v>
      </c>
      <c r="R1601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54.857142857142861</v>
      </c>
      <c r="U1601" s="224"/>
      <c r="V1601" s="224"/>
    </row>
    <row r="1602" spans="1:22" ht="14.65" customHeight="1" x14ac:dyDescent="0.2">
      <c r="A1602" s="225">
        <v>43654</v>
      </c>
      <c r="B1602" s="224" t="s">
        <v>1235</v>
      </c>
      <c r="C1602" s="224" t="s">
        <v>1093</v>
      </c>
      <c r="D1602" s="224" t="s">
        <v>1094</v>
      </c>
      <c r="E1602" s="226"/>
      <c r="G1602" s="224" t="s">
        <v>13</v>
      </c>
      <c r="H1602" s="224" t="s">
        <v>451</v>
      </c>
      <c r="I1602" s="224" t="s">
        <v>69</v>
      </c>
      <c r="J1602" s="227">
        <v>3</v>
      </c>
      <c r="K1602" s="227">
        <f t="array" ref="K1602">IFERROR(INDEX([1]Grille_Tarifs_Modulable!$B$2:$B$204,MATCH(Tableau14[[#This Row],[Designation]]&amp;Tableau14[[#This Row],[CL]],[1]Grille_Tarifs_Modulable!$C$2:$C$204&amp;[1]Grille_Tarifs_Modulable!$F$2:$F$204,0)),0)</f>
        <v>121</v>
      </c>
      <c r="L1602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299</v>
      </c>
      <c r="M1602" s="228">
        <f>IF(Tableau14[[#This Row],[Prix_Unit_HT]]=0,0,Tableau14[[#This Row],[Prix_Unit_HT]]+(Tableau14[[#This Row],[Prix_Unit_HT]]*VLOOKUP(Tableau14[[#This Row],[EAN]],[1]Grille_Tarifs_Modulable!$B$10:$Q$204,16,FALSE)))</f>
        <v>358.8</v>
      </c>
      <c r="N1602" s="224">
        <v>1</v>
      </c>
      <c r="O1602" s="228">
        <f>ROUND(Tableau14[[#This Row],[Prix_Unit_HT]],2)*Tableau14[[#This Row],[Qte_commande]]</f>
        <v>299</v>
      </c>
      <c r="P1602" s="228">
        <f>ROUND(Tableau14[[#This Row],[Prix_Unit_TTC]],2)*Tableau14[[#This Row],[Qte_commande]]</f>
        <v>358.8</v>
      </c>
      <c r="Q1602" s="224">
        <v>1</v>
      </c>
      <c r="R1602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</v>
      </c>
      <c r="U1602" s="224"/>
      <c r="V1602" s="224"/>
    </row>
    <row r="1603" spans="1:22" ht="14.65" customHeight="1" x14ac:dyDescent="0.2">
      <c r="A1603" s="225">
        <v>43654</v>
      </c>
      <c r="B1603" s="224" t="s">
        <v>1281</v>
      </c>
      <c r="C1603" s="224" t="s">
        <v>164</v>
      </c>
      <c r="D1603" s="224" t="s">
        <v>233</v>
      </c>
      <c r="E1603" s="226"/>
      <c r="G1603" s="224" t="s">
        <v>13</v>
      </c>
      <c r="H1603" s="224" t="s">
        <v>451</v>
      </c>
      <c r="I1603" s="224" t="s">
        <v>71</v>
      </c>
      <c r="J1603" s="227">
        <v>1</v>
      </c>
      <c r="K1603" s="227">
        <f t="array" ref="K1603">IFERROR(INDEX([1]Grille_Tarifs_Modulable!$B$2:$B$204,MATCH(Tableau14[[#This Row],[Designation]]&amp;Tableau14[[#This Row],[CL]],[1]Grille_Tarifs_Modulable!$C$2:$C$204&amp;[1]Grille_Tarifs_Modulable!$F$2:$F$204,0)),0)</f>
        <v>122</v>
      </c>
      <c r="L1603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299</v>
      </c>
      <c r="M1603" s="228">
        <f>IF(Tableau14[[#This Row],[Prix_Unit_HT]]=0,0,Tableau14[[#This Row],[Prix_Unit_HT]]+(Tableau14[[#This Row],[Prix_Unit_HT]]*VLOOKUP(Tableau14[[#This Row],[EAN]],[1]Grille_Tarifs_Modulable!$B$10:$Q$204,16,FALSE)))</f>
        <v>358.8</v>
      </c>
      <c r="N1603" s="224">
        <v>8</v>
      </c>
      <c r="O1603" s="228">
        <f>ROUND(Tableau14[[#This Row],[Prix_Unit_HT]],2)*Tableau14[[#This Row],[Qte_commande]]</f>
        <v>2392</v>
      </c>
      <c r="P1603" s="228">
        <f>ROUND(Tableau14[[#This Row],[Prix_Unit_TTC]],2)*Tableau14[[#This Row],[Qte_commande]]</f>
        <v>2870.4</v>
      </c>
      <c r="Q1603" s="224">
        <v>8</v>
      </c>
      <c r="R1603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8</v>
      </c>
      <c r="U1603" s="224"/>
      <c r="V1603" s="224"/>
    </row>
    <row r="1604" spans="1:22" ht="14.65" customHeight="1" x14ac:dyDescent="0.2">
      <c r="A1604" s="225">
        <v>43654</v>
      </c>
      <c r="B1604" s="224" t="s">
        <v>1235</v>
      </c>
      <c r="C1604" s="224" t="s">
        <v>1093</v>
      </c>
      <c r="D1604" s="224" t="s">
        <v>1094</v>
      </c>
      <c r="E1604" s="226"/>
      <c r="G1604" s="224" t="s">
        <v>13</v>
      </c>
      <c r="H1604" s="224" t="s">
        <v>451</v>
      </c>
      <c r="I1604" s="224" t="s">
        <v>71</v>
      </c>
      <c r="J1604" s="227">
        <v>1</v>
      </c>
      <c r="K1604" s="227">
        <f t="array" ref="K1604">IFERROR(INDEX([1]Grille_Tarifs_Modulable!$B$2:$B$204,MATCH(Tableau14[[#This Row],[Designation]]&amp;Tableau14[[#This Row],[CL]],[1]Grille_Tarifs_Modulable!$C$2:$C$204&amp;[1]Grille_Tarifs_Modulable!$F$2:$F$204,0)),0)</f>
        <v>122</v>
      </c>
      <c r="L1604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299</v>
      </c>
      <c r="M1604" s="228">
        <f>IF(Tableau14[[#This Row],[Prix_Unit_HT]]=0,0,Tableau14[[#This Row],[Prix_Unit_HT]]+(Tableau14[[#This Row],[Prix_Unit_HT]]*VLOOKUP(Tableau14[[#This Row],[EAN]],[1]Grille_Tarifs_Modulable!$B$10:$Q$204,16,FALSE)))</f>
        <v>358.8</v>
      </c>
      <c r="N1604" s="224">
        <v>2</v>
      </c>
      <c r="O1604" s="228">
        <f>ROUND(Tableau14[[#This Row],[Prix_Unit_HT]],2)*Tableau14[[#This Row],[Qte_commande]]</f>
        <v>598</v>
      </c>
      <c r="P1604" s="228">
        <f>ROUND(Tableau14[[#This Row],[Prix_Unit_TTC]],2)*Tableau14[[#This Row],[Qte_commande]]</f>
        <v>717.6</v>
      </c>
      <c r="Q1604" s="224">
        <v>2</v>
      </c>
      <c r="R1604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2</v>
      </c>
      <c r="U1604" s="224"/>
      <c r="V1604" s="224"/>
    </row>
    <row r="1605" spans="1:22" ht="14.65" customHeight="1" x14ac:dyDescent="0.2">
      <c r="A1605" s="225">
        <v>43654</v>
      </c>
      <c r="B1605" s="224" t="s">
        <v>1282</v>
      </c>
      <c r="C1605" s="224" t="s">
        <v>232</v>
      </c>
      <c r="D1605" s="224" t="s">
        <v>233</v>
      </c>
      <c r="E1605" s="226"/>
      <c r="G1605" s="224" t="s">
        <v>13</v>
      </c>
      <c r="H1605" s="224" t="s">
        <v>451</v>
      </c>
      <c r="I1605" s="224" t="s">
        <v>71</v>
      </c>
      <c r="J1605" s="227">
        <v>1</v>
      </c>
      <c r="K1605" s="227">
        <f t="array" ref="K1605">IFERROR(INDEX([1]Grille_Tarifs_Modulable!$B$2:$B$204,MATCH(Tableau14[[#This Row],[Designation]]&amp;Tableau14[[#This Row],[CL]],[1]Grille_Tarifs_Modulable!$C$2:$C$204&amp;[1]Grille_Tarifs_Modulable!$F$2:$F$204,0)),0)</f>
        <v>122</v>
      </c>
      <c r="L1605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299</v>
      </c>
      <c r="M1605" s="228">
        <f>IF(Tableau14[[#This Row],[Prix_Unit_HT]]=0,0,Tableau14[[#This Row],[Prix_Unit_HT]]+(Tableau14[[#This Row],[Prix_Unit_HT]]*VLOOKUP(Tableau14[[#This Row],[EAN]],[1]Grille_Tarifs_Modulable!$B$10:$Q$204,16,FALSE)))</f>
        <v>358.8</v>
      </c>
      <c r="N1605" s="224">
        <v>1</v>
      </c>
      <c r="O1605" s="228">
        <f>ROUND(Tableau14[[#This Row],[Prix_Unit_HT]],2)*Tableau14[[#This Row],[Qte_commande]]</f>
        <v>299</v>
      </c>
      <c r="P1605" s="228">
        <f>ROUND(Tableau14[[#This Row],[Prix_Unit_TTC]],2)*Tableau14[[#This Row],[Qte_commande]]</f>
        <v>358.8</v>
      </c>
      <c r="Q1605" s="224">
        <v>1</v>
      </c>
      <c r="R1605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</v>
      </c>
      <c r="U1605" s="224"/>
      <c r="V1605" s="224"/>
    </row>
    <row r="1606" spans="1:22" ht="14.65" customHeight="1" x14ac:dyDescent="0.2">
      <c r="A1606" s="225">
        <v>43654</v>
      </c>
      <c r="B1606" s="224" t="s">
        <v>1283</v>
      </c>
      <c r="C1606" s="224" t="s">
        <v>1284</v>
      </c>
      <c r="D1606" s="224" t="s">
        <v>443</v>
      </c>
      <c r="E1606" s="226"/>
      <c r="G1606" s="224" t="s">
        <v>13</v>
      </c>
      <c r="H1606" s="224" t="s">
        <v>451</v>
      </c>
      <c r="I1606" s="224" t="s">
        <v>71</v>
      </c>
      <c r="J1606" s="227">
        <v>1</v>
      </c>
      <c r="K1606" s="227">
        <f t="array" ref="K1606">IFERROR(INDEX([1]Grille_Tarifs_Modulable!$B$2:$B$204,MATCH(Tableau14[[#This Row],[Designation]]&amp;Tableau14[[#This Row],[CL]],[1]Grille_Tarifs_Modulable!$C$2:$C$204&amp;[1]Grille_Tarifs_Modulable!$F$2:$F$204,0)),0)</f>
        <v>122</v>
      </c>
      <c r="L1606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299</v>
      </c>
      <c r="M1606" s="228">
        <f>IF(Tableau14[[#This Row],[Prix_Unit_HT]]=0,0,Tableau14[[#This Row],[Prix_Unit_HT]]+(Tableau14[[#This Row],[Prix_Unit_HT]]*VLOOKUP(Tableau14[[#This Row],[EAN]],[1]Grille_Tarifs_Modulable!$B$10:$Q$204,16,FALSE)))</f>
        <v>358.8</v>
      </c>
      <c r="N1606" s="224">
        <v>1</v>
      </c>
      <c r="O1606" s="228">
        <f>ROUND(Tableau14[[#This Row],[Prix_Unit_HT]],2)*Tableau14[[#This Row],[Qte_commande]]</f>
        <v>299</v>
      </c>
      <c r="P1606" s="228">
        <f>ROUND(Tableau14[[#This Row],[Prix_Unit_TTC]],2)*Tableau14[[#This Row],[Qte_commande]]</f>
        <v>358.8</v>
      </c>
      <c r="Q1606" s="224">
        <v>1</v>
      </c>
      <c r="R1606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</v>
      </c>
      <c r="U1606" s="224"/>
      <c r="V1606" s="224"/>
    </row>
    <row r="1607" spans="1:22" ht="14.65" customHeight="1" x14ac:dyDescent="0.2">
      <c r="A1607" s="225">
        <v>43654</v>
      </c>
      <c r="B1607" s="224" t="s">
        <v>1285</v>
      </c>
      <c r="C1607" s="224" t="s">
        <v>179</v>
      </c>
      <c r="D1607" s="224" t="s">
        <v>443</v>
      </c>
      <c r="E1607" s="226"/>
      <c r="G1607" s="224" t="s">
        <v>13</v>
      </c>
      <c r="H1607" s="224" t="s">
        <v>451</v>
      </c>
      <c r="I1607" s="224" t="s">
        <v>71</v>
      </c>
      <c r="J1607" s="227">
        <v>1</v>
      </c>
      <c r="K1607" s="227">
        <f t="array" ref="K1607">IFERROR(INDEX([1]Grille_Tarifs_Modulable!$B$2:$B$204,MATCH(Tableau14[[#This Row],[Designation]]&amp;Tableau14[[#This Row],[CL]],[1]Grille_Tarifs_Modulable!$C$2:$C$204&amp;[1]Grille_Tarifs_Modulable!$F$2:$F$204,0)),0)</f>
        <v>122</v>
      </c>
      <c r="L1607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299</v>
      </c>
      <c r="M1607" s="228">
        <f>IF(Tableau14[[#This Row],[Prix_Unit_HT]]=0,0,Tableau14[[#This Row],[Prix_Unit_HT]]+(Tableau14[[#This Row],[Prix_Unit_HT]]*VLOOKUP(Tableau14[[#This Row],[EAN]],[1]Grille_Tarifs_Modulable!$B$10:$Q$204,16,FALSE)))</f>
        <v>358.8</v>
      </c>
      <c r="N1607" s="224">
        <v>1</v>
      </c>
      <c r="O1607" s="228">
        <f>ROUND(Tableau14[[#This Row],[Prix_Unit_HT]],2)*Tableau14[[#This Row],[Qte_commande]]</f>
        <v>299</v>
      </c>
      <c r="P1607" s="228">
        <f>ROUND(Tableau14[[#This Row],[Prix_Unit_TTC]],2)*Tableau14[[#This Row],[Qte_commande]]</f>
        <v>358.8</v>
      </c>
      <c r="Q1607" s="224">
        <v>1</v>
      </c>
      <c r="R1607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</v>
      </c>
      <c r="U1607" s="224"/>
      <c r="V1607" s="224"/>
    </row>
    <row r="1608" spans="1:22" ht="14.65" customHeight="1" x14ac:dyDescent="0.2">
      <c r="A1608" s="225">
        <v>43654</v>
      </c>
      <c r="B1608" s="224" t="s">
        <v>364</v>
      </c>
      <c r="C1608" s="224" t="s">
        <v>211</v>
      </c>
      <c r="D1608" s="224" t="s">
        <v>212</v>
      </c>
      <c r="E1608" s="226"/>
      <c r="G1608" s="224" t="s">
        <v>1</v>
      </c>
      <c r="H1608" s="224" t="s">
        <v>196</v>
      </c>
      <c r="I1608" s="224" t="s">
        <v>59</v>
      </c>
      <c r="J1608" s="224">
        <v>20</v>
      </c>
      <c r="K1608" s="227">
        <f t="array" ref="K1608">IFERROR(INDEX([1]Grille_Tarifs_Modulable!$B$2:$B$204,MATCH(Tableau14[[#This Row],[Designation]]&amp;Tableau14[[#This Row],[CL]],[1]Grille_Tarifs_Modulable!$C$2:$C$204&amp;[1]Grille_Tarifs_Modulable!$F$2:$F$204,0)),0)</f>
        <v>4260310553818</v>
      </c>
      <c r="L1608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0.81</v>
      </c>
      <c r="M1608" s="228">
        <f>IF(Tableau14[[#This Row],[Prix_Unit_HT]]=0,0,Tableau14[[#This Row],[Prix_Unit_HT]]+(Tableau14[[#This Row],[Prix_Unit_HT]]*VLOOKUP(Tableau14[[#This Row],[EAN]],[1]Grille_Tarifs_Modulable!$B$10:$Q$204,16,FALSE)))</f>
        <v>0.85455000000000003</v>
      </c>
      <c r="N1608" s="224">
        <v>144</v>
      </c>
      <c r="O1608" s="228">
        <f>ROUND(Tableau14[[#This Row],[Prix_Unit_HT]],2)*Tableau14[[#This Row],[Qte_commande]]</f>
        <v>116.64000000000001</v>
      </c>
      <c r="P1608" s="228">
        <f>ROUND(Tableau14[[#This Row],[Prix_Unit_TTC]],2)*Tableau14[[#This Row],[Qte_commande]]</f>
        <v>122.39999999999999</v>
      </c>
      <c r="Q1608" s="224">
        <v>41.14</v>
      </c>
      <c r="R1608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41.142857142857146</v>
      </c>
      <c r="U1608" s="224"/>
      <c r="V1608" s="224"/>
    </row>
    <row r="1609" spans="1:22" ht="14.65" customHeight="1" x14ac:dyDescent="0.2">
      <c r="A1609" s="225">
        <v>43657</v>
      </c>
      <c r="B1609" s="224" t="s">
        <v>365</v>
      </c>
      <c r="C1609" s="224" t="s">
        <v>265</v>
      </c>
      <c r="D1609" s="224" t="s">
        <v>266</v>
      </c>
      <c r="E1609" s="226"/>
      <c r="G1609" s="224" t="s">
        <v>1</v>
      </c>
      <c r="H1609" s="224" t="s">
        <v>196</v>
      </c>
      <c r="I1609" s="224" t="s">
        <v>65</v>
      </c>
      <c r="J1609" s="224">
        <v>20</v>
      </c>
      <c r="K1609" s="227">
        <f t="array" ref="K1609">IFERROR(INDEX([1]Grille_Tarifs_Modulable!$B$2:$B$204,MATCH(Tableau14[[#This Row],[Designation]]&amp;Tableau14[[#This Row],[CL]],[1]Grille_Tarifs_Modulable!$C$2:$C$204&amp;[1]Grille_Tarifs_Modulable!$F$2:$F$204,0)),0)</f>
        <v>4260310553863</v>
      </c>
      <c r="L1609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0.81</v>
      </c>
      <c r="M1609" s="228">
        <f>IF(Tableau14[[#This Row],[Prix_Unit_HT]]=0,0,Tableau14[[#This Row],[Prix_Unit_HT]]+(Tableau14[[#This Row],[Prix_Unit_HT]]*VLOOKUP(Tableau14[[#This Row],[EAN]],[1]Grille_Tarifs_Modulable!$B$10:$Q$204,16,FALSE)))</f>
        <v>0.85455000000000003</v>
      </c>
      <c r="N1609" s="224">
        <v>24</v>
      </c>
      <c r="O1609" s="228">
        <f>ROUND(Tableau14[[#This Row],[Prix_Unit_HT]],2)*Tableau14[[#This Row],[Qte_commande]]</f>
        <v>19.440000000000001</v>
      </c>
      <c r="P1609" s="228">
        <f>ROUND(Tableau14[[#This Row],[Prix_Unit_TTC]],2)*Tableau14[[#This Row],[Qte_commande]]</f>
        <v>20.399999999999999</v>
      </c>
      <c r="Q1609" s="224">
        <v>6.86</v>
      </c>
      <c r="R1609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6.8571428571428577</v>
      </c>
      <c r="U1609" s="224"/>
      <c r="V1609" s="224"/>
    </row>
    <row r="1610" spans="1:22" ht="14.65" customHeight="1" x14ac:dyDescent="0.2">
      <c r="A1610" s="225">
        <v>43657</v>
      </c>
      <c r="B1610" s="224" t="s">
        <v>365</v>
      </c>
      <c r="C1610" s="224" t="s">
        <v>265</v>
      </c>
      <c r="D1610" s="224" t="s">
        <v>266</v>
      </c>
      <c r="E1610" s="226"/>
      <c r="G1610" s="224" t="s">
        <v>1</v>
      </c>
      <c r="H1610" s="224" t="s">
        <v>289</v>
      </c>
      <c r="I1610" s="224" t="s">
        <v>35</v>
      </c>
      <c r="J1610" s="224">
        <v>70</v>
      </c>
      <c r="K1610" s="227">
        <f t="array" ref="K1610">IFERROR(INDEX([1]Grille_Tarifs_Modulable!$B$2:$B$204,MATCH(Tableau14[[#This Row],[Designation]]&amp;Tableau14[[#This Row],[CL]],[1]Grille_Tarifs_Modulable!$C$2:$C$204&amp;[1]Grille_Tarifs_Modulable!$F$2:$F$204,0)),0)</f>
        <v>3257150107012</v>
      </c>
      <c r="L1610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29.828643999999997</v>
      </c>
      <c r="M1610" s="228">
        <f>IF(Tableau14[[#This Row],[Prix_Unit_HT]]=0,0,Tableau14[[#This Row],[Prix_Unit_HT]]+(Tableau14[[#This Row],[Prix_Unit_HT]]*VLOOKUP(Tableau14[[#This Row],[EAN]],[1]Grille_Tarifs_Modulable!$B$10:$Q$204,16,FALSE)))</f>
        <v>35.794372799999998</v>
      </c>
      <c r="N1610" s="224">
        <v>6</v>
      </c>
      <c r="O1610" s="228">
        <f>ROUND(Tableau14[[#This Row],[Prix_Unit_HT]],2)*Tableau14[[#This Row],[Qte_commande]]</f>
        <v>178.98</v>
      </c>
      <c r="P1610" s="228">
        <f>ROUND(Tableau14[[#This Row],[Prix_Unit_TTC]],2)*Tableau14[[#This Row],[Qte_commande]]</f>
        <v>214.74</v>
      </c>
      <c r="Q1610" s="224">
        <v>6</v>
      </c>
      <c r="R1610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6.0000000000000009</v>
      </c>
      <c r="U1610" s="224"/>
      <c r="V1610" s="224"/>
    </row>
    <row r="1611" spans="1:22" ht="14.65" customHeight="1" x14ac:dyDescent="0.2">
      <c r="A1611" s="225">
        <v>43657</v>
      </c>
      <c r="B1611" s="224" t="s">
        <v>365</v>
      </c>
      <c r="C1611" s="224" t="s">
        <v>265</v>
      </c>
      <c r="D1611" s="224" t="s">
        <v>266</v>
      </c>
      <c r="E1611" s="226"/>
      <c r="G1611" s="224" t="s">
        <v>1</v>
      </c>
      <c r="H1611" s="224" t="s">
        <v>289</v>
      </c>
      <c r="I1611" s="224" t="s">
        <v>15</v>
      </c>
      <c r="J1611" s="224">
        <v>70</v>
      </c>
      <c r="K1611" s="227">
        <f t="array" ref="K1611">IFERROR(INDEX([1]Grille_Tarifs_Modulable!$B$2:$B$204,MATCH(Tableau14[[#This Row],[Designation]]&amp;Tableau14[[#This Row],[CL]],[1]Grille_Tarifs_Modulable!$C$2:$C$204&amp;[1]Grille_Tarifs_Modulable!$F$2:$F$204,0)),0)</f>
        <v>4067700013859</v>
      </c>
      <c r="L1611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12.532563499999998</v>
      </c>
      <c r="M1611" s="228">
        <f>IF(Tableau14[[#This Row],[Prix_Unit_HT]]=0,0,Tableau14[[#This Row],[Prix_Unit_HT]]+(Tableau14[[#This Row],[Prix_Unit_HT]]*VLOOKUP(Tableau14[[#This Row],[EAN]],[1]Grille_Tarifs_Modulable!$B$10:$Q$204,16,FALSE)))</f>
        <v>15.039076199999998</v>
      </c>
      <c r="N1611" s="224">
        <v>240</v>
      </c>
      <c r="O1611" s="228">
        <f>ROUND(Tableau14[[#This Row],[Prix_Unit_HT]],2)*Tableau14[[#This Row],[Qte_commande]]</f>
        <v>3007.2</v>
      </c>
      <c r="P1611" s="228">
        <f>ROUND(Tableau14[[#This Row],[Prix_Unit_TTC]],2)*Tableau14[[#This Row],[Qte_commande]]</f>
        <v>3609.6</v>
      </c>
      <c r="Q1611" s="224">
        <v>240</v>
      </c>
      <c r="R1611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240.00000000000003</v>
      </c>
      <c r="U1611" s="224"/>
      <c r="V1611" s="224"/>
    </row>
    <row r="1612" spans="1:22" ht="14.65" customHeight="1" x14ac:dyDescent="0.2">
      <c r="A1612" s="225">
        <v>43657</v>
      </c>
      <c r="B1612" s="224" t="s">
        <v>756</v>
      </c>
      <c r="C1612" s="224" t="s">
        <v>542</v>
      </c>
      <c r="D1612" s="224" t="s">
        <v>209</v>
      </c>
      <c r="E1612" s="226"/>
      <c r="G1612" s="224" t="s">
        <v>1</v>
      </c>
      <c r="H1612" s="224" t="s">
        <v>289</v>
      </c>
      <c r="I1612" s="224" t="s">
        <v>15</v>
      </c>
      <c r="J1612" s="224">
        <v>175</v>
      </c>
      <c r="K1612" s="227">
        <f t="array" ref="K1612">IFERROR(INDEX([1]Grille_Tarifs_Modulable!$B$2:$B$204,MATCH(Tableau14[[#This Row],[Designation]]&amp;Tableau14[[#This Row],[CL]],[1]Grille_Tarifs_Modulable!$C$2:$C$204&amp;[1]Grille_Tarifs_Modulable!$F$2:$F$204,0)),0)</f>
        <v>4067700013835</v>
      </c>
      <c r="L1612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28.916408750000002</v>
      </c>
      <c r="M1612" s="228">
        <f>IF(Tableau14[[#This Row],[Prix_Unit_HT]]=0,0,Tableau14[[#This Row],[Prix_Unit_HT]]+(Tableau14[[#This Row],[Prix_Unit_HT]]*VLOOKUP(Tableau14[[#This Row],[EAN]],[1]Grille_Tarifs_Modulable!$B$10:$Q$204,16,FALSE)))</f>
        <v>34.699690500000003</v>
      </c>
      <c r="N1612" s="224">
        <v>12</v>
      </c>
      <c r="O1612" s="228">
        <f>ROUND(Tableau14[[#This Row],[Prix_Unit_HT]],2)*Tableau14[[#This Row],[Qte_commande]]</f>
        <v>347.04</v>
      </c>
      <c r="P1612" s="228">
        <f>ROUND(Tableau14[[#This Row],[Prix_Unit_TTC]],2)*Tableau14[[#This Row],[Qte_commande]]</f>
        <v>416.40000000000003</v>
      </c>
      <c r="Q1612" s="224">
        <v>30</v>
      </c>
      <c r="R1612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30.000000000000004</v>
      </c>
      <c r="U1612" s="224"/>
      <c r="V1612" s="224"/>
    </row>
    <row r="1613" spans="1:22" ht="14.65" customHeight="1" x14ac:dyDescent="0.2">
      <c r="A1613" s="225">
        <v>43657</v>
      </c>
      <c r="B1613" s="224" t="s">
        <v>365</v>
      </c>
      <c r="C1613" s="224" t="s">
        <v>265</v>
      </c>
      <c r="D1613" s="224" t="s">
        <v>266</v>
      </c>
      <c r="E1613" s="226"/>
      <c r="G1613" s="224" t="s">
        <v>1</v>
      </c>
      <c r="H1613" s="224" t="s">
        <v>289</v>
      </c>
      <c r="I1613" s="224" t="s">
        <v>30</v>
      </c>
      <c r="J1613" s="224">
        <v>70</v>
      </c>
      <c r="K1613" s="227">
        <f t="array" ref="K1613">IFERROR(INDEX([1]Grille_Tarifs_Modulable!$B$2:$B$204,MATCH(Tableau14[[#This Row],[Designation]]&amp;Tableau14[[#This Row],[CL]],[1]Grille_Tarifs_Modulable!$C$2:$C$204&amp;[1]Grille_Tarifs_Modulable!$F$2:$F$204,0)),0)</f>
        <v>3257150101904</v>
      </c>
      <c r="L1613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16.346482999999999</v>
      </c>
      <c r="M1613" s="228">
        <f>IF(Tableau14[[#This Row],[Prix_Unit_HT]]=0,0,Tableau14[[#This Row],[Prix_Unit_HT]]+(Tableau14[[#This Row],[Prix_Unit_HT]]*VLOOKUP(Tableau14[[#This Row],[EAN]],[1]Grille_Tarifs_Modulable!$B$10:$Q$204,16,FALSE)))</f>
        <v>19.6157796</v>
      </c>
      <c r="N1613" s="224">
        <v>6</v>
      </c>
      <c r="O1613" s="228">
        <f>ROUND(Tableau14[[#This Row],[Prix_Unit_HT]],2)*Tableau14[[#This Row],[Qte_commande]]</f>
        <v>98.100000000000009</v>
      </c>
      <c r="P1613" s="228">
        <f>ROUND(Tableau14[[#This Row],[Prix_Unit_TTC]],2)*Tableau14[[#This Row],[Qte_commande]]</f>
        <v>117.72</v>
      </c>
      <c r="Q1613" s="224">
        <v>6</v>
      </c>
      <c r="R1613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6.0000000000000009</v>
      </c>
      <c r="U1613" s="224"/>
      <c r="V1613" s="224"/>
    </row>
    <row r="1614" spans="1:22" ht="14.65" customHeight="1" x14ac:dyDescent="0.2">
      <c r="A1614" s="225">
        <v>43657</v>
      </c>
      <c r="B1614" s="224" t="s">
        <v>365</v>
      </c>
      <c r="C1614" s="224" t="s">
        <v>265</v>
      </c>
      <c r="D1614" s="224" t="s">
        <v>266</v>
      </c>
      <c r="E1614" s="226"/>
      <c r="G1614" s="224" t="s">
        <v>1</v>
      </c>
      <c r="H1614" s="224" t="s">
        <v>289</v>
      </c>
      <c r="I1614" s="224" t="s">
        <v>31</v>
      </c>
      <c r="J1614" s="224">
        <v>70</v>
      </c>
      <c r="K1614" s="227">
        <f t="array" ref="K1614">IFERROR(INDEX([1]Grille_Tarifs_Modulable!$B$2:$B$204,MATCH(Tableau14[[#This Row],[Designation]]&amp;Tableau14[[#This Row],[CL]],[1]Grille_Tarifs_Modulable!$C$2:$C$204&amp;[1]Grille_Tarifs_Modulable!$F$2:$F$204,0)),0)</f>
        <v>3257150102017</v>
      </c>
      <c r="L1614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14.694322</v>
      </c>
      <c r="M1614" s="228">
        <f>IF(Tableau14[[#This Row],[Prix_Unit_HT]]=0,0,Tableau14[[#This Row],[Prix_Unit_HT]]+(Tableau14[[#This Row],[Prix_Unit_HT]]*VLOOKUP(Tableau14[[#This Row],[EAN]],[1]Grille_Tarifs_Modulable!$B$10:$Q$204,16,FALSE)))</f>
        <v>17.6331864</v>
      </c>
      <c r="N1614" s="224">
        <v>6</v>
      </c>
      <c r="O1614" s="228">
        <f>ROUND(Tableau14[[#This Row],[Prix_Unit_HT]],2)*Tableau14[[#This Row],[Qte_commande]]</f>
        <v>88.14</v>
      </c>
      <c r="P1614" s="228">
        <f>ROUND(Tableau14[[#This Row],[Prix_Unit_TTC]],2)*Tableau14[[#This Row],[Qte_commande]]</f>
        <v>105.78</v>
      </c>
      <c r="Q1614" s="224">
        <v>6</v>
      </c>
      <c r="R1614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6.0000000000000009</v>
      </c>
      <c r="U1614" s="224"/>
      <c r="V1614" s="224"/>
    </row>
    <row r="1615" spans="1:22" ht="14.65" customHeight="1" x14ac:dyDescent="0.2">
      <c r="A1615" s="225">
        <v>43657</v>
      </c>
      <c r="B1615" s="224" t="s">
        <v>756</v>
      </c>
      <c r="C1615" s="224" t="s">
        <v>542</v>
      </c>
      <c r="D1615" s="224" t="s">
        <v>209</v>
      </c>
      <c r="E1615" s="226"/>
      <c r="G1615" s="224" t="s">
        <v>13</v>
      </c>
      <c r="H1615" s="224" t="s">
        <v>289</v>
      </c>
      <c r="I1615" s="224" t="s">
        <v>26</v>
      </c>
      <c r="J1615" s="224">
        <v>70</v>
      </c>
      <c r="K1615" s="227">
        <f t="array" ref="K1615">IFERROR(INDEX([1]Grille_Tarifs_Modulable!$B$2:$B$204,MATCH(Tableau14[[#This Row],[Designation]]&amp;Tableau14[[#This Row],[CL]],[1]Grille_Tarifs_Modulable!$C$2:$C$204&amp;[1]Grille_Tarifs_Modulable!$F$2:$F$204,0)),0)</f>
        <v>8500000916445</v>
      </c>
      <c r="L1615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43.608643999999998</v>
      </c>
      <c r="M1615" s="228">
        <f>IF(Tableau14[[#This Row],[Prix_Unit_HT]]=0,0,Tableau14[[#This Row],[Prix_Unit_HT]]+(Tableau14[[#This Row],[Prix_Unit_HT]]*VLOOKUP(Tableau14[[#This Row],[EAN]],[1]Grille_Tarifs_Modulable!$B$10:$Q$204,16,FALSE)))</f>
        <v>52.330372799999999</v>
      </c>
      <c r="N1615" s="224">
        <v>1</v>
      </c>
      <c r="O1615" s="228">
        <f>ROUND(Tableau14[[#This Row],[Prix_Unit_HT]],2)*Tableau14[[#This Row],[Qte_commande]]</f>
        <v>43.61</v>
      </c>
      <c r="P1615" s="228">
        <f>ROUND(Tableau14[[#This Row],[Prix_Unit_TTC]],2)*Tableau14[[#This Row],[Qte_commande]]</f>
        <v>52.33</v>
      </c>
      <c r="Q1615" s="224">
        <v>1</v>
      </c>
      <c r="R1615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</v>
      </c>
      <c r="U1615" s="224"/>
      <c r="V1615" s="224"/>
    </row>
    <row r="1616" spans="1:22" ht="14.65" customHeight="1" x14ac:dyDescent="0.2">
      <c r="A1616" s="225">
        <v>43657</v>
      </c>
      <c r="B1616" s="224" t="s">
        <v>756</v>
      </c>
      <c r="C1616" s="224" t="s">
        <v>542</v>
      </c>
      <c r="D1616" s="224" t="s">
        <v>209</v>
      </c>
      <c r="E1616" s="226"/>
      <c r="G1616" s="224" t="s">
        <v>13</v>
      </c>
      <c r="H1616" s="224" t="s">
        <v>289</v>
      </c>
      <c r="I1616" s="224" t="s">
        <v>24</v>
      </c>
      <c r="J1616" s="224">
        <v>70</v>
      </c>
      <c r="K1616" s="227">
        <f t="array" ref="K1616">IFERROR(INDEX([1]Grille_Tarifs_Modulable!$B$2:$B$204,MATCH(Tableau14[[#This Row],[Designation]]&amp;Tableau14[[#This Row],[CL]],[1]Grille_Tarifs_Modulable!$C$2:$C$204&amp;[1]Grille_Tarifs_Modulable!$F$2:$F$204,0)),0)</f>
        <v>8500000917008</v>
      </c>
      <c r="L1616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11.528211800000001</v>
      </c>
      <c r="M1616" s="228">
        <f>IF(Tableau14[[#This Row],[Prix_Unit_HT]]=0,0,Tableau14[[#This Row],[Prix_Unit_HT]]+(Tableau14[[#This Row],[Prix_Unit_HT]]*VLOOKUP(Tableau14[[#This Row],[EAN]],[1]Grille_Tarifs_Modulable!$B$10:$Q$204,16,FALSE)))</f>
        <v>13.833854160000001</v>
      </c>
      <c r="N1616" s="224">
        <v>60</v>
      </c>
      <c r="O1616" s="228">
        <f>ROUND(Tableau14[[#This Row],[Prix_Unit_HT]],2)*Tableau14[[#This Row],[Qte_commande]]</f>
        <v>691.8</v>
      </c>
      <c r="P1616" s="228">
        <f>ROUND(Tableau14[[#This Row],[Prix_Unit_TTC]],2)*Tableau14[[#This Row],[Qte_commande]]</f>
        <v>829.8</v>
      </c>
      <c r="Q1616" s="224">
        <v>60</v>
      </c>
      <c r="R1616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60.000000000000007</v>
      </c>
      <c r="U1616" s="224"/>
      <c r="V1616" s="224"/>
    </row>
    <row r="1617" spans="1:22" ht="14.65" customHeight="1" x14ac:dyDescent="0.2">
      <c r="A1617" s="225">
        <v>43657</v>
      </c>
      <c r="B1617" s="224" t="s">
        <v>365</v>
      </c>
      <c r="C1617" s="224" t="s">
        <v>265</v>
      </c>
      <c r="D1617" s="224" t="s">
        <v>266</v>
      </c>
      <c r="E1617" s="226"/>
      <c r="G1617" s="224" t="s">
        <v>1</v>
      </c>
      <c r="H1617" s="224" t="s">
        <v>196</v>
      </c>
      <c r="I1617" s="224" t="s">
        <v>59</v>
      </c>
      <c r="J1617" s="224">
        <v>20</v>
      </c>
      <c r="K1617" s="227">
        <f t="array" ref="K1617">IFERROR(INDEX([1]Grille_Tarifs_Modulable!$B$2:$B$204,MATCH(Tableau14[[#This Row],[Designation]]&amp;Tableau14[[#This Row],[CL]],[1]Grille_Tarifs_Modulable!$C$2:$C$204&amp;[1]Grille_Tarifs_Modulable!$F$2:$F$204,0)),0)</f>
        <v>4260310553818</v>
      </c>
      <c r="L1617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0.81</v>
      </c>
      <c r="M1617" s="228">
        <f>IF(Tableau14[[#This Row],[Prix_Unit_HT]]=0,0,Tableau14[[#This Row],[Prix_Unit_HT]]+(Tableau14[[#This Row],[Prix_Unit_HT]]*VLOOKUP(Tableau14[[#This Row],[EAN]],[1]Grille_Tarifs_Modulable!$B$10:$Q$204,16,FALSE)))</f>
        <v>0.85455000000000003</v>
      </c>
      <c r="N1617" s="224">
        <v>144</v>
      </c>
      <c r="O1617" s="228">
        <f>ROUND(Tableau14[[#This Row],[Prix_Unit_HT]],2)*Tableau14[[#This Row],[Qte_commande]]</f>
        <v>116.64000000000001</v>
      </c>
      <c r="P1617" s="228">
        <f>ROUND(Tableau14[[#This Row],[Prix_Unit_TTC]],2)*Tableau14[[#This Row],[Qte_commande]]</f>
        <v>122.39999999999999</v>
      </c>
      <c r="Q1617" s="224">
        <v>41.14</v>
      </c>
      <c r="R1617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41.142857142857146</v>
      </c>
      <c r="U1617" s="224"/>
      <c r="V1617" s="224"/>
    </row>
    <row r="1618" spans="1:22" ht="14.65" customHeight="1" x14ac:dyDescent="0.2">
      <c r="A1618" s="225">
        <v>43661</v>
      </c>
      <c r="B1618" s="224" t="s">
        <v>757</v>
      </c>
      <c r="C1618" s="224" t="s">
        <v>265</v>
      </c>
      <c r="D1618" s="224" t="s">
        <v>266</v>
      </c>
      <c r="E1618" s="226"/>
      <c r="G1618" s="224" t="s">
        <v>1</v>
      </c>
      <c r="H1618" s="224" t="s">
        <v>289</v>
      </c>
      <c r="I1618" s="224" t="s">
        <v>15</v>
      </c>
      <c r="J1618" s="224">
        <v>70</v>
      </c>
      <c r="K1618" s="227">
        <f t="array" ref="K1618">IFERROR(INDEX([1]Grille_Tarifs_Modulable!$B$2:$B$204,MATCH(Tableau14[[#This Row],[Designation]]&amp;Tableau14[[#This Row],[CL]],[1]Grille_Tarifs_Modulable!$C$2:$C$204&amp;[1]Grille_Tarifs_Modulable!$F$2:$F$204,0)),0)</f>
        <v>4067700013859</v>
      </c>
      <c r="L1618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12.532563499999998</v>
      </c>
      <c r="M1618" s="228">
        <f>IF(Tableau14[[#This Row],[Prix_Unit_HT]]=0,0,Tableau14[[#This Row],[Prix_Unit_HT]]+(Tableau14[[#This Row],[Prix_Unit_HT]]*VLOOKUP(Tableau14[[#This Row],[EAN]],[1]Grille_Tarifs_Modulable!$B$10:$Q$204,16,FALSE)))</f>
        <v>15.039076199999998</v>
      </c>
      <c r="N1618" s="224">
        <v>240</v>
      </c>
      <c r="O1618" s="228">
        <f>ROUND(Tableau14[[#This Row],[Prix_Unit_HT]],2)*Tableau14[[#This Row],[Qte_commande]]</f>
        <v>3007.2</v>
      </c>
      <c r="P1618" s="228">
        <f>ROUND(Tableau14[[#This Row],[Prix_Unit_TTC]],2)*Tableau14[[#This Row],[Qte_commande]]</f>
        <v>3609.6</v>
      </c>
      <c r="Q1618" s="224">
        <v>240</v>
      </c>
      <c r="R1618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240.00000000000003</v>
      </c>
      <c r="U1618" s="224"/>
      <c r="V1618" s="224"/>
    </row>
    <row r="1619" spans="1:22" ht="14.65" customHeight="1" x14ac:dyDescent="0.2">
      <c r="A1619" s="225">
        <v>43661</v>
      </c>
      <c r="B1619" s="224" t="s">
        <v>757</v>
      </c>
      <c r="C1619" s="224" t="s">
        <v>265</v>
      </c>
      <c r="D1619" s="224" t="s">
        <v>266</v>
      </c>
      <c r="E1619" s="226"/>
      <c r="G1619" s="224" t="s">
        <v>13</v>
      </c>
      <c r="H1619" s="224" t="s">
        <v>196</v>
      </c>
      <c r="I1619" s="224" t="s">
        <v>66</v>
      </c>
      <c r="J1619" s="224">
        <v>20</v>
      </c>
      <c r="K1619" s="227">
        <f t="array" ref="K1619">IFERROR(INDEX([1]Grille_Tarifs_Modulable!$B$2:$B$204,MATCH(Tableau14[[#This Row],[Designation]]&amp;Tableau14[[#This Row],[CL]],[1]Grille_Tarifs_Modulable!$C$2:$C$204&amp;[1]Grille_Tarifs_Modulable!$F$2:$F$204,0)),0)</f>
        <v>4260310554785</v>
      </c>
      <c r="L1619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0.89</v>
      </c>
      <c r="M1619" s="228">
        <f>IF(Tableau14[[#This Row],[Prix_Unit_HT]]=0,0,Tableau14[[#This Row],[Prix_Unit_HT]]+(Tableau14[[#This Row],[Prix_Unit_HT]]*VLOOKUP(Tableau14[[#This Row],[EAN]],[1]Grille_Tarifs_Modulable!$B$10:$Q$204,16,FALSE)))</f>
        <v>0.93895000000000006</v>
      </c>
      <c r="N1619" s="224">
        <v>48</v>
      </c>
      <c r="O1619" s="228">
        <f>ROUND(Tableau14[[#This Row],[Prix_Unit_HT]],2)*Tableau14[[#This Row],[Qte_commande]]</f>
        <v>42.72</v>
      </c>
      <c r="P1619" s="228">
        <f>ROUND(Tableau14[[#This Row],[Prix_Unit_TTC]],2)*Tableau14[[#This Row],[Qte_commande]]</f>
        <v>45.12</v>
      </c>
      <c r="Q1619" s="224">
        <v>13.71</v>
      </c>
      <c r="R1619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13.714285714285715</v>
      </c>
      <c r="U1619" s="224"/>
      <c r="V1619" s="224"/>
    </row>
    <row r="1620" spans="1:22" ht="14.65" customHeight="1" x14ac:dyDescent="0.2">
      <c r="A1620" s="225">
        <v>43661</v>
      </c>
      <c r="B1620" s="224" t="s">
        <v>757</v>
      </c>
      <c r="C1620" s="224" t="s">
        <v>265</v>
      </c>
      <c r="D1620" s="224" t="s">
        <v>266</v>
      </c>
      <c r="E1620" s="226"/>
      <c r="G1620" s="224" t="s">
        <v>1</v>
      </c>
      <c r="H1620" s="224" t="s">
        <v>196</v>
      </c>
      <c r="I1620" s="224" t="s">
        <v>59</v>
      </c>
      <c r="J1620" s="224">
        <v>20</v>
      </c>
      <c r="K1620" s="227">
        <f t="array" ref="K1620">IFERROR(INDEX([1]Grille_Tarifs_Modulable!$B$2:$B$204,MATCH(Tableau14[[#This Row],[Designation]]&amp;Tableau14[[#This Row],[CL]],[1]Grille_Tarifs_Modulable!$C$2:$C$204&amp;[1]Grille_Tarifs_Modulable!$F$2:$F$204,0)),0)</f>
        <v>4260310553818</v>
      </c>
      <c r="L1620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0.81</v>
      </c>
      <c r="M1620" s="228">
        <f>IF(Tableau14[[#This Row],[Prix_Unit_HT]]=0,0,Tableau14[[#This Row],[Prix_Unit_HT]]+(Tableau14[[#This Row],[Prix_Unit_HT]]*VLOOKUP(Tableau14[[#This Row],[EAN]],[1]Grille_Tarifs_Modulable!$B$10:$Q$204,16,FALSE)))</f>
        <v>0.85455000000000003</v>
      </c>
      <c r="N1620" s="224">
        <v>240</v>
      </c>
      <c r="O1620" s="228">
        <f>ROUND(Tableau14[[#This Row],[Prix_Unit_HT]],2)*Tableau14[[#This Row],[Qte_commande]]</f>
        <v>194.4</v>
      </c>
      <c r="P1620" s="228">
        <f>ROUND(Tableau14[[#This Row],[Prix_Unit_TTC]],2)*Tableau14[[#This Row],[Qte_commande]]</f>
        <v>204</v>
      </c>
      <c r="Q1620" s="224">
        <v>68.569999999999993</v>
      </c>
      <c r="R1620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68.571428571428569</v>
      </c>
      <c r="U1620" s="224"/>
      <c r="V1620" s="224"/>
    </row>
    <row r="1621" spans="1:22" ht="14.65" customHeight="1" x14ac:dyDescent="0.2">
      <c r="A1621" s="225">
        <v>43662</v>
      </c>
      <c r="B1621" s="224" t="s">
        <v>281</v>
      </c>
      <c r="C1621" s="224" t="s">
        <v>211</v>
      </c>
      <c r="D1621" s="224" t="s">
        <v>212</v>
      </c>
      <c r="E1621" s="226"/>
      <c r="G1621" s="224" t="s">
        <v>1</v>
      </c>
      <c r="H1621" s="224" t="s">
        <v>196</v>
      </c>
      <c r="I1621" s="224" t="s">
        <v>63</v>
      </c>
      <c r="J1621" s="224">
        <v>20</v>
      </c>
      <c r="K1621" s="227">
        <f t="array" ref="K1621">IFERROR(INDEX([1]Grille_Tarifs_Modulable!$B$2:$B$204,MATCH(Tableau14[[#This Row],[Designation]]&amp;Tableau14[[#This Row],[CL]],[1]Grille_Tarifs_Modulable!$C$2:$C$204&amp;[1]Grille_Tarifs_Modulable!$F$2:$F$204,0)),0)</f>
        <v>4260310552941</v>
      </c>
      <c r="L1621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0.81</v>
      </c>
      <c r="M1621" s="228">
        <f>IF(Tableau14[[#This Row],[Prix_Unit_HT]]=0,0,Tableau14[[#This Row],[Prix_Unit_HT]]+(Tableau14[[#This Row],[Prix_Unit_HT]]*VLOOKUP(Tableau14[[#This Row],[EAN]],[1]Grille_Tarifs_Modulable!$B$10:$Q$204,16,FALSE)))</f>
        <v>0.85455000000000003</v>
      </c>
      <c r="N1621" s="224">
        <v>144</v>
      </c>
      <c r="O1621" s="228">
        <f>ROUND(Tableau14[[#This Row],[Prix_Unit_HT]],2)*Tableau14[[#This Row],[Qte_commande]]</f>
        <v>116.64000000000001</v>
      </c>
      <c r="P1621" s="228">
        <f>ROUND(Tableau14[[#This Row],[Prix_Unit_TTC]],2)*Tableau14[[#This Row],[Qte_commande]]</f>
        <v>122.39999999999999</v>
      </c>
      <c r="Q1621" s="224">
        <v>41.14</v>
      </c>
      <c r="R1621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41.142857142857146</v>
      </c>
      <c r="U1621" s="224"/>
      <c r="V1621" s="224"/>
    </row>
    <row r="1622" spans="1:22" ht="14.65" customHeight="1" x14ac:dyDescent="0.2">
      <c r="A1622" s="225">
        <v>43662</v>
      </c>
      <c r="B1622" s="224" t="s">
        <v>281</v>
      </c>
      <c r="C1622" s="224" t="s">
        <v>211</v>
      </c>
      <c r="D1622" s="224" t="s">
        <v>212</v>
      </c>
      <c r="E1622" s="226"/>
      <c r="G1622" s="224" t="s">
        <v>1</v>
      </c>
      <c r="H1622" s="224" t="s">
        <v>289</v>
      </c>
      <c r="I1622" s="224" t="s">
        <v>25</v>
      </c>
      <c r="J1622" s="224">
        <v>70</v>
      </c>
      <c r="K1622" s="227">
        <f t="array" ref="K1622">IFERROR(INDEX([1]Grille_Tarifs_Modulable!$B$2:$B$204,MATCH(Tableau14[[#This Row],[Designation]]&amp;Tableau14[[#This Row],[CL]],[1]Grille_Tarifs_Modulable!$C$2:$C$204&amp;[1]Grille_Tarifs_Modulable!$F$2:$F$204,0)),0)</f>
        <v>8500000917015</v>
      </c>
      <c r="L1622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11.8982118</v>
      </c>
      <c r="M1622" s="228">
        <f>IF(Tableau14[[#This Row],[Prix_Unit_HT]]=0,0,Tableau14[[#This Row],[Prix_Unit_HT]]+(Tableau14[[#This Row],[Prix_Unit_HT]]*VLOOKUP(Tableau14[[#This Row],[EAN]],[1]Grille_Tarifs_Modulable!$B$10:$Q$204,16,FALSE)))</f>
        <v>14.27785416</v>
      </c>
      <c r="N1622" s="224">
        <v>36</v>
      </c>
      <c r="O1622" s="228">
        <f>ROUND(Tableau14[[#This Row],[Prix_Unit_HT]],2)*Tableau14[[#This Row],[Qte_commande]]</f>
        <v>428.40000000000003</v>
      </c>
      <c r="P1622" s="228">
        <f>ROUND(Tableau14[[#This Row],[Prix_Unit_TTC]],2)*Tableau14[[#This Row],[Qte_commande]]</f>
        <v>514.07999999999993</v>
      </c>
      <c r="Q1622" s="224">
        <v>36</v>
      </c>
      <c r="R1622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36</v>
      </c>
      <c r="U1622" s="224"/>
      <c r="V1622" s="224"/>
    </row>
    <row r="1623" spans="1:22" ht="14.65" customHeight="1" x14ac:dyDescent="0.2">
      <c r="A1623" s="225">
        <v>43664</v>
      </c>
      <c r="B1623" s="224" t="s">
        <v>930</v>
      </c>
      <c r="C1623" s="224" t="s">
        <v>211</v>
      </c>
      <c r="D1623" s="224" t="s">
        <v>212</v>
      </c>
      <c r="E1623" s="226"/>
      <c r="G1623" s="224" t="s">
        <v>1</v>
      </c>
      <c r="H1623" s="224" t="s">
        <v>289</v>
      </c>
      <c r="I1623" s="224" t="s">
        <v>24</v>
      </c>
      <c r="J1623" s="224">
        <v>70</v>
      </c>
      <c r="K1623" s="227">
        <f t="array" ref="K1623">IFERROR(INDEX([1]Grille_Tarifs_Modulable!$B$2:$B$204,MATCH(Tableau14[[#This Row],[Designation]]&amp;Tableau14[[#This Row],[CL]],[1]Grille_Tarifs_Modulable!$C$2:$C$204&amp;[1]Grille_Tarifs_Modulable!$F$2:$F$204,0)),0)</f>
        <v>8500000917008</v>
      </c>
      <c r="L1623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11.028211800000001</v>
      </c>
      <c r="M1623" s="228">
        <f>IF(Tableau14[[#This Row],[Prix_Unit_HT]]=0,0,Tableau14[[#This Row],[Prix_Unit_HT]]+(Tableau14[[#This Row],[Prix_Unit_HT]]*VLOOKUP(Tableau14[[#This Row],[EAN]],[1]Grille_Tarifs_Modulable!$B$10:$Q$204,16,FALSE)))</f>
        <v>13.233854160000002</v>
      </c>
      <c r="N1623" s="224">
        <v>-36</v>
      </c>
      <c r="O1623" s="228">
        <f>ROUND(Tableau14[[#This Row],[Prix_Unit_HT]],2)*Tableau14[[#This Row],[Qte_commande]]</f>
        <v>-397.08</v>
      </c>
      <c r="P1623" s="228">
        <f>ROUND(Tableau14[[#This Row],[Prix_Unit_TTC]],2)*Tableau14[[#This Row],[Qte_commande]]</f>
        <v>-476.28000000000003</v>
      </c>
      <c r="Q1623" s="224">
        <v>-36</v>
      </c>
      <c r="R1623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-36</v>
      </c>
      <c r="U1623" s="224"/>
      <c r="V1623" s="224"/>
    </row>
    <row r="1624" spans="1:22" ht="14.65" customHeight="1" x14ac:dyDescent="0.2">
      <c r="A1624" s="225">
        <v>43669</v>
      </c>
      <c r="B1624" s="224" t="s">
        <v>1286</v>
      </c>
      <c r="C1624" s="224" t="s">
        <v>1287</v>
      </c>
      <c r="D1624" s="224" t="s">
        <v>1288</v>
      </c>
      <c r="E1624" s="226"/>
      <c r="G1624" s="224" t="s">
        <v>13</v>
      </c>
      <c r="H1624" s="224" t="s">
        <v>451</v>
      </c>
      <c r="I1624" s="224" t="s">
        <v>71</v>
      </c>
      <c r="J1624" s="227">
        <v>1</v>
      </c>
      <c r="K1624" s="227">
        <f t="array" ref="K1624">IFERROR(INDEX([1]Grille_Tarifs_Modulable!$B$2:$B$204,MATCH(Tableau14[[#This Row],[Designation]]&amp;Tableau14[[#This Row],[CL]],[1]Grille_Tarifs_Modulable!$C$2:$C$204&amp;[1]Grille_Tarifs_Modulable!$F$2:$F$204,0)),0)</f>
        <v>122</v>
      </c>
      <c r="L1624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299</v>
      </c>
      <c r="M1624" s="228">
        <f>IF(Tableau14[[#This Row],[Prix_Unit_HT]]=0,0,Tableau14[[#This Row],[Prix_Unit_HT]]+(Tableau14[[#This Row],[Prix_Unit_HT]]*VLOOKUP(Tableau14[[#This Row],[EAN]],[1]Grille_Tarifs_Modulable!$B$10:$Q$204,16,FALSE)))</f>
        <v>358.8</v>
      </c>
      <c r="N1624" s="224">
        <v>1</v>
      </c>
      <c r="O1624" s="228">
        <f>ROUND(Tableau14[[#This Row],[Prix_Unit_HT]],2)*Tableau14[[#This Row],[Qte_commande]]</f>
        <v>299</v>
      </c>
      <c r="P1624" s="228">
        <f>ROUND(Tableau14[[#This Row],[Prix_Unit_TTC]],2)*Tableau14[[#This Row],[Qte_commande]]</f>
        <v>358.8</v>
      </c>
      <c r="Q1624" s="224">
        <v>1</v>
      </c>
      <c r="R1624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</v>
      </c>
      <c r="U1624" s="224"/>
      <c r="V1624" s="224"/>
    </row>
    <row r="1625" spans="1:22" ht="14.65" customHeight="1" x14ac:dyDescent="0.2">
      <c r="A1625" s="225">
        <v>43669</v>
      </c>
      <c r="B1625" s="224" t="s">
        <v>1289</v>
      </c>
      <c r="C1625" s="224" t="s">
        <v>1290</v>
      </c>
      <c r="D1625" s="224" t="s">
        <v>1291</v>
      </c>
      <c r="E1625" s="226"/>
      <c r="G1625" s="224" t="s">
        <v>13</v>
      </c>
      <c r="H1625" s="224" t="s">
        <v>451</v>
      </c>
      <c r="I1625" s="224" t="s">
        <v>71</v>
      </c>
      <c r="J1625" s="227">
        <v>1</v>
      </c>
      <c r="K1625" s="227">
        <f t="array" ref="K1625">IFERROR(INDEX([1]Grille_Tarifs_Modulable!$B$2:$B$204,MATCH(Tableau14[[#This Row],[Designation]]&amp;Tableau14[[#This Row],[CL]],[1]Grille_Tarifs_Modulable!$C$2:$C$204&amp;[1]Grille_Tarifs_Modulable!$F$2:$F$204,0)),0)</f>
        <v>122</v>
      </c>
      <c r="L1625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299</v>
      </c>
      <c r="M1625" s="228">
        <f>IF(Tableau14[[#This Row],[Prix_Unit_HT]]=0,0,Tableau14[[#This Row],[Prix_Unit_HT]]+(Tableau14[[#This Row],[Prix_Unit_HT]]*VLOOKUP(Tableau14[[#This Row],[EAN]],[1]Grille_Tarifs_Modulable!$B$10:$Q$204,16,FALSE)))</f>
        <v>358.8</v>
      </c>
      <c r="N1625" s="224">
        <v>2</v>
      </c>
      <c r="O1625" s="228">
        <f>ROUND(Tableau14[[#This Row],[Prix_Unit_HT]],2)*Tableau14[[#This Row],[Qte_commande]]</f>
        <v>598</v>
      </c>
      <c r="P1625" s="228">
        <f>ROUND(Tableau14[[#This Row],[Prix_Unit_TTC]],2)*Tableau14[[#This Row],[Qte_commande]]</f>
        <v>717.6</v>
      </c>
      <c r="Q1625" s="224">
        <v>2</v>
      </c>
      <c r="R1625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2</v>
      </c>
      <c r="U1625" s="224"/>
      <c r="V1625" s="224"/>
    </row>
    <row r="1626" spans="1:22" ht="14.65" customHeight="1" x14ac:dyDescent="0.2">
      <c r="A1626" s="225">
        <v>43676</v>
      </c>
      <c r="B1626" s="224" t="s">
        <v>254</v>
      </c>
      <c r="C1626" s="224" t="s">
        <v>214</v>
      </c>
      <c r="D1626" s="224" t="s">
        <v>215</v>
      </c>
      <c r="E1626" s="226"/>
      <c r="G1626" s="224" t="s">
        <v>1</v>
      </c>
      <c r="H1626" s="224" t="s">
        <v>196</v>
      </c>
      <c r="I1626" s="224" t="s">
        <v>62</v>
      </c>
      <c r="J1626" s="224">
        <v>20</v>
      </c>
      <c r="K1626" s="227">
        <f t="array" ref="K1626">IFERROR(INDEX([1]Grille_Tarifs_Modulable!$B$2:$B$204,MATCH(Tableau14[[#This Row],[Designation]]&amp;Tableau14[[#This Row],[CL]],[1]Grille_Tarifs_Modulable!$C$2:$C$204&amp;[1]Grille_Tarifs_Modulable!$F$2:$F$204,0)),0)</f>
        <v>4260310550305</v>
      </c>
      <c r="L1626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0.81</v>
      </c>
      <c r="M1626" s="228">
        <f>IF(Tableau14[[#This Row],[Prix_Unit_HT]]=0,0,Tableau14[[#This Row],[Prix_Unit_HT]]+(Tableau14[[#This Row],[Prix_Unit_HT]]*VLOOKUP(Tableau14[[#This Row],[EAN]],[1]Grille_Tarifs_Modulable!$B$10:$Q$204,16,FALSE)))</f>
        <v>0.85455000000000003</v>
      </c>
      <c r="N1626" s="224">
        <v>24</v>
      </c>
      <c r="O1626" s="228">
        <f>ROUND(Tableau14[[#This Row],[Prix_Unit_HT]],2)*Tableau14[[#This Row],[Qte_commande]]</f>
        <v>19.440000000000001</v>
      </c>
      <c r="P1626" s="228">
        <f>ROUND(Tableau14[[#This Row],[Prix_Unit_TTC]],2)*Tableau14[[#This Row],[Qte_commande]]</f>
        <v>20.399999999999999</v>
      </c>
      <c r="Q1626" s="224">
        <v>6.86</v>
      </c>
      <c r="R1626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6.8571428571428577</v>
      </c>
      <c r="U1626" s="224"/>
      <c r="V1626" s="224"/>
    </row>
    <row r="1627" spans="1:22" ht="14.65" customHeight="1" x14ac:dyDescent="0.2">
      <c r="A1627" s="225">
        <v>43676</v>
      </c>
      <c r="B1627" s="224" t="s">
        <v>423</v>
      </c>
      <c r="C1627" s="224" t="s">
        <v>424</v>
      </c>
      <c r="D1627" s="224" t="s">
        <v>180</v>
      </c>
      <c r="E1627" s="226"/>
      <c r="G1627" s="224" t="s">
        <v>13</v>
      </c>
      <c r="H1627" s="224" t="s">
        <v>289</v>
      </c>
      <c r="I1627" s="224" t="s">
        <v>35</v>
      </c>
      <c r="J1627" s="224">
        <v>70</v>
      </c>
      <c r="K1627" s="227">
        <f t="array" ref="K1627">IFERROR(INDEX([1]Grille_Tarifs_Modulable!$B$2:$B$204,MATCH(Tableau14[[#This Row],[Designation]]&amp;Tableau14[[#This Row],[CL]],[1]Grille_Tarifs_Modulable!$C$2:$C$204&amp;[1]Grille_Tarifs_Modulable!$F$2:$F$204,0)),0)</f>
        <v>3257150107012</v>
      </c>
      <c r="L1627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32.408644000000002</v>
      </c>
      <c r="M1627" s="228">
        <f>IF(Tableau14[[#This Row],[Prix_Unit_HT]]=0,0,Tableau14[[#This Row],[Prix_Unit_HT]]+(Tableau14[[#This Row],[Prix_Unit_HT]]*VLOOKUP(Tableau14[[#This Row],[EAN]],[1]Grille_Tarifs_Modulable!$B$10:$Q$204,16,FALSE)))</f>
        <v>38.890372800000002</v>
      </c>
      <c r="N1627" s="224">
        <v>2</v>
      </c>
      <c r="O1627" s="228">
        <f>ROUND(Tableau14[[#This Row],[Prix_Unit_HT]],2)*Tableau14[[#This Row],[Qte_commande]]</f>
        <v>64.819999999999993</v>
      </c>
      <c r="P1627" s="228">
        <f>ROUND(Tableau14[[#This Row],[Prix_Unit_TTC]],2)*Tableau14[[#This Row],[Qte_commande]]</f>
        <v>77.78</v>
      </c>
      <c r="Q1627" s="224">
        <v>2</v>
      </c>
      <c r="R1627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2</v>
      </c>
      <c r="U1627" s="224"/>
      <c r="V1627" s="224"/>
    </row>
    <row r="1628" spans="1:22" ht="14.65" customHeight="1" x14ac:dyDescent="0.2">
      <c r="A1628" s="225">
        <v>43676</v>
      </c>
      <c r="B1628" s="224" t="s">
        <v>254</v>
      </c>
      <c r="C1628" s="224" t="s">
        <v>214</v>
      </c>
      <c r="D1628" s="224" t="s">
        <v>215</v>
      </c>
      <c r="E1628" s="226"/>
      <c r="G1628" s="224" t="s">
        <v>1</v>
      </c>
      <c r="H1628" s="224" t="s">
        <v>289</v>
      </c>
      <c r="I1628" s="224" t="s">
        <v>20</v>
      </c>
      <c r="J1628" s="224">
        <v>70</v>
      </c>
      <c r="K1628" s="227">
        <f t="array" ref="K1628">IFERROR(INDEX([1]Grille_Tarifs_Modulable!$B$2:$B$204,MATCH(Tableau14[[#This Row],[Designation]]&amp;Tableau14[[#This Row],[CL]],[1]Grille_Tarifs_Modulable!$C$2:$C$204&amp;[1]Grille_Tarifs_Modulable!$F$2:$F$204,0)),0)</f>
        <v>8017450002104</v>
      </c>
      <c r="L1628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14.266482999999999</v>
      </c>
      <c r="M1628" s="228">
        <f>IF(Tableau14[[#This Row],[Prix_Unit_HT]]=0,0,Tableau14[[#This Row],[Prix_Unit_HT]]+(Tableau14[[#This Row],[Prix_Unit_HT]]*VLOOKUP(Tableau14[[#This Row],[EAN]],[1]Grille_Tarifs_Modulable!$B$10:$Q$204,16,FALSE)))</f>
        <v>17.119779600000001</v>
      </c>
      <c r="N1628" s="224">
        <v>36</v>
      </c>
      <c r="O1628" s="228">
        <f>ROUND(Tableau14[[#This Row],[Prix_Unit_HT]],2)*Tableau14[[#This Row],[Qte_commande]]</f>
        <v>513.72</v>
      </c>
      <c r="P1628" s="228">
        <f>ROUND(Tableau14[[#This Row],[Prix_Unit_TTC]],2)*Tableau14[[#This Row],[Qte_commande]]</f>
        <v>616.32000000000005</v>
      </c>
      <c r="Q1628" s="224">
        <v>36</v>
      </c>
      <c r="R1628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36</v>
      </c>
      <c r="U1628" s="224"/>
      <c r="V1628" s="224"/>
    </row>
    <row r="1629" spans="1:22" ht="14.65" customHeight="1" x14ac:dyDescent="0.2">
      <c r="A1629" s="225">
        <v>43676</v>
      </c>
      <c r="B1629" s="224" t="s">
        <v>254</v>
      </c>
      <c r="C1629" s="224" t="s">
        <v>214</v>
      </c>
      <c r="D1629" s="224" t="s">
        <v>215</v>
      </c>
      <c r="E1629" s="226"/>
      <c r="G1629" s="224" t="s">
        <v>13</v>
      </c>
      <c r="H1629" s="224" t="s">
        <v>196</v>
      </c>
      <c r="I1629" s="224" t="s">
        <v>66</v>
      </c>
      <c r="J1629" s="224">
        <v>20</v>
      </c>
      <c r="K1629" s="227">
        <f t="array" ref="K1629">IFERROR(INDEX([1]Grille_Tarifs_Modulable!$B$2:$B$204,MATCH(Tableau14[[#This Row],[Designation]]&amp;Tableau14[[#This Row],[CL]],[1]Grille_Tarifs_Modulable!$C$2:$C$204&amp;[1]Grille_Tarifs_Modulable!$F$2:$F$204,0)),0)</f>
        <v>4260310554785</v>
      </c>
      <c r="L1629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0.89</v>
      </c>
      <c r="M1629" s="228">
        <f>IF(Tableau14[[#This Row],[Prix_Unit_HT]]=0,0,Tableau14[[#This Row],[Prix_Unit_HT]]+(Tableau14[[#This Row],[Prix_Unit_HT]]*VLOOKUP(Tableau14[[#This Row],[EAN]],[1]Grille_Tarifs_Modulable!$B$10:$Q$204,16,FALSE)))</f>
        <v>0.93895000000000006</v>
      </c>
      <c r="N1629" s="224">
        <v>48</v>
      </c>
      <c r="O1629" s="228">
        <f>ROUND(Tableau14[[#This Row],[Prix_Unit_HT]],2)*Tableau14[[#This Row],[Qte_commande]]</f>
        <v>42.72</v>
      </c>
      <c r="P1629" s="228">
        <f>ROUND(Tableau14[[#This Row],[Prix_Unit_TTC]],2)*Tableau14[[#This Row],[Qte_commande]]</f>
        <v>45.12</v>
      </c>
      <c r="Q1629" s="224">
        <v>13.71</v>
      </c>
      <c r="R1629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13.714285714285715</v>
      </c>
      <c r="U1629" s="224"/>
      <c r="V1629" s="224"/>
    </row>
    <row r="1630" spans="1:22" ht="14.65" customHeight="1" x14ac:dyDescent="0.2">
      <c r="A1630" s="225">
        <v>43676</v>
      </c>
      <c r="B1630" s="224" t="s">
        <v>894</v>
      </c>
      <c r="C1630" s="224" t="s">
        <v>240</v>
      </c>
      <c r="D1630" s="224" t="s">
        <v>241</v>
      </c>
      <c r="E1630" s="226"/>
      <c r="G1630" s="224" t="s">
        <v>13</v>
      </c>
      <c r="H1630" s="224" t="s">
        <v>289</v>
      </c>
      <c r="I1630" s="224" t="s">
        <v>31</v>
      </c>
      <c r="J1630" s="224">
        <v>70</v>
      </c>
      <c r="K1630" s="227">
        <f t="array" ref="K1630">IFERROR(INDEX([1]Grille_Tarifs_Modulable!$B$2:$B$204,MATCH(Tableau14[[#This Row],[Designation]]&amp;Tableau14[[#This Row],[CL]],[1]Grille_Tarifs_Modulable!$C$2:$C$204&amp;[1]Grille_Tarifs_Modulable!$F$2:$F$204,0)),0)</f>
        <v>3257150102017</v>
      </c>
      <c r="L1630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16.854322</v>
      </c>
      <c r="M1630" s="228">
        <f>IF(Tableau14[[#This Row],[Prix_Unit_HT]]=0,0,Tableau14[[#This Row],[Prix_Unit_HT]]+(Tableau14[[#This Row],[Prix_Unit_HT]]*VLOOKUP(Tableau14[[#This Row],[EAN]],[1]Grille_Tarifs_Modulable!$B$10:$Q$204,16,FALSE)))</f>
        <v>20.225186399999998</v>
      </c>
      <c r="N1630" s="224">
        <v>6</v>
      </c>
      <c r="O1630" s="228">
        <f>ROUND(Tableau14[[#This Row],[Prix_Unit_HT]],2)*Tableau14[[#This Row],[Qte_commande]]</f>
        <v>101.10000000000001</v>
      </c>
      <c r="P1630" s="228">
        <f>ROUND(Tableau14[[#This Row],[Prix_Unit_TTC]],2)*Tableau14[[#This Row],[Qte_commande]]</f>
        <v>121.38</v>
      </c>
      <c r="Q1630" s="224">
        <v>6</v>
      </c>
      <c r="R1630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6.0000000000000009</v>
      </c>
      <c r="U1630" s="224"/>
      <c r="V1630" s="224"/>
    </row>
    <row r="1631" spans="1:22" ht="14.65" customHeight="1" x14ac:dyDescent="0.2">
      <c r="A1631" s="225">
        <v>43676</v>
      </c>
      <c r="B1631" s="224" t="s">
        <v>895</v>
      </c>
      <c r="C1631" s="224" t="s">
        <v>770</v>
      </c>
      <c r="D1631" s="224" t="s">
        <v>437</v>
      </c>
      <c r="E1631" s="226"/>
      <c r="G1631" s="224" t="s">
        <v>13</v>
      </c>
      <c r="H1631" s="224" t="s">
        <v>289</v>
      </c>
      <c r="I1631" s="224" t="s">
        <v>31</v>
      </c>
      <c r="J1631" s="224">
        <v>70</v>
      </c>
      <c r="K1631" s="227">
        <f t="array" ref="K1631">IFERROR(INDEX([1]Grille_Tarifs_Modulable!$B$2:$B$204,MATCH(Tableau14[[#This Row],[Designation]]&amp;Tableau14[[#This Row],[CL]],[1]Grille_Tarifs_Modulable!$C$2:$C$204&amp;[1]Grille_Tarifs_Modulable!$F$2:$F$204,0)),0)</f>
        <v>3257150102017</v>
      </c>
      <c r="L1631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16.854322</v>
      </c>
      <c r="M1631" s="228">
        <f>IF(Tableau14[[#This Row],[Prix_Unit_HT]]=0,0,Tableau14[[#This Row],[Prix_Unit_HT]]+(Tableau14[[#This Row],[Prix_Unit_HT]]*VLOOKUP(Tableau14[[#This Row],[EAN]],[1]Grille_Tarifs_Modulable!$B$10:$Q$204,16,FALSE)))</f>
        <v>20.225186399999998</v>
      </c>
      <c r="N1631" s="224">
        <v>6</v>
      </c>
      <c r="O1631" s="228">
        <f>ROUND(Tableau14[[#This Row],[Prix_Unit_HT]],2)*Tableau14[[#This Row],[Qte_commande]]</f>
        <v>101.10000000000001</v>
      </c>
      <c r="P1631" s="228">
        <f>ROUND(Tableau14[[#This Row],[Prix_Unit_TTC]],2)*Tableau14[[#This Row],[Qte_commande]]</f>
        <v>121.38</v>
      </c>
      <c r="Q1631" s="224">
        <v>6</v>
      </c>
      <c r="R1631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6.0000000000000009</v>
      </c>
      <c r="U1631" s="224"/>
      <c r="V1631" s="224"/>
    </row>
    <row r="1632" spans="1:22" ht="14.65" customHeight="1" x14ac:dyDescent="0.2">
      <c r="A1632" s="225">
        <v>43676</v>
      </c>
      <c r="B1632" s="224" t="s">
        <v>896</v>
      </c>
      <c r="C1632" s="224" t="s">
        <v>887</v>
      </c>
      <c r="D1632" s="224" t="s">
        <v>887</v>
      </c>
      <c r="E1632" s="226"/>
      <c r="G1632" s="224" t="s">
        <v>13</v>
      </c>
      <c r="H1632" s="224" t="s">
        <v>289</v>
      </c>
      <c r="I1632" s="224" t="s">
        <v>31</v>
      </c>
      <c r="J1632" s="224">
        <v>70</v>
      </c>
      <c r="K1632" s="227">
        <f t="array" ref="K1632">IFERROR(INDEX([1]Grille_Tarifs_Modulable!$B$2:$B$204,MATCH(Tableau14[[#This Row],[Designation]]&amp;Tableau14[[#This Row],[CL]],[1]Grille_Tarifs_Modulable!$C$2:$C$204&amp;[1]Grille_Tarifs_Modulable!$F$2:$F$204,0)),0)</f>
        <v>3257150102017</v>
      </c>
      <c r="L1632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16.854322</v>
      </c>
      <c r="M1632" s="228">
        <f>IF(Tableau14[[#This Row],[Prix_Unit_HT]]=0,0,Tableau14[[#This Row],[Prix_Unit_HT]]+(Tableau14[[#This Row],[Prix_Unit_HT]]*VLOOKUP(Tableau14[[#This Row],[EAN]],[1]Grille_Tarifs_Modulable!$B$10:$Q$204,16,FALSE)))</f>
        <v>20.225186399999998</v>
      </c>
      <c r="N1632" s="224">
        <v>6</v>
      </c>
      <c r="O1632" s="228">
        <f>ROUND(Tableau14[[#This Row],[Prix_Unit_HT]],2)*Tableau14[[#This Row],[Qte_commande]]</f>
        <v>101.10000000000001</v>
      </c>
      <c r="P1632" s="228">
        <f>ROUND(Tableau14[[#This Row],[Prix_Unit_TTC]],2)*Tableau14[[#This Row],[Qte_commande]]</f>
        <v>121.38</v>
      </c>
      <c r="Q1632" s="224">
        <v>6</v>
      </c>
      <c r="R1632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6.0000000000000009</v>
      </c>
      <c r="U1632" s="224"/>
      <c r="V1632" s="224"/>
    </row>
    <row r="1633" spans="1:22" ht="14.65" customHeight="1" x14ac:dyDescent="0.2">
      <c r="A1633" s="225">
        <v>43676</v>
      </c>
      <c r="B1633" s="224" t="s">
        <v>899</v>
      </c>
      <c r="C1633" s="224" t="s">
        <v>900</v>
      </c>
      <c r="D1633" s="224" t="s">
        <v>209</v>
      </c>
      <c r="E1633" s="226"/>
      <c r="G1633" s="224" t="s">
        <v>13</v>
      </c>
      <c r="H1633" s="224" t="s">
        <v>289</v>
      </c>
      <c r="I1633" s="224" t="s">
        <v>49</v>
      </c>
      <c r="J1633" s="224">
        <v>70</v>
      </c>
      <c r="K1633" s="227">
        <f t="array" ref="K1633">IFERROR(INDEX([1]Grille_Tarifs_Modulable!$B$2:$B$204,MATCH(Tableau14[[#This Row],[Designation]]&amp;Tableau14[[#This Row],[CL]],[1]Grille_Tarifs_Modulable!$C$2:$C$204&amp;[1]Grille_Tarifs_Modulable!$F$2:$F$204,0)),0)</f>
        <v>3257150673043</v>
      </c>
      <c r="L1633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23.434724499999998</v>
      </c>
      <c r="M1633" s="228">
        <f>IF(Tableau14[[#This Row],[Prix_Unit_HT]]=0,0,Tableau14[[#This Row],[Prix_Unit_HT]]+(Tableau14[[#This Row],[Prix_Unit_HT]]*VLOOKUP(Tableau14[[#This Row],[EAN]],[1]Grille_Tarifs_Modulable!$B$10:$Q$204,16,FALSE)))</f>
        <v>28.121669399999998</v>
      </c>
      <c r="N1633" s="224">
        <v>6</v>
      </c>
      <c r="O1633" s="228">
        <f>ROUND(Tableau14[[#This Row],[Prix_Unit_HT]],2)*Tableau14[[#This Row],[Qte_commande]]</f>
        <v>140.57999999999998</v>
      </c>
      <c r="P1633" s="228">
        <f>ROUND(Tableau14[[#This Row],[Prix_Unit_TTC]],2)*Tableau14[[#This Row],[Qte_commande]]</f>
        <v>168.72</v>
      </c>
      <c r="Q1633" s="224">
        <v>6</v>
      </c>
      <c r="R1633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6.0000000000000009</v>
      </c>
      <c r="U1633" s="224"/>
      <c r="V1633" s="224"/>
    </row>
    <row r="1634" spans="1:22" ht="14.65" customHeight="1" x14ac:dyDescent="0.2">
      <c r="A1634" s="225">
        <v>43676</v>
      </c>
      <c r="B1634" s="224" t="s">
        <v>254</v>
      </c>
      <c r="C1634" s="224" t="s">
        <v>214</v>
      </c>
      <c r="D1634" s="224" t="s">
        <v>215</v>
      </c>
      <c r="E1634" s="226"/>
      <c r="G1634" s="224" t="s">
        <v>1</v>
      </c>
      <c r="H1634" s="224" t="s">
        <v>289</v>
      </c>
      <c r="I1634" s="224" t="s">
        <v>44</v>
      </c>
      <c r="J1634" s="224">
        <v>50</v>
      </c>
      <c r="K1634" s="227">
        <f t="array" ref="K1634">IFERROR(INDEX([1]Grille_Tarifs_Modulable!$B$2:$B$204,MATCH(Tableau14[[#This Row],[Designation]]&amp;Tableau14[[#This Row],[CL]],[1]Grille_Tarifs_Modulable!$C$2:$C$204&amp;[1]Grille_Tarifs_Modulable!$F$2:$F$204,0)),0)</f>
        <v>4260270192645</v>
      </c>
      <c r="L1634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25.192506000000002</v>
      </c>
      <c r="M1634" s="228">
        <f>IF(Tableau14[[#This Row],[Prix_Unit_HT]]=0,0,Tableau14[[#This Row],[Prix_Unit_HT]]+(Tableau14[[#This Row],[Prix_Unit_HT]]*VLOOKUP(Tableau14[[#This Row],[EAN]],[1]Grille_Tarifs_Modulable!$B$10:$Q$204,16,FALSE)))</f>
        <v>30.231007200000001</v>
      </c>
      <c r="N1634" s="224">
        <v>6</v>
      </c>
      <c r="O1634" s="228">
        <f>ROUND(Tableau14[[#This Row],[Prix_Unit_HT]],2)*Tableau14[[#This Row],[Qte_commande]]</f>
        <v>151.14000000000001</v>
      </c>
      <c r="P1634" s="228">
        <f>ROUND(Tableau14[[#This Row],[Prix_Unit_TTC]],2)*Tableau14[[#This Row],[Qte_commande]]</f>
        <v>181.38</v>
      </c>
      <c r="Q1634" s="224">
        <v>4.29</v>
      </c>
      <c r="R1634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4.2857142857142856</v>
      </c>
      <c r="U1634" s="224"/>
      <c r="V1634" s="224"/>
    </row>
    <row r="1635" spans="1:22" ht="14.65" customHeight="1" x14ac:dyDescent="0.2">
      <c r="A1635" s="225">
        <v>43676</v>
      </c>
      <c r="B1635" s="224" t="s">
        <v>911</v>
      </c>
      <c r="C1635" s="224" t="s">
        <v>864</v>
      </c>
      <c r="D1635" s="224" t="s">
        <v>180</v>
      </c>
      <c r="E1635" s="226"/>
      <c r="G1635" s="224" t="s">
        <v>13</v>
      </c>
      <c r="H1635" s="224" t="s">
        <v>289</v>
      </c>
      <c r="I1635" s="224" t="s">
        <v>44</v>
      </c>
      <c r="J1635" s="224">
        <v>50</v>
      </c>
      <c r="K1635" s="227">
        <f t="array" ref="K1635">IFERROR(INDEX([1]Grille_Tarifs_Modulable!$B$2:$B$204,MATCH(Tableau14[[#This Row],[Designation]]&amp;Tableau14[[#This Row],[CL]],[1]Grille_Tarifs_Modulable!$C$2:$C$204&amp;[1]Grille_Tarifs_Modulable!$F$2:$F$204,0)),0)</f>
        <v>4260270192645</v>
      </c>
      <c r="L1635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28.052506000000001</v>
      </c>
      <c r="M1635" s="228">
        <f>IF(Tableau14[[#This Row],[Prix_Unit_HT]]=0,0,Tableau14[[#This Row],[Prix_Unit_HT]]+(Tableau14[[#This Row],[Prix_Unit_HT]]*VLOOKUP(Tableau14[[#This Row],[EAN]],[1]Grille_Tarifs_Modulable!$B$10:$Q$204,16,FALSE)))</f>
        <v>33.663007200000003</v>
      </c>
      <c r="N1635" s="224">
        <v>18</v>
      </c>
      <c r="O1635" s="228">
        <f>ROUND(Tableau14[[#This Row],[Prix_Unit_HT]],2)*Tableau14[[#This Row],[Qte_commande]]</f>
        <v>504.90000000000003</v>
      </c>
      <c r="P1635" s="228">
        <f>ROUND(Tableau14[[#This Row],[Prix_Unit_TTC]],2)*Tableau14[[#This Row],[Qte_commande]]</f>
        <v>605.87999999999988</v>
      </c>
      <c r="Q1635" s="224">
        <v>12.86</v>
      </c>
      <c r="R1635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12.857142857142858</v>
      </c>
      <c r="U1635" s="224"/>
      <c r="V1635" s="224"/>
    </row>
    <row r="1636" spans="1:22" ht="14.65" customHeight="1" x14ac:dyDescent="0.2">
      <c r="A1636" s="225">
        <v>43676</v>
      </c>
      <c r="B1636" s="224" t="s">
        <v>254</v>
      </c>
      <c r="C1636" s="224" t="s">
        <v>214</v>
      </c>
      <c r="D1636" s="224" t="s">
        <v>215</v>
      </c>
      <c r="E1636" s="226"/>
      <c r="G1636" s="224" t="s">
        <v>1</v>
      </c>
      <c r="H1636" s="224" t="s">
        <v>196</v>
      </c>
      <c r="I1636" s="224" t="s">
        <v>64</v>
      </c>
      <c r="J1636" s="224">
        <v>20</v>
      </c>
      <c r="K1636" s="227">
        <f t="array" ref="K1636">IFERROR(INDEX([1]Grille_Tarifs_Modulable!$B$2:$B$204,MATCH(Tableau14[[#This Row],[Designation]]&amp;Tableau14[[#This Row],[CL]],[1]Grille_Tarifs_Modulable!$C$2:$C$204&amp;[1]Grille_Tarifs_Modulable!$F$2:$F$204,0)),0)</f>
        <v>4260310553849</v>
      </c>
      <c r="L1636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0.81</v>
      </c>
      <c r="M1636" s="228">
        <f>IF(Tableau14[[#This Row],[Prix_Unit_HT]]=0,0,Tableau14[[#This Row],[Prix_Unit_HT]]+(Tableau14[[#This Row],[Prix_Unit_HT]]*VLOOKUP(Tableau14[[#This Row],[EAN]],[1]Grille_Tarifs_Modulable!$B$10:$Q$204,16,FALSE)))</f>
        <v>0.85455000000000003</v>
      </c>
      <c r="N1636" s="224">
        <v>240</v>
      </c>
      <c r="O1636" s="228">
        <f>ROUND(Tableau14[[#This Row],[Prix_Unit_HT]],2)*Tableau14[[#This Row],[Qte_commande]]</f>
        <v>194.4</v>
      </c>
      <c r="P1636" s="228">
        <f>ROUND(Tableau14[[#This Row],[Prix_Unit_TTC]],2)*Tableau14[[#This Row],[Qte_commande]]</f>
        <v>204</v>
      </c>
      <c r="Q1636" s="224">
        <v>68.569999999999993</v>
      </c>
      <c r="R1636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68.571428571428569</v>
      </c>
      <c r="U1636" s="224"/>
      <c r="V1636" s="224"/>
    </row>
    <row r="1637" spans="1:22" ht="14.65" customHeight="1" x14ac:dyDescent="0.2">
      <c r="A1637" s="225">
        <v>43676</v>
      </c>
      <c r="B1637" s="224" t="s">
        <v>254</v>
      </c>
      <c r="C1637" s="224" t="s">
        <v>214</v>
      </c>
      <c r="D1637" s="224" t="s">
        <v>215</v>
      </c>
      <c r="E1637" s="226"/>
      <c r="G1637" s="224" t="s">
        <v>1</v>
      </c>
      <c r="H1637" s="224" t="s">
        <v>196</v>
      </c>
      <c r="I1637" s="224" t="s">
        <v>59</v>
      </c>
      <c r="J1637" s="224">
        <v>20</v>
      </c>
      <c r="K1637" s="227">
        <f t="array" ref="K1637">IFERROR(INDEX([1]Grille_Tarifs_Modulable!$B$2:$B$204,MATCH(Tableau14[[#This Row],[Designation]]&amp;Tableau14[[#This Row],[CL]],[1]Grille_Tarifs_Modulable!$C$2:$C$204&amp;[1]Grille_Tarifs_Modulable!$F$2:$F$204,0)),0)</f>
        <v>4260310553818</v>
      </c>
      <c r="L1637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0.81</v>
      </c>
      <c r="M1637" s="228">
        <f>IF(Tableau14[[#This Row],[Prix_Unit_HT]]=0,0,Tableau14[[#This Row],[Prix_Unit_HT]]+(Tableau14[[#This Row],[Prix_Unit_HT]]*VLOOKUP(Tableau14[[#This Row],[EAN]],[1]Grille_Tarifs_Modulable!$B$10:$Q$204,16,FALSE)))</f>
        <v>0.85455000000000003</v>
      </c>
      <c r="N1637" s="224">
        <v>240</v>
      </c>
      <c r="O1637" s="228">
        <f>ROUND(Tableau14[[#This Row],[Prix_Unit_HT]],2)*Tableau14[[#This Row],[Qte_commande]]</f>
        <v>194.4</v>
      </c>
      <c r="P1637" s="228">
        <f>ROUND(Tableau14[[#This Row],[Prix_Unit_TTC]],2)*Tableau14[[#This Row],[Qte_commande]]</f>
        <v>204</v>
      </c>
      <c r="Q1637" s="224">
        <v>68.569999999999993</v>
      </c>
      <c r="R1637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68.571428571428569</v>
      </c>
      <c r="U1637" s="224"/>
      <c r="V1637" s="224"/>
    </row>
    <row r="1638" spans="1:22" ht="14.65" customHeight="1" x14ac:dyDescent="0.2">
      <c r="A1638" s="225">
        <v>43682</v>
      </c>
      <c r="B1638" s="224" t="s">
        <v>912</v>
      </c>
      <c r="C1638" s="224" t="s">
        <v>214</v>
      </c>
      <c r="D1638" s="224" t="s">
        <v>215</v>
      </c>
      <c r="E1638" s="226"/>
      <c r="G1638" s="224" t="s">
        <v>1</v>
      </c>
      <c r="H1638" s="224" t="s">
        <v>289</v>
      </c>
      <c r="I1638" s="224" t="s">
        <v>44</v>
      </c>
      <c r="J1638" s="224">
        <v>50</v>
      </c>
      <c r="K1638" s="227">
        <f t="array" ref="K1638">IFERROR(INDEX([1]Grille_Tarifs_Modulable!$B$2:$B$204,MATCH(Tableau14[[#This Row],[Designation]]&amp;Tableau14[[#This Row],[CL]],[1]Grille_Tarifs_Modulable!$C$2:$C$204&amp;[1]Grille_Tarifs_Modulable!$F$2:$F$204,0)),0)</f>
        <v>4260270192645</v>
      </c>
      <c r="L1638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25.192506000000002</v>
      </c>
      <c r="M1638" s="228">
        <f>IF(Tableau14[[#This Row],[Prix_Unit_HT]]=0,0,Tableau14[[#This Row],[Prix_Unit_HT]]+(Tableau14[[#This Row],[Prix_Unit_HT]]*VLOOKUP(Tableau14[[#This Row],[EAN]],[1]Grille_Tarifs_Modulable!$B$10:$Q$204,16,FALSE)))</f>
        <v>30.231007200000001</v>
      </c>
      <c r="N1638" s="224">
        <v>0</v>
      </c>
      <c r="O1638" s="228">
        <f>ROUND(Tableau14[[#This Row],[Prix_Unit_HT]],2)*Tableau14[[#This Row],[Qte_commande]]</f>
        <v>0</v>
      </c>
      <c r="P1638" s="228">
        <f>ROUND(Tableau14[[#This Row],[Prix_Unit_TTC]],2)*Tableau14[[#This Row],[Qte_commande]]</f>
        <v>0</v>
      </c>
      <c r="Q1638" s="224">
        <v>0</v>
      </c>
      <c r="R1638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0</v>
      </c>
      <c r="U1638" s="224"/>
      <c r="V1638" s="224"/>
    </row>
    <row r="1639" spans="1:22" ht="14.65" customHeight="1" x14ac:dyDescent="0.2">
      <c r="A1639" s="225">
        <v>43683</v>
      </c>
      <c r="B1639" s="224" t="s">
        <v>255</v>
      </c>
      <c r="C1639" s="224" t="s">
        <v>205</v>
      </c>
      <c r="D1639" s="224" t="s">
        <v>206</v>
      </c>
      <c r="E1639" s="226"/>
      <c r="G1639" s="224" t="s">
        <v>1</v>
      </c>
      <c r="H1639" s="224" t="s">
        <v>196</v>
      </c>
      <c r="I1639" s="224" t="s">
        <v>62</v>
      </c>
      <c r="J1639" s="224">
        <v>20</v>
      </c>
      <c r="K1639" s="227">
        <f t="array" ref="K1639">IFERROR(INDEX([1]Grille_Tarifs_Modulable!$B$2:$B$204,MATCH(Tableau14[[#This Row],[Designation]]&amp;Tableau14[[#This Row],[CL]],[1]Grille_Tarifs_Modulable!$C$2:$C$204&amp;[1]Grille_Tarifs_Modulable!$F$2:$F$204,0)),0)</f>
        <v>4260310550305</v>
      </c>
      <c r="L1639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0.81</v>
      </c>
      <c r="M1639" s="228">
        <f>IF(Tableau14[[#This Row],[Prix_Unit_HT]]=0,0,Tableau14[[#This Row],[Prix_Unit_HT]]+(Tableau14[[#This Row],[Prix_Unit_HT]]*VLOOKUP(Tableau14[[#This Row],[EAN]],[1]Grille_Tarifs_Modulable!$B$10:$Q$204,16,FALSE)))</f>
        <v>0.85455000000000003</v>
      </c>
      <c r="N1639" s="224">
        <v>24</v>
      </c>
      <c r="O1639" s="228">
        <f>ROUND(Tableau14[[#This Row],[Prix_Unit_HT]],2)*Tableau14[[#This Row],[Qte_commande]]</f>
        <v>19.440000000000001</v>
      </c>
      <c r="P1639" s="228">
        <f>ROUND(Tableau14[[#This Row],[Prix_Unit_TTC]],2)*Tableau14[[#This Row],[Qte_commande]]</f>
        <v>20.399999999999999</v>
      </c>
      <c r="Q1639" s="224">
        <v>6.86</v>
      </c>
      <c r="R1639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6.8571428571428577</v>
      </c>
      <c r="U1639" s="224"/>
      <c r="V1639" s="224"/>
    </row>
    <row r="1640" spans="1:22" ht="14.65" customHeight="1" x14ac:dyDescent="0.2">
      <c r="A1640" s="225">
        <v>43683</v>
      </c>
      <c r="B1640" s="224" t="s">
        <v>282</v>
      </c>
      <c r="C1640" s="224" t="s">
        <v>265</v>
      </c>
      <c r="D1640" s="224" t="s">
        <v>266</v>
      </c>
      <c r="E1640" s="226"/>
      <c r="G1640" s="224" t="s">
        <v>1</v>
      </c>
      <c r="H1640" s="224" t="s">
        <v>196</v>
      </c>
      <c r="I1640" s="224" t="s">
        <v>63</v>
      </c>
      <c r="J1640" s="224">
        <v>20</v>
      </c>
      <c r="K1640" s="227">
        <f t="array" ref="K1640">IFERROR(INDEX([1]Grille_Tarifs_Modulable!$B$2:$B$204,MATCH(Tableau14[[#This Row],[Designation]]&amp;Tableau14[[#This Row],[CL]],[1]Grille_Tarifs_Modulable!$C$2:$C$204&amp;[1]Grille_Tarifs_Modulable!$F$2:$F$204,0)),0)</f>
        <v>4260310552941</v>
      </c>
      <c r="L1640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0.81</v>
      </c>
      <c r="M1640" s="228">
        <f>IF(Tableau14[[#This Row],[Prix_Unit_HT]]=0,0,Tableau14[[#This Row],[Prix_Unit_HT]]+(Tableau14[[#This Row],[Prix_Unit_HT]]*VLOOKUP(Tableau14[[#This Row],[EAN]],[1]Grille_Tarifs_Modulable!$B$10:$Q$204,16,FALSE)))</f>
        <v>0.85455000000000003</v>
      </c>
      <c r="N1640" s="224">
        <v>144</v>
      </c>
      <c r="O1640" s="228">
        <f>ROUND(Tableau14[[#This Row],[Prix_Unit_HT]],2)*Tableau14[[#This Row],[Qte_commande]]</f>
        <v>116.64000000000001</v>
      </c>
      <c r="P1640" s="228">
        <f>ROUND(Tableau14[[#This Row],[Prix_Unit_TTC]],2)*Tableau14[[#This Row],[Qte_commande]]</f>
        <v>122.39999999999999</v>
      </c>
      <c r="Q1640" s="224">
        <v>41.14</v>
      </c>
      <c r="R1640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41.142857142857146</v>
      </c>
      <c r="U1640" s="224"/>
      <c r="V1640" s="224"/>
    </row>
    <row r="1641" spans="1:22" ht="14.65" customHeight="1" x14ac:dyDescent="0.2">
      <c r="A1641" s="225">
        <v>43683</v>
      </c>
      <c r="B1641" s="224" t="s">
        <v>283</v>
      </c>
      <c r="C1641" s="224" t="s">
        <v>265</v>
      </c>
      <c r="D1641" s="224" t="s">
        <v>266</v>
      </c>
      <c r="E1641" s="226"/>
      <c r="G1641" s="224" t="s">
        <v>1</v>
      </c>
      <c r="H1641" s="224" t="s">
        <v>196</v>
      </c>
      <c r="I1641" s="224" t="s">
        <v>63</v>
      </c>
      <c r="J1641" s="224">
        <v>20</v>
      </c>
      <c r="K1641" s="227">
        <f t="array" ref="K1641">IFERROR(INDEX([1]Grille_Tarifs_Modulable!$B$2:$B$204,MATCH(Tableau14[[#This Row],[Designation]]&amp;Tableau14[[#This Row],[CL]],[1]Grille_Tarifs_Modulable!$C$2:$C$204&amp;[1]Grille_Tarifs_Modulable!$F$2:$F$204,0)),0)</f>
        <v>4260310552941</v>
      </c>
      <c r="L1641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0.81</v>
      </c>
      <c r="M1641" s="228">
        <f>IF(Tableau14[[#This Row],[Prix_Unit_HT]]=0,0,Tableau14[[#This Row],[Prix_Unit_HT]]+(Tableau14[[#This Row],[Prix_Unit_HT]]*VLOOKUP(Tableau14[[#This Row],[EAN]],[1]Grille_Tarifs_Modulable!$B$10:$Q$204,16,FALSE)))</f>
        <v>0.85455000000000003</v>
      </c>
      <c r="N1641" s="224">
        <v>144</v>
      </c>
      <c r="O1641" s="228">
        <f>ROUND(Tableau14[[#This Row],[Prix_Unit_HT]],2)*Tableau14[[#This Row],[Qte_commande]]</f>
        <v>116.64000000000001</v>
      </c>
      <c r="P1641" s="228">
        <f>ROUND(Tableau14[[#This Row],[Prix_Unit_TTC]],2)*Tableau14[[#This Row],[Qte_commande]]</f>
        <v>122.39999999999999</v>
      </c>
      <c r="Q1641" s="224">
        <v>41.14</v>
      </c>
      <c r="R1641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41.142857142857146</v>
      </c>
      <c r="U1641" s="224"/>
      <c r="V1641" s="224"/>
    </row>
    <row r="1642" spans="1:22" ht="14.65" customHeight="1" x14ac:dyDescent="0.2">
      <c r="A1642" s="225">
        <v>43683</v>
      </c>
      <c r="B1642" s="224" t="s">
        <v>425</v>
      </c>
      <c r="C1642" s="224" t="s">
        <v>426</v>
      </c>
      <c r="D1642" s="224" t="s">
        <v>180</v>
      </c>
      <c r="E1642" s="226"/>
      <c r="G1642" s="224" t="s">
        <v>13</v>
      </c>
      <c r="H1642" s="224" t="s">
        <v>289</v>
      </c>
      <c r="I1642" s="224" t="s">
        <v>35</v>
      </c>
      <c r="J1642" s="224">
        <v>70</v>
      </c>
      <c r="K1642" s="227">
        <f t="array" ref="K1642">IFERROR(INDEX([1]Grille_Tarifs_Modulable!$B$2:$B$204,MATCH(Tableau14[[#This Row],[Designation]]&amp;Tableau14[[#This Row],[CL]],[1]Grille_Tarifs_Modulable!$C$2:$C$204&amp;[1]Grille_Tarifs_Modulable!$F$2:$F$204,0)),0)</f>
        <v>3257150107012</v>
      </c>
      <c r="L1642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32.408644000000002</v>
      </c>
      <c r="M1642" s="228">
        <f>IF(Tableau14[[#This Row],[Prix_Unit_HT]]=0,0,Tableau14[[#This Row],[Prix_Unit_HT]]+(Tableau14[[#This Row],[Prix_Unit_HT]]*VLOOKUP(Tableau14[[#This Row],[EAN]],[1]Grille_Tarifs_Modulable!$B$10:$Q$204,16,FALSE)))</f>
        <v>38.890372800000002</v>
      </c>
      <c r="N1642" s="224">
        <v>6</v>
      </c>
      <c r="O1642" s="228">
        <f>ROUND(Tableau14[[#This Row],[Prix_Unit_HT]],2)*Tableau14[[#This Row],[Qte_commande]]</f>
        <v>194.45999999999998</v>
      </c>
      <c r="P1642" s="228">
        <f>ROUND(Tableau14[[#This Row],[Prix_Unit_TTC]],2)*Tableau14[[#This Row],[Qte_commande]]</f>
        <v>233.34</v>
      </c>
      <c r="Q1642" s="224">
        <v>6</v>
      </c>
      <c r="R1642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6.0000000000000009</v>
      </c>
      <c r="U1642" s="224"/>
      <c r="V1642" s="224"/>
    </row>
    <row r="1643" spans="1:22" ht="14.65" customHeight="1" x14ac:dyDescent="0.2">
      <c r="A1643" s="225">
        <v>43683</v>
      </c>
      <c r="B1643" s="224" t="s">
        <v>425</v>
      </c>
      <c r="C1643" s="224" t="s">
        <v>426</v>
      </c>
      <c r="D1643" s="224" t="s">
        <v>180</v>
      </c>
      <c r="E1643" s="226"/>
      <c r="G1643" s="224" t="s">
        <v>13</v>
      </c>
      <c r="H1643" s="224" t="s">
        <v>289</v>
      </c>
      <c r="I1643" s="224" t="s">
        <v>47</v>
      </c>
      <c r="J1643" s="224">
        <v>70</v>
      </c>
      <c r="K1643" s="227">
        <f t="array" ref="K1643">IFERROR(INDEX([1]Grille_Tarifs_Modulable!$B$2:$B$204,MATCH(Tableau14[[#This Row],[Designation]]&amp;Tableau14[[#This Row],[CL]],[1]Grille_Tarifs_Modulable!$C$2:$C$204&amp;[1]Grille_Tarifs_Modulable!$F$2:$F$204,0)),0)</f>
        <v>3257150673005</v>
      </c>
      <c r="L1643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26.848644</v>
      </c>
      <c r="M1643" s="228">
        <f>IF(Tableau14[[#This Row],[Prix_Unit_HT]]=0,0,Tableau14[[#This Row],[Prix_Unit_HT]]+(Tableau14[[#This Row],[Prix_Unit_HT]]*VLOOKUP(Tableau14[[#This Row],[EAN]],[1]Grille_Tarifs_Modulable!$B$10:$Q$204,16,FALSE)))</f>
        <v>32.218372799999997</v>
      </c>
      <c r="N1643" s="224">
        <v>6</v>
      </c>
      <c r="O1643" s="228">
        <f>ROUND(Tableau14[[#This Row],[Prix_Unit_HT]],2)*Tableau14[[#This Row],[Qte_commande]]</f>
        <v>161.10000000000002</v>
      </c>
      <c r="P1643" s="228">
        <f>ROUND(Tableau14[[#This Row],[Prix_Unit_TTC]],2)*Tableau14[[#This Row],[Qte_commande]]</f>
        <v>193.32</v>
      </c>
      <c r="Q1643" s="224">
        <v>6</v>
      </c>
      <c r="R1643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6.0000000000000009</v>
      </c>
      <c r="U1643" s="224"/>
      <c r="V1643" s="224"/>
    </row>
    <row r="1644" spans="1:22" ht="14.65" customHeight="1" x14ac:dyDescent="0.2">
      <c r="A1644" s="225">
        <v>43683</v>
      </c>
      <c r="B1644" s="224" t="s">
        <v>425</v>
      </c>
      <c r="C1644" s="224" t="s">
        <v>426</v>
      </c>
      <c r="D1644" s="224" t="s">
        <v>180</v>
      </c>
      <c r="E1644" s="226"/>
      <c r="G1644" s="224" t="s">
        <v>13</v>
      </c>
      <c r="H1644" s="224" t="s">
        <v>289</v>
      </c>
      <c r="I1644" s="224" t="s">
        <v>15</v>
      </c>
      <c r="J1644" s="224">
        <v>70</v>
      </c>
      <c r="K1644" s="227">
        <f t="array" ref="K1644">IFERROR(INDEX([1]Grille_Tarifs_Modulable!$B$2:$B$204,MATCH(Tableau14[[#This Row],[Designation]]&amp;Tableau14[[#This Row],[CL]],[1]Grille_Tarifs_Modulable!$C$2:$C$204&amp;[1]Grille_Tarifs_Modulable!$F$2:$F$204,0)),0)</f>
        <v>4067700013859</v>
      </c>
      <c r="L1644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13.942563499999999</v>
      </c>
      <c r="M1644" s="228">
        <f>IF(Tableau14[[#This Row],[Prix_Unit_HT]]=0,0,Tableau14[[#This Row],[Prix_Unit_HT]]+(Tableau14[[#This Row],[Prix_Unit_HT]]*VLOOKUP(Tableau14[[#This Row],[EAN]],[1]Grille_Tarifs_Modulable!$B$10:$Q$204,16,FALSE)))</f>
        <v>16.731076199999997</v>
      </c>
      <c r="N1644" s="224">
        <v>12</v>
      </c>
      <c r="O1644" s="228">
        <f>ROUND(Tableau14[[#This Row],[Prix_Unit_HT]],2)*Tableau14[[#This Row],[Qte_commande]]</f>
        <v>167.28</v>
      </c>
      <c r="P1644" s="228">
        <f>ROUND(Tableau14[[#This Row],[Prix_Unit_TTC]],2)*Tableau14[[#This Row],[Qte_commande]]</f>
        <v>200.76</v>
      </c>
      <c r="Q1644" s="224">
        <v>12</v>
      </c>
      <c r="R1644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12.000000000000002</v>
      </c>
      <c r="U1644" s="224"/>
      <c r="V1644" s="224"/>
    </row>
    <row r="1645" spans="1:22" ht="14.65" customHeight="1" x14ac:dyDescent="0.2">
      <c r="A1645" s="225">
        <v>43683</v>
      </c>
      <c r="B1645" s="224" t="s">
        <v>255</v>
      </c>
      <c r="C1645" s="224" t="s">
        <v>205</v>
      </c>
      <c r="D1645" s="224" t="s">
        <v>206</v>
      </c>
      <c r="E1645" s="226"/>
      <c r="G1645" s="224" t="s">
        <v>1</v>
      </c>
      <c r="H1645" s="224" t="s">
        <v>289</v>
      </c>
      <c r="I1645" s="224" t="s">
        <v>15</v>
      </c>
      <c r="J1645" s="224">
        <v>70</v>
      </c>
      <c r="K1645" s="227">
        <f t="array" ref="K1645">IFERROR(INDEX([1]Grille_Tarifs_Modulable!$B$2:$B$204,MATCH(Tableau14[[#This Row],[Designation]]&amp;Tableau14[[#This Row],[CL]],[1]Grille_Tarifs_Modulable!$C$2:$C$204&amp;[1]Grille_Tarifs_Modulable!$F$2:$F$204,0)),0)</f>
        <v>4067700013859</v>
      </c>
      <c r="L1645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12.532563499999998</v>
      </c>
      <c r="M1645" s="228">
        <f>IF(Tableau14[[#This Row],[Prix_Unit_HT]]=0,0,Tableau14[[#This Row],[Prix_Unit_HT]]+(Tableau14[[#This Row],[Prix_Unit_HT]]*VLOOKUP(Tableau14[[#This Row],[EAN]],[1]Grille_Tarifs_Modulable!$B$10:$Q$204,16,FALSE)))</f>
        <v>15.039076199999998</v>
      </c>
      <c r="N1645" s="224">
        <v>240</v>
      </c>
      <c r="O1645" s="228">
        <f>ROUND(Tableau14[[#This Row],[Prix_Unit_HT]],2)*Tableau14[[#This Row],[Qte_commande]]</f>
        <v>3007.2</v>
      </c>
      <c r="P1645" s="228">
        <f>ROUND(Tableau14[[#This Row],[Prix_Unit_TTC]],2)*Tableau14[[#This Row],[Qte_commande]]</f>
        <v>3609.6</v>
      </c>
      <c r="Q1645" s="224">
        <v>240</v>
      </c>
      <c r="R1645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240.00000000000003</v>
      </c>
      <c r="U1645" s="224"/>
      <c r="V1645" s="224"/>
    </row>
    <row r="1646" spans="1:22" ht="14.65" customHeight="1" x14ac:dyDescent="0.2">
      <c r="A1646" s="225">
        <v>43683</v>
      </c>
      <c r="B1646" s="224" t="s">
        <v>282</v>
      </c>
      <c r="C1646" s="224" t="s">
        <v>265</v>
      </c>
      <c r="D1646" s="224" t="s">
        <v>266</v>
      </c>
      <c r="E1646" s="226"/>
      <c r="G1646" s="224" t="s">
        <v>1</v>
      </c>
      <c r="H1646" s="224" t="s">
        <v>289</v>
      </c>
      <c r="I1646" s="224" t="s">
        <v>15</v>
      </c>
      <c r="J1646" s="224">
        <v>70</v>
      </c>
      <c r="K1646" s="227">
        <f t="array" ref="K1646">IFERROR(INDEX([1]Grille_Tarifs_Modulable!$B$2:$B$204,MATCH(Tableau14[[#This Row],[Designation]]&amp;Tableau14[[#This Row],[CL]],[1]Grille_Tarifs_Modulable!$C$2:$C$204&amp;[1]Grille_Tarifs_Modulable!$F$2:$F$204,0)),0)</f>
        <v>4067700013859</v>
      </c>
      <c r="L1646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12.532563499999998</v>
      </c>
      <c r="M1646" s="228">
        <f>IF(Tableau14[[#This Row],[Prix_Unit_HT]]=0,0,Tableau14[[#This Row],[Prix_Unit_HT]]+(Tableau14[[#This Row],[Prix_Unit_HT]]*VLOOKUP(Tableau14[[#This Row],[EAN]],[1]Grille_Tarifs_Modulable!$B$10:$Q$204,16,FALSE)))</f>
        <v>15.039076199999998</v>
      </c>
      <c r="N1646" s="224">
        <v>240</v>
      </c>
      <c r="O1646" s="228">
        <f>ROUND(Tableau14[[#This Row],[Prix_Unit_HT]],2)*Tableau14[[#This Row],[Qte_commande]]</f>
        <v>3007.2</v>
      </c>
      <c r="P1646" s="228">
        <f>ROUND(Tableau14[[#This Row],[Prix_Unit_TTC]],2)*Tableau14[[#This Row],[Qte_commande]]</f>
        <v>3609.6</v>
      </c>
      <c r="Q1646" s="224">
        <v>240</v>
      </c>
      <c r="R1646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240.00000000000003</v>
      </c>
      <c r="U1646" s="224"/>
      <c r="V1646" s="224"/>
    </row>
    <row r="1647" spans="1:22" ht="14.65" customHeight="1" x14ac:dyDescent="0.2">
      <c r="A1647" s="225">
        <v>43683</v>
      </c>
      <c r="B1647" s="224" t="s">
        <v>283</v>
      </c>
      <c r="C1647" s="224" t="s">
        <v>265</v>
      </c>
      <c r="D1647" s="224" t="s">
        <v>266</v>
      </c>
      <c r="E1647" s="226"/>
      <c r="G1647" s="224" t="s">
        <v>1</v>
      </c>
      <c r="H1647" s="224" t="s">
        <v>289</v>
      </c>
      <c r="I1647" s="224" t="s">
        <v>15</v>
      </c>
      <c r="J1647" s="224">
        <v>70</v>
      </c>
      <c r="K1647" s="227">
        <f t="array" ref="K1647">IFERROR(INDEX([1]Grille_Tarifs_Modulable!$B$2:$B$204,MATCH(Tableau14[[#This Row],[Designation]]&amp;Tableau14[[#This Row],[CL]],[1]Grille_Tarifs_Modulable!$C$2:$C$204&amp;[1]Grille_Tarifs_Modulable!$F$2:$F$204,0)),0)</f>
        <v>4067700013859</v>
      </c>
      <c r="L1647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12.532563499999998</v>
      </c>
      <c r="M1647" s="228">
        <f>IF(Tableau14[[#This Row],[Prix_Unit_HT]]=0,0,Tableau14[[#This Row],[Prix_Unit_HT]]+(Tableau14[[#This Row],[Prix_Unit_HT]]*VLOOKUP(Tableau14[[#This Row],[EAN]],[1]Grille_Tarifs_Modulable!$B$10:$Q$204,16,FALSE)))</f>
        <v>15.039076199999998</v>
      </c>
      <c r="N1647" s="224">
        <v>240</v>
      </c>
      <c r="O1647" s="228">
        <f>ROUND(Tableau14[[#This Row],[Prix_Unit_HT]],2)*Tableau14[[#This Row],[Qte_commande]]</f>
        <v>3007.2</v>
      </c>
      <c r="P1647" s="228">
        <f>ROUND(Tableau14[[#This Row],[Prix_Unit_TTC]],2)*Tableau14[[#This Row],[Qte_commande]]</f>
        <v>3609.6</v>
      </c>
      <c r="Q1647" s="224">
        <v>240</v>
      </c>
      <c r="R1647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240.00000000000003</v>
      </c>
      <c r="U1647" s="224"/>
      <c r="V1647" s="224"/>
    </row>
    <row r="1648" spans="1:22" ht="14.65" customHeight="1" x14ac:dyDescent="0.2">
      <c r="A1648" s="225">
        <v>43683</v>
      </c>
      <c r="B1648" s="224" t="s">
        <v>425</v>
      </c>
      <c r="C1648" s="224" t="s">
        <v>426</v>
      </c>
      <c r="D1648" s="224" t="s">
        <v>180</v>
      </c>
      <c r="E1648" s="226"/>
      <c r="G1648" s="224" t="s">
        <v>13</v>
      </c>
      <c r="H1648" s="224" t="s">
        <v>289</v>
      </c>
      <c r="I1648" s="224" t="s">
        <v>48</v>
      </c>
      <c r="J1648" s="224">
        <v>70</v>
      </c>
      <c r="K1648" s="227">
        <f t="array" ref="K1648">IFERROR(INDEX([1]Grille_Tarifs_Modulable!$B$2:$B$204,MATCH(Tableau14[[#This Row],[Designation]]&amp;Tableau14[[#This Row],[CL]],[1]Grille_Tarifs_Modulable!$C$2:$C$204&amp;[1]Grille_Tarifs_Modulable!$F$2:$F$204,0)),0)</f>
        <v>3257150673029</v>
      </c>
      <c r="L1648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23.269508399999999</v>
      </c>
      <c r="M1648" s="228">
        <f>IF(Tableau14[[#This Row],[Prix_Unit_HT]]=0,0,Tableau14[[#This Row],[Prix_Unit_HT]]+(Tableau14[[#This Row],[Prix_Unit_HT]]*VLOOKUP(Tableau14[[#This Row],[EAN]],[1]Grille_Tarifs_Modulable!$B$10:$Q$204,16,FALSE)))</f>
        <v>27.92341008</v>
      </c>
      <c r="N1648" s="224">
        <v>12</v>
      </c>
      <c r="O1648" s="228">
        <f>ROUND(Tableau14[[#This Row],[Prix_Unit_HT]],2)*Tableau14[[#This Row],[Qte_commande]]</f>
        <v>279.24</v>
      </c>
      <c r="P1648" s="228">
        <f>ROUND(Tableau14[[#This Row],[Prix_Unit_TTC]],2)*Tableau14[[#This Row],[Qte_commande]]</f>
        <v>335.04</v>
      </c>
      <c r="Q1648" s="224">
        <v>12</v>
      </c>
      <c r="R1648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12.000000000000002</v>
      </c>
      <c r="U1648" s="224"/>
      <c r="V1648" s="224"/>
    </row>
    <row r="1649" spans="1:22" ht="14.65" customHeight="1" x14ac:dyDescent="0.2">
      <c r="A1649" s="225">
        <v>43683</v>
      </c>
      <c r="B1649" s="224" t="s">
        <v>425</v>
      </c>
      <c r="C1649" s="224" t="s">
        <v>426</v>
      </c>
      <c r="D1649" s="224" t="s">
        <v>180</v>
      </c>
      <c r="E1649" s="226"/>
      <c r="G1649" s="224" t="s">
        <v>13</v>
      </c>
      <c r="H1649" s="224" t="s">
        <v>289</v>
      </c>
      <c r="I1649" s="224" t="s">
        <v>30</v>
      </c>
      <c r="J1649" s="224">
        <v>70</v>
      </c>
      <c r="K1649" s="227">
        <f t="array" ref="K1649">IFERROR(INDEX([1]Grille_Tarifs_Modulable!$B$2:$B$204,MATCH(Tableau14[[#This Row],[Designation]]&amp;Tableau14[[#This Row],[CL]],[1]Grille_Tarifs_Modulable!$C$2:$C$204&amp;[1]Grille_Tarifs_Modulable!$F$2:$F$204,0)),0)</f>
        <v>3257150101904</v>
      </c>
      <c r="L1649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18.506483000000003</v>
      </c>
      <c r="M1649" s="228">
        <f>IF(Tableau14[[#This Row],[Prix_Unit_HT]]=0,0,Tableau14[[#This Row],[Prix_Unit_HT]]+(Tableau14[[#This Row],[Prix_Unit_HT]]*VLOOKUP(Tableau14[[#This Row],[EAN]],[1]Grille_Tarifs_Modulable!$B$10:$Q$204,16,FALSE)))</f>
        <v>22.207779600000002</v>
      </c>
      <c r="N1649" s="224">
        <v>6</v>
      </c>
      <c r="O1649" s="228">
        <f>ROUND(Tableau14[[#This Row],[Prix_Unit_HT]],2)*Tableau14[[#This Row],[Qte_commande]]</f>
        <v>111.06</v>
      </c>
      <c r="P1649" s="228">
        <f>ROUND(Tableau14[[#This Row],[Prix_Unit_TTC]],2)*Tableau14[[#This Row],[Qte_commande]]</f>
        <v>133.26</v>
      </c>
      <c r="Q1649" s="224">
        <v>6</v>
      </c>
      <c r="R1649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6.0000000000000009</v>
      </c>
      <c r="U1649" s="224"/>
      <c r="V1649" s="224"/>
    </row>
    <row r="1650" spans="1:22" ht="14.65" customHeight="1" x14ac:dyDescent="0.2">
      <c r="A1650" s="225">
        <v>43683</v>
      </c>
      <c r="B1650" s="224" t="s">
        <v>425</v>
      </c>
      <c r="C1650" s="224" t="s">
        <v>426</v>
      </c>
      <c r="D1650" s="224" t="s">
        <v>180</v>
      </c>
      <c r="E1650" s="226"/>
      <c r="G1650" s="224" t="s">
        <v>13</v>
      </c>
      <c r="H1650" s="224" t="s">
        <v>289</v>
      </c>
      <c r="I1650" s="224" t="s">
        <v>32</v>
      </c>
      <c r="J1650" s="224">
        <v>70</v>
      </c>
      <c r="K1650" s="227">
        <f t="array" ref="K1650">IFERROR(INDEX([1]Grille_Tarifs_Modulable!$B$2:$B$204,MATCH(Tableau14[[#This Row],[Designation]]&amp;Tableau14[[#This Row],[CL]],[1]Grille_Tarifs_Modulable!$C$2:$C$204&amp;[1]Grille_Tarifs_Modulable!$F$2:$F$204,0)),0)</f>
        <v>3257150100228</v>
      </c>
      <c r="L1650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21.488644000000001</v>
      </c>
      <c r="M1650" s="228">
        <f>IF(Tableau14[[#This Row],[Prix_Unit_HT]]=0,0,Tableau14[[#This Row],[Prix_Unit_HT]]+(Tableau14[[#This Row],[Prix_Unit_HT]]*VLOOKUP(Tableau14[[#This Row],[EAN]],[1]Grille_Tarifs_Modulable!$B$10:$Q$204,16,FALSE)))</f>
        <v>25.786372800000002</v>
      </c>
      <c r="N1650" s="224">
        <v>6</v>
      </c>
      <c r="O1650" s="228">
        <f>ROUND(Tableau14[[#This Row],[Prix_Unit_HT]],2)*Tableau14[[#This Row],[Qte_commande]]</f>
        <v>128.94</v>
      </c>
      <c r="P1650" s="228">
        <f>ROUND(Tableau14[[#This Row],[Prix_Unit_TTC]],2)*Tableau14[[#This Row],[Qte_commande]]</f>
        <v>154.74</v>
      </c>
      <c r="Q1650" s="224">
        <v>6</v>
      </c>
      <c r="R1650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6.0000000000000009</v>
      </c>
      <c r="U1650" s="224"/>
      <c r="V1650" s="224"/>
    </row>
    <row r="1651" spans="1:22" ht="14.65" customHeight="1" x14ac:dyDescent="0.2">
      <c r="A1651" s="225">
        <v>43683</v>
      </c>
      <c r="B1651" s="224" t="s">
        <v>425</v>
      </c>
      <c r="C1651" s="224" t="s">
        <v>426</v>
      </c>
      <c r="D1651" s="224" t="s">
        <v>180</v>
      </c>
      <c r="E1651" s="226"/>
      <c r="G1651" s="224" t="s">
        <v>13</v>
      </c>
      <c r="H1651" s="224" t="s">
        <v>289</v>
      </c>
      <c r="I1651" s="224" t="s">
        <v>31</v>
      </c>
      <c r="J1651" s="224">
        <v>70</v>
      </c>
      <c r="K1651" s="227">
        <f t="array" ref="K1651">IFERROR(INDEX([1]Grille_Tarifs_Modulable!$B$2:$B$204,MATCH(Tableau14[[#This Row],[Designation]]&amp;Tableau14[[#This Row],[CL]],[1]Grille_Tarifs_Modulable!$C$2:$C$204&amp;[1]Grille_Tarifs_Modulable!$F$2:$F$204,0)),0)</f>
        <v>3257150102017</v>
      </c>
      <c r="L1651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16.854322</v>
      </c>
      <c r="M1651" s="228">
        <f>IF(Tableau14[[#This Row],[Prix_Unit_HT]]=0,0,Tableau14[[#This Row],[Prix_Unit_HT]]+(Tableau14[[#This Row],[Prix_Unit_HT]]*VLOOKUP(Tableau14[[#This Row],[EAN]],[1]Grille_Tarifs_Modulable!$B$10:$Q$204,16,FALSE)))</f>
        <v>20.225186399999998</v>
      </c>
      <c r="N1651" s="224">
        <v>6</v>
      </c>
      <c r="O1651" s="228">
        <f>ROUND(Tableau14[[#This Row],[Prix_Unit_HT]],2)*Tableau14[[#This Row],[Qte_commande]]</f>
        <v>101.10000000000001</v>
      </c>
      <c r="P1651" s="228">
        <f>ROUND(Tableau14[[#This Row],[Prix_Unit_TTC]],2)*Tableau14[[#This Row],[Qte_commande]]</f>
        <v>121.38</v>
      </c>
      <c r="Q1651" s="224">
        <v>6</v>
      </c>
      <c r="R1651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6.0000000000000009</v>
      </c>
      <c r="U1651" s="224"/>
      <c r="V1651" s="224"/>
    </row>
    <row r="1652" spans="1:22" ht="14.65" customHeight="1" x14ac:dyDescent="0.2">
      <c r="A1652" s="225">
        <v>43683</v>
      </c>
      <c r="B1652" s="224" t="s">
        <v>425</v>
      </c>
      <c r="C1652" s="224" t="s">
        <v>426</v>
      </c>
      <c r="D1652" s="224" t="s">
        <v>180</v>
      </c>
      <c r="E1652" s="226"/>
      <c r="G1652" s="224" t="s">
        <v>13</v>
      </c>
      <c r="H1652" s="224" t="s">
        <v>289</v>
      </c>
      <c r="I1652" s="224" t="s">
        <v>25</v>
      </c>
      <c r="J1652" s="224">
        <v>70</v>
      </c>
      <c r="K1652" s="227">
        <f t="array" ref="K1652">IFERROR(INDEX([1]Grille_Tarifs_Modulable!$B$2:$B$204,MATCH(Tableau14[[#This Row],[Designation]]&amp;Tableau14[[#This Row],[CL]],[1]Grille_Tarifs_Modulable!$C$2:$C$204&amp;[1]Grille_Tarifs_Modulable!$F$2:$F$204,0)),0)</f>
        <v>8500000917015</v>
      </c>
      <c r="L1652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12.7382118</v>
      </c>
      <c r="M1652" s="228">
        <f>IF(Tableau14[[#This Row],[Prix_Unit_HT]]=0,0,Tableau14[[#This Row],[Prix_Unit_HT]]+(Tableau14[[#This Row],[Prix_Unit_HT]]*VLOOKUP(Tableau14[[#This Row],[EAN]],[1]Grille_Tarifs_Modulable!$B$10:$Q$204,16,FALSE)))</f>
        <v>15.28585416</v>
      </c>
      <c r="N1652" s="224">
        <v>6</v>
      </c>
      <c r="O1652" s="228">
        <f>ROUND(Tableau14[[#This Row],[Prix_Unit_HT]],2)*Tableau14[[#This Row],[Qte_commande]]</f>
        <v>76.44</v>
      </c>
      <c r="P1652" s="228">
        <f>ROUND(Tableau14[[#This Row],[Prix_Unit_TTC]],2)*Tableau14[[#This Row],[Qte_commande]]</f>
        <v>91.74</v>
      </c>
      <c r="Q1652" s="224">
        <v>6</v>
      </c>
      <c r="R1652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6.0000000000000009</v>
      </c>
      <c r="U1652" s="224"/>
      <c r="V1652" s="224"/>
    </row>
    <row r="1653" spans="1:22" ht="14.65" customHeight="1" x14ac:dyDescent="0.2">
      <c r="A1653" s="225">
        <v>43684</v>
      </c>
      <c r="B1653" s="224" t="s">
        <v>758</v>
      </c>
      <c r="C1653" s="224" t="s">
        <v>530</v>
      </c>
      <c r="D1653" s="224" t="s">
        <v>531</v>
      </c>
      <c r="E1653" s="226"/>
      <c r="G1653" s="224" t="s">
        <v>1</v>
      </c>
      <c r="H1653" s="224" t="s">
        <v>289</v>
      </c>
      <c r="I1653" s="224" t="s">
        <v>15</v>
      </c>
      <c r="J1653" s="224">
        <v>70</v>
      </c>
      <c r="K1653" s="227">
        <f t="array" ref="K1653">IFERROR(INDEX([1]Grille_Tarifs_Modulable!$B$2:$B$204,MATCH(Tableau14[[#This Row],[Designation]]&amp;Tableau14[[#This Row],[CL]],[1]Grille_Tarifs_Modulable!$C$2:$C$204&amp;[1]Grille_Tarifs_Modulable!$F$2:$F$204,0)),0)</f>
        <v>4067700013859</v>
      </c>
      <c r="L1653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12.532563499999998</v>
      </c>
      <c r="M1653" s="228">
        <f>IF(Tableau14[[#This Row],[Prix_Unit_HT]]=0,0,Tableau14[[#This Row],[Prix_Unit_HT]]+(Tableau14[[#This Row],[Prix_Unit_HT]]*VLOOKUP(Tableau14[[#This Row],[EAN]],[1]Grille_Tarifs_Modulable!$B$10:$Q$204,16,FALSE)))</f>
        <v>15.039076199999998</v>
      </c>
      <c r="N1653" s="224">
        <v>240</v>
      </c>
      <c r="O1653" s="228">
        <f>ROUND(Tableau14[[#This Row],[Prix_Unit_HT]],2)*Tableau14[[#This Row],[Qte_commande]]</f>
        <v>3007.2</v>
      </c>
      <c r="P1653" s="228">
        <f>ROUND(Tableau14[[#This Row],[Prix_Unit_TTC]],2)*Tableau14[[#This Row],[Qte_commande]]</f>
        <v>3609.6</v>
      </c>
      <c r="Q1653" s="224">
        <v>240</v>
      </c>
      <c r="R1653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240.00000000000003</v>
      </c>
      <c r="U1653" s="224"/>
      <c r="V1653" s="224"/>
    </row>
    <row r="1654" spans="1:22" ht="14.65" customHeight="1" x14ac:dyDescent="0.2">
      <c r="A1654" s="225">
        <v>43685</v>
      </c>
      <c r="B1654" s="224" t="s">
        <v>759</v>
      </c>
      <c r="C1654" s="224" t="s">
        <v>265</v>
      </c>
      <c r="D1654" s="224" t="s">
        <v>266</v>
      </c>
      <c r="E1654" s="226"/>
      <c r="G1654" s="224" t="s">
        <v>1</v>
      </c>
      <c r="H1654" s="224" t="s">
        <v>289</v>
      </c>
      <c r="I1654" s="224" t="s">
        <v>15</v>
      </c>
      <c r="J1654" s="224">
        <v>70</v>
      </c>
      <c r="K1654" s="227">
        <f t="array" ref="K1654">IFERROR(INDEX([1]Grille_Tarifs_Modulable!$B$2:$B$204,MATCH(Tableau14[[#This Row],[Designation]]&amp;Tableau14[[#This Row],[CL]],[1]Grille_Tarifs_Modulable!$C$2:$C$204&amp;[1]Grille_Tarifs_Modulable!$F$2:$F$204,0)),0)</f>
        <v>4067700013859</v>
      </c>
      <c r="L1654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12.532563499999998</v>
      </c>
      <c r="M1654" s="228">
        <f>IF(Tableau14[[#This Row],[Prix_Unit_HT]]=0,0,Tableau14[[#This Row],[Prix_Unit_HT]]+(Tableau14[[#This Row],[Prix_Unit_HT]]*VLOOKUP(Tableau14[[#This Row],[EAN]],[1]Grille_Tarifs_Modulable!$B$10:$Q$204,16,FALSE)))</f>
        <v>15.039076199999998</v>
      </c>
      <c r="N1654" s="224">
        <v>240</v>
      </c>
      <c r="O1654" s="228">
        <f>ROUND(Tableau14[[#This Row],[Prix_Unit_HT]],2)*Tableau14[[#This Row],[Qte_commande]]</f>
        <v>3007.2</v>
      </c>
      <c r="P1654" s="228">
        <f>ROUND(Tableau14[[#This Row],[Prix_Unit_TTC]],2)*Tableau14[[#This Row],[Qte_commande]]</f>
        <v>3609.6</v>
      </c>
      <c r="Q1654" s="224">
        <v>240</v>
      </c>
      <c r="R1654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240.00000000000003</v>
      </c>
      <c r="U1654" s="224"/>
      <c r="V1654" s="224"/>
    </row>
    <row r="1655" spans="1:22" ht="14.65" customHeight="1" x14ac:dyDescent="0.2">
      <c r="A1655" s="225">
        <v>43685</v>
      </c>
      <c r="B1655" s="224" t="s">
        <v>759</v>
      </c>
      <c r="C1655" s="224" t="s">
        <v>265</v>
      </c>
      <c r="D1655" s="224" t="s">
        <v>266</v>
      </c>
      <c r="E1655" s="226"/>
      <c r="G1655" s="224" t="s">
        <v>13</v>
      </c>
      <c r="H1655" s="224" t="s">
        <v>196</v>
      </c>
      <c r="I1655" s="224" t="s">
        <v>66</v>
      </c>
      <c r="J1655" s="224">
        <v>20</v>
      </c>
      <c r="K1655" s="227">
        <f t="array" ref="K1655">IFERROR(INDEX([1]Grille_Tarifs_Modulable!$B$2:$B$204,MATCH(Tableau14[[#This Row],[Designation]]&amp;Tableau14[[#This Row],[CL]],[1]Grille_Tarifs_Modulable!$C$2:$C$204&amp;[1]Grille_Tarifs_Modulable!$F$2:$F$204,0)),0)</f>
        <v>4260310554785</v>
      </c>
      <c r="L1655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0.89</v>
      </c>
      <c r="M1655" s="228">
        <f>IF(Tableau14[[#This Row],[Prix_Unit_HT]]=0,0,Tableau14[[#This Row],[Prix_Unit_HT]]+(Tableau14[[#This Row],[Prix_Unit_HT]]*VLOOKUP(Tableau14[[#This Row],[EAN]],[1]Grille_Tarifs_Modulable!$B$10:$Q$204,16,FALSE)))</f>
        <v>0.93895000000000006</v>
      </c>
      <c r="N1655" s="224">
        <v>24</v>
      </c>
      <c r="O1655" s="228">
        <f>ROUND(Tableau14[[#This Row],[Prix_Unit_HT]],2)*Tableau14[[#This Row],[Qte_commande]]</f>
        <v>21.36</v>
      </c>
      <c r="P1655" s="228">
        <f>ROUND(Tableau14[[#This Row],[Prix_Unit_TTC]],2)*Tableau14[[#This Row],[Qte_commande]]</f>
        <v>22.56</v>
      </c>
      <c r="Q1655" s="224">
        <v>6.86</v>
      </c>
      <c r="R1655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6.8571428571428577</v>
      </c>
      <c r="U1655" s="224"/>
      <c r="V1655" s="224"/>
    </row>
    <row r="1656" spans="1:22" ht="14.65" customHeight="1" x14ac:dyDescent="0.2">
      <c r="A1656" s="225">
        <v>43685</v>
      </c>
      <c r="B1656" s="224" t="s">
        <v>759</v>
      </c>
      <c r="C1656" s="224" t="s">
        <v>265</v>
      </c>
      <c r="D1656" s="224" t="s">
        <v>266</v>
      </c>
      <c r="E1656" s="226"/>
      <c r="G1656" s="224" t="s">
        <v>1</v>
      </c>
      <c r="H1656" s="224" t="s">
        <v>196</v>
      </c>
      <c r="I1656" s="224" t="s">
        <v>59</v>
      </c>
      <c r="J1656" s="224">
        <v>20</v>
      </c>
      <c r="K1656" s="227">
        <f t="array" ref="K1656">IFERROR(INDEX([1]Grille_Tarifs_Modulable!$B$2:$B$204,MATCH(Tableau14[[#This Row],[Designation]]&amp;Tableau14[[#This Row],[CL]],[1]Grille_Tarifs_Modulable!$C$2:$C$204&amp;[1]Grille_Tarifs_Modulable!$F$2:$F$204,0)),0)</f>
        <v>4260310553818</v>
      </c>
      <c r="L1656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0.81</v>
      </c>
      <c r="M1656" s="228">
        <f>IF(Tableau14[[#This Row],[Prix_Unit_HT]]=0,0,Tableau14[[#This Row],[Prix_Unit_HT]]+(Tableau14[[#This Row],[Prix_Unit_HT]]*VLOOKUP(Tableau14[[#This Row],[EAN]],[1]Grille_Tarifs_Modulable!$B$10:$Q$204,16,FALSE)))</f>
        <v>0.85455000000000003</v>
      </c>
      <c r="N1656" s="224">
        <v>192</v>
      </c>
      <c r="O1656" s="228">
        <f>ROUND(Tableau14[[#This Row],[Prix_Unit_HT]],2)*Tableau14[[#This Row],[Qte_commande]]</f>
        <v>155.52000000000001</v>
      </c>
      <c r="P1656" s="228">
        <f>ROUND(Tableau14[[#This Row],[Prix_Unit_TTC]],2)*Tableau14[[#This Row],[Qte_commande]]</f>
        <v>163.19999999999999</v>
      </c>
      <c r="Q1656" s="224">
        <v>54.86</v>
      </c>
      <c r="R1656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54.857142857142861</v>
      </c>
      <c r="U1656" s="224"/>
      <c r="V1656" s="224"/>
    </row>
    <row r="1657" spans="1:22" ht="14.65" customHeight="1" x14ac:dyDescent="0.2">
      <c r="A1657" s="225">
        <v>43691</v>
      </c>
      <c r="B1657" s="224" t="s">
        <v>760</v>
      </c>
      <c r="C1657" s="224" t="s">
        <v>557</v>
      </c>
      <c r="D1657" s="224" t="s">
        <v>558</v>
      </c>
      <c r="E1657" s="226"/>
      <c r="G1657" s="224" t="s">
        <v>1</v>
      </c>
      <c r="H1657" s="224" t="s">
        <v>289</v>
      </c>
      <c r="I1657" s="224" t="s">
        <v>15</v>
      </c>
      <c r="J1657" s="224">
        <v>70</v>
      </c>
      <c r="K1657" s="227">
        <f t="array" ref="K1657">IFERROR(INDEX([1]Grille_Tarifs_Modulable!$B$2:$B$204,MATCH(Tableau14[[#This Row],[Designation]]&amp;Tableau14[[#This Row],[CL]],[1]Grille_Tarifs_Modulable!$C$2:$C$204&amp;[1]Grille_Tarifs_Modulable!$F$2:$F$204,0)),0)</f>
        <v>4067700013859</v>
      </c>
      <c r="L1657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12.532563499999998</v>
      </c>
      <c r="M1657" s="228">
        <f>IF(Tableau14[[#This Row],[Prix_Unit_HT]]=0,0,Tableau14[[#This Row],[Prix_Unit_HT]]+(Tableau14[[#This Row],[Prix_Unit_HT]]*VLOOKUP(Tableau14[[#This Row],[EAN]],[1]Grille_Tarifs_Modulable!$B$10:$Q$204,16,FALSE)))</f>
        <v>15.039076199999998</v>
      </c>
      <c r="N1657" s="224">
        <v>480</v>
      </c>
      <c r="O1657" s="228">
        <f>ROUND(Tableau14[[#This Row],[Prix_Unit_HT]],2)*Tableau14[[#This Row],[Qte_commande]]</f>
        <v>6014.4</v>
      </c>
      <c r="P1657" s="228">
        <f>ROUND(Tableau14[[#This Row],[Prix_Unit_TTC]],2)*Tableau14[[#This Row],[Qte_commande]]</f>
        <v>7219.2</v>
      </c>
      <c r="Q1657" s="224">
        <v>480</v>
      </c>
      <c r="R1657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480.00000000000006</v>
      </c>
      <c r="U1657" s="224"/>
      <c r="V1657" s="224"/>
    </row>
    <row r="1658" spans="1:22" ht="14.65" customHeight="1" x14ac:dyDescent="0.2">
      <c r="A1658" s="225">
        <v>43696</v>
      </c>
      <c r="B1658" s="224" t="s">
        <v>1292</v>
      </c>
      <c r="C1658" s="224" t="s">
        <v>305</v>
      </c>
      <c r="D1658" s="224" t="s">
        <v>180</v>
      </c>
      <c r="E1658" s="226"/>
      <c r="G1658" s="224" t="s">
        <v>13</v>
      </c>
      <c r="H1658" s="224" t="s">
        <v>451</v>
      </c>
      <c r="I1658" s="224" t="s">
        <v>71</v>
      </c>
      <c r="J1658" s="227">
        <v>1</v>
      </c>
      <c r="K1658" s="227">
        <f t="array" ref="K1658">IFERROR(INDEX([1]Grille_Tarifs_Modulable!$B$2:$B$204,MATCH(Tableau14[[#This Row],[Designation]]&amp;Tableau14[[#This Row],[CL]],[1]Grille_Tarifs_Modulable!$C$2:$C$204&amp;[1]Grille_Tarifs_Modulable!$F$2:$F$204,0)),0)</f>
        <v>122</v>
      </c>
      <c r="L1658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299</v>
      </c>
      <c r="M1658" s="228">
        <f>IF(Tableau14[[#This Row],[Prix_Unit_HT]]=0,0,Tableau14[[#This Row],[Prix_Unit_HT]]+(Tableau14[[#This Row],[Prix_Unit_HT]]*VLOOKUP(Tableau14[[#This Row],[EAN]],[1]Grille_Tarifs_Modulable!$B$10:$Q$204,16,FALSE)))</f>
        <v>358.8</v>
      </c>
      <c r="N1658" s="224">
        <v>1</v>
      </c>
      <c r="O1658" s="228">
        <f>ROUND(Tableau14[[#This Row],[Prix_Unit_HT]],2)*Tableau14[[#This Row],[Qte_commande]]</f>
        <v>299</v>
      </c>
      <c r="P1658" s="228">
        <f>ROUND(Tableau14[[#This Row],[Prix_Unit_TTC]],2)*Tableau14[[#This Row],[Qte_commande]]</f>
        <v>358.8</v>
      </c>
      <c r="Q1658" s="224">
        <v>1</v>
      </c>
      <c r="R1658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</v>
      </c>
      <c r="U1658" s="224"/>
      <c r="V1658" s="224"/>
    </row>
    <row r="1659" spans="1:22" ht="14.65" customHeight="1" x14ac:dyDescent="0.2">
      <c r="A1659" s="225">
        <v>43697</v>
      </c>
      <c r="B1659" s="224" t="s">
        <v>342</v>
      </c>
      <c r="C1659" s="224" t="s">
        <v>194</v>
      </c>
      <c r="D1659" s="224" t="s">
        <v>343</v>
      </c>
      <c r="E1659" s="226"/>
      <c r="G1659" s="224" t="s">
        <v>1</v>
      </c>
      <c r="H1659" s="224" t="s">
        <v>289</v>
      </c>
      <c r="I1659" s="224" t="s">
        <v>22</v>
      </c>
      <c r="J1659" s="224">
        <v>70</v>
      </c>
      <c r="K1659" s="227">
        <f t="array" ref="K1659">IFERROR(INDEX([1]Grille_Tarifs_Modulable!$B$2:$B$204,MATCH(Tableau14[[#This Row],[Designation]]&amp;Tableau14[[#This Row],[CL]],[1]Grille_Tarifs_Modulable!$C$2:$C$204&amp;[1]Grille_Tarifs_Modulable!$F$2:$F$204,0)),0)</f>
        <v>4055800060200</v>
      </c>
      <c r="L1659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17.408644000000002</v>
      </c>
      <c r="M1659" s="228">
        <f>IF(Tableau14[[#This Row],[Prix_Unit_HT]]=0,0,Tableau14[[#This Row],[Prix_Unit_HT]]+(Tableau14[[#This Row],[Prix_Unit_HT]]*VLOOKUP(Tableau14[[#This Row],[EAN]],[1]Grille_Tarifs_Modulable!$B$10:$Q$204,16,FALSE)))</f>
        <v>20.890372800000002</v>
      </c>
      <c r="N1659" s="224">
        <v>12</v>
      </c>
      <c r="O1659" s="228">
        <f>ROUND(Tableau14[[#This Row],[Prix_Unit_HT]],2)*Tableau14[[#This Row],[Qte_commande]]</f>
        <v>208.92000000000002</v>
      </c>
      <c r="P1659" s="228">
        <f>ROUND(Tableau14[[#This Row],[Prix_Unit_TTC]],2)*Tableau14[[#This Row],[Qte_commande]]</f>
        <v>250.68</v>
      </c>
      <c r="Q1659" s="224">
        <v>12</v>
      </c>
      <c r="R1659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12.000000000000002</v>
      </c>
      <c r="U1659" s="224"/>
      <c r="V1659" s="224"/>
    </row>
    <row r="1660" spans="1:22" ht="14.65" customHeight="1" x14ac:dyDescent="0.2">
      <c r="A1660" s="225">
        <v>43697</v>
      </c>
      <c r="B1660" s="224" t="s">
        <v>342</v>
      </c>
      <c r="C1660" s="224" t="s">
        <v>194</v>
      </c>
      <c r="D1660" s="224" t="s">
        <v>343</v>
      </c>
      <c r="E1660" s="226"/>
      <c r="G1660" s="224" t="s">
        <v>1</v>
      </c>
      <c r="H1660" s="224" t="s">
        <v>289</v>
      </c>
      <c r="I1660" s="224" t="s">
        <v>15</v>
      </c>
      <c r="J1660" s="224">
        <v>175</v>
      </c>
      <c r="K1660" s="227">
        <f t="array" ref="K1660">IFERROR(INDEX([1]Grille_Tarifs_Modulable!$B$2:$B$204,MATCH(Tableau14[[#This Row],[Designation]]&amp;Tableau14[[#This Row],[CL]],[1]Grille_Tarifs_Modulable!$C$2:$C$204&amp;[1]Grille_Tarifs_Modulable!$F$2:$F$204,0)),0)</f>
        <v>4067700013835</v>
      </c>
      <c r="L1660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28.916408750000002</v>
      </c>
      <c r="M1660" s="228">
        <f>IF(Tableau14[[#This Row],[Prix_Unit_HT]]=0,0,Tableau14[[#This Row],[Prix_Unit_HT]]+(Tableau14[[#This Row],[Prix_Unit_HT]]*VLOOKUP(Tableau14[[#This Row],[EAN]],[1]Grille_Tarifs_Modulable!$B$10:$Q$204,16,FALSE)))</f>
        <v>34.699690500000003</v>
      </c>
      <c r="N1660" s="224">
        <v>96</v>
      </c>
      <c r="O1660" s="228">
        <f>ROUND(Tableau14[[#This Row],[Prix_Unit_HT]],2)*Tableau14[[#This Row],[Qte_commande]]</f>
        <v>2776.32</v>
      </c>
      <c r="P1660" s="228">
        <f>ROUND(Tableau14[[#This Row],[Prix_Unit_TTC]],2)*Tableau14[[#This Row],[Qte_commande]]</f>
        <v>3331.2000000000003</v>
      </c>
      <c r="Q1660" s="224">
        <v>240</v>
      </c>
      <c r="R1660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240.00000000000003</v>
      </c>
      <c r="U1660" s="224"/>
      <c r="V1660" s="224"/>
    </row>
    <row r="1661" spans="1:22" ht="14.65" customHeight="1" x14ac:dyDescent="0.2">
      <c r="A1661" s="225">
        <v>43700</v>
      </c>
      <c r="B1661" s="224" t="s">
        <v>761</v>
      </c>
      <c r="C1661" s="224" t="s">
        <v>737</v>
      </c>
      <c r="D1661" s="224" t="s">
        <v>209</v>
      </c>
      <c r="E1661" s="226"/>
      <c r="G1661" s="224" t="s">
        <v>1</v>
      </c>
      <c r="H1661" s="224" t="s">
        <v>289</v>
      </c>
      <c r="I1661" s="224" t="s">
        <v>15</v>
      </c>
      <c r="J1661" s="224">
        <v>70</v>
      </c>
      <c r="K1661" s="227">
        <f t="array" ref="K1661">IFERROR(INDEX([1]Grille_Tarifs_Modulable!$B$2:$B$204,MATCH(Tableau14[[#This Row],[Designation]]&amp;Tableau14[[#This Row],[CL]],[1]Grille_Tarifs_Modulable!$C$2:$C$204&amp;[1]Grille_Tarifs_Modulable!$F$2:$F$204,0)),0)</f>
        <v>4067700013859</v>
      </c>
      <c r="L1661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12.532563499999998</v>
      </c>
      <c r="M1661" s="228">
        <f>IF(Tableau14[[#This Row],[Prix_Unit_HT]]=0,0,Tableau14[[#This Row],[Prix_Unit_HT]]+(Tableau14[[#This Row],[Prix_Unit_HT]]*VLOOKUP(Tableau14[[#This Row],[EAN]],[1]Grille_Tarifs_Modulable!$B$10:$Q$204,16,FALSE)))</f>
        <v>15.039076199999998</v>
      </c>
      <c r="N1661" s="224">
        <v>180</v>
      </c>
      <c r="O1661" s="228">
        <f>ROUND(Tableau14[[#This Row],[Prix_Unit_HT]],2)*Tableau14[[#This Row],[Qte_commande]]</f>
        <v>2255.4</v>
      </c>
      <c r="P1661" s="228">
        <f>ROUND(Tableau14[[#This Row],[Prix_Unit_TTC]],2)*Tableau14[[#This Row],[Qte_commande]]</f>
        <v>2707.2</v>
      </c>
      <c r="Q1661" s="224">
        <v>180</v>
      </c>
      <c r="R1661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180</v>
      </c>
      <c r="U1661" s="224"/>
      <c r="V1661" s="224"/>
    </row>
    <row r="1662" spans="1:22" ht="14.65" customHeight="1" x14ac:dyDescent="0.2">
      <c r="A1662" s="225">
        <v>43700</v>
      </c>
      <c r="B1662" s="224" t="s">
        <v>761</v>
      </c>
      <c r="C1662" s="224" t="s">
        <v>737</v>
      </c>
      <c r="D1662" s="224" t="s">
        <v>209</v>
      </c>
      <c r="E1662" s="226"/>
      <c r="G1662" s="224" t="s">
        <v>1</v>
      </c>
      <c r="H1662" s="224" t="s">
        <v>289</v>
      </c>
      <c r="I1662" s="224" t="s">
        <v>30</v>
      </c>
      <c r="J1662" s="224">
        <v>70</v>
      </c>
      <c r="K1662" s="227">
        <f t="array" ref="K1662">IFERROR(INDEX([1]Grille_Tarifs_Modulable!$B$2:$B$204,MATCH(Tableau14[[#This Row],[Designation]]&amp;Tableau14[[#This Row],[CL]],[1]Grille_Tarifs_Modulable!$C$2:$C$204&amp;[1]Grille_Tarifs_Modulable!$F$2:$F$204,0)),0)</f>
        <v>3257150101904</v>
      </c>
      <c r="L1662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16.346482999999999</v>
      </c>
      <c r="M1662" s="228">
        <f>IF(Tableau14[[#This Row],[Prix_Unit_HT]]=0,0,Tableau14[[#This Row],[Prix_Unit_HT]]+(Tableau14[[#This Row],[Prix_Unit_HT]]*VLOOKUP(Tableau14[[#This Row],[EAN]],[1]Grille_Tarifs_Modulable!$B$10:$Q$204,16,FALSE)))</f>
        <v>19.6157796</v>
      </c>
      <c r="N1662" s="224">
        <v>18</v>
      </c>
      <c r="O1662" s="228">
        <f>ROUND(Tableau14[[#This Row],[Prix_Unit_HT]],2)*Tableau14[[#This Row],[Qte_commande]]</f>
        <v>294.3</v>
      </c>
      <c r="P1662" s="228">
        <f>ROUND(Tableau14[[#This Row],[Prix_Unit_TTC]],2)*Tableau14[[#This Row],[Qte_commande]]</f>
        <v>353.16</v>
      </c>
      <c r="Q1662" s="224">
        <v>18</v>
      </c>
      <c r="R1662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18</v>
      </c>
      <c r="U1662" s="224"/>
      <c r="V1662" s="224"/>
    </row>
    <row r="1663" spans="1:22" ht="14.65" customHeight="1" x14ac:dyDescent="0.2">
      <c r="A1663" s="225">
        <v>43703</v>
      </c>
      <c r="B1663" s="224" t="s">
        <v>1293</v>
      </c>
      <c r="C1663" s="224" t="s">
        <v>380</v>
      </c>
      <c r="D1663" s="224" t="s">
        <v>381</v>
      </c>
      <c r="E1663" s="226"/>
      <c r="G1663" s="224" t="s">
        <v>13</v>
      </c>
      <c r="H1663" s="224" t="s">
        <v>451</v>
      </c>
      <c r="I1663" s="224" t="s">
        <v>71</v>
      </c>
      <c r="J1663" s="227">
        <v>1</v>
      </c>
      <c r="K1663" s="227">
        <f t="array" ref="K1663">IFERROR(INDEX([1]Grille_Tarifs_Modulable!$B$2:$B$204,MATCH(Tableau14[[#This Row],[Designation]]&amp;Tableau14[[#This Row],[CL]],[1]Grille_Tarifs_Modulable!$C$2:$C$204&amp;[1]Grille_Tarifs_Modulable!$F$2:$F$204,0)),0)</f>
        <v>122</v>
      </c>
      <c r="L1663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299</v>
      </c>
      <c r="M1663" s="228">
        <f>IF(Tableau14[[#This Row],[Prix_Unit_HT]]=0,0,Tableau14[[#This Row],[Prix_Unit_HT]]+(Tableau14[[#This Row],[Prix_Unit_HT]]*VLOOKUP(Tableau14[[#This Row],[EAN]],[1]Grille_Tarifs_Modulable!$B$10:$Q$204,16,FALSE)))</f>
        <v>358.8</v>
      </c>
      <c r="N1663" s="224">
        <v>1</v>
      </c>
      <c r="O1663" s="228">
        <f>ROUND(Tableau14[[#This Row],[Prix_Unit_HT]],2)*Tableau14[[#This Row],[Qte_commande]]</f>
        <v>299</v>
      </c>
      <c r="P1663" s="228">
        <f>ROUND(Tableau14[[#This Row],[Prix_Unit_TTC]],2)*Tableau14[[#This Row],[Qte_commande]]</f>
        <v>358.8</v>
      </c>
      <c r="Q1663" s="224">
        <v>1</v>
      </c>
      <c r="R1663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</v>
      </c>
      <c r="U1663" s="224"/>
      <c r="V1663" s="224"/>
    </row>
    <row r="1664" spans="1:22" ht="14.65" customHeight="1" x14ac:dyDescent="0.2">
      <c r="A1664" s="225">
        <v>43703</v>
      </c>
      <c r="B1664" s="224" t="s">
        <v>1294</v>
      </c>
      <c r="C1664" s="224" t="s">
        <v>1295</v>
      </c>
      <c r="D1664" s="224" t="s">
        <v>381</v>
      </c>
      <c r="E1664" s="226"/>
      <c r="G1664" s="224" t="s">
        <v>13</v>
      </c>
      <c r="H1664" s="224" t="s">
        <v>451</v>
      </c>
      <c r="I1664" s="224" t="s">
        <v>71</v>
      </c>
      <c r="J1664" s="227">
        <v>1</v>
      </c>
      <c r="K1664" s="227">
        <f t="array" ref="K1664">IFERROR(INDEX([1]Grille_Tarifs_Modulable!$B$2:$B$204,MATCH(Tableau14[[#This Row],[Designation]]&amp;Tableau14[[#This Row],[CL]],[1]Grille_Tarifs_Modulable!$C$2:$C$204&amp;[1]Grille_Tarifs_Modulable!$F$2:$F$204,0)),0)</f>
        <v>122</v>
      </c>
      <c r="L1664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299</v>
      </c>
      <c r="M1664" s="228">
        <f>IF(Tableau14[[#This Row],[Prix_Unit_HT]]=0,0,Tableau14[[#This Row],[Prix_Unit_HT]]+(Tableau14[[#This Row],[Prix_Unit_HT]]*VLOOKUP(Tableau14[[#This Row],[EAN]],[1]Grille_Tarifs_Modulable!$B$10:$Q$204,16,FALSE)))</f>
        <v>358.8</v>
      </c>
      <c r="N1664" s="224">
        <v>1</v>
      </c>
      <c r="O1664" s="228">
        <f>ROUND(Tableau14[[#This Row],[Prix_Unit_HT]],2)*Tableau14[[#This Row],[Qte_commande]]</f>
        <v>299</v>
      </c>
      <c r="P1664" s="228">
        <f>ROUND(Tableau14[[#This Row],[Prix_Unit_TTC]],2)*Tableau14[[#This Row],[Qte_commande]]</f>
        <v>358.8</v>
      </c>
      <c r="Q1664" s="224">
        <v>1</v>
      </c>
      <c r="R1664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</v>
      </c>
      <c r="U1664" s="224"/>
      <c r="V1664" s="224"/>
    </row>
    <row r="1665" spans="1:22" ht="14.65" customHeight="1" x14ac:dyDescent="0.2">
      <c r="A1665" s="225">
        <v>43710</v>
      </c>
      <c r="B1665" s="224" t="s">
        <v>344</v>
      </c>
      <c r="C1665" s="224" t="s">
        <v>198</v>
      </c>
      <c r="D1665" s="224" t="s">
        <v>199</v>
      </c>
      <c r="E1665" s="226"/>
      <c r="G1665" s="224" t="s">
        <v>1</v>
      </c>
      <c r="H1665" s="224" t="s">
        <v>289</v>
      </c>
      <c r="I1665" s="224" t="s">
        <v>22</v>
      </c>
      <c r="J1665" s="224">
        <v>70</v>
      </c>
      <c r="K1665" s="227">
        <f t="array" ref="K1665">IFERROR(INDEX([1]Grille_Tarifs_Modulable!$B$2:$B$204,MATCH(Tableau14[[#This Row],[Designation]]&amp;Tableau14[[#This Row],[CL]],[1]Grille_Tarifs_Modulable!$C$2:$C$204&amp;[1]Grille_Tarifs_Modulable!$F$2:$F$204,0)),0)</f>
        <v>4055800060200</v>
      </c>
      <c r="L1665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17.408644000000002</v>
      </c>
      <c r="M1665" s="228">
        <f>IF(Tableau14[[#This Row],[Prix_Unit_HT]]=0,0,Tableau14[[#This Row],[Prix_Unit_HT]]+(Tableau14[[#This Row],[Prix_Unit_HT]]*VLOOKUP(Tableau14[[#This Row],[EAN]],[1]Grille_Tarifs_Modulable!$B$10:$Q$204,16,FALSE)))</f>
        <v>20.890372800000002</v>
      </c>
      <c r="N1665" s="224">
        <v>24</v>
      </c>
      <c r="O1665" s="228">
        <f>ROUND(Tableau14[[#This Row],[Prix_Unit_HT]],2)*Tableau14[[#This Row],[Qte_commande]]</f>
        <v>417.84000000000003</v>
      </c>
      <c r="P1665" s="228">
        <f>ROUND(Tableau14[[#This Row],[Prix_Unit_TTC]],2)*Tableau14[[#This Row],[Qte_commande]]</f>
        <v>501.36</v>
      </c>
      <c r="Q1665" s="224">
        <v>24</v>
      </c>
      <c r="R1665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24.000000000000004</v>
      </c>
      <c r="U1665" s="224"/>
      <c r="V1665" s="224"/>
    </row>
    <row r="1666" spans="1:22" ht="14.65" customHeight="1" x14ac:dyDescent="0.2">
      <c r="A1666" s="225">
        <v>43710</v>
      </c>
      <c r="B1666" s="224" t="s">
        <v>344</v>
      </c>
      <c r="C1666" s="224" t="s">
        <v>198</v>
      </c>
      <c r="D1666" s="224" t="s">
        <v>199</v>
      </c>
      <c r="E1666" s="226"/>
      <c r="G1666" s="224" t="s">
        <v>1</v>
      </c>
      <c r="H1666" s="224" t="s">
        <v>289</v>
      </c>
      <c r="I1666" s="224" t="s">
        <v>15</v>
      </c>
      <c r="J1666" s="224">
        <v>175</v>
      </c>
      <c r="K1666" s="227">
        <f t="array" ref="K1666">IFERROR(INDEX([1]Grille_Tarifs_Modulable!$B$2:$B$204,MATCH(Tableau14[[#This Row],[Designation]]&amp;Tableau14[[#This Row],[CL]],[1]Grille_Tarifs_Modulable!$C$2:$C$204&amp;[1]Grille_Tarifs_Modulable!$F$2:$F$204,0)),0)</f>
        <v>4067700013835</v>
      </c>
      <c r="L1666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28.916408750000002</v>
      </c>
      <c r="M1666" s="228">
        <f>IF(Tableau14[[#This Row],[Prix_Unit_HT]]=0,0,Tableau14[[#This Row],[Prix_Unit_HT]]+(Tableau14[[#This Row],[Prix_Unit_HT]]*VLOOKUP(Tableau14[[#This Row],[EAN]],[1]Grille_Tarifs_Modulable!$B$10:$Q$204,16,FALSE)))</f>
        <v>34.699690500000003</v>
      </c>
      <c r="N1666" s="224">
        <v>48</v>
      </c>
      <c r="O1666" s="228">
        <f>ROUND(Tableau14[[#This Row],[Prix_Unit_HT]],2)*Tableau14[[#This Row],[Qte_commande]]</f>
        <v>1388.16</v>
      </c>
      <c r="P1666" s="228">
        <f>ROUND(Tableau14[[#This Row],[Prix_Unit_TTC]],2)*Tableau14[[#This Row],[Qte_commande]]</f>
        <v>1665.6000000000001</v>
      </c>
      <c r="Q1666" s="224">
        <v>120</v>
      </c>
      <c r="R1666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120.00000000000001</v>
      </c>
      <c r="U1666" s="224"/>
      <c r="V1666" s="224"/>
    </row>
    <row r="1667" spans="1:22" ht="14.65" customHeight="1" x14ac:dyDescent="0.2">
      <c r="A1667" s="225">
        <v>43710</v>
      </c>
      <c r="B1667" s="224" t="s">
        <v>344</v>
      </c>
      <c r="C1667" s="224" t="s">
        <v>198</v>
      </c>
      <c r="D1667" s="224" t="s">
        <v>199</v>
      </c>
      <c r="E1667" s="226"/>
      <c r="G1667" s="224" t="s">
        <v>1</v>
      </c>
      <c r="H1667" s="224" t="s">
        <v>289</v>
      </c>
      <c r="I1667" s="224" t="s">
        <v>36</v>
      </c>
      <c r="J1667" s="224">
        <v>70</v>
      </c>
      <c r="K1667" s="227">
        <f t="array" ref="K1667">IFERROR(INDEX([1]Grille_Tarifs_Modulable!$B$2:$B$204,MATCH(Tableau14[[#This Row],[Designation]]&amp;Tableau14[[#This Row],[CL]],[1]Grille_Tarifs_Modulable!$C$2:$C$204&amp;[1]Grille_Tarifs_Modulable!$F$2:$F$204,0)),0)</f>
        <v>3257150100792</v>
      </c>
      <c r="L1667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71.40864400000001</v>
      </c>
      <c r="M1667" s="228">
        <f>IF(Tableau14[[#This Row],[Prix_Unit_HT]]=0,0,Tableau14[[#This Row],[Prix_Unit_HT]]+(Tableau14[[#This Row],[Prix_Unit_HT]]*VLOOKUP(Tableau14[[#This Row],[EAN]],[1]Grille_Tarifs_Modulable!$B$10:$Q$204,16,FALSE)))</f>
        <v>85.690372800000006</v>
      </c>
      <c r="N1667" s="224">
        <v>2</v>
      </c>
      <c r="O1667" s="228">
        <f>ROUND(Tableau14[[#This Row],[Prix_Unit_HT]],2)*Tableau14[[#This Row],[Qte_commande]]</f>
        <v>142.82</v>
      </c>
      <c r="P1667" s="228">
        <f>ROUND(Tableau14[[#This Row],[Prix_Unit_TTC]],2)*Tableau14[[#This Row],[Qte_commande]]</f>
        <v>171.38</v>
      </c>
      <c r="Q1667" s="224">
        <v>2</v>
      </c>
      <c r="R1667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2</v>
      </c>
      <c r="U1667" s="224"/>
      <c r="V1667" s="224"/>
    </row>
    <row r="1668" spans="1:22" ht="14.65" customHeight="1" x14ac:dyDescent="0.2">
      <c r="A1668" s="225">
        <v>43710</v>
      </c>
      <c r="B1668" s="224" t="s">
        <v>344</v>
      </c>
      <c r="C1668" s="224" t="s">
        <v>198</v>
      </c>
      <c r="D1668" s="224" t="s">
        <v>199</v>
      </c>
      <c r="E1668" s="226"/>
      <c r="G1668" s="224" t="s">
        <v>1</v>
      </c>
      <c r="H1668" s="224" t="s">
        <v>289</v>
      </c>
      <c r="I1668" s="224" t="s">
        <v>44</v>
      </c>
      <c r="J1668" s="224">
        <v>50</v>
      </c>
      <c r="K1668" s="227">
        <f t="array" ref="K1668">IFERROR(INDEX([1]Grille_Tarifs_Modulable!$B$2:$B$204,MATCH(Tableau14[[#This Row],[Designation]]&amp;Tableau14[[#This Row],[CL]],[1]Grille_Tarifs_Modulable!$C$2:$C$204&amp;[1]Grille_Tarifs_Modulable!$F$2:$F$204,0)),0)</f>
        <v>4260270192645</v>
      </c>
      <c r="L1668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25.192506000000002</v>
      </c>
      <c r="M1668" s="228">
        <f>IF(Tableau14[[#This Row],[Prix_Unit_HT]]=0,0,Tableau14[[#This Row],[Prix_Unit_HT]]+(Tableau14[[#This Row],[Prix_Unit_HT]]*VLOOKUP(Tableau14[[#This Row],[EAN]],[1]Grille_Tarifs_Modulable!$B$10:$Q$204,16,FALSE)))</f>
        <v>30.231007200000001</v>
      </c>
      <c r="N1668" s="224">
        <v>12</v>
      </c>
      <c r="O1668" s="228">
        <f>ROUND(Tableau14[[#This Row],[Prix_Unit_HT]],2)*Tableau14[[#This Row],[Qte_commande]]</f>
        <v>302.28000000000003</v>
      </c>
      <c r="P1668" s="228">
        <f>ROUND(Tableau14[[#This Row],[Prix_Unit_TTC]],2)*Tableau14[[#This Row],[Qte_commande]]</f>
        <v>362.76</v>
      </c>
      <c r="Q1668" s="224">
        <v>8.57</v>
      </c>
      <c r="R1668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8.5714285714285712</v>
      </c>
      <c r="U1668" s="224"/>
      <c r="V1668" s="224"/>
    </row>
    <row r="1669" spans="1:22" ht="14.65" customHeight="1" x14ac:dyDescent="0.2">
      <c r="A1669" s="225">
        <v>43711</v>
      </c>
      <c r="B1669" s="224" t="s">
        <v>345</v>
      </c>
      <c r="C1669" s="224" t="s">
        <v>308</v>
      </c>
      <c r="D1669" s="224" t="s">
        <v>309</v>
      </c>
      <c r="E1669" s="226"/>
      <c r="G1669" s="224" t="s">
        <v>1</v>
      </c>
      <c r="H1669" s="224" t="s">
        <v>289</v>
      </c>
      <c r="I1669" s="224" t="s">
        <v>22</v>
      </c>
      <c r="J1669" s="224">
        <v>70</v>
      </c>
      <c r="K1669" s="227">
        <f t="array" ref="K1669">IFERROR(INDEX([1]Grille_Tarifs_Modulable!$B$2:$B$204,MATCH(Tableau14[[#This Row],[Designation]]&amp;Tableau14[[#This Row],[CL]],[1]Grille_Tarifs_Modulable!$C$2:$C$204&amp;[1]Grille_Tarifs_Modulable!$F$2:$F$204,0)),0)</f>
        <v>4055800060200</v>
      </c>
      <c r="L1669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17.408644000000002</v>
      </c>
      <c r="M1669" s="228">
        <f>IF(Tableau14[[#This Row],[Prix_Unit_HT]]=0,0,Tableau14[[#This Row],[Prix_Unit_HT]]+(Tableau14[[#This Row],[Prix_Unit_HT]]*VLOOKUP(Tableau14[[#This Row],[EAN]],[1]Grille_Tarifs_Modulable!$B$10:$Q$204,16,FALSE)))</f>
        <v>20.890372800000002</v>
      </c>
      <c r="N1669" s="224">
        <v>6</v>
      </c>
      <c r="O1669" s="228">
        <f>ROUND(Tableau14[[#This Row],[Prix_Unit_HT]],2)*Tableau14[[#This Row],[Qte_commande]]</f>
        <v>104.46000000000001</v>
      </c>
      <c r="P1669" s="228">
        <f>ROUND(Tableau14[[#This Row],[Prix_Unit_TTC]],2)*Tableau14[[#This Row],[Qte_commande]]</f>
        <v>125.34</v>
      </c>
      <c r="Q1669" s="224">
        <v>6</v>
      </c>
      <c r="R1669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6.0000000000000009</v>
      </c>
      <c r="U1669" s="224"/>
      <c r="V1669" s="224"/>
    </row>
    <row r="1670" spans="1:22" ht="14.65" customHeight="1" x14ac:dyDescent="0.2">
      <c r="A1670" s="225">
        <v>43711</v>
      </c>
      <c r="B1670" s="224" t="s">
        <v>427</v>
      </c>
      <c r="C1670" s="224" t="s">
        <v>393</v>
      </c>
      <c r="D1670" s="224" t="s">
        <v>270</v>
      </c>
      <c r="E1670" s="226"/>
      <c r="G1670" s="224" t="s">
        <v>13</v>
      </c>
      <c r="H1670" s="224" t="s">
        <v>289</v>
      </c>
      <c r="I1670" s="224" t="s">
        <v>35</v>
      </c>
      <c r="J1670" s="224">
        <v>70</v>
      </c>
      <c r="K1670" s="227">
        <f t="array" ref="K1670">IFERROR(INDEX([1]Grille_Tarifs_Modulable!$B$2:$B$204,MATCH(Tableau14[[#This Row],[Designation]]&amp;Tableau14[[#This Row],[CL]],[1]Grille_Tarifs_Modulable!$C$2:$C$204&amp;[1]Grille_Tarifs_Modulable!$F$2:$F$204,0)),0)</f>
        <v>3257150107012</v>
      </c>
      <c r="L1670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32.408644000000002</v>
      </c>
      <c r="M1670" s="228">
        <f>IF(Tableau14[[#This Row],[Prix_Unit_HT]]=0,0,Tableau14[[#This Row],[Prix_Unit_HT]]+(Tableau14[[#This Row],[Prix_Unit_HT]]*VLOOKUP(Tableau14[[#This Row],[EAN]],[1]Grille_Tarifs_Modulable!$B$10:$Q$204,16,FALSE)))</f>
        <v>38.890372800000002</v>
      </c>
      <c r="N1670" s="224">
        <v>6</v>
      </c>
      <c r="O1670" s="228">
        <f>ROUND(Tableau14[[#This Row],[Prix_Unit_HT]],2)*Tableau14[[#This Row],[Qte_commande]]</f>
        <v>194.45999999999998</v>
      </c>
      <c r="P1670" s="228">
        <f>ROUND(Tableau14[[#This Row],[Prix_Unit_TTC]],2)*Tableau14[[#This Row],[Qte_commande]]</f>
        <v>233.34</v>
      </c>
      <c r="Q1670" s="224">
        <v>6</v>
      </c>
      <c r="R1670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6.0000000000000009</v>
      </c>
      <c r="U1670" s="224"/>
      <c r="V1670" s="224"/>
    </row>
    <row r="1671" spans="1:22" ht="14.65" customHeight="1" x14ac:dyDescent="0.2">
      <c r="A1671" s="225">
        <v>43711</v>
      </c>
      <c r="B1671" s="224" t="s">
        <v>345</v>
      </c>
      <c r="C1671" s="224" t="s">
        <v>308</v>
      </c>
      <c r="D1671" s="224" t="s">
        <v>309</v>
      </c>
      <c r="E1671" s="226"/>
      <c r="G1671" s="224" t="s">
        <v>1</v>
      </c>
      <c r="H1671" s="224" t="s">
        <v>289</v>
      </c>
      <c r="I1671" s="224" t="s">
        <v>15</v>
      </c>
      <c r="J1671" s="224">
        <v>100</v>
      </c>
      <c r="K1671" s="227">
        <f t="array" ref="K1671">IFERROR(INDEX([1]Grille_Tarifs_Modulable!$B$2:$B$204,MATCH(Tableau14[[#This Row],[Designation]]&amp;Tableau14[[#This Row],[CL]],[1]Grille_Tarifs_Modulable!$C$2:$C$204&amp;[1]Grille_Tarifs_Modulable!$F$2:$F$204,0)),0)</f>
        <v>4067700013842</v>
      </c>
      <c r="L1671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17.100804999999998</v>
      </c>
      <c r="M1671" s="228">
        <f>IF(Tableau14[[#This Row],[Prix_Unit_HT]]=0,0,Tableau14[[#This Row],[Prix_Unit_HT]]+(Tableau14[[#This Row],[Prix_Unit_HT]]*VLOOKUP(Tableau14[[#This Row],[EAN]],[1]Grille_Tarifs_Modulable!$B$10:$Q$204,16,FALSE)))</f>
        <v>20.520965999999998</v>
      </c>
      <c r="N1671" s="224">
        <v>306</v>
      </c>
      <c r="O1671" s="228">
        <f>ROUND(Tableau14[[#This Row],[Prix_Unit_HT]],2)*Tableau14[[#This Row],[Qte_commande]]</f>
        <v>5232.6000000000004</v>
      </c>
      <c r="P1671" s="228">
        <f>ROUND(Tableau14[[#This Row],[Prix_Unit_TTC]],2)*Tableau14[[#This Row],[Qte_commande]]</f>
        <v>6279.12</v>
      </c>
      <c r="Q1671" s="224">
        <v>437.14</v>
      </c>
      <c r="R1671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437.14285714285717</v>
      </c>
      <c r="U1671" s="224"/>
      <c r="V1671" s="224"/>
    </row>
    <row r="1672" spans="1:22" ht="14.65" customHeight="1" x14ac:dyDescent="0.2">
      <c r="A1672" s="225">
        <v>43711</v>
      </c>
      <c r="B1672" s="224" t="s">
        <v>427</v>
      </c>
      <c r="C1672" s="224" t="s">
        <v>393</v>
      </c>
      <c r="D1672" s="224" t="s">
        <v>270</v>
      </c>
      <c r="E1672" s="226"/>
      <c r="G1672" s="224" t="s">
        <v>13</v>
      </c>
      <c r="H1672" s="224" t="s">
        <v>289</v>
      </c>
      <c r="I1672" s="224" t="s">
        <v>30</v>
      </c>
      <c r="J1672" s="224">
        <v>70</v>
      </c>
      <c r="K1672" s="227">
        <f t="array" ref="K1672">IFERROR(INDEX([1]Grille_Tarifs_Modulable!$B$2:$B$204,MATCH(Tableau14[[#This Row],[Designation]]&amp;Tableau14[[#This Row],[CL]],[1]Grille_Tarifs_Modulable!$C$2:$C$204&amp;[1]Grille_Tarifs_Modulable!$F$2:$F$204,0)),0)</f>
        <v>3257150101904</v>
      </c>
      <c r="L1672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18.506483000000003</v>
      </c>
      <c r="M1672" s="228">
        <f>IF(Tableau14[[#This Row],[Prix_Unit_HT]]=0,0,Tableau14[[#This Row],[Prix_Unit_HT]]+(Tableau14[[#This Row],[Prix_Unit_HT]]*VLOOKUP(Tableau14[[#This Row],[EAN]],[1]Grille_Tarifs_Modulable!$B$10:$Q$204,16,FALSE)))</f>
        <v>22.207779600000002</v>
      </c>
      <c r="N1672" s="224">
        <v>3</v>
      </c>
      <c r="O1672" s="228">
        <f>ROUND(Tableau14[[#This Row],[Prix_Unit_HT]],2)*Tableau14[[#This Row],[Qte_commande]]</f>
        <v>55.53</v>
      </c>
      <c r="P1672" s="228">
        <f>ROUND(Tableau14[[#This Row],[Prix_Unit_TTC]],2)*Tableau14[[#This Row],[Qte_commande]]</f>
        <v>66.63</v>
      </c>
      <c r="Q1672" s="224">
        <v>3</v>
      </c>
      <c r="R1672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3.0000000000000004</v>
      </c>
      <c r="U1672" s="224"/>
      <c r="V1672" s="224"/>
    </row>
    <row r="1673" spans="1:22" ht="14.65" customHeight="1" x14ac:dyDescent="0.2">
      <c r="A1673" s="225">
        <v>43711</v>
      </c>
      <c r="B1673" s="224" t="s">
        <v>867</v>
      </c>
      <c r="C1673" s="224" t="s">
        <v>579</v>
      </c>
      <c r="D1673" s="224" t="s">
        <v>580</v>
      </c>
      <c r="E1673" s="226"/>
      <c r="G1673" s="224" t="s">
        <v>13</v>
      </c>
      <c r="H1673" s="224" t="s">
        <v>289</v>
      </c>
      <c r="I1673" s="224" t="s">
        <v>30</v>
      </c>
      <c r="J1673" s="224">
        <v>70</v>
      </c>
      <c r="K1673" s="227">
        <f t="array" ref="K1673">IFERROR(INDEX([1]Grille_Tarifs_Modulable!$B$2:$B$204,MATCH(Tableau14[[#This Row],[Designation]]&amp;Tableau14[[#This Row],[CL]],[1]Grille_Tarifs_Modulable!$C$2:$C$204&amp;[1]Grille_Tarifs_Modulable!$F$2:$F$204,0)),0)</f>
        <v>3257150101904</v>
      </c>
      <c r="L1673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18.506483000000003</v>
      </c>
      <c r="M1673" s="228">
        <f>IF(Tableau14[[#This Row],[Prix_Unit_HT]]=0,0,Tableau14[[#This Row],[Prix_Unit_HT]]+(Tableau14[[#This Row],[Prix_Unit_HT]]*VLOOKUP(Tableau14[[#This Row],[EAN]],[1]Grille_Tarifs_Modulable!$B$10:$Q$204,16,FALSE)))</f>
        <v>22.207779600000002</v>
      </c>
      <c r="N1673" s="224">
        <v>6</v>
      </c>
      <c r="O1673" s="228">
        <f>ROUND(Tableau14[[#This Row],[Prix_Unit_HT]],2)*Tableau14[[#This Row],[Qte_commande]]</f>
        <v>111.06</v>
      </c>
      <c r="P1673" s="228">
        <f>ROUND(Tableau14[[#This Row],[Prix_Unit_TTC]],2)*Tableau14[[#This Row],[Qte_commande]]</f>
        <v>133.26</v>
      </c>
      <c r="Q1673" s="224">
        <v>6</v>
      </c>
      <c r="R1673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6.0000000000000009</v>
      </c>
      <c r="U1673" s="224"/>
      <c r="V1673" s="224"/>
    </row>
    <row r="1674" spans="1:22" ht="14.65" customHeight="1" x14ac:dyDescent="0.2">
      <c r="A1674" s="225">
        <v>43711</v>
      </c>
      <c r="B1674" s="224" t="s">
        <v>871</v>
      </c>
      <c r="C1674" s="224" t="s">
        <v>211</v>
      </c>
      <c r="D1674" s="224" t="s">
        <v>212</v>
      </c>
      <c r="E1674" s="226"/>
      <c r="G1674" s="224" t="s">
        <v>1</v>
      </c>
      <c r="H1674" s="224" t="s">
        <v>289</v>
      </c>
      <c r="I1674" s="224" t="s">
        <v>32</v>
      </c>
      <c r="J1674" s="224">
        <v>70</v>
      </c>
      <c r="K1674" s="227">
        <f t="array" ref="K1674">IFERROR(INDEX([1]Grille_Tarifs_Modulable!$B$2:$B$204,MATCH(Tableau14[[#This Row],[Designation]]&amp;Tableau14[[#This Row],[CL]],[1]Grille_Tarifs_Modulable!$C$2:$C$204&amp;[1]Grille_Tarifs_Modulable!$F$2:$F$204,0)),0)</f>
        <v>3257150100228</v>
      </c>
      <c r="L1674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19.998643999999999</v>
      </c>
      <c r="M1674" s="228">
        <f>IF(Tableau14[[#This Row],[Prix_Unit_HT]]=0,0,Tableau14[[#This Row],[Prix_Unit_HT]]+(Tableau14[[#This Row],[Prix_Unit_HT]]*VLOOKUP(Tableau14[[#This Row],[EAN]],[1]Grille_Tarifs_Modulable!$B$10:$Q$204,16,FALSE)))</f>
        <v>23.998372799999999</v>
      </c>
      <c r="N1674" s="224">
        <v>6</v>
      </c>
      <c r="O1674" s="228">
        <f>ROUND(Tableau14[[#This Row],[Prix_Unit_HT]],2)*Tableau14[[#This Row],[Qte_commande]]</f>
        <v>120</v>
      </c>
      <c r="P1674" s="228">
        <f>ROUND(Tableau14[[#This Row],[Prix_Unit_TTC]],2)*Tableau14[[#This Row],[Qte_commande]]</f>
        <v>144</v>
      </c>
      <c r="Q1674" s="224">
        <v>6</v>
      </c>
      <c r="R1674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6.0000000000000009</v>
      </c>
      <c r="U1674" s="224"/>
      <c r="V1674" s="224"/>
    </row>
    <row r="1675" spans="1:22" ht="14.65" customHeight="1" x14ac:dyDescent="0.2">
      <c r="A1675" s="225">
        <v>43711</v>
      </c>
      <c r="B1675" s="224" t="s">
        <v>427</v>
      </c>
      <c r="C1675" s="224" t="s">
        <v>393</v>
      </c>
      <c r="D1675" s="224" t="s">
        <v>270</v>
      </c>
      <c r="E1675" s="226"/>
      <c r="G1675" s="224" t="s">
        <v>13</v>
      </c>
      <c r="H1675" s="224" t="s">
        <v>289</v>
      </c>
      <c r="I1675" s="224" t="s">
        <v>32</v>
      </c>
      <c r="J1675" s="224">
        <v>70</v>
      </c>
      <c r="K1675" s="227">
        <f t="array" ref="K1675">IFERROR(INDEX([1]Grille_Tarifs_Modulable!$B$2:$B$204,MATCH(Tableau14[[#This Row],[Designation]]&amp;Tableau14[[#This Row],[CL]],[1]Grille_Tarifs_Modulable!$C$2:$C$204&amp;[1]Grille_Tarifs_Modulable!$F$2:$F$204,0)),0)</f>
        <v>3257150100228</v>
      </c>
      <c r="L1675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21.488644000000001</v>
      </c>
      <c r="M1675" s="228">
        <f>IF(Tableau14[[#This Row],[Prix_Unit_HT]]=0,0,Tableau14[[#This Row],[Prix_Unit_HT]]+(Tableau14[[#This Row],[Prix_Unit_HT]]*VLOOKUP(Tableau14[[#This Row],[EAN]],[1]Grille_Tarifs_Modulable!$B$10:$Q$204,16,FALSE)))</f>
        <v>25.786372800000002</v>
      </c>
      <c r="N1675" s="224">
        <v>3</v>
      </c>
      <c r="O1675" s="228">
        <f>ROUND(Tableau14[[#This Row],[Prix_Unit_HT]],2)*Tableau14[[#This Row],[Qte_commande]]</f>
        <v>64.47</v>
      </c>
      <c r="P1675" s="228">
        <f>ROUND(Tableau14[[#This Row],[Prix_Unit_TTC]],2)*Tableau14[[#This Row],[Qte_commande]]</f>
        <v>77.37</v>
      </c>
      <c r="Q1675" s="224">
        <v>3</v>
      </c>
      <c r="R1675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3.0000000000000004</v>
      </c>
      <c r="U1675" s="224"/>
      <c r="V1675" s="224"/>
    </row>
    <row r="1676" spans="1:22" ht="14.65" customHeight="1" x14ac:dyDescent="0.2">
      <c r="A1676" s="225">
        <v>43711</v>
      </c>
      <c r="B1676" s="224" t="s">
        <v>867</v>
      </c>
      <c r="C1676" s="224" t="s">
        <v>579</v>
      </c>
      <c r="D1676" s="224" t="s">
        <v>580</v>
      </c>
      <c r="E1676" s="226"/>
      <c r="G1676" s="224" t="s">
        <v>13</v>
      </c>
      <c r="H1676" s="224" t="s">
        <v>289</v>
      </c>
      <c r="I1676" s="224" t="s">
        <v>32</v>
      </c>
      <c r="J1676" s="224">
        <v>70</v>
      </c>
      <c r="K1676" s="227">
        <f t="array" ref="K1676">IFERROR(INDEX([1]Grille_Tarifs_Modulable!$B$2:$B$204,MATCH(Tableau14[[#This Row],[Designation]]&amp;Tableau14[[#This Row],[CL]],[1]Grille_Tarifs_Modulable!$C$2:$C$204&amp;[1]Grille_Tarifs_Modulable!$F$2:$F$204,0)),0)</f>
        <v>3257150100228</v>
      </c>
      <c r="L1676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21.488644000000001</v>
      </c>
      <c r="M1676" s="228">
        <f>IF(Tableau14[[#This Row],[Prix_Unit_HT]]=0,0,Tableau14[[#This Row],[Prix_Unit_HT]]+(Tableau14[[#This Row],[Prix_Unit_HT]]*VLOOKUP(Tableau14[[#This Row],[EAN]],[1]Grille_Tarifs_Modulable!$B$10:$Q$204,16,FALSE)))</f>
        <v>25.786372800000002</v>
      </c>
      <c r="N1676" s="224">
        <v>6</v>
      </c>
      <c r="O1676" s="228">
        <f>ROUND(Tableau14[[#This Row],[Prix_Unit_HT]],2)*Tableau14[[#This Row],[Qte_commande]]</f>
        <v>128.94</v>
      </c>
      <c r="P1676" s="228">
        <f>ROUND(Tableau14[[#This Row],[Prix_Unit_TTC]],2)*Tableau14[[#This Row],[Qte_commande]]</f>
        <v>154.74</v>
      </c>
      <c r="Q1676" s="224">
        <v>6</v>
      </c>
      <c r="R1676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6.0000000000000009</v>
      </c>
      <c r="U1676" s="224"/>
      <c r="V1676" s="224"/>
    </row>
    <row r="1677" spans="1:22" ht="14.65" customHeight="1" x14ac:dyDescent="0.2">
      <c r="A1677" s="225">
        <v>43711</v>
      </c>
      <c r="B1677" s="224" t="s">
        <v>871</v>
      </c>
      <c r="C1677" s="224" t="s">
        <v>211</v>
      </c>
      <c r="D1677" s="224" t="s">
        <v>212</v>
      </c>
      <c r="E1677" s="226"/>
      <c r="G1677" s="224" t="s">
        <v>1</v>
      </c>
      <c r="H1677" s="224" t="s">
        <v>289</v>
      </c>
      <c r="I1677" s="224" t="s">
        <v>36</v>
      </c>
      <c r="J1677" s="224">
        <v>70</v>
      </c>
      <c r="K1677" s="227">
        <f t="array" ref="K1677">IFERROR(INDEX([1]Grille_Tarifs_Modulable!$B$2:$B$204,MATCH(Tableau14[[#This Row],[Designation]]&amp;Tableau14[[#This Row],[CL]],[1]Grille_Tarifs_Modulable!$C$2:$C$204&amp;[1]Grille_Tarifs_Modulable!$F$2:$F$204,0)),0)</f>
        <v>3257150100792</v>
      </c>
      <c r="L1677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71.40864400000001</v>
      </c>
      <c r="M1677" s="228">
        <f>IF(Tableau14[[#This Row],[Prix_Unit_HT]]=0,0,Tableau14[[#This Row],[Prix_Unit_HT]]+(Tableau14[[#This Row],[Prix_Unit_HT]]*VLOOKUP(Tableau14[[#This Row],[EAN]],[1]Grille_Tarifs_Modulable!$B$10:$Q$204,16,FALSE)))</f>
        <v>85.690372800000006</v>
      </c>
      <c r="N1677" s="224">
        <v>6</v>
      </c>
      <c r="O1677" s="228">
        <f>ROUND(Tableau14[[#This Row],[Prix_Unit_HT]],2)*Tableau14[[#This Row],[Qte_commande]]</f>
        <v>428.46</v>
      </c>
      <c r="P1677" s="228">
        <f>ROUND(Tableau14[[#This Row],[Prix_Unit_TTC]],2)*Tableau14[[#This Row],[Qte_commande]]</f>
        <v>514.14</v>
      </c>
      <c r="Q1677" s="224">
        <v>6</v>
      </c>
      <c r="R1677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6.0000000000000009</v>
      </c>
      <c r="U1677" s="224"/>
      <c r="V1677" s="224"/>
    </row>
    <row r="1678" spans="1:22" ht="14.65" customHeight="1" x14ac:dyDescent="0.2">
      <c r="A1678" s="225">
        <v>43711</v>
      </c>
      <c r="B1678" s="224" t="s">
        <v>871</v>
      </c>
      <c r="C1678" s="224" t="s">
        <v>211</v>
      </c>
      <c r="D1678" s="224" t="s">
        <v>212</v>
      </c>
      <c r="E1678" s="226"/>
      <c r="G1678" s="224" t="s">
        <v>1</v>
      </c>
      <c r="H1678" s="224" t="s">
        <v>196</v>
      </c>
      <c r="I1678" s="224" t="s">
        <v>64</v>
      </c>
      <c r="J1678" s="224">
        <v>20</v>
      </c>
      <c r="K1678" s="227">
        <f t="array" ref="K1678">IFERROR(INDEX([1]Grille_Tarifs_Modulable!$B$2:$B$204,MATCH(Tableau14[[#This Row],[Designation]]&amp;Tableau14[[#This Row],[CL]],[1]Grille_Tarifs_Modulable!$C$2:$C$204&amp;[1]Grille_Tarifs_Modulable!$F$2:$F$204,0)),0)</f>
        <v>4260310553849</v>
      </c>
      <c r="L1678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0.81</v>
      </c>
      <c r="M1678" s="228">
        <f>IF(Tableau14[[#This Row],[Prix_Unit_HT]]=0,0,Tableau14[[#This Row],[Prix_Unit_HT]]+(Tableau14[[#This Row],[Prix_Unit_HT]]*VLOOKUP(Tableau14[[#This Row],[EAN]],[1]Grille_Tarifs_Modulable!$B$10:$Q$204,16,FALSE)))</f>
        <v>0.85455000000000003</v>
      </c>
      <c r="N1678" s="224">
        <v>48</v>
      </c>
      <c r="O1678" s="228">
        <f>ROUND(Tableau14[[#This Row],[Prix_Unit_HT]],2)*Tableau14[[#This Row],[Qte_commande]]</f>
        <v>38.880000000000003</v>
      </c>
      <c r="P1678" s="228">
        <f>ROUND(Tableau14[[#This Row],[Prix_Unit_TTC]],2)*Tableau14[[#This Row],[Qte_commande]]</f>
        <v>40.799999999999997</v>
      </c>
      <c r="Q1678" s="224">
        <v>13.71</v>
      </c>
      <c r="R1678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13.714285714285715</v>
      </c>
      <c r="U1678" s="224"/>
      <c r="V1678" s="224"/>
    </row>
    <row r="1679" spans="1:22" ht="14.65" customHeight="1" x14ac:dyDescent="0.2">
      <c r="A1679" s="225">
        <v>43711</v>
      </c>
      <c r="B1679" s="224" t="s">
        <v>427</v>
      </c>
      <c r="C1679" s="224" t="s">
        <v>393</v>
      </c>
      <c r="D1679" s="224" t="s">
        <v>270</v>
      </c>
      <c r="E1679" s="226"/>
      <c r="G1679" s="224" t="s">
        <v>13</v>
      </c>
      <c r="H1679" s="224" t="s">
        <v>196</v>
      </c>
      <c r="I1679" s="224" t="s">
        <v>64</v>
      </c>
      <c r="J1679" s="224">
        <v>20</v>
      </c>
      <c r="K1679" s="227">
        <f t="array" ref="K1679">IFERROR(INDEX([1]Grille_Tarifs_Modulable!$B$2:$B$204,MATCH(Tableau14[[#This Row],[Designation]]&amp;Tableau14[[#This Row],[CL]],[1]Grille_Tarifs_Modulable!$C$2:$C$204&amp;[1]Grille_Tarifs_Modulable!$F$2:$F$204,0)),0)</f>
        <v>4260310553849</v>
      </c>
      <c r="L1679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0.89</v>
      </c>
      <c r="M1679" s="228">
        <f>IF(Tableau14[[#This Row],[Prix_Unit_HT]]=0,0,Tableau14[[#This Row],[Prix_Unit_HT]]+(Tableau14[[#This Row],[Prix_Unit_HT]]*VLOOKUP(Tableau14[[#This Row],[EAN]],[1]Grille_Tarifs_Modulable!$B$10:$Q$204,16,FALSE)))</f>
        <v>0.93895000000000006</v>
      </c>
      <c r="N1679" s="224">
        <v>24</v>
      </c>
      <c r="O1679" s="228">
        <f>ROUND(Tableau14[[#This Row],[Prix_Unit_HT]],2)*Tableau14[[#This Row],[Qte_commande]]</f>
        <v>21.36</v>
      </c>
      <c r="P1679" s="228">
        <f>ROUND(Tableau14[[#This Row],[Prix_Unit_TTC]],2)*Tableau14[[#This Row],[Qte_commande]]</f>
        <v>22.56</v>
      </c>
      <c r="Q1679" s="224">
        <v>6.86</v>
      </c>
      <c r="R1679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6.8571428571428577</v>
      </c>
      <c r="U1679" s="224"/>
      <c r="V1679" s="224"/>
    </row>
    <row r="1680" spans="1:22" ht="14.65" customHeight="1" x14ac:dyDescent="0.2">
      <c r="A1680" s="225">
        <v>43713</v>
      </c>
      <c r="B1680" s="224" t="s">
        <v>1296</v>
      </c>
      <c r="C1680" s="224" t="s">
        <v>770</v>
      </c>
      <c r="D1680" s="224" t="s">
        <v>437</v>
      </c>
      <c r="E1680" s="226"/>
      <c r="G1680" s="224" t="s">
        <v>13</v>
      </c>
      <c r="H1680" s="224" t="s">
        <v>451</v>
      </c>
      <c r="I1680" s="224" t="s">
        <v>71</v>
      </c>
      <c r="J1680" s="227">
        <v>1</v>
      </c>
      <c r="K1680" s="227">
        <f t="array" ref="K1680">IFERROR(INDEX([1]Grille_Tarifs_Modulable!$B$2:$B$204,MATCH(Tableau14[[#This Row],[Designation]]&amp;Tableau14[[#This Row],[CL]],[1]Grille_Tarifs_Modulable!$C$2:$C$204&amp;[1]Grille_Tarifs_Modulable!$F$2:$F$204,0)),0)</f>
        <v>122</v>
      </c>
      <c r="L1680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299</v>
      </c>
      <c r="M1680" s="228">
        <f>IF(Tableau14[[#This Row],[Prix_Unit_HT]]=0,0,Tableau14[[#This Row],[Prix_Unit_HT]]+(Tableau14[[#This Row],[Prix_Unit_HT]]*VLOOKUP(Tableau14[[#This Row],[EAN]],[1]Grille_Tarifs_Modulable!$B$10:$Q$204,16,FALSE)))</f>
        <v>358.8</v>
      </c>
      <c r="N1680" s="224">
        <v>1</v>
      </c>
      <c r="O1680" s="228">
        <f>ROUND(Tableau14[[#This Row],[Prix_Unit_HT]],2)*Tableau14[[#This Row],[Qte_commande]]</f>
        <v>299</v>
      </c>
      <c r="P1680" s="228">
        <f>ROUND(Tableau14[[#This Row],[Prix_Unit_TTC]],2)*Tableau14[[#This Row],[Qte_commande]]</f>
        <v>358.8</v>
      </c>
      <c r="Q1680" s="224">
        <v>1</v>
      </c>
      <c r="R1680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</v>
      </c>
      <c r="U1680" s="224"/>
      <c r="V1680" s="224"/>
    </row>
    <row r="1681" spans="1:22" ht="14.65" customHeight="1" x14ac:dyDescent="0.2">
      <c r="A1681" s="225">
        <v>43713</v>
      </c>
      <c r="B1681" s="224" t="s">
        <v>1297</v>
      </c>
      <c r="C1681" s="224" t="s">
        <v>1152</v>
      </c>
      <c r="D1681" s="224" t="s">
        <v>302</v>
      </c>
      <c r="E1681" s="226"/>
      <c r="G1681" s="224" t="s">
        <v>13</v>
      </c>
      <c r="H1681" s="224" t="s">
        <v>451</v>
      </c>
      <c r="I1681" s="224" t="s">
        <v>71</v>
      </c>
      <c r="J1681" s="227">
        <v>1</v>
      </c>
      <c r="K1681" s="227">
        <f t="array" ref="K1681">IFERROR(INDEX([1]Grille_Tarifs_Modulable!$B$2:$B$204,MATCH(Tableau14[[#This Row],[Designation]]&amp;Tableau14[[#This Row],[CL]],[1]Grille_Tarifs_Modulable!$C$2:$C$204&amp;[1]Grille_Tarifs_Modulable!$F$2:$F$204,0)),0)</f>
        <v>122</v>
      </c>
      <c r="L1681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299</v>
      </c>
      <c r="M1681" s="228">
        <f>IF(Tableau14[[#This Row],[Prix_Unit_HT]]=0,0,Tableau14[[#This Row],[Prix_Unit_HT]]+(Tableau14[[#This Row],[Prix_Unit_HT]]*VLOOKUP(Tableau14[[#This Row],[EAN]],[1]Grille_Tarifs_Modulable!$B$10:$Q$204,16,FALSE)))</f>
        <v>358.8</v>
      </c>
      <c r="N1681" s="224">
        <v>2</v>
      </c>
      <c r="O1681" s="228">
        <f>ROUND(Tableau14[[#This Row],[Prix_Unit_HT]],2)*Tableau14[[#This Row],[Qte_commande]]</f>
        <v>598</v>
      </c>
      <c r="P1681" s="228">
        <f>ROUND(Tableau14[[#This Row],[Prix_Unit_TTC]],2)*Tableau14[[#This Row],[Qte_commande]]</f>
        <v>717.6</v>
      </c>
      <c r="Q1681" s="224">
        <v>2</v>
      </c>
      <c r="R1681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2</v>
      </c>
      <c r="U1681" s="224"/>
      <c r="V1681" s="224"/>
    </row>
    <row r="1682" spans="1:22" ht="14.65" customHeight="1" x14ac:dyDescent="0.2">
      <c r="A1682" s="225">
        <v>43713</v>
      </c>
      <c r="B1682" s="224" t="s">
        <v>1298</v>
      </c>
      <c r="C1682" s="224" t="s">
        <v>272</v>
      </c>
      <c r="D1682" s="224" t="s">
        <v>180</v>
      </c>
      <c r="E1682" s="226"/>
      <c r="G1682" s="224" t="s">
        <v>13</v>
      </c>
      <c r="H1682" s="224" t="s">
        <v>451</v>
      </c>
      <c r="I1682" s="224" t="s">
        <v>71</v>
      </c>
      <c r="J1682" s="227">
        <v>1</v>
      </c>
      <c r="K1682" s="227">
        <f t="array" ref="K1682">IFERROR(INDEX([1]Grille_Tarifs_Modulable!$B$2:$B$204,MATCH(Tableau14[[#This Row],[Designation]]&amp;Tableau14[[#This Row],[CL]],[1]Grille_Tarifs_Modulable!$C$2:$C$204&amp;[1]Grille_Tarifs_Modulable!$F$2:$F$204,0)),0)</f>
        <v>122</v>
      </c>
      <c r="L1682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299</v>
      </c>
      <c r="M1682" s="228">
        <f>IF(Tableau14[[#This Row],[Prix_Unit_HT]]=0,0,Tableau14[[#This Row],[Prix_Unit_HT]]+(Tableau14[[#This Row],[Prix_Unit_HT]]*VLOOKUP(Tableau14[[#This Row],[EAN]],[1]Grille_Tarifs_Modulable!$B$10:$Q$204,16,FALSE)))</f>
        <v>358.8</v>
      </c>
      <c r="N1682" s="224">
        <v>1</v>
      </c>
      <c r="O1682" s="228">
        <f>ROUND(Tableau14[[#This Row],[Prix_Unit_HT]],2)*Tableau14[[#This Row],[Qte_commande]]</f>
        <v>299</v>
      </c>
      <c r="P1682" s="228">
        <f>ROUND(Tableau14[[#This Row],[Prix_Unit_TTC]],2)*Tableau14[[#This Row],[Qte_commande]]</f>
        <v>358.8</v>
      </c>
      <c r="Q1682" s="224">
        <v>1</v>
      </c>
      <c r="R1682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</v>
      </c>
      <c r="U1682" s="224"/>
      <c r="V1682" s="224"/>
    </row>
    <row r="1683" spans="1:22" ht="14.65" customHeight="1" x14ac:dyDescent="0.2">
      <c r="A1683" s="225">
        <v>43713</v>
      </c>
      <c r="B1683" s="224" t="s">
        <v>1299</v>
      </c>
      <c r="C1683" s="224" t="s">
        <v>1300</v>
      </c>
      <c r="D1683" s="224" t="s">
        <v>209</v>
      </c>
      <c r="E1683" s="226"/>
      <c r="G1683" s="224" t="s">
        <v>13</v>
      </c>
      <c r="H1683" s="224" t="s">
        <v>451</v>
      </c>
      <c r="I1683" s="224" t="s">
        <v>71</v>
      </c>
      <c r="J1683" s="227">
        <v>1</v>
      </c>
      <c r="K1683" s="227">
        <f t="array" ref="K1683">IFERROR(INDEX([1]Grille_Tarifs_Modulable!$B$2:$B$204,MATCH(Tableau14[[#This Row],[Designation]]&amp;Tableau14[[#This Row],[CL]],[1]Grille_Tarifs_Modulable!$C$2:$C$204&amp;[1]Grille_Tarifs_Modulable!$F$2:$F$204,0)),0)</f>
        <v>122</v>
      </c>
      <c r="L1683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299</v>
      </c>
      <c r="M1683" s="228">
        <f>IF(Tableau14[[#This Row],[Prix_Unit_HT]]=0,0,Tableau14[[#This Row],[Prix_Unit_HT]]+(Tableau14[[#This Row],[Prix_Unit_HT]]*VLOOKUP(Tableau14[[#This Row],[EAN]],[1]Grille_Tarifs_Modulable!$B$10:$Q$204,16,FALSE)))</f>
        <v>358.8</v>
      </c>
      <c r="N1683" s="224">
        <v>1</v>
      </c>
      <c r="O1683" s="228">
        <f>ROUND(Tableau14[[#This Row],[Prix_Unit_HT]],2)*Tableau14[[#This Row],[Qte_commande]]</f>
        <v>299</v>
      </c>
      <c r="P1683" s="228">
        <f>ROUND(Tableau14[[#This Row],[Prix_Unit_TTC]],2)*Tableau14[[#This Row],[Qte_commande]]</f>
        <v>358.8</v>
      </c>
      <c r="Q1683" s="224">
        <v>1</v>
      </c>
      <c r="R1683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</v>
      </c>
      <c r="U1683" s="224"/>
      <c r="V1683" s="224"/>
    </row>
    <row r="1684" spans="1:22" ht="14.65" customHeight="1" x14ac:dyDescent="0.2">
      <c r="A1684" s="225">
        <v>43717</v>
      </c>
      <c r="B1684" s="224" t="s">
        <v>762</v>
      </c>
      <c r="C1684" s="224" t="s">
        <v>530</v>
      </c>
      <c r="D1684" s="224" t="s">
        <v>531</v>
      </c>
      <c r="E1684" s="226"/>
      <c r="G1684" s="224" t="s">
        <v>1</v>
      </c>
      <c r="H1684" s="224" t="s">
        <v>289</v>
      </c>
      <c r="I1684" s="224" t="s">
        <v>15</v>
      </c>
      <c r="J1684" s="224">
        <v>70</v>
      </c>
      <c r="K1684" s="227">
        <f t="array" ref="K1684">IFERROR(INDEX([1]Grille_Tarifs_Modulable!$B$2:$B$204,MATCH(Tableau14[[#This Row],[Designation]]&amp;Tableau14[[#This Row],[CL]],[1]Grille_Tarifs_Modulable!$C$2:$C$204&amp;[1]Grille_Tarifs_Modulable!$F$2:$F$204,0)),0)</f>
        <v>4067700013859</v>
      </c>
      <c r="L1684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12.532563499999998</v>
      </c>
      <c r="M1684" s="228">
        <f>IF(Tableau14[[#This Row],[Prix_Unit_HT]]=0,0,Tableau14[[#This Row],[Prix_Unit_HT]]+(Tableau14[[#This Row],[Prix_Unit_HT]]*VLOOKUP(Tableau14[[#This Row],[EAN]],[1]Grille_Tarifs_Modulable!$B$10:$Q$204,16,FALSE)))</f>
        <v>15.039076199999998</v>
      </c>
      <c r="N1684" s="224">
        <v>240</v>
      </c>
      <c r="O1684" s="228">
        <f>ROUND(Tableau14[[#This Row],[Prix_Unit_HT]],2)*Tableau14[[#This Row],[Qte_commande]]</f>
        <v>3007.2</v>
      </c>
      <c r="P1684" s="228">
        <f>ROUND(Tableau14[[#This Row],[Prix_Unit_TTC]],2)*Tableau14[[#This Row],[Qte_commande]]</f>
        <v>3609.6</v>
      </c>
      <c r="Q1684" s="224">
        <v>240</v>
      </c>
      <c r="R1684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240.00000000000003</v>
      </c>
      <c r="U1684" s="224"/>
      <c r="V1684" s="224"/>
    </row>
    <row r="1685" spans="1:22" ht="14.65" customHeight="1" x14ac:dyDescent="0.2">
      <c r="A1685" s="225">
        <v>43725</v>
      </c>
      <c r="B1685" s="224" t="s">
        <v>798</v>
      </c>
      <c r="C1685" s="224" t="s">
        <v>422</v>
      </c>
      <c r="D1685" s="224" t="s">
        <v>209</v>
      </c>
      <c r="E1685" s="226"/>
      <c r="G1685" s="224" t="s">
        <v>13</v>
      </c>
      <c r="H1685" s="224" t="s">
        <v>289</v>
      </c>
      <c r="I1685" s="224" t="s">
        <v>20</v>
      </c>
      <c r="J1685" s="224">
        <v>70</v>
      </c>
      <c r="K1685" s="227">
        <f t="array" ref="K1685">IFERROR(INDEX([1]Grille_Tarifs_Modulable!$B$2:$B$204,MATCH(Tableau14[[#This Row],[Designation]]&amp;Tableau14[[#This Row],[CL]],[1]Grille_Tarifs_Modulable!$C$2:$C$204&amp;[1]Grille_Tarifs_Modulable!$F$2:$F$204,0)),0)</f>
        <v>8017450002104</v>
      </c>
      <c r="L1685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14.266482999999999</v>
      </c>
      <c r="M1685" s="228">
        <f>IF(Tableau14[[#This Row],[Prix_Unit_HT]]=0,0,Tableau14[[#This Row],[Prix_Unit_HT]]+(Tableau14[[#This Row],[Prix_Unit_HT]]*VLOOKUP(Tableau14[[#This Row],[EAN]],[1]Grille_Tarifs_Modulable!$B$10:$Q$204,16,FALSE)))</f>
        <v>17.119779600000001</v>
      </c>
      <c r="N1685" s="224">
        <v>6</v>
      </c>
      <c r="O1685" s="228">
        <f>ROUND(Tableau14[[#This Row],[Prix_Unit_HT]],2)*Tableau14[[#This Row],[Qte_commande]]</f>
        <v>85.62</v>
      </c>
      <c r="P1685" s="228">
        <f>ROUND(Tableau14[[#This Row],[Prix_Unit_TTC]],2)*Tableau14[[#This Row],[Qte_commande]]</f>
        <v>102.72</v>
      </c>
      <c r="Q1685" s="224">
        <v>6</v>
      </c>
      <c r="R1685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6.0000000000000009</v>
      </c>
      <c r="U1685" s="224"/>
      <c r="V1685" s="224"/>
    </row>
    <row r="1686" spans="1:22" ht="14.65" customHeight="1" x14ac:dyDescent="0.2">
      <c r="A1686" s="225">
        <v>43725</v>
      </c>
      <c r="B1686" s="224" t="s">
        <v>798</v>
      </c>
      <c r="C1686" s="224" t="s">
        <v>422</v>
      </c>
      <c r="D1686" s="224" t="s">
        <v>209</v>
      </c>
      <c r="E1686" s="226"/>
      <c r="G1686" s="224" t="s">
        <v>13</v>
      </c>
      <c r="H1686" s="224" t="s">
        <v>289</v>
      </c>
      <c r="I1686" s="224" t="s">
        <v>48</v>
      </c>
      <c r="J1686" s="224">
        <v>70</v>
      </c>
      <c r="K1686" s="227">
        <f t="array" ref="K1686">IFERROR(INDEX([1]Grille_Tarifs_Modulable!$B$2:$B$204,MATCH(Tableau14[[#This Row],[Designation]]&amp;Tableau14[[#This Row],[CL]],[1]Grille_Tarifs_Modulable!$C$2:$C$204&amp;[1]Grille_Tarifs_Modulable!$F$2:$F$204,0)),0)</f>
        <v>3257150673029</v>
      </c>
      <c r="L1686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23.269508399999999</v>
      </c>
      <c r="M1686" s="228">
        <f>IF(Tableau14[[#This Row],[Prix_Unit_HT]]=0,0,Tableau14[[#This Row],[Prix_Unit_HT]]+(Tableau14[[#This Row],[Prix_Unit_HT]]*VLOOKUP(Tableau14[[#This Row],[EAN]],[1]Grille_Tarifs_Modulable!$B$10:$Q$204,16,FALSE)))</f>
        <v>27.92341008</v>
      </c>
      <c r="N1686" s="224">
        <v>6</v>
      </c>
      <c r="O1686" s="228">
        <f>ROUND(Tableau14[[#This Row],[Prix_Unit_HT]],2)*Tableau14[[#This Row],[Qte_commande]]</f>
        <v>139.62</v>
      </c>
      <c r="P1686" s="228">
        <f>ROUND(Tableau14[[#This Row],[Prix_Unit_TTC]],2)*Tableau14[[#This Row],[Qte_commande]]</f>
        <v>167.52</v>
      </c>
      <c r="Q1686" s="224">
        <v>6</v>
      </c>
      <c r="R1686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6.0000000000000009</v>
      </c>
      <c r="U1686" s="224"/>
      <c r="V1686" s="224"/>
    </row>
    <row r="1687" spans="1:22" ht="14.65" customHeight="1" x14ac:dyDescent="0.2">
      <c r="A1687" s="225">
        <v>43725</v>
      </c>
      <c r="B1687" s="224" t="s">
        <v>798</v>
      </c>
      <c r="C1687" s="224" t="s">
        <v>422</v>
      </c>
      <c r="D1687" s="224" t="s">
        <v>209</v>
      </c>
      <c r="E1687" s="226"/>
      <c r="G1687" s="224" t="s">
        <v>13</v>
      </c>
      <c r="H1687" s="224" t="s">
        <v>289</v>
      </c>
      <c r="I1687" s="224" t="s">
        <v>30</v>
      </c>
      <c r="J1687" s="224">
        <v>70</v>
      </c>
      <c r="K1687" s="227">
        <f t="array" ref="K1687">IFERROR(INDEX([1]Grille_Tarifs_Modulable!$B$2:$B$204,MATCH(Tableau14[[#This Row],[Designation]]&amp;Tableau14[[#This Row],[CL]],[1]Grille_Tarifs_Modulable!$C$2:$C$204&amp;[1]Grille_Tarifs_Modulable!$F$2:$F$204,0)),0)</f>
        <v>3257150101904</v>
      </c>
      <c r="L1687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18.506483000000003</v>
      </c>
      <c r="M1687" s="228">
        <f>IF(Tableau14[[#This Row],[Prix_Unit_HT]]=0,0,Tableau14[[#This Row],[Prix_Unit_HT]]+(Tableau14[[#This Row],[Prix_Unit_HT]]*VLOOKUP(Tableau14[[#This Row],[EAN]],[1]Grille_Tarifs_Modulable!$B$10:$Q$204,16,FALSE)))</f>
        <v>22.207779600000002</v>
      </c>
      <c r="N1687" s="224">
        <v>6</v>
      </c>
      <c r="O1687" s="228">
        <f>ROUND(Tableau14[[#This Row],[Prix_Unit_HT]],2)*Tableau14[[#This Row],[Qte_commande]]</f>
        <v>111.06</v>
      </c>
      <c r="P1687" s="228">
        <f>ROUND(Tableau14[[#This Row],[Prix_Unit_TTC]],2)*Tableau14[[#This Row],[Qte_commande]]</f>
        <v>133.26</v>
      </c>
      <c r="Q1687" s="224">
        <v>6</v>
      </c>
      <c r="R1687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6.0000000000000009</v>
      </c>
      <c r="U1687" s="224"/>
      <c r="V1687" s="224"/>
    </row>
    <row r="1688" spans="1:22" ht="14.65" customHeight="1" x14ac:dyDescent="0.2">
      <c r="A1688" s="225">
        <v>43725</v>
      </c>
      <c r="B1688" s="224" t="s">
        <v>798</v>
      </c>
      <c r="C1688" s="224" t="s">
        <v>422</v>
      </c>
      <c r="D1688" s="224" t="s">
        <v>209</v>
      </c>
      <c r="E1688" s="226"/>
      <c r="G1688" s="224" t="s">
        <v>13</v>
      </c>
      <c r="H1688" s="224" t="s">
        <v>289</v>
      </c>
      <c r="I1688" s="224" t="s">
        <v>31</v>
      </c>
      <c r="J1688" s="224">
        <v>70</v>
      </c>
      <c r="K1688" s="227">
        <f t="array" ref="K1688">IFERROR(INDEX([1]Grille_Tarifs_Modulable!$B$2:$B$204,MATCH(Tableau14[[#This Row],[Designation]]&amp;Tableau14[[#This Row],[CL]],[1]Grille_Tarifs_Modulable!$C$2:$C$204&amp;[1]Grille_Tarifs_Modulable!$F$2:$F$204,0)),0)</f>
        <v>3257150102017</v>
      </c>
      <c r="L1688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16.854322</v>
      </c>
      <c r="M1688" s="228">
        <f>IF(Tableau14[[#This Row],[Prix_Unit_HT]]=0,0,Tableau14[[#This Row],[Prix_Unit_HT]]+(Tableau14[[#This Row],[Prix_Unit_HT]]*VLOOKUP(Tableau14[[#This Row],[EAN]],[1]Grille_Tarifs_Modulable!$B$10:$Q$204,16,FALSE)))</f>
        <v>20.225186399999998</v>
      </c>
      <c r="N1688" s="224">
        <v>6</v>
      </c>
      <c r="O1688" s="228">
        <f>ROUND(Tableau14[[#This Row],[Prix_Unit_HT]],2)*Tableau14[[#This Row],[Qte_commande]]</f>
        <v>101.10000000000001</v>
      </c>
      <c r="P1688" s="228">
        <f>ROUND(Tableau14[[#This Row],[Prix_Unit_TTC]],2)*Tableau14[[#This Row],[Qte_commande]]</f>
        <v>121.38</v>
      </c>
      <c r="Q1688" s="224">
        <v>6</v>
      </c>
      <c r="R1688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6.0000000000000009</v>
      </c>
      <c r="U1688" s="224"/>
      <c r="V1688" s="224"/>
    </row>
    <row r="1689" spans="1:22" ht="14.65" customHeight="1" x14ac:dyDescent="0.2">
      <c r="A1689" s="225">
        <v>43725</v>
      </c>
      <c r="B1689" s="224" t="s">
        <v>798</v>
      </c>
      <c r="C1689" s="224" t="s">
        <v>422</v>
      </c>
      <c r="D1689" s="224" t="s">
        <v>209</v>
      </c>
      <c r="E1689" s="226"/>
      <c r="G1689" s="224" t="s">
        <v>13</v>
      </c>
      <c r="H1689" s="224" t="s">
        <v>289</v>
      </c>
      <c r="I1689" s="224" t="s">
        <v>24</v>
      </c>
      <c r="J1689" s="224">
        <v>70</v>
      </c>
      <c r="K1689" s="227">
        <f t="array" ref="K1689">IFERROR(INDEX([1]Grille_Tarifs_Modulable!$B$2:$B$204,MATCH(Tableau14[[#This Row],[Designation]]&amp;Tableau14[[#This Row],[CL]],[1]Grille_Tarifs_Modulable!$C$2:$C$204&amp;[1]Grille_Tarifs_Modulable!$F$2:$F$204,0)),0)</f>
        <v>8500000917008</v>
      </c>
      <c r="L1689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11.528211800000001</v>
      </c>
      <c r="M1689" s="228">
        <f>IF(Tableau14[[#This Row],[Prix_Unit_HT]]=0,0,Tableau14[[#This Row],[Prix_Unit_HT]]+(Tableau14[[#This Row],[Prix_Unit_HT]]*VLOOKUP(Tableau14[[#This Row],[EAN]],[1]Grille_Tarifs_Modulable!$B$10:$Q$204,16,FALSE)))</f>
        <v>13.833854160000001</v>
      </c>
      <c r="N1689" s="224">
        <v>36</v>
      </c>
      <c r="O1689" s="228">
        <f>ROUND(Tableau14[[#This Row],[Prix_Unit_HT]],2)*Tableau14[[#This Row],[Qte_commande]]</f>
        <v>415.08</v>
      </c>
      <c r="P1689" s="228">
        <f>ROUND(Tableau14[[#This Row],[Prix_Unit_TTC]],2)*Tableau14[[#This Row],[Qte_commande]]</f>
        <v>497.88</v>
      </c>
      <c r="Q1689" s="224">
        <v>36</v>
      </c>
      <c r="R1689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36</v>
      </c>
      <c r="U1689" s="224"/>
      <c r="V1689" s="224"/>
    </row>
    <row r="1690" spans="1:22" ht="14.65" customHeight="1" x14ac:dyDescent="0.2">
      <c r="A1690" s="225">
        <v>43725</v>
      </c>
      <c r="B1690" s="224" t="s">
        <v>798</v>
      </c>
      <c r="C1690" s="224" t="s">
        <v>422</v>
      </c>
      <c r="D1690" s="224" t="s">
        <v>209</v>
      </c>
      <c r="E1690" s="226"/>
      <c r="G1690" s="224" t="s">
        <v>13</v>
      </c>
      <c r="H1690" s="224" t="s">
        <v>289</v>
      </c>
      <c r="I1690" s="224" t="s">
        <v>1352</v>
      </c>
      <c r="J1690" s="224">
        <v>100</v>
      </c>
      <c r="K1690" s="227">
        <f t="array" ref="K1690">IFERROR(INDEX([1]Grille_Tarifs_Modulable!$B$2:$B$204,MATCH(Tableau14[[#This Row],[Designation]]&amp;Tableau14[[#This Row],[CL]],[1]Grille_Tarifs_Modulable!$C$2:$C$204&amp;[1]Grille_Tarifs_Modulable!$F$2:$F$204,0)),0)</f>
        <v>4603514006849</v>
      </c>
      <c r="L1690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17.370920000000002</v>
      </c>
      <c r="M1690" s="228">
        <f>IF(Tableau14[[#This Row],[Prix_Unit_HT]]=0,0,Tableau14[[#This Row],[Prix_Unit_HT]]+(Tableau14[[#This Row],[Prix_Unit_HT]]*VLOOKUP(Tableau14[[#This Row],[EAN]],[1]Grille_Tarifs_Modulable!$B$10:$Q$204,16,FALSE)))</f>
        <v>20.845104000000003</v>
      </c>
      <c r="N1690" s="224">
        <v>24</v>
      </c>
      <c r="O1690" s="228">
        <f>ROUND(Tableau14[[#This Row],[Prix_Unit_HT]],2)*Tableau14[[#This Row],[Qte_commande]]</f>
        <v>416.88</v>
      </c>
      <c r="P1690" s="228">
        <f>ROUND(Tableau14[[#This Row],[Prix_Unit_TTC]],2)*Tableau14[[#This Row],[Qte_commande]]</f>
        <v>500.40000000000003</v>
      </c>
      <c r="Q1690" s="224">
        <v>34.29</v>
      </c>
      <c r="R1690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34.285714285714285</v>
      </c>
      <c r="U1690" s="224"/>
      <c r="V1690" s="224"/>
    </row>
    <row r="1691" spans="1:22" ht="14.65" customHeight="1" x14ac:dyDescent="0.2">
      <c r="A1691" s="225">
        <v>43731</v>
      </c>
      <c r="B1691" s="224" t="s">
        <v>256</v>
      </c>
      <c r="C1691" s="224" t="s">
        <v>214</v>
      </c>
      <c r="D1691" s="224" t="s">
        <v>215</v>
      </c>
      <c r="E1691" s="226"/>
      <c r="G1691" s="224" t="s">
        <v>1</v>
      </c>
      <c r="H1691" s="224" t="s">
        <v>196</v>
      </c>
      <c r="I1691" s="224" t="s">
        <v>62</v>
      </c>
      <c r="J1691" s="224">
        <v>20</v>
      </c>
      <c r="K1691" s="227">
        <f t="array" ref="K1691">IFERROR(INDEX([1]Grille_Tarifs_Modulable!$B$2:$B$204,MATCH(Tableau14[[#This Row],[Designation]]&amp;Tableau14[[#This Row],[CL]],[1]Grille_Tarifs_Modulable!$C$2:$C$204&amp;[1]Grille_Tarifs_Modulable!$F$2:$F$204,0)),0)</f>
        <v>4260310550305</v>
      </c>
      <c r="L1691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0.81</v>
      </c>
      <c r="M1691" s="228">
        <f>IF(Tableau14[[#This Row],[Prix_Unit_HT]]=0,0,Tableau14[[#This Row],[Prix_Unit_HT]]+(Tableau14[[#This Row],[Prix_Unit_HT]]*VLOOKUP(Tableau14[[#This Row],[EAN]],[1]Grille_Tarifs_Modulable!$B$10:$Q$204,16,FALSE)))</f>
        <v>0.85455000000000003</v>
      </c>
      <c r="N1691" s="224">
        <v>120</v>
      </c>
      <c r="O1691" s="228">
        <f>ROUND(Tableau14[[#This Row],[Prix_Unit_HT]],2)*Tableau14[[#This Row],[Qte_commande]]</f>
        <v>97.2</v>
      </c>
      <c r="P1691" s="228">
        <f>ROUND(Tableau14[[#This Row],[Prix_Unit_TTC]],2)*Tableau14[[#This Row],[Qte_commande]]</f>
        <v>102</v>
      </c>
      <c r="Q1691" s="224">
        <v>34.29</v>
      </c>
      <c r="R1691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34.285714285714285</v>
      </c>
      <c r="U1691" s="224"/>
      <c r="V1691" s="224"/>
    </row>
    <row r="1692" spans="1:22" ht="14.65" customHeight="1" x14ac:dyDescent="0.2">
      <c r="A1692" s="225">
        <v>43731</v>
      </c>
      <c r="B1692" s="224" t="s">
        <v>284</v>
      </c>
      <c r="C1692" s="224" t="s">
        <v>232</v>
      </c>
      <c r="D1692" s="224" t="s">
        <v>233</v>
      </c>
      <c r="E1692" s="226"/>
      <c r="G1692" s="224" t="s">
        <v>1</v>
      </c>
      <c r="H1692" s="224" t="s">
        <v>196</v>
      </c>
      <c r="I1692" s="224" t="s">
        <v>63</v>
      </c>
      <c r="J1692" s="224">
        <v>20</v>
      </c>
      <c r="K1692" s="227">
        <f t="array" ref="K1692">IFERROR(INDEX([1]Grille_Tarifs_Modulable!$B$2:$B$204,MATCH(Tableau14[[#This Row],[Designation]]&amp;Tableau14[[#This Row],[CL]],[1]Grille_Tarifs_Modulable!$C$2:$C$204&amp;[1]Grille_Tarifs_Modulable!$F$2:$F$204,0)),0)</f>
        <v>4260310552941</v>
      </c>
      <c r="L1692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0.81</v>
      </c>
      <c r="M1692" s="228">
        <f>IF(Tableau14[[#This Row],[Prix_Unit_HT]]=0,0,Tableau14[[#This Row],[Prix_Unit_HT]]+(Tableau14[[#This Row],[Prix_Unit_HT]]*VLOOKUP(Tableau14[[#This Row],[EAN]],[1]Grille_Tarifs_Modulable!$B$10:$Q$204,16,FALSE)))</f>
        <v>0.85455000000000003</v>
      </c>
      <c r="N1692" s="224">
        <v>24</v>
      </c>
      <c r="O1692" s="228">
        <f>ROUND(Tableau14[[#This Row],[Prix_Unit_HT]],2)*Tableau14[[#This Row],[Qte_commande]]</f>
        <v>19.440000000000001</v>
      </c>
      <c r="P1692" s="228">
        <f>ROUND(Tableau14[[#This Row],[Prix_Unit_TTC]],2)*Tableau14[[#This Row],[Qte_commande]]</f>
        <v>20.399999999999999</v>
      </c>
      <c r="Q1692" s="224">
        <v>6.86</v>
      </c>
      <c r="R1692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6.8571428571428577</v>
      </c>
      <c r="U1692" s="224"/>
      <c r="V1692" s="224"/>
    </row>
    <row r="1693" spans="1:22" ht="14.65" customHeight="1" x14ac:dyDescent="0.2">
      <c r="A1693" s="225">
        <v>43731</v>
      </c>
      <c r="B1693" s="224" t="s">
        <v>256</v>
      </c>
      <c r="C1693" s="224" t="s">
        <v>214</v>
      </c>
      <c r="D1693" s="224" t="s">
        <v>215</v>
      </c>
      <c r="E1693" s="226"/>
      <c r="G1693" s="224" t="s">
        <v>1</v>
      </c>
      <c r="H1693" s="224" t="s">
        <v>196</v>
      </c>
      <c r="I1693" s="224" t="s">
        <v>63</v>
      </c>
      <c r="J1693" s="224">
        <v>20</v>
      </c>
      <c r="K1693" s="227">
        <f t="array" ref="K1693">IFERROR(INDEX([1]Grille_Tarifs_Modulable!$B$2:$B$204,MATCH(Tableau14[[#This Row],[Designation]]&amp;Tableau14[[#This Row],[CL]],[1]Grille_Tarifs_Modulable!$C$2:$C$204&amp;[1]Grille_Tarifs_Modulable!$F$2:$F$204,0)),0)</f>
        <v>4260310552941</v>
      </c>
      <c r="L1693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0.81</v>
      </c>
      <c r="M1693" s="228">
        <f>IF(Tableau14[[#This Row],[Prix_Unit_HT]]=0,0,Tableau14[[#This Row],[Prix_Unit_HT]]+(Tableau14[[#This Row],[Prix_Unit_HT]]*VLOOKUP(Tableau14[[#This Row],[EAN]],[1]Grille_Tarifs_Modulable!$B$10:$Q$204,16,FALSE)))</f>
        <v>0.85455000000000003</v>
      </c>
      <c r="N1693" s="224">
        <v>96</v>
      </c>
      <c r="O1693" s="228">
        <f>ROUND(Tableau14[[#This Row],[Prix_Unit_HT]],2)*Tableau14[[#This Row],[Qte_commande]]</f>
        <v>77.760000000000005</v>
      </c>
      <c r="P1693" s="228">
        <f>ROUND(Tableau14[[#This Row],[Prix_Unit_TTC]],2)*Tableau14[[#This Row],[Qte_commande]]</f>
        <v>81.599999999999994</v>
      </c>
      <c r="Q1693" s="224">
        <v>27.43</v>
      </c>
      <c r="R1693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27.428571428571431</v>
      </c>
      <c r="U1693" s="224"/>
      <c r="V1693" s="224"/>
    </row>
    <row r="1694" spans="1:22" ht="14.65" customHeight="1" x14ac:dyDescent="0.2">
      <c r="A1694" s="225">
        <v>43731</v>
      </c>
      <c r="B1694" s="224" t="s">
        <v>256</v>
      </c>
      <c r="C1694" s="224" t="s">
        <v>214</v>
      </c>
      <c r="D1694" s="224" t="s">
        <v>215</v>
      </c>
      <c r="E1694" s="226"/>
      <c r="G1694" s="224" t="s">
        <v>1</v>
      </c>
      <c r="H1694" s="224" t="s">
        <v>196</v>
      </c>
      <c r="I1694" s="224" t="s">
        <v>65</v>
      </c>
      <c r="J1694" s="224">
        <v>20</v>
      </c>
      <c r="K1694" s="227">
        <f t="array" ref="K1694">IFERROR(INDEX([1]Grille_Tarifs_Modulable!$B$2:$B$204,MATCH(Tableau14[[#This Row],[Designation]]&amp;Tableau14[[#This Row],[CL]],[1]Grille_Tarifs_Modulable!$C$2:$C$204&amp;[1]Grille_Tarifs_Modulable!$F$2:$F$204,0)),0)</f>
        <v>4260310553863</v>
      </c>
      <c r="L1694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0.81</v>
      </c>
      <c r="M1694" s="228">
        <f>IF(Tableau14[[#This Row],[Prix_Unit_HT]]=0,0,Tableau14[[#This Row],[Prix_Unit_HT]]+(Tableau14[[#This Row],[Prix_Unit_HT]]*VLOOKUP(Tableau14[[#This Row],[EAN]],[1]Grille_Tarifs_Modulable!$B$10:$Q$204,16,FALSE)))</f>
        <v>0.85455000000000003</v>
      </c>
      <c r="N1694" s="224">
        <v>144</v>
      </c>
      <c r="O1694" s="228">
        <f>ROUND(Tableau14[[#This Row],[Prix_Unit_HT]],2)*Tableau14[[#This Row],[Qte_commande]]</f>
        <v>116.64000000000001</v>
      </c>
      <c r="P1694" s="228">
        <f>ROUND(Tableau14[[#This Row],[Prix_Unit_TTC]],2)*Tableau14[[#This Row],[Qte_commande]]</f>
        <v>122.39999999999999</v>
      </c>
      <c r="Q1694" s="224">
        <v>41.14</v>
      </c>
      <c r="R1694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41.142857142857146</v>
      </c>
      <c r="U1694" s="224"/>
      <c r="V1694" s="224"/>
    </row>
    <row r="1695" spans="1:22" ht="14.65" customHeight="1" x14ac:dyDescent="0.2">
      <c r="A1695" s="225">
        <v>43731</v>
      </c>
      <c r="B1695" s="224" t="s">
        <v>256</v>
      </c>
      <c r="C1695" s="224" t="s">
        <v>214</v>
      </c>
      <c r="D1695" s="224" t="s">
        <v>215</v>
      </c>
      <c r="E1695" s="226"/>
      <c r="G1695" s="224" t="s">
        <v>1</v>
      </c>
      <c r="H1695" s="224" t="s">
        <v>196</v>
      </c>
      <c r="I1695" s="224" t="s">
        <v>60</v>
      </c>
      <c r="J1695" s="224">
        <v>20</v>
      </c>
      <c r="K1695" s="227">
        <f t="array" ref="K1695">IFERROR(INDEX([1]Grille_Tarifs_Modulable!$B$2:$B$204,MATCH(Tableau14[[#This Row],[Designation]]&amp;Tableau14[[#This Row],[CL]],[1]Grille_Tarifs_Modulable!$C$2:$C$204&amp;[1]Grille_Tarifs_Modulable!$F$2:$F$204,0)),0)</f>
        <v>4260310553832</v>
      </c>
      <c r="L1695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0.81</v>
      </c>
      <c r="M1695" s="228">
        <f>IF(Tableau14[[#This Row],[Prix_Unit_HT]]=0,0,Tableau14[[#This Row],[Prix_Unit_HT]]+(Tableau14[[#This Row],[Prix_Unit_HT]]*VLOOKUP(Tableau14[[#This Row],[EAN]],[1]Grille_Tarifs_Modulable!$B$10:$Q$204,16,FALSE)))</f>
        <v>0.85455000000000003</v>
      </c>
      <c r="N1695" s="224">
        <v>120</v>
      </c>
      <c r="O1695" s="228">
        <f>ROUND(Tableau14[[#This Row],[Prix_Unit_HT]],2)*Tableau14[[#This Row],[Qte_commande]]</f>
        <v>97.2</v>
      </c>
      <c r="P1695" s="228">
        <f>ROUND(Tableau14[[#This Row],[Prix_Unit_TTC]],2)*Tableau14[[#This Row],[Qte_commande]]</f>
        <v>102</v>
      </c>
      <c r="Q1695" s="224">
        <v>34.29</v>
      </c>
      <c r="R1695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34.285714285714285</v>
      </c>
      <c r="U1695" s="224"/>
      <c r="V1695" s="224"/>
    </row>
    <row r="1696" spans="1:22" ht="14.65" customHeight="1" x14ac:dyDescent="0.2">
      <c r="A1696" s="225">
        <v>43731</v>
      </c>
      <c r="B1696" s="224" t="s">
        <v>284</v>
      </c>
      <c r="C1696" s="224" t="s">
        <v>232</v>
      </c>
      <c r="D1696" s="224" t="s">
        <v>233</v>
      </c>
      <c r="E1696" s="226"/>
      <c r="G1696" s="224" t="s">
        <v>1</v>
      </c>
      <c r="H1696" s="224" t="s">
        <v>289</v>
      </c>
      <c r="I1696" s="224" t="s">
        <v>15</v>
      </c>
      <c r="J1696" s="224">
        <v>175</v>
      </c>
      <c r="K1696" s="227">
        <f t="array" ref="K1696">IFERROR(INDEX([1]Grille_Tarifs_Modulable!$B$2:$B$204,MATCH(Tableau14[[#This Row],[Designation]]&amp;Tableau14[[#This Row],[CL]],[1]Grille_Tarifs_Modulable!$C$2:$C$204&amp;[1]Grille_Tarifs_Modulable!$F$2:$F$204,0)),0)</f>
        <v>4067700013835</v>
      </c>
      <c r="L1696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28.916408750000002</v>
      </c>
      <c r="M1696" s="228">
        <f>IF(Tableau14[[#This Row],[Prix_Unit_HT]]=0,0,Tableau14[[#This Row],[Prix_Unit_HT]]+(Tableau14[[#This Row],[Prix_Unit_HT]]*VLOOKUP(Tableau14[[#This Row],[EAN]],[1]Grille_Tarifs_Modulable!$B$10:$Q$204,16,FALSE)))</f>
        <v>34.699690500000003</v>
      </c>
      <c r="N1696" s="224">
        <v>48</v>
      </c>
      <c r="O1696" s="228">
        <f>ROUND(Tableau14[[#This Row],[Prix_Unit_HT]],2)*Tableau14[[#This Row],[Qte_commande]]</f>
        <v>1388.16</v>
      </c>
      <c r="P1696" s="228">
        <f>ROUND(Tableau14[[#This Row],[Prix_Unit_TTC]],2)*Tableau14[[#This Row],[Qte_commande]]</f>
        <v>1665.6000000000001</v>
      </c>
      <c r="Q1696" s="224">
        <v>120</v>
      </c>
      <c r="R1696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120.00000000000001</v>
      </c>
      <c r="U1696" s="224"/>
      <c r="V1696" s="224"/>
    </row>
    <row r="1697" spans="1:22" ht="14.65" customHeight="1" x14ac:dyDescent="0.2">
      <c r="A1697" s="225">
        <v>43731</v>
      </c>
      <c r="B1697" s="224" t="s">
        <v>763</v>
      </c>
      <c r="C1697" s="224" t="s">
        <v>265</v>
      </c>
      <c r="D1697" s="224" t="s">
        <v>266</v>
      </c>
      <c r="E1697" s="226"/>
      <c r="G1697" s="224" t="s">
        <v>1</v>
      </c>
      <c r="H1697" s="224" t="s">
        <v>289</v>
      </c>
      <c r="I1697" s="224" t="s">
        <v>15</v>
      </c>
      <c r="J1697" s="224">
        <v>70</v>
      </c>
      <c r="K1697" s="227">
        <f t="array" ref="K1697">IFERROR(INDEX([1]Grille_Tarifs_Modulable!$B$2:$B$204,MATCH(Tableau14[[#This Row],[Designation]]&amp;Tableau14[[#This Row],[CL]],[1]Grille_Tarifs_Modulable!$C$2:$C$204&amp;[1]Grille_Tarifs_Modulable!$F$2:$F$204,0)),0)</f>
        <v>4067700013859</v>
      </c>
      <c r="L1697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12.532563499999998</v>
      </c>
      <c r="M1697" s="228">
        <f>IF(Tableau14[[#This Row],[Prix_Unit_HT]]=0,0,Tableau14[[#This Row],[Prix_Unit_HT]]+(Tableau14[[#This Row],[Prix_Unit_HT]]*VLOOKUP(Tableau14[[#This Row],[EAN]],[1]Grille_Tarifs_Modulable!$B$10:$Q$204,16,FALSE)))</f>
        <v>15.039076199999998</v>
      </c>
      <c r="N1697" s="224">
        <v>240</v>
      </c>
      <c r="O1697" s="228">
        <f>ROUND(Tableau14[[#This Row],[Prix_Unit_HT]],2)*Tableau14[[#This Row],[Qte_commande]]</f>
        <v>3007.2</v>
      </c>
      <c r="P1697" s="228">
        <f>ROUND(Tableau14[[#This Row],[Prix_Unit_TTC]],2)*Tableau14[[#This Row],[Qte_commande]]</f>
        <v>3609.6</v>
      </c>
      <c r="Q1697" s="224">
        <v>240</v>
      </c>
      <c r="R1697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240.00000000000003</v>
      </c>
      <c r="U1697" s="224"/>
      <c r="V1697" s="224"/>
    </row>
    <row r="1698" spans="1:22" ht="14.65" customHeight="1" x14ac:dyDescent="0.2">
      <c r="A1698" s="225">
        <v>43731</v>
      </c>
      <c r="B1698" s="224" t="s">
        <v>284</v>
      </c>
      <c r="C1698" s="224" t="s">
        <v>232</v>
      </c>
      <c r="D1698" s="224" t="s">
        <v>233</v>
      </c>
      <c r="E1698" s="226"/>
      <c r="G1698" s="224" t="s">
        <v>13</v>
      </c>
      <c r="H1698" s="224" t="s">
        <v>196</v>
      </c>
      <c r="I1698" s="224" t="s">
        <v>66</v>
      </c>
      <c r="J1698" s="224">
        <v>20</v>
      </c>
      <c r="K1698" s="227">
        <f t="array" ref="K1698">IFERROR(INDEX([1]Grille_Tarifs_Modulable!$B$2:$B$204,MATCH(Tableau14[[#This Row],[Designation]]&amp;Tableau14[[#This Row],[CL]],[1]Grille_Tarifs_Modulable!$C$2:$C$204&amp;[1]Grille_Tarifs_Modulable!$F$2:$F$204,0)),0)</f>
        <v>4260310554785</v>
      </c>
      <c r="L1698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0.89</v>
      </c>
      <c r="M1698" s="228">
        <f>IF(Tableau14[[#This Row],[Prix_Unit_HT]]=0,0,Tableau14[[#This Row],[Prix_Unit_HT]]+(Tableau14[[#This Row],[Prix_Unit_HT]]*VLOOKUP(Tableau14[[#This Row],[EAN]],[1]Grille_Tarifs_Modulable!$B$10:$Q$204,16,FALSE)))</f>
        <v>0.93895000000000006</v>
      </c>
      <c r="N1698" s="224">
        <v>192</v>
      </c>
      <c r="O1698" s="228">
        <f>ROUND(Tableau14[[#This Row],[Prix_Unit_HT]],2)*Tableau14[[#This Row],[Qte_commande]]</f>
        <v>170.88</v>
      </c>
      <c r="P1698" s="228">
        <f>ROUND(Tableau14[[#This Row],[Prix_Unit_TTC]],2)*Tableau14[[#This Row],[Qte_commande]]</f>
        <v>180.48</v>
      </c>
      <c r="Q1698" s="224">
        <v>54.86</v>
      </c>
      <c r="R1698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54.857142857142861</v>
      </c>
      <c r="U1698" s="224"/>
      <c r="V1698" s="224"/>
    </row>
    <row r="1699" spans="1:22" ht="14.65" customHeight="1" x14ac:dyDescent="0.2">
      <c r="A1699" s="225">
        <v>43731</v>
      </c>
      <c r="B1699" s="224" t="s">
        <v>763</v>
      </c>
      <c r="C1699" s="224" t="s">
        <v>265</v>
      </c>
      <c r="D1699" s="224" t="s">
        <v>266</v>
      </c>
      <c r="E1699" s="226"/>
      <c r="G1699" s="224" t="s">
        <v>13</v>
      </c>
      <c r="H1699" s="224" t="s">
        <v>196</v>
      </c>
      <c r="I1699" s="224" t="s">
        <v>66</v>
      </c>
      <c r="J1699" s="224">
        <v>20</v>
      </c>
      <c r="K1699" s="227">
        <f t="array" ref="K1699">IFERROR(INDEX([1]Grille_Tarifs_Modulable!$B$2:$B$204,MATCH(Tableau14[[#This Row],[Designation]]&amp;Tableau14[[#This Row],[CL]],[1]Grille_Tarifs_Modulable!$C$2:$C$204&amp;[1]Grille_Tarifs_Modulable!$F$2:$F$204,0)),0)</f>
        <v>4260310554785</v>
      </c>
      <c r="L1699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0.89</v>
      </c>
      <c r="M1699" s="228">
        <f>IF(Tableau14[[#This Row],[Prix_Unit_HT]]=0,0,Tableau14[[#This Row],[Prix_Unit_HT]]+(Tableau14[[#This Row],[Prix_Unit_HT]]*VLOOKUP(Tableau14[[#This Row],[EAN]],[1]Grille_Tarifs_Modulable!$B$10:$Q$204,16,FALSE)))</f>
        <v>0.93895000000000006</v>
      </c>
      <c r="N1699" s="224">
        <v>96</v>
      </c>
      <c r="O1699" s="228">
        <f>ROUND(Tableau14[[#This Row],[Prix_Unit_HT]],2)*Tableau14[[#This Row],[Qte_commande]]</f>
        <v>85.44</v>
      </c>
      <c r="P1699" s="228">
        <f>ROUND(Tableau14[[#This Row],[Prix_Unit_TTC]],2)*Tableau14[[#This Row],[Qte_commande]]</f>
        <v>90.24</v>
      </c>
      <c r="Q1699" s="224">
        <v>27.43</v>
      </c>
      <c r="R1699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27.428571428571431</v>
      </c>
      <c r="U1699" s="224"/>
      <c r="V1699" s="224"/>
    </row>
    <row r="1700" spans="1:22" ht="14.65" customHeight="1" x14ac:dyDescent="0.2">
      <c r="A1700" s="225">
        <v>43731</v>
      </c>
      <c r="B1700" s="224" t="s">
        <v>256</v>
      </c>
      <c r="C1700" s="224" t="s">
        <v>214</v>
      </c>
      <c r="D1700" s="224" t="s">
        <v>215</v>
      </c>
      <c r="E1700" s="226"/>
      <c r="G1700" s="224" t="s">
        <v>13</v>
      </c>
      <c r="H1700" s="224" t="s">
        <v>196</v>
      </c>
      <c r="I1700" s="224" t="s">
        <v>66</v>
      </c>
      <c r="J1700" s="224">
        <v>20</v>
      </c>
      <c r="K1700" s="227">
        <f t="array" ref="K1700">IFERROR(INDEX([1]Grille_Tarifs_Modulable!$B$2:$B$204,MATCH(Tableau14[[#This Row],[Designation]]&amp;Tableau14[[#This Row],[CL]],[1]Grille_Tarifs_Modulable!$C$2:$C$204&amp;[1]Grille_Tarifs_Modulable!$F$2:$F$204,0)),0)</f>
        <v>4260310554785</v>
      </c>
      <c r="L1700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0.89</v>
      </c>
      <c r="M1700" s="228">
        <f>IF(Tableau14[[#This Row],[Prix_Unit_HT]]=0,0,Tableau14[[#This Row],[Prix_Unit_HT]]+(Tableau14[[#This Row],[Prix_Unit_HT]]*VLOOKUP(Tableau14[[#This Row],[EAN]],[1]Grille_Tarifs_Modulable!$B$10:$Q$204,16,FALSE)))</f>
        <v>0.93895000000000006</v>
      </c>
      <c r="N1700" s="224">
        <v>24</v>
      </c>
      <c r="O1700" s="228">
        <f>ROUND(Tableau14[[#This Row],[Prix_Unit_HT]],2)*Tableau14[[#This Row],[Qte_commande]]</f>
        <v>21.36</v>
      </c>
      <c r="P1700" s="228">
        <f>ROUND(Tableau14[[#This Row],[Prix_Unit_TTC]],2)*Tableau14[[#This Row],[Qte_commande]]</f>
        <v>22.56</v>
      </c>
      <c r="Q1700" s="224">
        <v>6.86</v>
      </c>
      <c r="R1700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6.8571428571428577</v>
      </c>
      <c r="U1700" s="224"/>
      <c r="V1700" s="224"/>
    </row>
    <row r="1701" spans="1:22" ht="14.65" customHeight="1" x14ac:dyDescent="0.2">
      <c r="A1701" s="225">
        <v>43731</v>
      </c>
      <c r="B1701" s="224" t="s">
        <v>284</v>
      </c>
      <c r="C1701" s="224" t="s">
        <v>232</v>
      </c>
      <c r="D1701" s="224" t="s">
        <v>233</v>
      </c>
      <c r="E1701" s="226"/>
      <c r="G1701" s="224" t="s">
        <v>1</v>
      </c>
      <c r="H1701" s="224" t="s">
        <v>289</v>
      </c>
      <c r="I1701" s="224" t="s">
        <v>30</v>
      </c>
      <c r="J1701" s="224">
        <v>70</v>
      </c>
      <c r="K1701" s="227">
        <f t="array" ref="K1701">IFERROR(INDEX([1]Grille_Tarifs_Modulable!$B$2:$B$204,MATCH(Tableau14[[#This Row],[Designation]]&amp;Tableau14[[#This Row],[CL]],[1]Grille_Tarifs_Modulable!$C$2:$C$204&amp;[1]Grille_Tarifs_Modulable!$F$2:$F$204,0)),0)</f>
        <v>3257150101904</v>
      </c>
      <c r="L1701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16.346482999999999</v>
      </c>
      <c r="M1701" s="228">
        <f>IF(Tableau14[[#This Row],[Prix_Unit_HT]]=0,0,Tableau14[[#This Row],[Prix_Unit_HT]]+(Tableau14[[#This Row],[Prix_Unit_HT]]*VLOOKUP(Tableau14[[#This Row],[EAN]],[1]Grille_Tarifs_Modulable!$B$10:$Q$204,16,FALSE)))</f>
        <v>19.6157796</v>
      </c>
      <c r="N1701" s="224">
        <v>6</v>
      </c>
      <c r="O1701" s="228">
        <f>ROUND(Tableau14[[#This Row],[Prix_Unit_HT]],2)*Tableau14[[#This Row],[Qte_commande]]</f>
        <v>98.100000000000009</v>
      </c>
      <c r="P1701" s="228">
        <f>ROUND(Tableau14[[#This Row],[Prix_Unit_TTC]],2)*Tableau14[[#This Row],[Qte_commande]]</f>
        <v>117.72</v>
      </c>
      <c r="Q1701" s="224">
        <v>6</v>
      </c>
      <c r="R1701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6.0000000000000009</v>
      </c>
      <c r="U1701" s="224"/>
      <c r="V1701" s="224"/>
    </row>
    <row r="1702" spans="1:22" ht="14.65" customHeight="1" x14ac:dyDescent="0.2">
      <c r="A1702" s="225">
        <v>43731</v>
      </c>
      <c r="B1702" s="224" t="s">
        <v>868</v>
      </c>
      <c r="C1702" s="224" t="s">
        <v>378</v>
      </c>
      <c r="D1702" s="224" t="s">
        <v>429</v>
      </c>
      <c r="E1702" s="226"/>
      <c r="G1702" s="224" t="s">
        <v>13</v>
      </c>
      <c r="H1702" s="224" t="s">
        <v>289</v>
      </c>
      <c r="I1702" s="224" t="s">
        <v>30</v>
      </c>
      <c r="J1702" s="224">
        <v>70</v>
      </c>
      <c r="K1702" s="227">
        <f t="array" ref="K1702">IFERROR(INDEX([1]Grille_Tarifs_Modulable!$B$2:$B$204,MATCH(Tableau14[[#This Row],[Designation]]&amp;Tableau14[[#This Row],[CL]],[1]Grille_Tarifs_Modulable!$C$2:$C$204&amp;[1]Grille_Tarifs_Modulable!$F$2:$F$204,0)),0)</f>
        <v>3257150101904</v>
      </c>
      <c r="L1702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18.506483000000003</v>
      </c>
      <c r="M1702" s="228">
        <f>IF(Tableau14[[#This Row],[Prix_Unit_HT]]=0,0,Tableau14[[#This Row],[Prix_Unit_HT]]+(Tableau14[[#This Row],[Prix_Unit_HT]]*VLOOKUP(Tableau14[[#This Row],[EAN]],[1]Grille_Tarifs_Modulable!$B$10:$Q$204,16,FALSE)))</f>
        <v>22.207779600000002</v>
      </c>
      <c r="N1702" s="224">
        <v>6</v>
      </c>
      <c r="O1702" s="228">
        <f>ROUND(Tableau14[[#This Row],[Prix_Unit_HT]],2)*Tableau14[[#This Row],[Qte_commande]]</f>
        <v>111.06</v>
      </c>
      <c r="P1702" s="228">
        <f>ROUND(Tableau14[[#This Row],[Prix_Unit_TTC]],2)*Tableau14[[#This Row],[Qte_commande]]</f>
        <v>133.26</v>
      </c>
      <c r="Q1702" s="224">
        <v>6</v>
      </c>
      <c r="R1702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6.0000000000000009</v>
      </c>
      <c r="U1702" s="224"/>
      <c r="V1702" s="224"/>
    </row>
    <row r="1703" spans="1:22" ht="14.65" customHeight="1" x14ac:dyDescent="0.2">
      <c r="A1703" s="225">
        <v>43731</v>
      </c>
      <c r="B1703" s="224" t="s">
        <v>284</v>
      </c>
      <c r="C1703" s="224" t="s">
        <v>232</v>
      </c>
      <c r="D1703" s="224" t="s">
        <v>233</v>
      </c>
      <c r="E1703" s="226"/>
      <c r="G1703" s="224" t="s">
        <v>1</v>
      </c>
      <c r="H1703" s="224" t="s">
        <v>289</v>
      </c>
      <c r="I1703" s="224" t="s">
        <v>32</v>
      </c>
      <c r="J1703" s="224">
        <v>70</v>
      </c>
      <c r="K1703" s="227">
        <f t="array" ref="K1703">IFERROR(INDEX([1]Grille_Tarifs_Modulable!$B$2:$B$204,MATCH(Tableau14[[#This Row],[Designation]]&amp;Tableau14[[#This Row],[CL]],[1]Grille_Tarifs_Modulable!$C$2:$C$204&amp;[1]Grille_Tarifs_Modulable!$F$2:$F$204,0)),0)</f>
        <v>3257150100228</v>
      </c>
      <c r="L1703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19.998643999999999</v>
      </c>
      <c r="M1703" s="228">
        <f>IF(Tableau14[[#This Row],[Prix_Unit_HT]]=0,0,Tableau14[[#This Row],[Prix_Unit_HT]]+(Tableau14[[#This Row],[Prix_Unit_HT]]*VLOOKUP(Tableau14[[#This Row],[EAN]],[1]Grille_Tarifs_Modulable!$B$10:$Q$204,16,FALSE)))</f>
        <v>23.998372799999999</v>
      </c>
      <c r="N1703" s="224">
        <v>6</v>
      </c>
      <c r="O1703" s="228">
        <f>ROUND(Tableau14[[#This Row],[Prix_Unit_HT]],2)*Tableau14[[#This Row],[Qte_commande]]</f>
        <v>120</v>
      </c>
      <c r="P1703" s="228">
        <f>ROUND(Tableau14[[#This Row],[Prix_Unit_TTC]],2)*Tableau14[[#This Row],[Qte_commande]]</f>
        <v>144</v>
      </c>
      <c r="Q1703" s="224">
        <v>6</v>
      </c>
      <c r="R1703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6.0000000000000009</v>
      </c>
      <c r="U1703" s="224"/>
      <c r="V1703" s="224"/>
    </row>
    <row r="1704" spans="1:22" ht="14.65" customHeight="1" x14ac:dyDescent="0.2">
      <c r="A1704" s="225">
        <v>43731</v>
      </c>
      <c r="B1704" s="224" t="s">
        <v>872</v>
      </c>
      <c r="C1704" s="224" t="s">
        <v>488</v>
      </c>
      <c r="D1704" s="224" t="s">
        <v>489</v>
      </c>
      <c r="E1704" s="226"/>
      <c r="G1704" s="224" t="s">
        <v>13</v>
      </c>
      <c r="H1704" s="224" t="s">
        <v>289</v>
      </c>
      <c r="I1704" s="224" t="s">
        <v>32</v>
      </c>
      <c r="J1704" s="224">
        <v>70</v>
      </c>
      <c r="K1704" s="227">
        <f t="array" ref="K1704">IFERROR(INDEX([1]Grille_Tarifs_Modulable!$B$2:$B$204,MATCH(Tableau14[[#This Row],[Designation]]&amp;Tableau14[[#This Row],[CL]],[1]Grille_Tarifs_Modulable!$C$2:$C$204&amp;[1]Grille_Tarifs_Modulable!$F$2:$F$204,0)),0)</f>
        <v>3257150100228</v>
      </c>
      <c r="L1704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21.488644000000001</v>
      </c>
      <c r="M1704" s="228">
        <f>IF(Tableau14[[#This Row],[Prix_Unit_HT]]=0,0,Tableau14[[#This Row],[Prix_Unit_HT]]+(Tableau14[[#This Row],[Prix_Unit_HT]]*VLOOKUP(Tableau14[[#This Row],[EAN]],[1]Grille_Tarifs_Modulable!$B$10:$Q$204,16,FALSE)))</f>
        <v>25.786372800000002</v>
      </c>
      <c r="N1704" s="224">
        <v>6</v>
      </c>
      <c r="O1704" s="228">
        <f>ROUND(Tableau14[[#This Row],[Prix_Unit_HT]],2)*Tableau14[[#This Row],[Qte_commande]]</f>
        <v>128.94</v>
      </c>
      <c r="P1704" s="228">
        <f>ROUND(Tableau14[[#This Row],[Prix_Unit_TTC]],2)*Tableau14[[#This Row],[Qte_commande]]</f>
        <v>154.74</v>
      </c>
      <c r="Q1704" s="224">
        <v>6</v>
      </c>
      <c r="R1704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6.0000000000000009</v>
      </c>
      <c r="U1704" s="224"/>
      <c r="V1704" s="224"/>
    </row>
    <row r="1705" spans="1:22" ht="14.65" customHeight="1" x14ac:dyDescent="0.2">
      <c r="A1705" s="225">
        <v>43731</v>
      </c>
      <c r="B1705" s="224" t="s">
        <v>873</v>
      </c>
      <c r="C1705" s="224" t="s">
        <v>320</v>
      </c>
      <c r="D1705" s="224" t="s">
        <v>270</v>
      </c>
      <c r="E1705" s="226"/>
      <c r="G1705" s="224" t="s">
        <v>13</v>
      </c>
      <c r="H1705" s="224" t="s">
        <v>289</v>
      </c>
      <c r="I1705" s="224" t="s">
        <v>32</v>
      </c>
      <c r="J1705" s="224">
        <v>70</v>
      </c>
      <c r="K1705" s="227">
        <f t="array" ref="K1705">IFERROR(INDEX([1]Grille_Tarifs_Modulable!$B$2:$B$204,MATCH(Tableau14[[#This Row],[Designation]]&amp;Tableau14[[#This Row],[CL]],[1]Grille_Tarifs_Modulable!$C$2:$C$204&amp;[1]Grille_Tarifs_Modulable!$F$2:$F$204,0)),0)</f>
        <v>3257150100228</v>
      </c>
      <c r="L1705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21.488644000000001</v>
      </c>
      <c r="M1705" s="228">
        <f>IF(Tableau14[[#This Row],[Prix_Unit_HT]]=0,0,Tableau14[[#This Row],[Prix_Unit_HT]]+(Tableau14[[#This Row],[Prix_Unit_HT]]*VLOOKUP(Tableau14[[#This Row],[EAN]],[1]Grille_Tarifs_Modulable!$B$10:$Q$204,16,FALSE)))</f>
        <v>25.786372800000002</v>
      </c>
      <c r="N1705" s="224">
        <v>12</v>
      </c>
      <c r="O1705" s="228">
        <f>ROUND(Tableau14[[#This Row],[Prix_Unit_HT]],2)*Tableau14[[#This Row],[Qte_commande]]</f>
        <v>257.88</v>
      </c>
      <c r="P1705" s="228">
        <f>ROUND(Tableau14[[#This Row],[Prix_Unit_TTC]],2)*Tableau14[[#This Row],[Qte_commande]]</f>
        <v>309.48</v>
      </c>
      <c r="Q1705" s="224">
        <v>12</v>
      </c>
      <c r="R1705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12.000000000000002</v>
      </c>
      <c r="U1705" s="224"/>
      <c r="V1705" s="224"/>
    </row>
    <row r="1706" spans="1:22" ht="14.65" customHeight="1" x14ac:dyDescent="0.2">
      <c r="A1706" s="225">
        <v>43731</v>
      </c>
      <c r="B1706" s="224" t="s">
        <v>284</v>
      </c>
      <c r="C1706" s="224" t="s">
        <v>232</v>
      </c>
      <c r="D1706" s="224" t="s">
        <v>233</v>
      </c>
      <c r="E1706" s="226"/>
      <c r="G1706" s="224" t="s">
        <v>1</v>
      </c>
      <c r="H1706" s="224" t="s">
        <v>289</v>
      </c>
      <c r="I1706" s="224" t="s">
        <v>31</v>
      </c>
      <c r="J1706" s="224">
        <v>70</v>
      </c>
      <c r="K1706" s="227">
        <f t="array" ref="K1706">IFERROR(INDEX([1]Grille_Tarifs_Modulable!$B$2:$B$204,MATCH(Tableau14[[#This Row],[Designation]]&amp;Tableau14[[#This Row],[CL]],[1]Grille_Tarifs_Modulable!$C$2:$C$204&amp;[1]Grille_Tarifs_Modulable!$F$2:$F$204,0)),0)</f>
        <v>3257150102017</v>
      </c>
      <c r="L1706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14.694322</v>
      </c>
      <c r="M1706" s="228">
        <f>IF(Tableau14[[#This Row],[Prix_Unit_HT]]=0,0,Tableau14[[#This Row],[Prix_Unit_HT]]+(Tableau14[[#This Row],[Prix_Unit_HT]]*VLOOKUP(Tableau14[[#This Row],[EAN]],[1]Grille_Tarifs_Modulable!$B$10:$Q$204,16,FALSE)))</f>
        <v>17.6331864</v>
      </c>
      <c r="N1706" s="224">
        <v>6</v>
      </c>
      <c r="O1706" s="228">
        <f>ROUND(Tableau14[[#This Row],[Prix_Unit_HT]],2)*Tableau14[[#This Row],[Qte_commande]]</f>
        <v>88.14</v>
      </c>
      <c r="P1706" s="228">
        <f>ROUND(Tableau14[[#This Row],[Prix_Unit_TTC]],2)*Tableau14[[#This Row],[Qte_commande]]</f>
        <v>105.78</v>
      </c>
      <c r="Q1706" s="224">
        <v>6</v>
      </c>
      <c r="R1706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6.0000000000000009</v>
      </c>
      <c r="U1706" s="224"/>
      <c r="V1706" s="224"/>
    </row>
    <row r="1707" spans="1:22" ht="14.65" customHeight="1" x14ac:dyDescent="0.2">
      <c r="A1707" s="225">
        <v>43731</v>
      </c>
      <c r="B1707" s="224" t="s">
        <v>868</v>
      </c>
      <c r="C1707" s="224" t="s">
        <v>378</v>
      </c>
      <c r="D1707" s="224" t="s">
        <v>429</v>
      </c>
      <c r="E1707" s="226"/>
      <c r="G1707" s="224" t="s">
        <v>13</v>
      </c>
      <c r="H1707" s="224" t="s">
        <v>289</v>
      </c>
      <c r="I1707" s="224" t="s">
        <v>31</v>
      </c>
      <c r="J1707" s="224">
        <v>70</v>
      </c>
      <c r="K1707" s="227">
        <f t="array" ref="K1707">IFERROR(INDEX([1]Grille_Tarifs_Modulable!$B$2:$B$204,MATCH(Tableau14[[#This Row],[Designation]]&amp;Tableau14[[#This Row],[CL]],[1]Grille_Tarifs_Modulable!$C$2:$C$204&amp;[1]Grille_Tarifs_Modulable!$F$2:$F$204,0)),0)</f>
        <v>3257150102017</v>
      </c>
      <c r="L1707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16.854322</v>
      </c>
      <c r="M1707" s="228">
        <f>IF(Tableau14[[#This Row],[Prix_Unit_HT]]=0,0,Tableau14[[#This Row],[Prix_Unit_HT]]+(Tableau14[[#This Row],[Prix_Unit_HT]]*VLOOKUP(Tableau14[[#This Row],[EAN]],[1]Grille_Tarifs_Modulable!$B$10:$Q$204,16,FALSE)))</f>
        <v>20.225186399999998</v>
      </c>
      <c r="N1707" s="224">
        <v>6</v>
      </c>
      <c r="O1707" s="228">
        <f>ROUND(Tableau14[[#This Row],[Prix_Unit_HT]],2)*Tableau14[[#This Row],[Qte_commande]]</f>
        <v>101.10000000000001</v>
      </c>
      <c r="P1707" s="228">
        <f>ROUND(Tableau14[[#This Row],[Prix_Unit_TTC]],2)*Tableau14[[#This Row],[Qte_commande]]</f>
        <v>121.38</v>
      </c>
      <c r="Q1707" s="224">
        <v>6</v>
      </c>
      <c r="R1707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6.0000000000000009</v>
      </c>
      <c r="U1707" s="224"/>
      <c r="V1707" s="224"/>
    </row>
    <row r="1708" spans="1:22" ht="14.65" customHeight="1" x14ac:dyDescent="0.2">
      <c r="A1708" s="225">
        <v>43731</v>
      </c>
      <c r="B1708" s="224" t="s">
        <v>256</v>
      </c>
      <c r="C1708" s="224" t="s">
        <v>214</v>
      </c>
      <c r="D1708" s="224" t="s">
        <v>215</v>
      </c>
      <c r="E1708" s="226"/>
      <c r="G1708" s="224" t="s">
        <v>1</v>
      </c>
      <c r="H1708" s="224" t="s">
        <v>289</v>
      </c>
      <c r="I1708" s="224" t="s">
        <v>44</v>
      </c>
      <c r="J1708" s="224">
        <v>50</v>
      </c>
      <c r="K1708" s="227">
        <f t="array" ref="K1708">IFERROR(INDEX([1]Grille_Tarifs_Modulable!$B$2:$B$204,MATCH(Tableau14[[#This Row],[Designation]]&amp;Tableau14[[#This Row],[CL]],[1]Grille_Tarifs_Modulable!$C$2:$C$204&amp;[1]Grille_Tarifs_Modulable!$F$2:$F$204,0)),0)</f>
        <v>4260270192645</v>
      </c>
      <c r="L1708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25.192506000000002</v>
      </c>
      <c r="M1708" s="228">
        <f>IF(Tableau14[[#This Row],[Prix_Unit_HT]]=0,0,Tableau14[[#This Row],[Prix_Unit_HT]]+(Tableau14[[#This Row],[Prix_Unit_HT]]*VLOOKUP(Tableau14[[#This Row],[EAN]],[1]Grille_Tarifs_Modulable!$B$10:$Q$204,16,FALSE)))</f>
        <v>30.231007200000001</v>
      </c>
      <c r="N1708" s="224">
        <v>12</v>
      </c>
      <c r="O1708" s="228">
        <f>ROUND(Tableau14[[#This Row],[Prix_Unit_HT]],2)*Tableau14[[#This Row],[Qte_commande]]</f>
        <v>302.28000000000003</v>
      </c>
      <c r="P1708" s="228">
        <f>ROUND(Tableau14[[#This Row],[Prix_Unit_TTC]],2)*Tableau14[[#This Row],[Qte_commande]]</f>
        <v>362.76</v>
      </c>
      <c r="Q1708" s="224">
        <v>8.57</v>
      </c>
      <c r="R1708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8.5714285714285712</v>
      </c>
      <c r="U1708" s="224"/>
      <c r="V1708" s="224"/>
    </row>
    <row r="1709" spans="1:22" ht="14.65" customHeight="1" x14ac:dyDescent="0.2">
      <c r="A1709" s="225">
        <v>43731</v>
      </c>
      <c r="B1709" s="224" t="s">
        <v>284</v>
      </c>
      <c r="C1709" s="224" t="s">
        <v>232</v>
      </c>
      <c r="D1709" s="224" t="s">
        <v>233</v>
      </c>
      <c r="E1709" s="226"/>
      <c r="G1709" s="224" t="s">
        <v>1</v>
      </c>
      <c r="H1709" s="224" t="s">
        <v>289</v>
      </c>
      <c r="I1709" s="224" t="s">
        <v>25</v>
      </c>
      <c r="J1709" s="224">
        <v>70</v>
      </c>
      <c r="K1709" s="227">
        <f t="array" ref="K1709">IFERROR(INDEX([1]Grille_Tarifs_Modulable!$B$2:$B$204,MATCH(Tableau14[[#This Row],[Designation]]&amp;Tableau14[[#This Row],[CL]],[1]Grille_Tarifs_Modulable!$C$2:$C$204&amp;[1]Grille_Tarifs_Modulable!$F$2:$F$204,0)),0)</f>
        <v>8500000917015</v>
      </c>
      <c r="L1709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11.8982118</v>
      </c>
      <c r="M1709" s="228">
        <f>IF(Tableau14[[#This Row],[Prix_Unit_HT]]=0,0,Tableau14[[#This Row],[Prix_Unit_HT]]+(Tableau14[[#This Row],[Prix_Unit_HT]]*VLOOKUP(Tableau14[[#This Row],[EAN]],[1]Grille_Tarifs_Modulable!$B$10:$Q$204,16,FALSE)))</f>
        <v>14.27785416</v>
      </c>
      <c r="N1709" s="224">
        <v>24</v>
      </c>
      <c r="O1709" s="228">
        <f>ROUND(Tableau14[[#This Row],[Prix_Unit_HT]],2)*Tableau14[[#This Row],[Qte_commande]]</f>
        <v>285.60000000000002</v>
      </c>
      <c r="P1709" s="228">
        <f>ROUND(Tableau14[[#This Row],[Prix_Unit_TTC]],2)*Tableau14[[#This Row],[Qte_commande]]</f>
        <v>342.71999999999997</v>
      </c>
      <c r="Q1709" s="224">
        <v>24</v>
      </c>
      <c r="R1709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24.000000000000004</v>
      </c>
      <c r="U1709" s="224"/>
      <c r="V1709" s="224"/>
    </row>
    <row r="1710" spans="1:22" ht="14.65" customHeight="1" x14ac:dyDescent="0.2">
      <c r="A1710" s="225">
        <v>43731</v>
      </c>
      <c r="B1710" s="224" t="s">
        <v>284</v>
      </c>
      <c r="C1710" s="224" t="s">
        <v>232</v>
      </c>
      <c r="D1710" s="224" t="s">
        <v>233</v>
      </c>
      <c r="E1710" s="226"/>
      <c r="G1710" s="224" t="s">
        <v>1</v>
      </c>
      <c r="H1710" s="224" t="s">
        <v>196</v>
      </c>
      <c r="I1710" s="224" t="s">
        <v>64</v>
      </c>
      <c r="J1710" s="224">
        <v>20</v>
      </c>
      <c r="K1710" s="227">
        <f t="array" ref="K1710">IFERROR(INDEX([1]Grille_Tarifs_Modulable!$B$2:$B$204,MATCH(Tableau14[[#This Row],[Designation]]&amp;Tableau14[[#This Row],[CL]],[1]Grille_Tarifs_Modulable!$C$2:$C$204&amp;[1]Grille_Tarifs_Modulable!$F$2:$F$204,0)),0)</f>
        <v>4260310553849</v>
      </c>
      <c r="L1710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0.81</v>
      </c>
      <c r="M1710" s="228">
        <f>IF(Tableau14[[#This Row],[Prix_Unit_HT]]=0,0,Tableau14[[#This Row],[Prix_Unit_HT]]+(Tableau14[[#This Row],[Prix_Unit_HT]]*VLOOKUP(Tableau14[[#This Row],[EAN]],[1]Grille_Tarifs_Modulable!$B$10:$Q$204,16,FALSE)))</f>
        <v>0.85455000000000003</v>
      </c>
      <c r="N1710" s="224">
        <v>192</v>
      </c>
      <c r="O1710" s="228">
        <f>ROUND(Tableau14[[#This Row],[Prix_Unit_HT]],2)*Tableau14[[#This Row],[Qte_commande]]</f>
        <v>155.52000000000001</v>
      </c>
      <c r="P1710" s="228">
        <f>ROUND(Tableau14[[#This Row],[Prix_Unit_TTC]],2)*Tableau14[[#This Row],[Qte_commande]]</f>
        <v>163.19999999999999</v>
      </c>
      <c r="Q1710" s="224">
        <v>54.86</v>
      </c>
      <c r="R1710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54.857142857142861</v>
      </c>
      <c r="U1710" s="224"/>
      <c r="V1710" s="224"/>
    </row>
    <row r="1711" spans="1:22" ht="14.65" customHeight="1" x14ac:dyDescent="0.2">
      <c r="A1711" s="225">
        <v>43731</v>
      </c>
      <c r="B1711" s="224" t="s">
        <v>763</v>
      </c>
      <c r="C1711" s="224" t="s">
        <v>265</v>
      </c>
      <c r="D1711" s="224" t="s">
        <v>266</v>
      </c>
      <c r="E1711" s="226"/>
      <c r="G1711" s="224" t="s">
        <v>1</v>
      </c>
      <c r="H1711" s="224" t="s">
        <v>196</v>
      </c>
      <c r="I1711" s="224" t="s">
        <v>64</v>
      </c>
      <c r="J1711" s="224">
        <v>20</v>
      </c>
      <c r="K1711" s="227">
        <f t="array" ref="K1711">IFERROR(INDEX([1]Grille_Tarifs_Modulable!$B$2:$B$204,MATCH(Tableau14[[#This Row],[Designation]]&amp;Tableau14[[#This Row],[CL]],[1]Grille_Tarifs_Modulable!$C$2:$C$204&amp;[1]Grille_Tarifs_Modulable!$F$2:$F$204,0)),0)</f>
        <v>4260310553849</v>
      </c>
      <c r="L1711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0.81</v>
      </c>
      <c r="M1711" s="228">
        <f>IF(Tableau14[[#This Row],[Prix_Unit_HT]]=0,0,Tableau14[[#This Row],[Prix_Unit_HT]]+(Tableau14[[#This Row],[Prix_Unit_HT]]*VLOOKUP(Tableau14[[#This Row],[EAN]],[1]Grille_Tarifs_Modulable!$B$10:$Q$204,16,FALSE)))</f>
        <v>0.85455000000000003</v>
      </c>
      <c r="N1711" s="224">
        <v>240</v>
      </c>
      <c r="O1711" s="228">
        <f>ROUND(Tableau14[[#This Row],[Prix_Unit_HT]],2)*Tableau14[[#This Row],[Qte_commande]]</f>
        <v>194.4</v>
      </c>
      <c r="P1711" s="228">
        <f>ROUND(Tableau14[[#This Row],[Prix_Unit_TTC]],2)*Tableau14[[#This Row],[Qte_commande]]</f>
        <v>204</v>
      </c>
      <c r="Q1711" s="224">
        <v>68.569999999999993</v>
      </c>
      <c r="R1711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68.571428571428569</v>
      </c>
      <c r="U1711" s="224"/>
      <c r="V1711" s="224"/>
    </row>
    <row r="1712" spans="1:22" ht="14.65" customHeight="1" x14ac:dyDescent="0.2">
      <c r="A1712" s="225">
        <v>43731</v>
      </c>
      <c r="B1712" s="224" t="s">
        <v>256</v>
      </c>
      <c r="C1712" s="224" t="s">
        <v>214</v>
      </c>
      <c r="D1712" s="224" t="s">
        <v>215</v>
      </c>
      <c r="E1712" s="226"/>
      <c r="G1712" s="224" t="s">
        <v>1</v>
      </c>
      <c r="H1712" s="224" t="s">
        <v>196</v>
      </c>
      <c r="I1712" s="224" t="s">
        <v>64</v>
      </c>
      <c r="J1712" s="224">
        <v>20</v>
      </c>
      <c r="K1712" s="227">
        <f t="array" ref="K1712">IFERROR(INDEX([1]Grille_Tarifs_Modulable!$B$2:$B$204,MATCH(Tableau14[[#This Row],[Designation]]&amp;Tableau14[[#This Row],[CL]],[1]Grille_Tarifs_Modulable!$C$2:$C$204&amp;[1]Grille_Tarifs_Modulable!$F$2:$F$204,0)),0)</f>
        <v>4260310553849</v>
      </c>
      <c r="L1712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0.81</v>
      </c>
      <c r="M1712" s="228">
        <f>IF(Tableau14[[#This Row],[Prix_Unit_HT]]=0,0,Tableau14[[#This Row],[Prix_Unit_HT]]+(Tableau14[[#This Row],[Prix_Unit_HT]]*VLOOKUP(Tableau14[[#This Row],[EAN]],[1]Grille_Tarifs_Modulable!$B$10:$Q$204,16,FALSE)))</f>
        <v>0.85455000000000003</v>
      </c>
      <c r="N1712" s="224">
        <v>480</v>
      </c>
      <c r="O1712" s="228">
        <f>ROUND(Tableau14[[#This Row],[Prix_Unit_HT]],2)*Tableau14[[#This Row],[Qte_commande]]</f>
        <v>388.8</v>
      </c>
      <c r="P1712" s="228">
        <f>ROUND(Tableau14[[#This Row],[Prix_Unit_TTC]],2)*Tableau14[[#This Row],[Qte_commande]]</f>
        <v>408</v>
      </c>
      <c r="Q1712" s="224">
        <v>137.13999999999999</v>
      </c>
      <c r="R1712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137.14285714285714</v>
      </c>
      <c r="U1712" s="224"/>
      <c r="V1712" s="224"/>
    </row>
    <row r="1713" spans="1:22" ht="14.65" customHeight="1" x14ac:dyDescent="0.2">
      <c r="A1713" s="225">
        <v>43731</v>
      </c>
      <c r="B1713" s="224" t="s">
        <v>1301</v>
      </c>
      <c r="C1713" s="224" t="s">
        <v>1271</v>
      </c>
      <c r="D1713" s="224" t="s">
        <v>233</v>
      </c>
      <c r="E1713" s="226"/>
      <c r="G1713" s="224" t="s">
        <v>13</v>
      </c>
      <c r="H1713" s="224" t="s">
        <v>451</v>
      </c>
      <c r="I1713" s="224" t="s">
        <v>71</v>
      </c>
      <c r="J1713" s="227">
        <v>1</v>
      </c>
      <c r="K1713" s="227">
        <f t="array" ref="K1713">IFERROR(INDEX([1]Grille_Tarifs_Modulable!$B$2:$B$204,MATCH(Tableau14[[#This Row],[Designation]]&amp;Tableau14[[#This Row],[CL]],[1]Grille_Tarifs_Modulable!$C$2:$C$204&amp;[1]Grille_Tarifs_Modulable!$F$2:$F$204,0)),0)</f>
        <v>122</v>
      </c>
      <c r="L1713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299</v>
      </c>
      <c r="M1713" s="228">
        <f>IF(Tableau14[[#This Row],[Prix_Unit_HT]]=0,0,Tableau14[[#This Row],[Prix_Unit_HT]]+(Tableau14[[#This Row],[Prix_Unit_HT]]*VLOOKUP(Tableau14[[#This Row],[EAN]],[1]Grille_Tarifs_Modulable!$B$10:$Q$204,16,FALSE)))</f>
        <v>358.8</v>
      </c>
      <c r="N1713" s="224">
        <v>1</v>
      </c>
      <c r="O1713" s="228">
        <f>ROUND(Tableau14[[#This Row],[Prix_Unit_HT]],2)*Tableau14[[#This Row],[Qte_commande]]</f>
        <v>299</v>
      </c>
      <c r="P1713" s="228">
        <f>ROUND(Tableau14[[#This Row],[Prix_Unit_TTC]],2)*Tableau14[[#This Row],[Qte_commande]]</f>
        <v>358.8</v>
      </c>
      <c r="Q1713" s="224">
        <v>1</v>
      </c>
      <c r="R1713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</v>
      </c>
      <c r="U1713" s="224"/>
      <c r="V1713" s="224"/>
    </row>
    <row r="1714" spans="1:22" ht="14.65" customHeight="1" x14ac:dyDescent="0.2">
      <c r="A1714" s="225">
        <v>43731</v>
      </c>
      <c r="B1714" s="224" t="s">
        <v>1302</v>
      </c>
      <c r="C1714" s="224" t="s">
        <v>1303</v>
      </c>
      <c r="D1714" s="224" t="s">
        <v>302</v>
      </c>
      <c r="E1714" s="226"/>
      <c r="G1714" s="224" t="s">
        <v>13</v>
      </c>
      <c r="H1714" s="224" t="s">
        <v>451</v>
      </c>
      <c r="I1714" s="224" t="s">
        <v>71</v>
      </c>
      <c r="J1714" s="227">
        <v>1</v>
      </c>
      <c r="K1714" s="227">
        <f t="array" ref="K1714">IFERROR(INDEX([1]Grille_Tarifs_Modulable!$B$2:$B$204,MATCH(Tableau14[[#This Row],[Designation]]&amp;Tableau14[[#This Row],[CL]],[1]Grille_Tarifs_Modulable!$C$2:$C$204&amp;[1]Grille_Tarifs_Modulable!$F$2:$F$204,0)),0)</f>
        <v>122</v>
      </c>
      <c r="L1714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299</v>
      </c>
      <c r="M1714" s="228">
        <f>IF(Tableau14[[#This Row],[Prix_Unit_HT]]=0,0,Tableau14[[#This Row],[Prix_Unit_HT]]+(Tableau14[[#This Row],[Prix_Unit_HT]]*VLOOKUP(Tableau14[[#This Row],[EAN]],[1]Grille_Tarifs_Modulable!$B$10:$Q$204,16,FALSE)))</f>
        <v>358.8</v>
      </c>
      <c r="N1714" s="224">
        <v>1</v>
      </c>
      <c r="O1714" s="228">
        <f>ROUND(Tableau14[[#This Row],[Prix_Unit_HT]],2)*Tableau14[[#This Row],[Qte_commande]]</f>
        <v>299</v>
      </c>
      <c r="P1714" s="228">
        <f>ROUND(Tableau14[[#This Row],[Prix_Unit_TTC]],2)*Tableau14[[#This Row],[Qte_commande]]</f>
        <v>358.8</v>
      </c>
      <c r="Q1714" s="224">
        <v>1</v>
      </c>
      <c r="R1714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</v>
      </c>
      <c r="U1714" s="224"/>
      <c r="V1714" s="224"/>
    </row>
    <row r="1715" spans="1:22" ht="14.65" customHeight="1" x14ac:dyDescent="0.2">
      <c r="A1715" s="225">
        <v>43731</v>
      </c>
      <c r="B1715" s="224" t="s">
        <v>1304</v>
      </c>
      <c r="C1715" s="224" t="s">
        <v>269</v>
      </c>
      <c r="D1715" s="224" t="s">
        <v>270</v>
      </c>
      <c r="E1715" s="226"/>
      <c r="G1715" s="224" t="s">
        <v>13</v>
      </c>
      <c r="H1715" s="224" t="s">
        <v>451</v>
      </c>
      <c r="I1715" s="224" t="s">
        <v>71</v>
      </c>
      <c r="J1715" s="227">
        <v>1</v>
      </c>
      <c r="K1715" s="227">
        <f t="array" ref="K1715">IFERROR(INDEX([1]Grille_Tarifs_Modulable!$B$2:$B$204,MATCH(Tableau14[[#This Row],[Designation]]&amp;Tableau14[[#This Row],[CL]],[1]Grille_Tarifs_Modulable!$C$2:$C$204&amp;[1]Grille_Tarifs_Modulable!$F$2:$F$204,0)),0)</f>
        <v>122</v>
      </c>
      <c r="L1715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299</v>
      </c>
      <c r="M1715" s="228">
        <f>IF(Tableau14[[#This Row],[Prix_Unit_HT]]=0,0,Tableau14[[#This Row],[Prix_Unit_HT]]+(Tableau14[[#This Row],[Prix_Unit_HT]]*VLOOKUP(Tableau14[[#This Row],[EAN]],[1]Grille_Tarifs_Modulable!$B$10:$Q$204,16,FALSE)))</f>
        <v>358.8</v>
      </c>
      <c r="N1715" s="224">
        <v>1</v>
      </c>
      <c r="O1715" s="228">
        <f>ROUND(Tableau14[[#This Row],[Prix_Unit_HT]],2)*Tableau14[[#This Row],[Qte_commande]]</f>
        <v>299</v>
      </c>
      <c r="P1715" s="228">
        <f>ROUND(Tableau14[[#This Row],[Prix_Unit_TTC]],2)*Tableau14[[#This Row],[Qte_commande]]</f>
        <v>358.8</v>
      </c>
      <c r="Q1715" s="224">
        <v>1</v>
      </c>
      <c r="R1715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</v>
      </c>
      <c r="U1715" s="224"/>
      <c r="V1715" s="224"/>
    </row>
    <row r="1716" spans="1:22" ht="14.65" customHeight="1" x14ac:dyDescent="0.2">
      <c r="A1716" s="225">
        <v>43731</v>
      </c>
      <c r="B1716" s="224" t="s">
        <v>1305</v>
      </c>
      <c r="C1716" s="224" t="s">
        <v>393</v>
      </c>
      <c r="D1716" s="224" t="s">
        <v>270</v>
      </c>
      <c r="E1716" s="226"/>
      <c r="G1716" s="224" t="s">
        <v>13</v>
      </c>
      <c r="H1716" s="224" t="s">
        <v>451</v>
      </c>
      <c r="I1716" s="224" t="s">
        <v>71</v>
      </c>
      <c r="J1716" s="227">
        <v>1</v>
      </c>
      <c r="K1716" s="227">
        <f t="array" ref="K1716">IFERROR(INDEX([1]Grille_Tarifs_Modulable!$B$2:$B$204,MATCH(Tableau14[[#This Row],[Designation]]&amp;Tableau14[[#This Row],[CL]],[1]Grille_Tarifs_Modulable!$C$2:$C$204&amp;[1]Grille_Tarifs_Modulable!$F$2:$F$204,0)),0)</f>
        <v>122</v>
      </c>
      <c r="L1716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299</v>
      </c>
      <c r="M1716" s="228">
        <f>IF(Tableau14[[#This Row],[Prix_Unit_HT]]=0,0,Tableau14[[#This Row],[Prix_Unit_HT]]+(Tableau14[[#This Row],[Prix_Unit_HT]]*VLOOKUP(Tableau14[[#This Row],[EAN]],[1]Grille_Tarifs_Modulable!$B$10:$Q$204,16,FALSE)))</f>
        <v>358.8</v>
      </c>
      <c r="N1716" s="224">
        <v>1</v>
      </c>
      <c r="O1716" s="228">
        <f>ROUND(Tableau14[[#This Row],[Prix_Unit_HT]],2)*Tableau14[[#This Row],[Qte_commande]]</f>
        <v>299</v>
      </c>
      <c r="P1716" s="228">
        <f>ROUND(Tableau14[[#This Row],[Prix_Unit_TTC]],2)*Tableau14[[#This Row],[Qte_commande]]</f>
        <v>358.8</v>
      </c>
      <c r="Q1716" s="224">
        <v>1</v>
      </c>
      <c r="R1716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</v>
      </c>
      <c r="U1716" s="224"/>
      <c r="V1716" s="224"/>
    </row>
    <row r="1717" spans="1:22" ht="14.65" customHeight="1" x14ac:dyDescent="0.2">
      <c r="A1717" s="225">
        <v>43731</v>
      </c>
      <c r="B1717" s="224" t="s">
        <v>1306</v>
      </c>
      <c r="C1717" s="224" t="s">
        <v>1307</v>
      </c>
      <c r="D1717" s="224" t="s">
        <v>302</v>
      </c>
      <c r="E1717" s="226"/>
      <c r="G1717" s="224" t="s">
        <v>13</v>
      </c>
      <c r="H1717" s="224" t="s">
        <v>451</v>
      </c>
      <c r="I1717" s="224" t="s">
        <v>71</v>
      </c>
      <c r="J1717" s="227">
        <v>1</v>
      </c>
      <c r="K1717" s="227">
        <f t="array" ref="K1717">IFERROR(INDEX([1]Grille_Tarifs_Modulable!$B$2:$B$204,MATCH(Tableau14[[#This Row],[Designation]]&amp;Tableau14[[#This Row],[CL]],[1]Grille_Tarifs_Modulable!$C$2:$C$204&amp;[1]Grille_Tarifs_Modulable!$F$2:$F$204,0)),0)</f>
        <v>122</v>
      </c>
      <c r="L1717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299</v>
      </c>
      <c r="M1717" s="228">
        <f>IF(Tableau14[[#This Row],[Prix_Unit_HT]]=0,0,Tableau14[[#This Row],[Prix_Unit_HT]]+(Tableau14[[#This Row],[Prix_Unit_HT]]*VLOOKUP(Tableau14[[#This Row],[EAN]],[1]Grille_Tarifs_Modulable!$B$10:$Q$204,16,FALSE)))</f>
        <v>358.8</v>
      </c>
      <c r="N1717" s="224">
        <v>1</v>
      </c>
      <c r="O1717" s="228">
        <f>ROUND(Tableau14[[#This Row],[Prix_Unit_HT]],2)*Tableau14[[#This Row],[Qte_commande]]</f>
        <v>299</v>
      </c>
      <c r="P1717" s="228">
        <f>ROUND(Tableau14[[#This Row],[Prix_Unit_TTC]],2)*Tableau14[[#This Row],[Qte_commande]]</f>
        <v>358.8</v>
      </c>
      <c r="Q1717" s="224">
        <v>1</v>
      </c>
      <c r="R1717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</v>
      </c>
      <c r="U1717" s="224"/>
      <c r="V1717" s="224"/>
    </row>
    <row r="1718" spans="1:22" ht="14.65" customHeight="1" x14ac:dyDescent="0.2">
      <c r="A1718" s="225">
        <v>43731</v>
      </c>
      <c r="B1718" s="224" t="s">
        <v>1308</v>
      </c>
      <c r="C1718" s="224" t="s">
        <v>1309</v>
      </c>
      <c r="D1718" s="224" t="s">
        <v>1310</v>
      </c>
      <c r="E1718" s="226"/>
      <c r="G1718" s="224" t="s">
        <v>13</v>
      </c>
      <c r="H1718" s="224" t="s">
        <v>451</v>
      </c>
      <c r="I1718" s="224" t="s">
        <v>71</v>
      </c>
      <c r="J1718" s="227">
        <v>1</v>
      </c>
      <c r="K1718" s="227">
        <f t="array" ref="K1718">IFERROR(INDEX([1]Grille_Tarifs_Modulable!$B$2:$B$204,MATCH(Tableau14[[#This Row],[Designation]]&amp;Tableau14[[#This Row],[CL]],[1]Grille_Tarifs_Modulable!$C$2:$C$204&amp;[1]Grille_Tarifs_Modulable!$F$2:$F$204,0)),0)</f>
        <v>122</v>
      </c>
      <c r="L1718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299</v>
      </c>
      <c r="M1718" s="228">
        <f>IF(Tableau14[[#This Row],[Prix_Unit_HT]]=0,0,Tableau14[[#This Row],[Prix_Unit_HT]]+(Tableau14[[#This Row],[Prix_Unit_HT]]*VLOOKUP(Tableau14[[#This Row],[EAN]],[1]Grille_Tarifs_Modulable!$B$10:$Q$204,16,FALSE)))</f>
        <v>358.8</v>
      </c>
      <c r="N1718" s="224">
        <v>1</v>
      </c>
      <c r="O1718" s="228">
        <f>ROUND(Tableau14[[#This Row],[Prix_Unit_HT]],2)*Tableau14[[#This Row],[Qte_commande]]</f>
        <v>299</v>
      </c>
      <c r="P1718" s="228">
        <f>ROUND(Tableau14[[#This Row],[Prix_Unit_TTC]],2)*Tableau14[[#This Row],[Qte_commande]]</f>
        <v>358.8</v>
      </c>
      <c r="Q1718" s="224">
        <v>1</v>
      </c>
      <c r="R1718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</v>
      </c>
      <c r="U1718" s="224"/>
      <c r="V1718" s="224"/>
    </row>
    <row r="1719" spans="1:22" ht="14.65" customHeight="1" x14ac:dyDescent="0.2">
      <c r="A1719" s="225">
        <v>43731</v>
      </c>
      <c r="B1719" s="224" t="s">
        <v>1311</v>
      </c>
      <c r="C1719" s="224" t="s">
        <v>179</v>
      </c>
      <c r="D1719" s="224" t="s">
        <v>443</v>
      </c>
      <c r="E1719" s="226"/>
      <c r="G1719" s="224" t="s">
        <v>13</v>
      </c>
      <c r="H1719" s="224" t="s">
        <v>451</v>
      </c>
      <c r="I1719" s="224" t="s">
        <v>71</v>
      </c>
      <c r="J1719" s="227">
        <v>1</v>
      </c>
      <c r="K1719" s="227">
        <f t="array" ref="K1719">IFERROR(INDEX([1]Grille_Tarifs_Modulable!$B$2:$B$204,MATCH(Tableau14[[#This Row],[Designation]]&amp;Tableau14[[#This Row],[CL]],[1]Grille_Tarifs_Modulable!$C$2:$C$204&amp;[1]Grille_Tarifs_Modulable!$F$2:$F$204,0)),0)</f>
        <v>122</v>
      </c>
      <c r="L1719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299</v>
      </c>
      <c r="M1719" s="228">
        <f>IF(Tableau14[[#This Row],[Prix_Unit_HT]]=0,0,Tableau14[[#This Row],[Prix_Unit_HT]]+(Tableau14[[#This Row],[Prix_Unit_HT]]*VLOOKUP(Tableau14[[#This Row],[EAN]],[1]Grille_Tarifs_Modulable!$B$10:$Q$204,16,FALSE)))</f>
        <v>358.8</v>
      </c>
      <c r="N1719" s="224">
        <v>1</v>
      </c>
      <c r="O1719" s="228">
        <f>ROUND(Tableau14[[#This Row],[Prix_Unit_HT]],2)*Tableau14[[#This Row],[Qte_commande]]</f>
        <v>299</v>
      </c>
      <c r="P1719" s="228">
        <f>ROUND(Tableau14[[#This Row],[Prix_Unit_TTC]],2)*Tableau14[[#This Row],[Qte_commande]]</f>
        <v>358.8</v>
      </c>
      <c r="Q1719" s="224">
        <v>1</v>
      </c>
      <c r="R1719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</v>
      </c>
      <c r="U1719" s="224"/>
      <c r="V1719" s="224"/>
    </row>
    <row r="1720" spans="1:22" ht="14.65" customHeight="1" x14ac:dyDescent="0.2">
      <c r="A1720" s="225">
        <v>43731</v>
      </c>
      <c r="B1720" s="224" t="s">
        <v>284</v>
      </c>
      <c r="C1720" s="224" t="s">
        <v>232</v>
      </c>
      <c r="D1720" s="224" t="s">
        <v>233</v>
      </c>
      <c r="E1720" s="226"/>
      <c r="G1720" s="224" t="s">
        <v>1</v>
      </c>
      <c r="H1720" s="224" t="s">
        <v>196</v>
      </c>
      <c r="I1720" s="224" t="s">
        <v>59</v>
      </c>
      <c r="J1720" s="224">
        <v>20</v>
      </c>
      <c r="K1720" s="227">
        <f t="array" ref="K1720">IFERROR(INDEX([1]Grille_Tarifs_Modulable!$B$2:$B$204,MATCH(Tableau14[[#This Row],[Designation]]&amp;Tableau14[[#This Row],[CL]],[1]Grille_Tarifs_Modulable!$C$2:$C$204&amp;[1]Grille_Tarifs_Modulable!$F$2:$F$204,0)),0)</f>
        <v>4260310553818</v>
      </c>
      <c r="L1720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0.81</v>
      </c>
      <c r="M1720" s="228">
        <f>IF(Tableau14[[#This Row],[Prix_Unit_HT]]=0,0,Tableau14[[#This Row],[Prix_Unit_HT]]+(Tableau14[[#This Row],[Prix_Unit_HT]]*VLOOKUP(Tableau14[[#This Row],[EAN]],[1]Grille_Tarifs_Modulable!$B$10:$Q$204,16,FALSE)))</f>
        <v>0.85455000000000003</v>
      </c>
      <c r="N1720" s="224">
        <v>480</v>
      </c>
      <c r="O1720" s="228">
        <f>ROUND(Tableau14[[#This Row],[Prix_Unit_HT]],2)*Tableau14[[#This Row],[Qte_commande]]</f>
        <v>388.8</v>
      </c>
      <c r="P1720" s="228">
        <f>ROUND(Tableau14[[#This Row],[Prix_Unit_TTC]],2)*Tableau14[[#This Row],[Qte_commande]]</f>
        <v>408</v>
      </c>
      <c r="Q1720" s="224">
        <v>137.13999999999999</v>
      </c>
      <c r="R1720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137.14285714285714</v>
      </c>
      <c r="U1720" s="224"/>
      <c r="V1720" s="224"/>
    </row>
    <row r="1721" spans="1:22" ht="14.65" customHeight="1" x14ac:dyDescent="0.2">
      <c r="A1721" s="225">
        <v>43731</v>
      </c>
      <c r="B1721" s="224" t="s">
        <v>763</v>
      </c>
      <c r="C1721" s="224" t="s">
        <v>265</v>
      </c>
      <c r="D1721" s="224" t="s">
        <v>266</v>
      </c>
      <c r="E1721" s="226"/>
      <c r="G1721" s="224" t="s">
        <v>1</v>
      </c>
      <c r="H1721" s="224" t="s">
        <v>196</v>
      </c>
      <c r="I1721" s="224" t="s">
        <v>59</v>
      </c>
      <c r="J1721" s="224">
        <v>20</v>
      </c>
      <c r="K1721" s="227">
        <f t="array" ref="K1721">IFERROR(INDEX([1]Grille_Tarifs_Modulable!$B$2:$B$204,MATCH(Tableau14[[#This Row],[Designation]]&amp;Tableau14[[#This Row],[CL]],[1]Grille_Tarifs_Modulable!$C$2:$C$204&amp;[1]Grille_Tarifs_Modulable!$F$2:$F$204,0)),0)</f>
        <v>4260310553818</v>
      </c>
      <c r="L1721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0.81</v>
      </c>
      <c r="M1721" s="228">
        <f>IF(Tableau14[[#This Row],[Prix_Unit_HT]]=0,0,Tableau14[[#This Row],[Prix_Unit_HT]]+(Tableau14[[#This Row],[Prix_Unit_HT]]*VLOOKUP(Tableau14[[#This Row],[EAN]],[1]Grille_Tarifs_Modulable!$B$10:$Q$204,16,FALSE)))</f>
        <v>0.85455000000000003</v>
      </c>
      <c r="N1721" s="224">
        <v>144</v>
      </c>
      <c r="O1721" s="228">
        <f>ROUND(Tableau14[[#This Row],[Prix_Unit_HT]],2)*Tableau14[[#This Row],[Qte_commande]]</f>
        <v>116.64000000000001</v>
      </c>
      <c r="P1721" s="228">
        <f>ROUND(Tableau14[[#This Row],[Prix_Unit_TTC]],2)*Tableau14[[#This Row],[Qte_commande]]</f>
        <v>122.39999999999999</v>
      </c>
      <c r="Q1721" s="224">
        <v>41.14</v>
      </c>
      <c r="R1721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41.142857142857146</v>
      </c>
      <c r="U1721" s="224"/>
      <c r="V1721" s="224"/>
    </row>
    <row r="1722" spans="1:22" ht="14.65" customHeight="1" x14ac:dyDescent="0.2">
      <c r="A1722" s="225">
        <v>43731</v>
      </c>
      <c r="B1722" s="224" t="s">
        <v>256</v>
      </c>
      <c r="C1722" s="224" t="s">
        <v>214</v>
      </c>
      <c r="D1722" s="224" t="s">
        <v>215</v>
      </c>
      <c r="E1722" s="226"/>
      <c r="G1722" s="224" t="s">
        <v>1</v>
      </c>
      <c r="H1722" s="224" t="s">
        <v>196</v>
      </c>
      <c r="I1722" s="224" t="s">
        <v>59</v>
      </c>
      <c r="J1722" s="224">
        <v>20</v>
      </c>
      <c r="K1722" s="227">
        <f t="array" ref="K1722">IFERROR(INDEX([1]Grille_Tarifs_Modulable!$B$2:$B$204,MATCH(Tableau14[[#This Row],[Designation]]&amp;Tableau14[[#This Row],[CL]],[1]Grille_Tarifs_Modulable!$C$2:$C$204&amp;[1]Grille_Tarifs_Modulable!$F$2:$F$204,0)),0)</f>
        <v>4260310553818</v>
      </c>
      <c r="L1722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0.81</v>
      </c>
      <c r="M1722" s="228">
        <f>IF(Tableau14[[#This Row],[Prix_Unit_HT]]=0,0,Tableau14[[#This Row],[Prix_Unit_HT]]+(Tableau14[[#This Row],[Prix_Unit_HT]]*VLOOKUP(Tableau14[[#This Row],[EAN]],[1]Grille_Tarifs_Modulable!$B$10:$Q$204,16,FALSE)))</f>
        <v>0.85455000000000003</v>
      </c>
      <c r="N1722" s="224">
        <v>240</v>
      </c>
      <c r="O1722" s="228">
        <f>ROUND(Tableau14[[#This Row],[Prix_Unit_HT]],2)*Tableau14[[#This Row],[Qte_commande]]</f>
        <v>194.4</v>
      </c>
      <c r="P1722" s="228">
        <f>ROUND(Tableau14[[#This Row],[Prix_Unit_TTC]],2)*Tableau14[[#This Row],[Qte_commande]]</f>
        <v>204</v>
      </c>
      <c r="Q1722" s="224">
        <v>68.569999999999993</v>
      </c>
      <c r="R1722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68.571428571428569</v>
      </c>
      <c r="U1722" s="224"/>
      <c r="V1722" s="224"/>
    </row>
    <row r="1723" spans="1:22" ht="14.65" customHeight="1" x14ac:dyDescent="0.2">
      <c r="A1723" s="225">
        <v>43731</v>
      </c>
      <c r="B1723" s="224" t="s">
        <v>256</v>
      </c>
      <c r="C1723" s="224" t="s">
        <v>214</v>
      </c>
      <c r="D1723" s="224" t="s">
        <v>215</v>
      </c>
      <c r="E1723" s="226"/>
      <c r="G1723" s="224" t="s">
        <v>1</v>
      </c>
      <c r="H1723" s="224" t="s">
        <v>196</v>
      </c>
      <c r="I1723" s="224" t="s">
        <v>59</v>
      </c>
      <c r="J1723" s="224">
        <v>20</v>
      </c>
      <c r="K1723" s="227">
        <f t="array" ref="K1723">IFERROR(INDEX([1]Grille_Tarifs_Modulable!$B$2:$B$204,MATCH(Tableau14[[#This Row],[Designation]]&amp;Tableau14[[#This Row],[CL]],[1]Grille_Tarifs_Modulable!$C$2:$C$204&amp;[1]Grille_Tarifs_Modulable!$F$2:$F$204,0)),0)</f>
        <v>4260310553818</v>
      </c>
      <c r="L1723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0.81</v>
      </c>
      <c r="M1723" s="228">
        <f>IF(Tableau14[[#This Row],[Prix_Unit_HT]]=0,0,Tableau14[[#This Row],[Prix_Unit_HT]]+(Tableau14[[#This Row],[Prix_Unit_HT]]*VLOOKUP(Tableau14[[#This Row],[EAN]],[1]Grille_Tarifs_Modulable!$B$10:$Q$204,16,FALSE)))</f>
        <v>0.85455000000000003</v>
      </c>
      <c r="N1723" s="224">
        <v>240</v>
      </c>
      <c r="O1723" s="228">
        <f>ROUND(Tableau14[[#This Row],[Prix_Unit_HT]],2)*Tableau14[[#This Row],[Qte_commande]]</f>
        <v>194.4</v>
      </c>
      <c r="P1723" s="228">
        <f>ROUND(Tableau14[[#This Row],[Prix_Unit_TTC]],2)*Tableau14[[#This Row],[Qte_commande]]</f>
        <v>204</v>
      </c>
      <c r="Q1723" s="224">
        <v>68.569999999999993</v>
      </c>
      <c r="R1723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68.571428571428569</v>
      </c>
      <c r="U1723" s="224"/>
      <c r="V1723" s="224"/>
    </row>
    <row r="1724" spans="1:22" ht="14.65" customHeight="1" x14ac:dyDescent="0.2">
      <c r="A1724" s="225">
        <v>43732</v>
      </c>
      <c r="B1724" s="224" t="s">
        <v>764</v>
      </c>
      <c r="C1724" s="224" t="s">
        <v>530</v>
      </c>
      <c r="D1724" s="224" t="s">
        <v>531</v>
      </c>
      <c r="E1724" s="226"/>
      <c r="G1724" s="224" t="s">
        <v>1</v>
      </c>
      <c r="H1724" s="224" t="s">
        <v>289</v>
      </c>
      <c r="I1724" s="224" t="s">
        <v>15</v>
      </c>
      <c r="J1724" s="224">
        <v>70</v>
      </c>
      <c r="K1724" s="227">
        <f t="array" ref="K1724">IFERROR(INDEX([1]Grille_Tarifs_Modulable!$B$2:$B$204,MATCH(Tableau14[[#This Row],[Designation]]&amp;Tableau14[[#This Row],[CL]],[1]Grille_Tarifs_Modulable!$C$2:$C$204&amp;[1]Grille_Tarifs_Modulable!$F$2:$F$204,0)),0)</f>
        <v>4067700013859</v>
      </c>
      <c r="L1724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12.532563499999998</v>
      </c>
      <c r="M1724" s="228">
        <f>IF(Tableau14[[#This Row],[Prix_Unit_HT]]=0,0,Tableau14[[#This Row],[Prix_Unit_HT]]+(Tableau14[[#This Row],[Prix_Unit_HT]]*VLOOKUP(Tableau14[[#This Row],[EAN]],[1]Grille_Tarifs_Modulable!$B$10:$Q$204,16,FALSE)))</f>
        <v>15.039076199999998</v>
      </c>
      <c r="N1724" s="224">
        <v>240</v>
      </c>
      <c r="O1724" s="228">
        <f>ROUND(Tableau14[[#This Row],[Prix_Unit_HT]],2)*Tableau14[[#This Row],[Qte_commande]]</f>
        <v>3007.2</v>
      </c>
      <c r="P1724" s="228">
        <f>ROUND(Tableau14[[#This Row],[Prix_Unit_TTC]],2)*Tableau14[[#This Row],[Qte_commande]]</f>
        <v>3609.6</v>
      </c>
      <c r="Q1724" s="224">
        <v>240</v>
      </c>
      <c r="R1724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240.00000000000003</v>
      </c>
      <c r="U1724" s="224"/>
      <c r="V1724" s="224"/>
    </row>
    <row r="1725" spans="1:22" ht="14.65" customHeight="1" x14ac:dyDescent="0.2">
      <c r="A1725" s="225">
        <v>43734</v>
      </c>
      <c r="B1725" s="224" t="s">
        <v>1312</v>
      </c>
      <c r="C1725" s="224" t="s">
        <v>205</v>
      </c>
      <c r="D1725" s="224" t="s">
        <v>206</v>
      </c>
      <c r="E1725" s="226"/>
      <c r="G1725" s="224" t="s">
        <v>13</v>
      </c>
      <c r="H1725" s="224" t="s">
        <v>451</v>
      </c>
      <c r="I1725" s="224" t="s">
        <v>71</v>
      </c>
      <c r="J1725" s="227">
        <v>1</v>
      </c>
      <c r="K1725" s="227">
        <f t="array" ref="K1725">IFERROR(INDEX([1]Grille_Tarifs_Modulable!$B$2:$B$204,MATCH(Tableau14[[#This Row],[Designation]]&amp;Tableau14[[#This Row],[CL]],[1]Grille_Tarifs_Modulable!$C$2:$C$204&amp;[1]Grille_Tarifs_Modulable!$F$2:$F$204,0)),0)</f>
        <v>122</v>
      </c>
      <c r="L1725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299</v>
      </c>
      <c r="M1725" s="228">
        <f>IF(Tableau14[[#This Row],[Prix_Unit_HT]]=0,0,Tableau14[[#This Row],[Prix_Unit_HT]]+(Tableau14[[#This Row],[Prix_Unit_HT]]*VLOOKUP(Tableau14[[#This Row],[EAN]],[1]Grille_Tarifs_Modulable!$B$10:$Q$204,16,FALSE)))</f>
        <v>358.8</v>
      </c>
      <c r="N1725" s="224">
        <v>1</v>
      </c>
      <c r="O1725" s="228">
        <f>ROUND(Tableau14[[#This Row],[Prix_Unit_HT]],2)*Tableau14[[#This Row],[Qte_commande]]</f>
        <v>299</v>
      </c>
      <c r="P1725" s="228">
        <f>ROUND(Tableau14[[#This Row],[Prix_Unit_TTC]],2)*Tableau14[[#This Row],[Qte_commande]]</f>
        <v>358.8</v>
      </c>
      <c r="Q1725" s="224">
        <v>1</v>
      </c>
      <c r="R1725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</v>
      </c>
      <c r="U1725" s="224"/>
      <c r="V1725" s="224"/>
    </row>
    <row r="1726" spans="1:22" ht="14.65" customHeight="1" x14ac:dyDescent="0.2">
      <c r="A1726" s="225">
        <v>43739</v>
      </c>
      <c r="B1726" s="224" t="s">
        <v>765</v>
      </c>
      <c r="C1726" s="224" t="s">
        <v>265</v>
      </c>
      <c r="D1726" s="224" t="s">
        <v>266</v>
      </c>
      <c r="E1726" s="226"/>
      <c r="G1726" s="224" t="s">
        <v>1</v>
      </c>
      <c r="H1726" s="224" t="s">
        <v>289</v>
      </c>
      <c r="I1726" s="224" t="s">
        <v>15</v>
      </c>
      <c r="J1726" s="224">
        <v>70</v>
      </c>
      <c r="K1726" s="227">
        <f t="array" ref="K1726">IFERROR(INDEX([1]Grille_Tarifs_Modulable!$B$2:$B$204,MATCH(Tableau14[[#This Row],[Designation]]&amp;Tableau14[[#This Row],[CL]],[1]Grille_Tarifs_Modulable!$C$2:$C$204&amp;[1]Grille_Tarifs_Modulable!$F$2:$F$204,0)),0)</f>
        <v>4067700013859</v>
      </c>
      <c r="L1726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12.532563499999998</v>
      </c>
      <c r="M1726" s="228">
        <f>IF(Tableau14[[#This Row],[Prix_Unit_HT]]=0,0,Tableau14[[#This Row],[Prix_Unit_HT]]+(Tableau14[[#This Row],[Prix_Unit_HT]]*VLOOKUP(Tableau14[[#This Row],[EAN]],[1]Grille_Tarifs_Modulable!$B$10:$Q$204,16,FALSE)))</f>
        <v>15.039076199999998</v>
      </c>
      <c r="N1726" s="224">
        <v>90</v>
      </c>
      <c r="O1726" s="228">
        <f>ROUND(Tableau14[[#This Row],[Prix_Unit_HT]],2)*Tableau14[[#This Row],[Qte_commande]]</f>
        <v>1127.7</v>
      </c>
      <c r="P1726" s="228">
        <f>ROUND(Tableau14[[#This Row],[Prix_Unit_TTC]],2)*Tableau14[[#This Row],[Qte_commande]]</f>
        <v>1353.6</v>
      </c>
      <c r="Q1726" s="224">
        <v>90</v>
      </c>
      <c r="R1726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90</v>
      </c>
      <c r="U1726" s="224"/>
      <c r="V1726" s="224"/>
    </row>
    <row r="1727" spans="1:22" ht="14.65" customHeight="1" x14ac:dyDescent="0.2">
      <c r="A1727" s="225">
        <v>43739</v>
      </c>
      <c r="B1727" s="224" t="s">
        <v>765</v>
      </c>
      <c r="C1727" s="224" t="s">
        <v>265</v>
      </c>
      <c r="D1727" s="224" t="s">
        <v>266</v>
      </c>
      <c r="E1727" s="226"/>
      <c r="G1727" s="224" t="s">
        <v>1</v>
      </c>
      <c r="H1727" s="224" t="s">
        <v>289</v>
      </c>
      <c r="I1727" s="224" t="s">
        <v>15</v>
      </c>
      <c r="J1727" s="224">
        <v>70</v>
      </c>
      <c r="K1727" s="227">
        <f t="array" ref="K1727">IFERROR(INDEX([1]Grille_Tarifs_Modulable!$B$2:$B$204,MATCH(Tableau14[[#This Row],[Designation]]&amp;Tableau14[[#This Row],[CL]],[1]Grille_Tarifs_Modulable!$C$2:$C$204&amp;[1]Grille_Tarifs_Modulable!$F$2:$F$204,0)),0)</f>
        <v>4067700013859</v>
      </c>
      <c r="L1727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12.532563499999998</v>
      </c>
      <c r="M1727" s="228">
        <f>IF(Tableau14[[#This Row],[Prix_Unit_HT]]=0,0,Tableau14[[#This Row],[Prix_Unit_HT]]+(Tableau14[[#This Row],[Prix_Unit_HT]]*VLOOKUP(Tableau14[[#This Row],[EAN]],[1]Grille_Tarifs_Modulable!$B$10:$Q$204,16,FALSE)))</f>
        <v>15.039076199999998</v>
      </c>
      <c r="N1727" s="224">
        <v>150</v>
      </c>
      <c r="O1727" s="228">
        <f>ROUND(Tableau14[[#This Row],[Prix_Unit_HT]],2)*Tableau14[[#This Row],[Qte_commande]]</f>
        <v>1879.5</v>
      </c>
      <c r="P1727" s="228">
        <f>ROUND(Tableau14[[#This Row],[Prix_Unit_TTC]],2)*Tableau14[[#This Row],[Qte_commande]]</f>
        <v>2256</v>
      </c>
      <c r="Q1727" s="224">
        <v>150</v>
      </c>
      <c r="R1727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150</v>
      </c>
      <c r="U1727" s="224"/>
      <c r="V1727" s="224"/>
    </row>
    <row r="1728" spans="1:22" ht="14.65" customHeight="1" x14ac:dyDescent="0.2">
      <c r="A1728" s="225">
        <v>43739</v>
      </c>
      <c r="B1728" s="224" t="s">
        <v>765</v>
      </c>
      <c r="C1728" s="224" t="s">
        <v>265</v>
      </c>
      <c r="D1728" s="224" t="s">
        <v>266</v>
      </c>
      <c r="E1728" s="226"/>
      <c r="G1728" s="224" t="s">
        <v>1</v>
      </c>
      <c r="H1728" s="224" t="s">
        <v>196</v>
      </c>
      <c r="I1728" s="224" t="s">
        <v>64</v>
      </c>
      <c r="J1728" s="224">
        <v>20</v>
      </c>
      <c r="K1728" s="227">
        <f t="array" ref="K1728">IFERROR(INDEX([1]Grille_Tarifs_Modulable!$B$2:$B$204,MATCH(Tableau14[[#This Row],[Designation]]&amp;Tableau14[[#This Row],[CL]],[1]Grille_Tarifs_Modulable!$C$2:$C$204&amp;[1]Grille_Tarifs_Modulable!$F$2:$F$204,0)),0)</f>
        <v>4260310553849</v>
      </c>
      <c r="L1728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0.81</v>
      </c>
      <c r="M1728" s="228">
        <f>IF(Tableau14[[#This Row],[Prix_Unit_HT]]=0,0,Tableau14[[#This Row],[Prix_Unit_HT]]+(Tableau14[[#This Row],[Prix_Unit_HT]]*VLOOKUP(Tableau14[[#This Row],[EAN]],[1]Grille_Tarifs_Modulable!$B$10:$Q$204,16,FALSE)))</f>
        <v>0.85455000000000003</v>
      </c>
      <c r="N1728" s="224">
        <v>240</v>
      </c>
      <c r="O1728" s="228">
        <f>ROUND(Tableau14[[#This Row],[Prix_Unit_HT]],2)*Tableau14[[#This Row],[Qte_commande]]</f>
        <v>194.4</v>
      </c>
      <c r="P1728" s="228">
        <f>ROUND(Tableau14[[#This Row],[Prix_Unit_TTC]],2)*Tableau14[[#This Row],[Qte_commande]]</f>
        <v>204</v>
      </c>
      <c r="Q1728" s="224">
        <v>68.569999999999993</v>
      </c>
      <c r="R1728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68.571428571428569</v>
      </c>
      <c r="U1728" s="224"/>
      <c r="V1728" s="224"/>
    </row>
    <row r="1729" spans="1:22" ht="14.65" customHeight="1" x14ac:dyDescent="0.2">
      <c r="A1729" s="225">
        <v>43739</v>
      </c>
      <c r="B1729" s="224" t="s">
        <v>765</v>
      </c>
      <c r="C1729" s="224" t="s">
        <v>265</v>
      </c>
      <c r="D1729" s="224" t="s">
        <v>266</v>
      </c>
      <c r="E1729" s="226"/>
      <c r="G1729" s="224" t="s">
        <v>1</v>
      </c>
      <c r="H1729" s="224" t="s">
        <v>196</v>
      </c>
      <c r="I1729" s="224" t="s">
        <v>59</v>
      </c>
      <c r="J1729" s="224">
        <v>20</v>
      </c>
      <c r="K1729" s="227">
        <f t="array" ref="K1729">IFERROR(INDEX([1]Grille_Tarifs_Modulable!$B$2:$B$204,MATCH(Tableau14[[#This Row],[Designation]]&amp;Tableau14[[#This Row],[CL]],[1]Grille_Tarifs_Modulable!$C$2:$C$204&amp;[1]Grille_Tarifs_Modulable!$F$2:$F$204,0)),0)</f>
        <v>4260310553818</v>
      </c>
      <c r="L1729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0.81</v>
      </c>
      <c r="M1729" s="228">
        <f>IF(Tableau14[[#This Row],[Prix_Unit_HT]]=0,0,Tableau14[[#This Row],[Prix_Unit_HT]]+(Tableau14[[#This Row],[Prix_Unit_HT]]*VLOOKUP(Tableau14[[#This Row],[EAN]],[1]Grille_Tarifs_Modulable!$B$10:$Q$204,16,FALSE)))</f>
        <v>0.85455000000000003</v>
      </c>
      <c r="N1729" s="224">
        <v>240</v>
      </c>
      <c r="O1729" s="228">
        <f>ROUND(Tableau14[[#This Row],[Prix_Unit_HT]],2)*Tableau14[[#This Row],[Qte_commande]]</f>
        <v>194.4</v>
      </c>
      <c r="P1729" s="228">
        <f>ROUND(Tableau14[[#This Row],[Prix_Unit_TTC]],2)*Tableau14[[#This Row],[Qte_commande]]</f>
        <v>204</v>
      </c>
      <c r="Q1729" s="224">
        <v>68.569999999999993</v>
      </c>
      <c r="R1729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68.571428571428569</v>
      </c>
      <c r="U1729" s="224"/>
      <c r="V1729" s="224"/>
    </row>
    <row r="1730" spans="1:22" ht="14.65" customHeight="1" x14ac:dyDescent="0.2">
      <c r="A1730" s="225">
        <v>43740</v>
      </c>
      <c r="B1730" s="224" t="s">
        <v>1313</v>
      </c>
      <c r="C1730" s="224" t="s">
        <v>308</v>
      </c>
      <c r="D1730" s="224" t="s">
        <v>309</v>
      </c>
      <c r="E1730" s="226"/>
      <c r="G1730" s="224" t="s">
        <v>13</v>
      </c>
      <c r="H1730" s="224" t="s">
        <v>451</v>
      </c>
      <c r="I1730" s="224" t="s">
        <v>71</v>
      </c>
      <c r="J1730" s="227">
        <v>1</v>
      </c>
      <c r="K1730" s="227">
        <f t="array" ref="K1730">IFERROR(INDEX([1]Grille_Tarifs_Modulable!$B$2:$B$204,MATCH(Tableau14[[#This Row],[Designation]]&amp;Tableau14[[#This Row],[CL]],[1]Grille_Tarifs_Modulable!$C$2:$C$204&amp;[1]Grille_Tarifs_Modulable!$F$2:$F$204,0)),0)</f>
        <v>122</v>
      </c>
      <c r="L1730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299</v>
      </c>
      <c r="M1730" s="228">
        <f>IF(Tableau14[[#This Row],[Prix_Unit_HT]]=0,0,Tableau14[[#This Row],[Prix_Unit_HT]]+(Tableau14[[#This Row],[Prix_Unit_HT]]*VLOOKUP(Tableau14[[#This Row],[EAN]],[1]Grille_Tarifs_Modulable!$B$10:$Q$204,16,FALSE)))</f>
        <v>358.8</v>
      </c>
      <c r="N1730" s="224">
        <v>2</v>
      </c>
      <c r="O1730" s="228">
        <f>ROUND(Tableau14[[#This Row],[Prix_Unit_HT]],2)*Tableau14[[#This Row],[Qte_commande]]</f>
        <v>598</v>
      </c>
      <c r="P1730" s="228">
        <f>ROUND(Tableau14[[#This Row],[Prix_Unit_TTC]],2)*Tableau14[[#This Row],[Qte_commande]]</f>
        <v>717.6</v>
      </c>
      <c r="Q1730" s="224">
        <v>2</v>
      </c>
      <c r="R1730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2</v>
      </c>
      <c r="U1730" s="224"/>
      <c r="V1730" s="224"/>
    </row>
    <row r="1731" spans="1:22" ht="14.65" customHeight="1" x14ac:dyDescent="0.2">
      <c r="A1731" s="225">
        <v>43741</v>
      </c>
      <c r="B1731" s="224" t="s">
        <v>285</v>
      </c>
      <c r="C1731" s="224" t="s">
        <v>211</v>
      </c>
      <c r="D1731" s="224" t="s">
        <v>212</v>
      </c>
      <c r="E1731" s="226"/>
      <c r="G1731" s="224" t="s">
        <v>1</v>
      </c>
      <c r="H1731" s="224" t="s">
        <v>196</v>
      </c>
      <c r="I1731" s="224" t="s">
        <v>63</v>
      </c>
      <c r="J1731" s="224">
        <v>20</v>
      </c>
      <c r="K1731" s="227">
        <f t="array" ref="K1731">IFERROR(INDEX([1]Grille_Tarifs_Modulable!$B$2:$B$204,MATCH(Tableau14[[#This Row],[Designation]]&amp;Tableau14[[#This Row],[CL]],[1]Grille_Tarifs_Modulable!$C$2:$C$204&amp;[1]Grille_Tarifs_Modulable!$F$2:$F$204,0)),0)</f>
        <v>4260310552941</v>
      </c>
      <c r="L1731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0.81</v>
      </c>
      <c r="M1731" s="228">
        <f>IF(Tableau14[[#This Row],[Prix_Unit_HT]]=0,0,Tableau14[[#This Row],[Prix_Unit_HT]]+(Tableau14[[#This Row],[Prix_Unit_HT]]*VLOOKUP(Tableau14[[#This Row],[EAN]],[1]Grille_Tarifs_Modulable!$B$10:$Q$204,16,FALSE)))</f>
        <v>0.85455000000000003</v>
      </c>
      <c r="N1731" s="224">
        <v>120</v>
      </c>
      <c r="O1731" s="228">
        <f>ROUND(Tableau14[[#This Row],[Prix_Unit_HT]],2)*Tableau14[[#This Row],[Qte_commande]]</f>
        <v>97.2</v>
      </c>
      <c r="P1731" s="228">
        <f>ROUND(Tableau14[[#This Row],[Prix_Unit_TTC]],2)*Tableau14[[#This Row],[Qte_commande]]</f>
        <v>102</v>
      </c>
      <c r="Q1731" s="224">
        <v>34.29</v>
      </c>
      <c r="R1731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34.285714285714285</v>
      </c>
      <c r="U1731" s="224"/>
      <c r="V1731" s="224"/>
    </row>
    <row r="1732" spans="1:22" ht="14.65" customHeight="1" x14ac:dyDescent="0.2">
      <c r="A1732" s="225">
        <v>43741</v>
      </c>
      <c r="B1732" s="224" t="s">
        <v>346</v>
      </c>
      <c r="C1732" s="224" t="s">
        <v>308</v>
      </c>
      <c r="D1732" s="224" t="s">
        <v>309</v>
      </c>
      <c r="E1732" s="226"/>
      <c r="G1732" s="224" t="s">
        <v>1</v>
      </c>
      <c r="H1732" s="224" t="s">
        <v>289</v>
      </c>
      <c r="I1732" s="224" t="s">
        <v>22</v>
      </c>
      <c r="J1732" s="224">
        <v>70</v>
      </c>
      <c r="K1732" s="227">
        <f t="array" ref="K1732">IFERROR(INDEX([1]Grille_Tarifs_Modulable!$B$2:$B$204,MATCH(Tableau14[[#This Row],[Designation]]&amp;Tableau14[[#This Row],[CL]],[1]Grille_Tarifs_Modulable!$C$2:$C$204&amp;[1]Grille_Tarifs_Modulable!$F$2:$F$204,0)),0)</f>
        <v>4055800060200</v>
      </c>
      <c r="L1732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17.408644000000002</v>
      </c>
      <c r="M1732" s="228">
        <f>IF(Tableau14[[#This Row],[Prix_Unit_HT]]=0,0,Tableau14[[#This Row],[Prix_Unit_HT]]+(Tableau14[[#This Row],[Prix_Unit_HT]]*VLOOKUP(Tableau14[[#This Row],[EAN]],[1]Grille_Tarifs_Modulable!$B$10:$Q$204,16,FALSE)))</f>
        <v>20.890372800000002</v>
      </c>
      <c r="N1732" s="224">
        <v>6</v>
      </c>
      <c r="O1732" s="228">
        <f>ROUND(Tableau14[[#This Row],[Prix_Unit_HT]],2)*Tableau14[[#This Row],[Qte_commande]]</f>
        <v>104.46000000000001</v>
      </c>
      <c r="P1732" s="228">
        <f>ROUND(Tableau14[[#This Row],[Prix_Unit_TTC]],2)*Tableau14[[#This Row],[Qte_commande]]</f>
        <v>125.34</v>
      </c>
      <c r="Q1732" s="224">
        <v>6</v>
      </c>
      <c r="R1732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6.0000000000000009</v>
      </c>
      <c r="U1732" s="224"/>
      <c r="V1732" s="224"/>
    </row>
    <row r="1733" spans="1:22" ht="14.65" customHeight="1" x14ac:dyDescent="0.2">
      <c r="A1733" s="225">
        <v>43741</v>
      </c>
      <c r="B1733" s="224" t="s">
        <v>285</v>
      </c>
      <c r="C1733" s="224" t="s">
        <v>211</v>
      </c>
      <c r="D1733" s="224" t="s">
        <v>212</v>
      </c>
      <c r="E1733" s="226"/>
      <c r="G1733" s="224" t="s">
        <v>1</v>
      </c>
      <c r="H1733" s="224" t="s">
        <v>289</v>
      </c>
      <c r="I1733" s="224" t="s">
        <v>15</v>
      </c>
      <c r="J1733" s="224">
        <v>100</v>
      </c>
      <c r="K1733" s="227">
        <f t="array" ref="K1733">IFERROR(INDEX([1]Grille_Tarifs_Modulable!$B$2:$B$204,MATCH(Tableau14[[#This Row],[Designation]]&amp;Tableau14[[#This Row],[CL]],[1]Grille_Tarifs_Modulable!$C$2:$C$204&amp;[1]Grille_Tarifs_Modulable!$F$2:$F$204,0)),0)</f>
        <v>4067700013842</v>
      </c>
      <c r="L1733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17.100804999999998</v>
      </c>
      <c r="M1733" s="228">
        <f>IF(Tableau14[[#This Row],[Prix_Unit_HT]]=0,0,Tableau14[[#This Row],[Prix_Unit_HT]]+(Tableau14[[#This Row],[Prix_Unit_HT]]*VLOOKUP(Tableau14[[#This Row],[EAN]],[1]Grille_Tarifs_Modulable!$B$10:$Q$204,16,FALSE)))</f>
        <v>20.520965999999998</v>
      </c>
      <c r="N1733" s="224">
        <v>180</v>
      </c>
      <c r="O1733" s="228">
        <f>ROUND(Tableau14[[#This Row],[Prix_Unit_HT]],2)*Tableau14[[#This Row],[Qte_commande]]</f>
        <v>3078.0000000000005</v>
      </c>
      <c r="P1733" s="228">
        <f>ROUND(Tableau14[[#This Row],[Prix_Unit_TTC]],2)*Tableau14[[#This Row],[Qte_commande]]</f>
        <v>3693.6</v>
      </c>
      <c r="Q1733" s="224">
        <v>257.14</v>
      </c>
      <c r="R1733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257.14285714285717</v>
      </c>
      <c r="U1733" s="224"/>
      <c r="V1733" s="224"/>
    </row>
    <row r="1734" spans="1:22" ht="14.65" customHeight="1" x14ac:dyDescent="0.2">
      <c r="A1734" s="225">
        <v>43741</v>
      </c>
      <c r="B1734" s="224" t="s">
        <v>346</v>
      </c>
      <c r="C1734" s="224" t="s">
        <v>308</v>
      </c>
      <c r="D1734" s="224" t="s">
        <v>309</v>
      </c>
      <c r="E1734" s="226"/>
      <c r="G1734" s="224" t="s">
        <v>1</v>
      </c>
      <c r="H1734" s="224" t="s">
        <v>289</v>
      </c>
      <c r="I1734" s="224" t="s">
        <v>15</v>
      </c>
      <c r="J1734" s="224">
        <v>100</v>
      </c>
      <c r="K1734" s="227">
        <f t="array" ref="K1734">IFERROR(INDEX([1]Grille_Tarifs_Modulable!$B$2:$B$204,MATCH(Tableau14[[#This Row],[Designation]]&amp;Tableau14[[#This Row],[CL]],[1]Grille_Tarifs_Modulable!$C$2:$C$204&amp;[1]Grille_Tarifs_Modulable!$F$2:$F$204,0)),0)</f>
        <v>4067700013842</v>
      </c>
      <c r="L1734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17.100804999999998</v>
      </c>
      <c r="M1734" s="228">
        <f>IF(Tableau14[[#This Row],[Prix_Unit_HT]]=0,0,Tableau14[[#This Row],[Prix_Unit_HT]]+(Tableau14[[#This Row],[Prix_Unit_HT]]*VLOOKUP(Tableau14[[#This Row],[EAN]],[1]Grille_Tarifs_Modulable!$B$10:$Q$204,16,FALSE)))</f>
        <v>20.520965999999998</v>
      </c>
      <c r="N1734" s="224">
        <v>306</v>
      </c>
      <c r="O1734" s="228">
        <f>ROUND(Tableau14[[#This Row],[Prix_Unit_HT]],2)*Tableau14[[#This Row],[Qte_commande]]</f>
        <v>5232.6000000000004</v>
      </c>
      <c r="P1734" s="228">
        <f>ROUND(Tableau14[[#This Row],[Prix_Unit_TTC]],2)*Tableau14[[#This Row],[Qte_commande]]</f>
        <v>6279.12</v>
      </c>
      <c r="Q1734" s="224">
        <v>437.14</v>
      </c>
      <c r="R1734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437.14285714285717</v>
      </c>
      <c r="U1734" s="224"/>
      <c r="V1734" s="224"/>
    </row>
    <row r="1735" spans="1:22" ht="14.65" customHeight="1" x14ac:dyDescent="0.2">
      <c r="A1735" s="225">
        <v>43741</v>
      </c>
      <c r="B1735" s="224" t="s">
        <v>766</v>
      </c>
      <c r="C1735" s="224" t="s">
        <v>542</v>
      </c>
      <c r="D1735" s="224" t="s">
        <v>209</v>
      </c>
      <c r="E1735" s="226"/>
      <c r="G1735" s="224" t="s">
        <v>13</v>
      </c>
      <c r="H1735" s="224" t="s">
        <v>289</v>
      </c>
      <c r="I1735" s="224" t="s">
        <v>15</v>
      </c>
      <c r="J1735" s="224">
        <v>175</v>
      </c>
      <c r="K1735" s="227">
        <f t="array" ref="K1735">IFERROR(INDEX([1]Grille_Tarifs_Modulable!$B$2:$B$204,MATCH(Tableau14[[#This Row],[Designation]]&amp;Tableau14[[#This Row],[CL]],[1]Grille_Tarifs_Modulable!$C$2:$C$204&amp;[1]Grille_Tarifs_Modulable!$F$2:$F$204,0)),0)</f>
        <v>4067700013835</v>
      </c>
      <c r="L1735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32.266408749999997</v>
      </c>
      <c r="M1735" s="228">
        <f>IF(Tableau14[[#This Row],[Prix_Unit_HT]]=0,0,Tableau14[[#This Row],[Prix_Unit_HT]]+(Tableau14[[#This Row],[Prix_Unit_HT]]*VLOOKUP(Tableau14[[#This Row],[EAN]],[1]Grille_Tarifs_Modulable!$B$10:$Q$204,16,FALSE)))</f>
        <v>38.719690499999999</v>
      </c>
      <c r="N1735" s="224">
        <v>18</v>
      </c>
      <c r="O1735" s="228">
        <f>ROUND(Tableau14[[#This Row],[Prix_Unit_HT]],2)*Tableau14[[#This Row],[Qte_commande]]</f>
        <v>580.86</v>
      </c>
      <c r="P1735" s="228">
        <f>ROUND(Tableau14[[#This Row],[Prix_Unit_TTC]],2)*Tableau14[[#This Row],[Qte_commande]]</f>
        <v>696.96</v>
      </c>
      <c r="Q1735" s="224">
        <v>45</v>
      </c>
      <c r="R1735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45</v>
      </c>
      <c r="U1735" s="224"/>
      <c r="V1735" s="224"/>
    </row>
    <row r="1736" spans="1:22" ht="14.65" customHeight="1" x14ac:dyDescent="0.2">
      <c r="A1736" s="225">
        <v>43741</v>
      </c>
      <c r="B1736" s="224" t="s">
        <v>285</v>
      </c>
      <c r="C1736" s="224" t="s">
        <v>211</v>
      </c>
      <c r="D1736" s="224" t="s">
        <v>212</v>
      </c>
      <c r="E1736" s="226"/>
      <c r="G1736" s="224" t="s">
        <v>1</v>
      </c>
      <c r="H1736" s="224" t="s">
        <v>289</v>
      </c>
      <c r="I1736" s="224" t="s">
        <v>794</v>
      </c>
      <c r="J1736" s="224">
        <v>2</v>
      </c>
      <c r="K1736" s="227">
        <f t="array" ref="K1736">IFERROR(INDEX([1]Grille_Tarifs_Modulable!$B$2:$B$204,MATCH(Tableau14[[#This Row],[Designation]]&amp;Tableau14[[#This Row],[CL]],[1]Grille_Tarifs_Modulable!$C$2:$C$204&amp;[1]Grille_Tarifs_Modulable!$F$2:$F$204,0)),0)</f>
        <v>4067700015884</v>
      </c>
      <c r="L1736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0.63521610000000006</v>
      </c>
      <c r="M1736" s="228">
        <f>IF(Tableau14[[#This Row],[Prix_Unit_HT]]=0,0,Tableau14[[#This Row],[Prix_Unit_HT]]+(Tableau14[[#This Row],[Prix_Unit_HT]]*VLOOKUP(Tableau14[[#This Row],[EAN]],[1]Grille_Tarifs_Modulable!$B$10:$Q$204,16,FALSE)))</f>
        <v>0.76225932000000007</v>
      </c>
      <c r="N1736" s="224">
        <v>120</v>
      </c>
      <c r="O1736" s="228">
        <f>ROUND(Tableau14[[#This Row],[Prix_Unit_HT]],2)*Tableau14[[#This Row],[Qte_commande]]</f>
        <v>76.8</v>
      </c>
      <c r="P1736" s="228">
        <f>ROUND(Tableau14[[#This Row],[Prix_Unit_TTC]],2)*Tableau14[[#This Row],[Qte_commande]]</f>
        <v>91.2</v>
      </c>
      <c r="Q1736" s="224">
        <v>3.43</v>
      </c>
      <c r="R1736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3.4285714285714288</v>
      </c>
      <c r="U1736" s="224"/>
      <c r="V1736" s="224"/>
    </row>
    <row r="1737" spans="1:22" ht="14.65" customHeight="1" x14ac:dyDescent="0.2">
      <c r="A1737" s="225">
        <v>43741</v>
      </c>
      <c r="B1737" s="224" t="s">
        <v>285</v>
      </c>
      <c r="C1737" s="224" t="s">
        <v>211</v>
      </c>
      <c r="D1737" s="224" t="s">
        <v>212</v>
      </c>
      <c r="E1737" s="226"/>
      <c r="G1737" s="224" t="s">
        <v>1</v>
      </c>
      <c r="H1737" s="224" t="s">
        <v>289</v>
      </c>
      <c r="I1737" s="224" t="s">
        <v>796</v>
      </c>
      <c r="J1737" s="224">
        <v>70</v>
      </c>
      <c r="K1737" s="227">
        <f t="array" ref="K1737">IFERROR(INDEX([1]Grille_Tarifs_Modulable!$B$2:$B$204,MATCH(Tableau14[[#This Row],[Designation]]&amp;Tableau14[[#This Row],[CL]],[1]Grille_Tarifs_Modulable!$C$2:$C$204&amp;[1]Grille_Tarifs_Modulable!$F$2:$F$204,0)),0)</f>
        <v>4067700012085</v>
      </c>
      <c r="L1737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12.2021313</v>
      </c>
      <c r="M1737" s="228">
        <f>IF(Tableau14[[#This Row],[Prix_Unit_HT]]=0,0,Tableau14[[#This Row],[Prix_Unit_HT]]+(Tableau14[[#This Row],[Prix_Unit_HT]]*VLOOKUP(Tableau14[[#This Row],[EAN]],[1]Grille_Tarifs_Modulable!$B$10:$Q$204,16,FALSE)))</f>
        <v>14.64255756</v>
      </c>
      <c r="N1737" s="224">
        <v>24</v>
      </c>
      <c r="O1737" s="228">
        <f>ROUND(Tableau14[[#This Row],[Prix_Unit_HT]],2)*Tableau14[[#This Row],[Qte_commande]]</f>
        <v>292.79999999999995</v>
      </c>
      <c r="P1737" s="228">
        <f>ROUND(Tableau14[[#This Row],[Prix_Unit_TTC]],2)*Tableau14[[#This Row],[Qte_commande]]</f>
        <v>351.36</v>
      </c>
      <c r="Q1737" s="224">
        <v>24</v>
      </c>
      <c r="R1737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24.000000000000004</v>
      </c>
      <c r="U1737" s="224"/>
      <c r="V1737" s="224"/>
    </row>
    <row r="1738" spans="1:22" ht="14.65" customHeight="1" x14ac:dyDescent="0.2">
      <c r="A1738" s="225">
        <v>43741</v>
      </c>
      <c r="B1738" s="224" t="s">
        <v>285</v>
      </c>
      <c r="C1738" s="224" t="s">
        <v>211</v>
      </c>
      <c r="D1738" s="224" t="s">
        <v>212</v>
      </c>
      <c r="E1738" s="226"/>
      <c r="G1738" s="224" t="s">
        <v>1</v>
      </c>
      <c r="H1738" s="224" t="s">
        <v>289</v>
      </c>
      <c r="I1738" s="224" t="s">
        <v>32</v>
      </c>
      <c r="J1738" s="224">
        <v>70</v>
      </c>
      <c r="K1738" s="227">
        <f t="array" ref="K1738">IFERROR(INDEX([1]Grille_Tarifs_Modulable!$B$2:$B$204,MATCH(Tableau14[[#This Row],[Designation]]&amp;Tableau14[[#This Row],[CL]],[1]Grille_Tarifs_Modulable!$C$2:$C$204&amp;[1]Grille_Tarifs_Modulable!$F$2:$F$204,0)),0)</f>
        <v>3257150100228</v>
      </c>
      <c r="L1738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19.998643999999999</v>
      </c>
      <c r="M1738" s="228">
        <f>IF(Tableau14[[#This Row],[Prix_Unit_HT]]=0,0,Tableau14[[#This Row],[Prix_Unit_HT]]+(Tableau14[[#This Row],[Prix_Unit_HT]]*VLOOKUP(Tableau14[[#This Row],[EAN]],[1]Grille_Tarifs_Modulable!$B$10:$Q$204,16,FALSE)))</f>
        <v>23.998372799999999</v>
      </c>
      <c r="N1738" s="224">
        <v>12</v>
      </c>
      <c r="O1738" s="228">
        <f>ROUND(Tableau14[[#This Row],[Prix_Unit_HT]],2)*Tableau14[[#This Row],[Qte_commande]]</f>
        <v>240</v>
      </c>
      <c r="P1738" s="228">
        <f>ROUND(Tableau14[[#This Row],[Prix_Unit_TTC]],2)*Tableau14[[#This Row],[Qte_commande]]</f>
        <v>288</v>
      </c>
      <c r="Q1738" s="224">
        <v>12</v>
      </c>
      <c r="R1738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12.000000000000002</v>
      </c>
      <c r="U1738" s="224"/>
      <c r="V1738" s="224"/>
    </row>
    <row r="1739" spans="1:22" ht="14.65" customHeight="1" x14ac:dyDescent="0.2">
      <c r="A1739" s="225">
        <v>43741</v>
      </c>
      <c r="B1739" s="224" t="s">
        <v>766</v>
      </c>
      <c r="C1739" s="224" t="s">
        <v>542</v>
      </c>
      <c r="D1739" s="224" t="s">
        <v>209</v>
      </c>
      <c r="E1739" s="226"/>
      <c r="G1739" s="224" t="s">
        <v>13</v>
      </c>
      <c r="H1739" s="224" t="s">
        <v>289</v>
      </c>
      <c r="I1739" s="224" t="s">
        <v>931</v>
      </c>
      <c r="J1739" s="224">
        <v>100</v>
      </c>
      <c r="K1739" s="227">
        <f t="array" ref="K1739">IFERROR(INDEX([1]Grille_Tarifs_Modulable!$B$2:$B$204,MATCH(Tableau14[[#This Row],[Designation]]&amp;Tableau14[[#This Row],[CL]],[1]Grille_Tarifs_Modulable!$C$2:$C$204&amp;[1]Grille_Tarifs_Modulable!$F$2:$F$204,0)),0)</f>
        <v>0</v>
      </c>
      <c r="L1739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</v>
      </c>
      <c r="M1739" s="228">
        <f>IF(Tableau14[[#This Row],[Prix_Unit_HT]]=0,0,Tableau14[[#This Row],[Prix_Unit_HT]]+(Tableau14[[#This Row],[Prix_Unit_HT]]*VLOOKUP(Tableau14[[#This Row],[EAN]],[1]Grille_Tarifs_Modulable!$B$10:$Q$204,16,FALSE)))</f>
        <v>0</v>
      </c>
      <c r="N1739" s="224">
        <v>24</v>
      </c>
      <c r="O1739" s="228">
        <f>ROUND(Tableau14[[#This Row],[Prix_Unit_HT]],2)*Tableau14[[#This Row],[Qte_commande]]</f>
        <v>0</v>
      </c>
      <c r="P1739" s="228">
        <f>ROUND(Tableau14[[#This Row],[Prix_Unit_TTC]],2)*Tableau14[[#This Row],[Qte_commande]]</f>
        <v>0</v>
      </c>
      <c r="Q1739" s="224">
        <v>34.29</v>
      </c>
      <c r="R1739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34.285714285714285</v>
      </c>
      <c r="U1739" s="224"/>
      <c r="V1739" s="224"/>
    </row>
    <row r="1740" spans="1:22" ht="14.65" customHeight="1" x14ac:dyDescent="0.2">
      <c r="A1740" s="225">
        <v>43741</v>
      </c>
      <c r="B1740" s="224" t="s">
        <v>285</v>
      </c>
      <c r="C1740" s="224" t="s">
        <v>211</v>
      </c>
      <c r="D1740" s="224" t="s">
        <v>212</v>
      </c>
      <c r="E1740" s="226"/>
      <c r="G1740" s="224" t="s">
        <v>1</v>
      </c>
      <c r="H1740" s="224" t="s">
        <v>289</v>
      </c>
      <c r="I1740" s="224" t="s">
        <v>42</v>
      </c>
      <c r="J1740" s="224">
        <v>70</v>
      </c>
      <c r="K1740" s="227">
        <f t="array" ref="K1740">IFERROR(INDEX([1]Grille_Tarifs_Modulable!$B$2:$B$204,MATCH(Tableau14[[#This Row],[Designation]]&amp;Tableau14[[#This Row],[CL]],[1]Grille_Tarifs_Modulable!$C$2:$C$204&amp;[1]Grille_Tarifs_Modulable!$F$2:$F$204,0)),0)</f>
        <v>3257150688009</v>
      </c>
      <c r="L1740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12.556915199999999</v>
      </c>
      <c r="M1740" s="228">
        <f>IF(Tableau14[[#This Row],[Prix_Unit_HT]]=0,0,Tableau14[[#This Row],[Prix_Unit_HT]]+(Tableau14[[#This Row],[Prix_Unit_HT]]*VLOOKUP(Tableau14[[#This Row],[EAN]],[1]Grille_Tarifs_Modulable!$B$10:$Q$204,16,FALSE)))</f>
        <v>15.068298239999999</v>
      </c>
      <c r="N1740" s="224">
        <v>72</v>
      </c>
      <c r="O1740" s="228">
        <f>ROUND(Tableau14[[#This Row],[Prix_Unit_HT]],2)*Tableau14[[#This Row],[Qte_commande]]</f>
        <v>904.32</v>
      </c>
      <c r="P1740" s="228">
        <f>ROUND(Tableau14[[#This Row],[Prix_Unit_TTC]],2)*Tableau14[[#This Row],[Qte_commande]]</f>
        <v>1085.04</v>
      </c>
      <c r="Q1740" s="224">
        <v>72</v>
      </c>
      <c r="R1740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72</v>
      </c>
      <c r="U1740" s="224"/>
      <c r="V1740" s="224"/>
    </row>
    <row r="1741" spans="1:22" ht="14.65" customHeight="1" x14ac:dyDescent="0.2">
      <c r="A1741" s="225">
        <v>43741</v>
      </c>
      <c r="B1741" s="224" t="s">
        <v>285</v>
      </c>
      <c r="C1741" s="224" t="s">
        <v>211</v>
      </c>
      <c r="D1741" s="224" t="s">
        <v>212</v>
      </c>
      <c r="E1741" s="226"/>
      <c r="G1741" s="224" t="s">
        <v>1</v>
      </c>
      <c r="H1741" s="224" t="s">
        <v>196</v>
      </c>
      <c r="I1741" s="224" t="s">
        <v>64</v>
      </c>
      <c r="J1741" s="224">
        <v>20</v>
      </c>
      <c r="K1741" s="227">
        <f t="array" ref="K1741">IFERROR(INDEX([1]Grille_Tarifs_Modulable!$B$2:$B$204,MATCH(Tableau14[[#This Row],[Designation]]&amp;Tableau14[[#This Row],[CL]],[1]Grille_Tarifs_Modulable!$C$2:$C$204&amp;[1]Grille_Tarifs_Modulable!$F$2:$F$204,0)),0)</f>
        <v>4260310553849</v>
      </c>
      <c r="L1741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0.81</v>
      </c>
      <c r="M1741" s="228">
        <f>IF(Tableau14[[#This Row],[Prix_Unit_HT]]=0,0,Tableau14[[#This Row],[Prix_Unit_HT]]+(Tableau14[[#This Row],[Prix_Unit_HT]]*VLOOKUP(Tableau14[[#This Row],[EAN]],[1]Grille_Tarifs_Modulable!$B$10:$Q$204,16,FALSE)))</f>
        <v>0.85455000000000003</v>
      </c>
      <c r="N1741" s="224">
        <v>120</v>
      </c>
      <c r="O1741" s="228">
        <f>ROUND(Tableau14[[#This Row],[Prix_Unit_HT]],2)*Tableau14[[#This Row],[Qte_commande]]</f>
        <v>97.2</v>
      </c>
      <c r="P1741" s="228">
        <f>ROUND(Tableau14[[#This Row],[Prix_Unit_TTC]],2)*Tableau14[[#This Row],[Qte_commande]]</f>
        <v>102</v>
      </c>
      <c r="Q1741" s="224">
        <v>34.29</v>
      </c>
      <c r="R1741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34.285714285714285</v>
      </c>
      <c r="U1741" s="224"/>
      <c r="V1741" s="224"/>
    </row>
    <row r="1742" spans="1:22" ht="14.65" customHeight="1" x14ac:dyDescent="0.2">
      <c r="A1742" s="225">
        <v>43741</v>
      </c>
      <c r="B1742" s="224" t="s">
        <v>285</v>
      </c>
      <c r="C1742" s="224" t="s">
        <v>211</v>
      </c>
      <c r="D1742" s="224" t="s">
        <v>212</v>
      </c>
      <c r="E1742" s="226"/>
      <c r="G1742" s="224" t="s">
        <v>1</v>
      </c>
      <c r="H1742" s="224" t="s">
        <v>196</v>
      </c>
      <c r="I1742" s="224" t="s">
        <v>59</v>
      </c>
      <c r="J1742" s="224">
        <v>20</v>
      </c>
      <c r="K1742" s="227">
        <f t="array" ref="K1742">IFERROR(INDEX([1]Grille_Tarifs_Modulable!$B$2:$B$204,MATCH(Tableau14[[#This Row],[Designation]]&amp;Tableau14[[#This Row],[CL]],[1]Grille_Tarifs_Modulable!$C$2:$C$204&amp;[1]Grille_Tarifs_Modulable!$F$2:$F$204,0)),0)</f>
        <v>4260310553818</v>
      </c>
      <c r="L1742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0.81</v>
      </c>
      <c r="M1742" s="228">
        <f>IF(Tableau14[[#This Row],[Prix_Unit_HT]]=0,0,Tableau14[[#This Row],[Prix_Unit_HT]]+(Tableau14[[#This Row],[Prix_Unit_HT]]*VLOOKUP(Tableau14[[#This Row],[EAN]],[1]Grille_Tarifs_Modulable!$B$10:$Q$204,16,FALSE)))</f>
        <v>0.85455000000000003</v>
      </c>
      <c r="N1742" s="224">
        <v>192</v>
      </c>
      <c r="O1742" s="228">
        <f>ROUND(Tableau14[[#This Row],[Prix_Unit_HT]],2)*Tableau14[[#This Row],[Qte_commande]]</f>
        <v>155.52000000000001</v>
      </c>
      <c r="P1742" s="228">
        <f>ROUND(Tableau14[[#This Row],[Prix_Unit_TTC]],2)*Tableau14[[#This Row],[Qte_commande]]</f>
        <v>163.19999999999999</v>
      </c>
      <c r="Q1742" s="224">
        <v>54.86</v>
      </c>
      <c r="R1742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54.857142857142861</v>
      </c>
      <c r="U1742" s="224"/>
      <c r="V1742" s="224"/>
    </row>
    <row r="1743" spans="1:22" ht="14.65" customHeight="1" x14ac:dyDescent="0.2">
      <c r="A1743" s="225">
        <v>43742</v>
      </c>
      <c r="B1743" s="224" t="s">
        <v>257</v>
      </c>
      <c r="C1743" s="224" t="s">
        <v>258</v>
      </c>
      <c r="D1743" s="224" t="s">
        <v>233</v>
      </c>
      <c r="E1743" s="226"/>
      <c r="G1743" s="224" t="s">
        <v>13</v>
      </c>
      <c r="H1743" s="224" t="s">
        <v>196</v>
      </c>
      <c r="I1743" s="224" t="s">
        <v>62</v>
      </c>
      <c r="J1743" s="224">
        <v>20</v>
      </c>
      <c r="K1743" s="227">
        <f t="array" ref="K1743">IFERROR(INDEX([1]Grille_Tarifs_Modulable!$B$2:$B$204,MATCH(Tableau14[[#This Row],[Designation]]&amp;Tableau14[[#This Row],[CL]],[1]Grille_Tarifs_Modulable!$C$2:$C$204&amp;[1]Grille_Tarifs_Modulable!$F$2:$F$204,0)),0)</f>
        <v>4260310550305</v>
      </c>
      <c r="L1743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0.89</v>
      </c>
      <c r="M1743" s="228">
        <f>IF(Tableau14[[#This Row],[Prix_Unit_HT]]=0,0,Tableau14[[#This Row],[Prix_Unit_HT]]+(Tableau14[[#This Row],[Prix_Unit_HT]]*VLOOKUP(Tableau14[[#This Row],[EAN]],[1]Grille_Tarifs_Modulable!$B$10:$Q$204,16,FALSE)))</f>
        <v>0.93895000000000006</v>
      </c>
      <c r="N1743" s="224">
        <v>48</v>
      </c>
      <c r="O1743" s="228">
        <f>ROUND(Tableau14[[#This Row],[Prix_Unit_HT]],2)*Tableau14[[#This Row],[Qte_commande]]</f>
        <v>42.72</v>
      </c>
      <c r="P1743" s="228">
        <f>ROUND(Tableau14[[#This Row],[Prix_Unit_TTC]],2)*Tableau14[[#This Row],[Qte_commande]]</f>
        <v>45.12</v>
      </c>
      <c r="Q1743" s="224">
        <v>13.71</v>
      </c>
      <c r="R1743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13.714285714285715</v>
      </c>
      <c r="U1743" s="224"/>
      <c r="V1743" s="224"/>
    </row>
    <row r="1744" spans="1:22" ht="14.65" customHeight="1" x14ac:dyDescent="0.2">
      <c r="A1744" s="225">
        <v>43742</v>
      </c>
      <c r="B1744" s="224" t="s">
        <v>257</v>
      </c>
      <c r="C1744" s="224" t="s">
        <v>258</v>
      </c>
      <c r="D1744" s="224" t="s">
        <v>233</v>
      </c>
      <c r="E1744" s="226"/>
      <c r="G1744" s="224" t="s">
        <v>13</v>
      </c>
      <c r="H1744" s="224" t="s">
        <v>196</v>
      </c>
      <c r="I1744" s="224" t="s">
        <v>63</v>
      </c>
      <c r="J1744" s="224">
        <v>20</v>
      </c>
      <c r="K1744" s="227">
        <f t="array" ref="K1744">IFERROR(INDEX([1]Grille_Tarifs_Modulable!$B$2:$B$204,MATCH(Tableau14[[#This Row],[Designation]]&amp;Tableau14[[#This Row],[CL]],[1]Grille_Tarifs_Modulable!$C$2:$C$204&amp;[1]Grille_Tarifs_Modulable!$F$2:$F$204,0)),0)</f>
        <v>4260310552941</v>
      </c>
      <c r="L1744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0.89</v>
      </c>
      <c r="M1744" s="228">
        <f>IF(Tableau14[[#This Row],[Prix_Unit_HT]]=0,0,Tableau14[[#This Row],[Prix_Unit_HT]]+(Tableau14[[#This Row],[Prix_Unit_HT]]*VLOOKUP(Tableau14[[#This Row],[EAN]],[1]Grille_Tarifs_Modulable!$B$10:$Q$204,16,FALSE)))</f>
        <v>0.93895000000000006</v>
      </c>
      <c r="N1744" s="224">
        <v>48</v>
      </c>
      <c r="O1744" s="228">
        <f>ROUND(Tableau14[[#This Row],[Prix_Unit_HT]],2)*Tableau14[[#This Row],[Qte_commande]]</f>
        <v>42.72</v>
      </c>
      <c r="P1744" s="228">
        <f>ROUND(Tableau14[[#This Row],[Prix_Unit_TTC]],2)*Tableau14[[#This Row],[Qte_commande]]</f>
        <v>45.12</v>
      </c>
      <c r="Q1744" s="224">
        <v>13.71</v>
      </c>
      <c r="R1744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13.714285714285715</v>
      </c>
      <c r="U1744" s="224"/>
      <c r="V1744" s="224"/>
    </row>
    <row r="1745" spans="1:22" ht="14.65" customHeight="1" x14ac:dyDescent="0.2">
      <c r="A1745" s="225">
        <v>43742</v>
      </c>
      <c r="B1745" s="224" t="s">
        <v>257</v>
      </c>
      <c r="C1745" s="224" t="s">
        <v>258</v>
      </c>
      <c r="D1745" s="224" t="s">
        <v>233</v>
      </c>
      <c r="E1745" s="226"/>
      <c r="G1745" s="224" t="s">
        <v>13</v>
      </c>
      <c r="H1745" s="224" t="s">
        <v>289</v>
      </c>
      <c r="I1745" s="224" t="s">
        <v>35</v>
      </c>
      <c r="J1745" s="224">
        <v>70</v>
      </c>
      <c r="K1745" s="227">
        <f t="array" ref="K1745">IFERROR(INDEX([1]Grille_Tarifs_Modulable!$B$2:$B$204,MATCH(Tableau14[[#This Row],[Designation]]&amp;Tableau14[[#This Row],[CL]],[1]Grille_Tarifs_Modulable!$C$2:$C$204&amp;[1]Grille_Tarifs_Modulable!$F$2:$F$204,0)),0)</f>
        <v>3257150107012</v>
      </c>
      <c r="L1745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32.408644000000002</v>
      </c>
      <c r="M1745" s="228">
        <f>IF(Tableau14[[#This Row],[Prix_Unit_HT]]=0,0,Tableau14[[#This Row],[Prix_Unit_HT]]+(Tableau14[[#This Row],[Prix_Unit_HT]]*VLOOKUP(Tableau14[[#This Row],[EAN]],[1]Grille_Tarifs_Modulable!$B$10:$Q$204,16,FALSE)))</f>
        <v>38.890372800000002</v>
      </c>
      <c r="N1745" s="224">
        <v>6</v>
      </c>
      <c r="O1745" s="228">
        <f>ROUND(Tableau14[[#This Row],[Prix_Unit_HT]],2)*Tableau14[[#This Row],[Qte_commande]]</f>
        <v>194.45999999999998</v>
      </c>
      <c r="P1745" s="228">
        <f>ROUND(Tableau14[[#This Row],[Prix_Unit_TTC]],2)*Tableau14[[#This Row],[Qte_commande]]</f>
        <v>233.34</v>
      </c>
      <c r="Q1745" s="224">
        <v>6</v>
      </c>
      <c r="R1745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6.0000000000000009</v>
      </c>
      <c r="U1745" s="224"/>
      <c r="V1745" s="224"/>
    </row>
    <row r="1746" spans="1:22" ht="14.65" customHeight="1" x14ac:dyDescent="0.2">
      <c r="A1746" s="225">
        <v>43742</v>
      </c>
      <c r="B1746" s="224" t="s">
        <v>257</v>
      </c>
      <c r="C1746" s="224" t="s">
        <v>258</v>
      </c>
      <c r="D1746" s="224" t="s">
        <v>233</v>
      </c>
      <c r="E1746" s="226"/>
      <c r="G1746" s="224" t="s">
        <v>13</v>
      </c>
      <c r="H1746" s="224" t="s">
        <v>289</v>
      </c>
      <c r="I1746" s="224" t="s">
        <v>30</v>
      </c>
      <c r="J1746" s="224">
        <v>70</v>
      </c>
      <c r="K1746" s="227">
        <f t="array" ref="K1746">IFERROR(INDEX([1]Grille_Tarifs_Modulable!$B$2:$B$204,MATCH(Tableau14[[#This Row],[Designation]]&amp;Tableau14[[#This Row],[CL]],[1]Grille_Tarifs_Modulable!$C$2:$C$204&amp;[1]Grille_Tarifs_Modulable!$F$2:$F$204,0)),0)</f>
        <v>3257150101904</v>
      </c>
      <c r="L1746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18.506483000000003</v>
      </c>
      <c r="M1746" s="228">
        <f>IF(Tableau14[[#This Row],[Prix_Unit_HT]]=0,0,Tableau14[[#This Row],[Prix_Unit_HT]]+(Tableau14[[#This Row],[Prix_Unit_HT]]*VLOOKUP(Tableau14[[#This Row],[EAN]],[1]Grille_Tarifs_Modulable!$B$10:$Q$204,16,FALSE)))</f>
        <v>22.207779600000002</v>
      </c>
      <c r="N1746" s="224">
        <v>6</v>
      </c>
      <c r="O1746" s="228">
        <f>ROUND(Tableau14[[#This Row],[Prix_Unit_HT]],2)*Tableau14[[#This Row],[Qte_commande]]</f>
        <v>111.06</v>
      </c>
      <c r="P1746" s="228">
        <f>ROUND(Tableau14[[#This Row],[Prix_Unit_TTC]],2)*Tableau14[[#This Row],[Qte_commande]]</f>
        <v>133.26</v>
      </c>
      <c r="Q1746" s="224">
        <v>6</v>
      </c>
      <c r="R1746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6.0000000000000009</v>
      </c>
      <c r="U1746" s="224"/>
      <c r="V1746" s="224"/>
    </row>
    <row r="1747" spans="1:22" ht="14.65" customHeight="1" x14ac:dyDescent="0.2">
      <c r="A1747" s="225">
        <v>43742</v>
      </c>
      <c r="B1747" s="224" t="s">
        <v>257</v>
      </c>
      <c r="C1747" s="224" t="s">
        <v>258</v>
      </c>
      <c r="D1747" s="224" t="s">
        <v>233</v>
      </c>
      <c r="E1747" s="226"/>
      <c r="G1747" s="224" t="s">
        <v>13</v>
      </c>
      <c r="H1747" s="224" t="s">
        <v>289</v>
      </c>
      <c r="I1747" s="224" t="s">
        <v>32</v>
      </c>
      <c r="J1747" s="224">
        <v>70</v>
      </c>
      <c r="K1747" s="227">
        <f t="array" ref="K1747">IFERROR(INDEX([1]Grille_Tarifs_Modulable!$B$2:$B$204,MATCH(Tableau14[[#This Row],[Designation]]&amp;Tableau14[[#This Row],[CL]],[1]Grille_Tarifs_Modulable!$C$2:$C$204&amp;[1]Grille_Tarifs_Modulable!$F$2:$F$204,0)),0)</f>
        <v>3257150100228</v>
      </c>
      <c r="L1747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21.488644000000001</v>
      </c>
      <c r="M1747" s="228">
        <f>IF(Tableau14[[#This Row],[Prix_Unit_HT]]=0,0,Tableau14[[#This Row],[Prix_Unit_HT]]+(Tableau14[[#This Row],[Prix_Unit_HT]]*VLOOKUP(Tableau14[[#This Row],[EAN]],[1]Grille_Tarifs_Modulable!$B$10:$Q$204,16,FALSE)))</f>
        <v>25.786372800000002</v>
      </c>
      <c r="N1747" s="224">
        <v>6</v>
      </c>
      <c r="O1747" s="228">
        <f>ROUND(Tableau14[[#This Row],[Prix_Unit_HT]],2)*Tableau14[[#This Row],[Qte_commande]]</f>
        <v>128.94</v>
      </c>
      <c r="P1747" s="228">
        <f>ROUND(Tableau14[[#This Row],[Prix_Unit_TTC]],2)*Tableau14[[#This Row],[Qte_commande]]</f>
        <v>154.74</v>
      </c>
      <c r="Q1747" s="224">
        <v>6</v>
      </c>
      <c r="R1747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6.0000000000000009</v>
      </c>
      <c r="U1747" s="224"/>
      <c r="V1747" s="224"/>
    </row>
    <row r="1748" spans="1:22" ht="14.65" customHeight="1" x14ac:dyDescent="0.2">
      <c r="A1748" s="225">
        <v>43742</v>
      </c>
      <c r="B1748" s="224" t="s">
        <v>257</v>
      </c>
      <c r="C1748" s="224" t="s">
        <v>258</v>
      </c>
      <c r="D1748" s="224" t="s">
        <v>233</v>
      </c>
      <c r="E1748" s="226"/>
      <c r="G1748" s="224" t="s">
        <v>13</v>
      </c>
      <c r="H1748" s="224" t="s">
        <v>289</v>
      </c>
      <c r="I1748" s="224" t="s">
        <v>34</v>
      </c>
      <c r="J1748" s="224">
        <v>70</v>
      </c>
      <c r="K1748" s="227">
        <f t="array" ref="K1748">IFERROR(INDEX([1]Grille_Tarifs_Modulable!$B$2:$B$204,MATCH(Tableau14[[#This Row],[Designation]]&amp;Tableau14[[#This Row],[CL]],[1]Grille_Tarifs_Modulable!$C$2:$C$204&amp;[1]Grille_Tarifs_Modulable!$F$2:$F$204,0)),0)</f>
        <v>3257150100167</v>
      </c>
      <c r="L1748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29.948644000000002</v>
      </c>
      <c r="M1748" s="228">
        <f>IF(Tableau14[[#This Row],[Prix_Unit_HT]]=0,0,Tableau14[[#This Row],[Prix_Unit_HT]]+(Tableau14[[#This Row],[Prix_Unit_HT]]*VLOOKUP(Tableau14[[#This Row],[EAN]],[1]Grille_Tarifs_Modulable!$B$10:$Q$204,16,FALSE)))</f>
        <v>35.938372800000003</v>
      </c>
      <c r="N1748" s="224">
        <v>6</v>
      </c>
      <c r="O1748" s="228">
        <f>ROUND(Tableau14[[#This Row],[Prix_Unit_HT]],2)*Tableau14[[#This Row],[Qte_commande]]</f>
        <v>179.7</v>
      </c>
      <c r="P1748" s="228">
        <f>ROUND(Tableau14[[#This Row],[Prix_Unit_TTC]],2)*Tableau14[[#This Row],[Qte_commande]]</f>
        <v>215.64</v>
      </c>
      <c r="Q1748" s="224">
        <v>6</v>
      </c>
      <c r="R1748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6.0000000000000009</v>
      </c>
      <c r="U1748" s="224"/>
      <c r="V1748" s="224"/>
    </row>
    <row r="1749" spans="1:22" ht="14.65" customHeight="1" x14ac:dyDescent="0.2">
      <c r="A1749" s="225">
        <v>43742</v>
      </c>
      <c r="B1749" s="224" t="s">
        <v>257</v>
      </c>
      <c r="C1749" s="224" t="s">
        <v>258</v>
      </c>
      <c r="D1749" s="224" t="s">
        <v>233</v>
      </c>
      <c r="E1749" s="226"/>
      <c r="G1749" s="224" t="s">
        <v>13</v>
      </c>
      <c r="H1749" s="224" t="s">
        <v>289</v>
      </c>
      <c r="I1749" s="224" t="s">
        <v>31</v>
      </c>
      <c r="J1749" s="224">
        <v>70</v>
      </c>
      <c r="K1749" s="227">
        <f t="array" ref="K1749">IFERROR(INDEX([1]Grille_Tarifs_Modulable!$B$2:$B$204,MATCH(Tableau14[[#This Row],[Designation]]&amp;Tableau14[[#This Row],[CL]],[1]Grille_Tarifs_Modulable!$C$2:$C$204&amp;[1]Grille_Tarifs_Modulable!$F$2:$F$204,0)),0)</f>
        <v>3257150102017</v>
      </c>
      <c r="L1749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16.854322</v>
      </c>
      <c r="M1749" s="228">
        <f>IF(Tableau14[[#This Row],[Prix_Unit_HT]]=0,0,Tableau14[[#This Row],[Prix_Unit_HT]]+(Tableau14[[#This Row],[Prix_Unit_HT]]*VLOOKUP(Tableau14[[#This Row],[EAN]],[1]Grille_Tarifs_Modulable!$B$10:$Q$204,16,FALSE)))</f>
        <v>20.225186399999998</v>
      </c>
      <c r="N1749" s="224">
        <v>6</v>
      </c>
      <c r="O1749" s="228">
        <f>ROUND(Tableau14[[#This Row],[Prix_Unit_HT]],2)*Tableau14[[#This Row],[Qte_commande]]</f>
        <v>101.10000000000001</v>
      </c>
      <c r="P1749" s="228">
        <f>ROUND(Tableau14[[#This Row],[Prix_Unit_TTC]],2)*Tableau14[[#This Row],[Qte_commande]]</f>
        <v>121.38</v>
      </c>
      <c r="Q1749" s="224">
        <v>6</v>
      </c>
      <c r="R1749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6.0000000000000009</v>
      </c>
      <c r="U1749" s="224"/>
      <c r="V1749" s="224"/>
    </row>
    <row r="1750" spans="1:22" ht="14.65" customHeight="1" x14ac:dyDescent="0.2">
      <c r="A1750" s="225">
        <v>43742</v>
      </c>
      <c r="B1750" s="224" t="s">
        <v>257</v>
      </c>
      <c r="C1750" s="224" t="s">
        <v>258</v>
      </c>
      <c r="D1750" s="224" t="s">
        <v>233</v>
      </c>
      <c r="E1750" s="226"/>
      <c r="G1750" s="224" t="s">
        <v>13</v>
      </c>
      <c r="H1750" s="224" t="s">
        <v>196</v>
      </c>
      <c r="I1750" s="224" t="s">
        <v>64</v>
      </c>
      <c r="J1750" s="224">
        <v>20</v>
      </c>
      <c r="K1750" s="227">
        <f t="array" ref="K1750">IFERROR(INDEX([1]Grille_Tarifs_Modulable!$B$2:$B$204,MATCH(Tableau14[[#This Row],[Designation]]&amp;Tableau14[[#This Row],[CL]],[1]Grille_Tarifs_Modulable!$C$2:$C$204&amp;[1]Grille_Tarifs_Modulable!$F$2:$F$204,0)),0)</f>
        <v>4260310553849</v>
      </c>
      <c r="L1750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0.89</v>
      </c>
      <c r="M1750" s="228">
        <f>IF(Tableau14[[#This Row],[Prix_Unit_HT]]=0,0,Tableau14[[#This Row],[Prix_Unit_HT]]+(Tableau14[[#This Row],[Prix_Unit_HT]]*VLOOKUP(Tableau14[[#This Row],[EAN]],[1]Grille_Tarifs_Modulable!$B$10:$Q$204,16,FALSE)))</f>
        <v>0.93895000000000006</v>
      </c>
      <c r="N1750" s="224">
        <v>24</v>
      </c>
      <c r="O1750" s="228">
        <f>ROUND(Tableau14[[#This Row],[Prix_Unit_HT]],2)*Tableau14[[#This Row],[Qte_commande]]</f>
        <v>21.36</v>
      </c>
      <c r="P1750" s="228">
        <f>ROUND(Tableau14[[#This Row],[Prix_Unit_TTC]],2)*Tableau14[[#This Row],[Qte_commande]]</f>
        <v>22.56</v>
      </c>
      <c r="Q1750" s="224">
        <v>6.86</v>
      </c>
      <c r="R1750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6.8571428571428577</v>
      </c>
      <c r="U1750" s="224"/>
      <c r="V1750" s="224"/>
    </row>
    <row r="1751" spans="1:22" ht="14.65" customHeight="1" x14ac:dyDescent="0.2">
      <c r="A1751" s="225">
        <v>43745</v>
      </c>
      <c r="B1751" s="224" t="s">
        <v>767</v>
      </c>
      <c r="C1751" s="224" t="s">
        <v>265</v>
      </c>
      <c r="D1751" s="224" t="s">
        <v>266</v>
      </c>
      <c r="E1751" s="226"/>
      <c r="G1751" s="224" t="s">
        <v>1</v>
      </c>
      <c r="H1751" s="224" t="s">
        <v>289</v>
      </c>
      <c r="I1751" s="224" t="s">
        <v>15</v>
      </c>
      <c r="J1751" s="224">
        <v>70</v>
      </c>
      <c r="K1751" s="227">
        <f t="array" ref="K1751">IFERROR(INDEX([1]Grille_Tarifs_Modulable!$B$2:$B$204,MATCH(Tableau14[[#This Row],[Designation]]&amp;Tableau14[[#This Row],[CL]],[1]Grille_Tarifs_Modulable!$C$2:$C$204&amp;[1]Grille_Tarifs_Modulable!$F$2:$F$204,0)),0)</f>
        <v>4067700013859</v>
      </c>
      <c r="L1751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12.532563499999998</v>
      </c>
      <c r="M1751" s="228">
        <f>IF(Tableau14[[#This Row],[Prix_Unit_HT]]=0,0,Tableau14[[#This Row],[Prix_Unit_HT]]+(Tableau14[[#This Row],[Prix_Unit_HT]]*VLOOKUP(Tableau14[[#This Row],[EAN]],[1]Grille_Tarifs_Modulable!$B$10:$Q$204,16,FALSE)))</f>
        <v>15.039076199999998</v>
      </c>
      <c r="N1751" s="224">
        <v>240</v>
      </c>
      <c r="O1751" s="228">
        <f>ROUND(Tableau14[[#This Row],[Prix_Unit_HT]],2)*Tableau14[[#This Row],[Qte_commande]]</f>
        <v>3007.2</v>
      </c>
      <c r="P1751" s="228">
        <f>ROUND(Tableau14[[#This Row],[Prix_Unit_TTC]],2)*Tableau14[[#This Row],[Qte_commande]]</f>
        <v>3609.6</v>
      </c>
      <c r="Q1751" s="224">
        <v>240</v>
      </c>
      <c r="R1751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240.00000000000003</v>
      </c>
      <c r="U1751" s="224"/>
      <c r="V1751" s="224"/>
    </row>
    <row r="1752" spans="1:22" ht="14.65" customHeight="1" x14ac:dyDescent="0.2">
      <c r="A1752" s="225">
        <v>43745</v>
      </c>
      <c r="B1752" s="224" t="s">
        <v>767</v>
      </c>
      <c r="C1752" s="224" t="s">
        <v>265</v>
      </c>
      <c r="D1752" s="224" t="s">
        <v>266</v>
      </c>
      <c r="E1752" s="226"/>
      <c r="G1752" s="224" t="s">
        <v>13</v>
      </c>
      <c r="H1752" s="224" t="s">
        <v>196</v>
      </c>
      <c r="I1752" s="224" t="s">
        <v>66</v>
      </c>
      <c r="J1752" s="224">
        <v>20</v>
      </c>
      <c r="K1752" s="227">
        <f t="array" ref="K1752">IFERROR(INDEX([1]Grille_Tarifs_Modulable!$B$2:$B$204,MATCH(Tableau14[[#This Row],[Designation]]&amp;Tableau14[[#This Row],[CL]],[1]Grille_Tarifs_Modulable!$C$2:$C$204&amp;[1]Grille_Tarifs_Modulable!$F$2:$F$204,0)),0)</f>
        <v>4260310554785</v>
      </c>
      <c r="L1752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0.89</v>
      </c>
      <c r="M1752" s="228">
        <f>IF(Tableau14[[#This Row],[Prix_Unit_HT]]=0,0,Tableau14[[#This Row],[Prix_Unit_HT]]+(Tableau14[[#This Row],[Prix_Unit_HT]]*VLOOKUP(Tableau14[[#This Row],[EAN]],[1]Grille_Tarifs_Modulable!$B$10:$Q$204,16,FALSE)))</f>
        <v>0.93895000000000006</v>
      </c>
      <c r="N1752" s="224">
        <v>240</v>
      </c>
      <c r="O1752" s="228">
        <f>ROUND(Tableau14[[#This Row],[Prix_Unit_HT]],2)*Tableau14[[#This Row],[Qte_commande]]</f>
        <v>213.6</v>
      </c>
      <c r="P1752" s="228">
        <f>ROUND(Tableau14[[#This Row],[Prix_Unit_TTC]],2)*Tableau14[[#This Row],[Qte_commande]]</f>
        <v>225.6</v>
      </c>
      <c r="Q1752" s="224">
        <v>68.569999999999993</v>
      </c>
      <c r="R1752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68.571428571428569</v>
      </c>
      <c r="U1752" s="224"/>
      <c r="V1752" s="224"/>
    </row>
    <row r="1753" spans="1:22" ht="14.65" customHeight="1" x14ac:dyDescent="0.2">
      <c r="A1753" s="225">
        <v>43755</v>
      </c>
      <c r="B1753" s="224" t="s">
        <v>768</v>
      </c>
      <c r="C1753" s="224" t="s">
        <v>530</v>
      </c>
      <c r="D1753" s="224" t="s">
        <v>531</v>
      </c>
      <c r="E1753" s="226"/>
      <c r="G1753" s="224" t="s">
        <v>1</v>
      </c>
      <c r="H1753" s="224" t="s">
        <v>289</v>
      </c>
      <c r="I1753" s="224" t="s">
        <v>15</v>
      </c>
      <c r="J1753" s="224">
        <v>70</v>
      </c>
      <c r="K1753" s="227">
        <f t="array" ref="K1753">IFERROR(INDEX([1]Grille_Tarifs_Modulable!$B$2:$B$204,MATCH(Tableau14[[#This Row],[Designation]]&amp;Tableau14[[#This Row],[CL]],[1]Grille_Tarifs_Modulable!$C$2:$C$204&amp;[1]Grille_Tarifs_Modulable!$F$2:$F$204,0)),0)</f>
        <v>4067700013859</v>
      </c>
      <c r="L1753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12.532563499999998</v>
      </c>
      <c r="M1753" s="228">
        <f>IF(Tableau14[[#This Row],[Prix_Unit_HT]]=0,0,Tableau14[[#This Row],[Prix_Unit_HT]]+(Tableau14[[#This Row],[Prix_Unit_HT]]*VLOOKUP(Tableau14[[#This Row],[EAN]],[1]Grille_Tarifs_Modulable!$B$10:$Q$204,16,FALSE)))</f>
        <v>15.039076199999998</v>
      </c>
      <c r="N1753" s="224">
        <v>240</v>
      </c>
      <c r="O1753" s="228">
        <f>ROUND(Tableau14[[#This Row],[Prix_Unit_HT]],2)*Tableau14[[#This Row],[Qte_commande]]</f>
        <v>3007.2</v>
      </c>
      <c r="P1753" s="228">
        <f>ROUND(Tableau14[[#This Row],[Prix_Unit_TTC]],2)*Tableau14[[#This Row],[Qte_commande]]</f>
        <v>3609.6</v>
      </c>
      <c r="Q1753" s="224">
        <v>240</v>
      </c>
      <c r="R1753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240.00000000000003</v>
      </c>
      <c r="U1753" s="224"/>
      <c r="V1753" s="224"/>
    </row>
    <row r="1754" spans="1:22" ht="14.65" customHeight="1" x14ac:dyDescent="0.2">
      <c r="A1754" s="225">
        <v>43755</v>
      </c>
      <c r="B1754" s="224" t="s">
        <v>1314</v>
      </c>
      <c r="C1754" s="224" t="s">
        <v>1315</v>
      </c>
      <c r="D1754" s="224" t="s">
        <v>1316</v>
      </c>
      <c r="E1754" s="226"/>
      <c r="G1754" s="224" t="s">
        <v>13</v>
      </c>
      <c r="H1754" s="224" t="s">
        <v>451</v>
      </c>
      <c r="I1754" s="224" t="s">
        <v>71</v>
      </c>
      <c r="J1754" s="227">
        <v>1</v>
      </c>
      <c r="K1754" s="227">
        <f t="array" ref="K1754">IFERROR(INDEX([1]Grille_Tarifs_Modulable!$B$2:$B$204,MATCH(Tableau14[[#This Row],[Designation]]&amp;Tableau14[[#This Row],[CL]],[1]Grille_Tarifs_Modulable!$C$2:$C$204&amp;[1]Grille_Tarifs_Modulable!$F$2:$F$204,0)),0)</f>
        <v>122</v>
      </c>
      <c r="L1754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299</v>
      </c>
      <c r="M1754" s="228">
        <f>IF(Tableau14[[#This Row],[Prix_Unit_HT]]=0,0,Tableau14[[#This Row],[Prix_Unit_HT]]+(Tableau14[[#This Row],[Prix_Unit_HT]]*VLOOKUP(Tableau14[[#This Row],[EAN]],[1]Grille_Tarifs_Modulable!$B$10:$Q$204,16,FALSE)))</f>
        <v>358.8</v>
      </c>
      <c r="N1754" s="224">
        <v>1</v>
      </c>
      <c r="O1754" s="228">
        <f>ROUND(Tableau14[[#This Row],[Prix_Unit_HT]],2)*Tableau14[[#This Row],[Qte_commande]]</f>
        <v>299</v>
      </c>
      <c r="P1754" s="228">
        <f>ROUND(Tableau14[[#This Row],[Prix_Unit_TTC]],2)*Tableau14[[#This Row],[Qte_commande]]</f>
        <v>358.8</v>
      </c>
      <c r="Q1754" s="224">
        <v>1</v>
      </c>
      <c r="R1754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</v>
      </c>
      <c r="U1754" s="224"/>
      <c r="V1754" s="224"/>
    </row>
    <row r="1755" spans="1:22" ht="14.65" customHeight="1" x14ac:dyDescent="0.2">
      <c r="A1755" s="225">
        <v>43755</v>
      </c>
      <c r="B1755" s="224" t="s">
        <v>1317</v>
      </c>
      <c r="C1755" s="224" t="s">
        <v>464</v>
      </c>
      <c r="D1755" s="224" t="s">
        <v>180</v>
      </c>
      <c r="E1755" s="226"/>
      <c r="G1755" s="224" t="s">
        <v>13</v>
      </c>
      <c r="H1755" s="224" t="s">
        <v>451</v>
      </c>
      <c r="I1755" s="224" t="s">
        <v>71</v>
      </c>
      <c r="J1755" s="227">
        <v>1</v>
      </c>
      <c r="K1755" s="227">
        <f t="array" ref="K1755">IFERROR(INDEX([1]Grille_Tarifs_Modulable!$B$2:$B$204,MATCH(Tableau14[[#This Row],[Designation]]&amp;Tableau14[[#This Row],[CL]],[1]Grille_Tarifs_Modulable!$C$2:$C$204&amp;[1]Grille_Tarifs_Modulable!$F$2:$F$204,0)),0)</f>
        <v>122</v>
      </c>
      <c r="L1755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299</v>
      </c>
      <c r="M1755" s="228">
        <f>IF(Tableau14[[#This Row],[Prix_Unit_HT]]=0,0,Tableau14[[#This Row],[Prix_Unit_HT]]+(Tableau14[[#This Row],[Prix_Unit_HT]]*VLOOKUP(Tableau14[[#This Row],[EAN]],[1]Grille_Tarifs_Modulable!$B$10:$Q$204,16,FALSE)))</f>
        <v>358.8</v>
      </c>
      <c r="N1755" s="224">
        <v>1</v>
      </c>
      <c r="O1755" s="228">
        <f>ROUND(Tableau14[[#This Row],[Prix_Unit_HT]],2)*Tableau14[[#This Row],[Qte_commande]]</f>
        <v>299</v>
      </c>
      <c r="P1755" s="228">
        <f>ROUND(Tableau14[[#This Row],[Prix_Unit_TTC]],2)*Tableau14[[#This Row],[Qte_commande]]</f>
        <v>358.8</v>
      </c>
      <c r="Q1755" s="224">
        <v>1</v>
      </c>
      <c r="R1755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</v>
      </c>
      <c r="U1755" s="224"/>
      <c r="V1755" s="224"/>
    </row>
    <row r="1756" spans="1:22" ht="14.65" customHeight="1" x14ac:dyDescent="0.2">
      <c r="A1756" s="225">
        <v>43755</v>
      </c>
      <c r="B1756" s="224" t="s">
        <v>1318</v>
      </c>
      <c r="C1756" s="224" t="s">
        <v>1319</v>
      </c>
      <c r="D1756" s="224" t="s">
        <v>212</v>
      </c>
      <c r="E1756" s="226"/>
      <c r="G1756" s="224" t="s">
        <v>13</v>
      </c>
      <c r="H1756" s="224" t="s">
        <v>451</v>
      </c>
      <c r="I1756" s="224" t="s">
        <v>71</v>
      </c>
      <c r="J1756" s="227">
        <v>1</v>
      </c>
      <c r="K1756" s="227">
        <f t="array" ref="K1756">IFERROR(INDEX([1]Grille_Tarifs_Modulable!$B$2:$B$204,MATCH(Tableau14[[#This Row],[Designation]]&amp;Tableau14[[#This Row],[CL]],[1]Grille_Tarifs_Modulable!$C$2:$C$204&amp;[1]Grille_Tarifs_Modulable!$F$2:$F$204,0)),0)</f>
        <v>122</v>
      </c>
      <c r="L1756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299</v>
      </c>
      <c r="M1756" s="228">
        <f>IF(Tableau14[[#This Row],[Prix_Unit_HT]]=0,0,Tableau14[[#This Row],[Prix_Unit_HT]]+(Tableau14[[#This Row],[Prix_Unit_HT]]*VLOOKUP(Tableau14[[#This Row],[EAN]],[1]Grille_Tarifs_Modulable!$B$10:$Q$204,16,FALSE)))</f>
        <v>358.8</v>
      </c>
      <c r="N1756" s="224">
        <v>1</v>
      </c>
      <c r="O1756" s="228">
        <f>ROUND(Tableau14[[#This Row],[Prix_Unit_HT]],2)*Tableau14[[#This Row],[Qte_commande]]</f>
        <v>299</v>
      </c>
      <c r="P1756" s="228">
        <f>ROUND(Tableau14[[#This Row],[Prix_Unit_TTC]],2)*Tableau14[[#This Row],[Qte_commande]]</f>
        <v>358.8</v>
      </c>
      <c r="Q1756" s="224">
        <v>1</v>
      </c>
      <c r="R1756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</v>
      </c>
      <c r="U1756" s="224"/>
      <c r="V1756" s="224"/>
    </row>
    <row r="1757" spans="1:22" ht="14.65" customHeight="1" x14ac:dyDescent="0.2">
      <c r="A1757" s="225">
        <v>43755</v>
      </c>
      <c r="B1757" s="224" t="s">
        <v>1320</v>
      </c>
      <c r="C1757" s="224" t="s">
        <v>1321</v>
      </c>
      <c r="D1757" s="224" t="s">
        <v>1322</v>
      </c>
      <c r="E1757" s="226"/>
      <c r="G1757" s="224" t="s">
        <v>13</v>
      </c>
      <c r="H1757" s="224" t="s">
        <v>451</v>
      </c>
      <c r="I1757" s="224" t="s">
        <v>71</v>
      </c>
      <c r="J1757" s="227">
        <v>1</v>
      </c>
      <c r="K1757" s="227">
        <f t="array" ref="K1757">IFERROR(INDEX([1]Grille_Tarifs_Modulable!$B$2:$B$204,MATCH(Tableau14[[#This Row],[Designation]]&amp;Tableau14[[#This Row],[CL]],[1]Grille_Tarifs_Modulable!$C$2:$C$204&amp;[1]Grille_Tarifs_Modulable!$F$2:$F$204,0)),0)</f>
        <v>122</v>
      </c>
      <c r="L1757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299</v>
      </c>
      <c r="M1757" s="228">
        <f>IF(Tableau14[[#This Row],[Prix_Unit_HT]]=0,0,Tableau14[[#This Row],[Prix_Unit_HT]]+(Tableau14[[#This Row],[Prix_Unit_HT]]*VLOOKUP(Tableau14[[#This Row],[EAN]],[1]Grille_Tarifs_Modulable!$B$10:$Q$204,16,FALSE)))</f>
        <v>358.8</v>
      </c>
      <c r="N1757" s="224">
        <v>1</v>
      </c>
      <c r="O1757" s="228">
        <f>ROUND(Tableau14[[#This Row],[Prix_Unit_HT]],2)*Tableau14[[#This Row],[Qte_commande]]</f>
        <v>299</v>
      </c>
      <c r="P1757" s="228">
        <f>ROUND(Tableau14[[#This Row],[Prix_Unit_TTC]],2)*Tableau14[[#This Row],[Qte_commande]]</f>
        <v>358.8</v>
      </c>
      <c r="Q1757" s="224">
        <v>1</v>
      </c>
      <c r="R1757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</v>
      </c>
      <c r="U1757" s="224"/>
      <c r="V1757" s="224"/>
    </row>
    <row r="1758" spans="1:22" ht="14.65" customHeight="1" x14ac:dyDescent="0.2">
      <c r="A1758" s="225">
        <v>43755</v>
      </c>
      <c r="B1758" s="224" t="s">
        <v>1323</v>
      </c>
      <c r="C1758" s="224" t="s">
        <v>1324</v>
      </c>
      <c r="D1758" s="224" t="s">
        <v>233</v>
      </c>
      <c r="E1758" s="226"/>
      <c r="G1758" s="224" t="s">
        <v>13</v>
      </c>
      <c r="H1758" s="224" t="s">
        <v>451</v>
      </c>
      <c r="I1758" s="224" t="s">
        <v>71</v>
      </c>
      <c r="J1758" s="227">
        <v>1</v>
      </c>
      <c r="K1758" s="227">
        <f t="array" ref="K1758">IFERROR(INDEX([1]Grille_Tarifs_Modulable!$B$2:$B$204,MATCH(Tableau14[[#This Row],[Designation]]&amp;Tableau14[[#This Row],[CL]],[1]Grille_Tarifs_Modulable!$C$2:$C$204&amp;[1]Grille_Tarifs_Modulable!$F$2:$F$204,0)),0)</f>
        <v>122</v>
      </c>
      <c r="L1758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299</v>
      </c>
      <c r="M1758" s="228">
        <f>IF(Tableau14[[#This Row],[Prix_Unit_HT]]=0,0,Tableau14[[#This Row],[Prix_Unit_HT]]+(Tableau14[[#This Row],[Prix_Unit_HT]]*VLOOKUP(Tableau14[[#This Row],[EAN]],[1]Grille_Tarifs_Modulable!$B$10:$Q$204,16,FALSE)))</f>
        <v>358.8</v>
      </c>
      <c r="N1758" s="224">
        <v>1</v>
      </c>
      <c r="O1758" s="228">
        <f>ROUND(Tableau14[[#This Row],[Prix_Unit_HT]],2)*Tableau14[[#This Row],[Qte_commande]]</f>
        <v>299</v>
      </c>
      <c r="P1758" s="228">
        <f>ROUND(Tableau14[[#This Row],[Prix_Unit_TTC]],2)*Tableau14[[#This Row],[Qte_commande]]</f>
        <v>358.8</v>
      </c>
      <c r="Q1758" s="224">
        <v>1</v>
      </c>
      <c r="R1758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</v>
      </c>
      <c r="U1758" s="224"/>
      <c r="V1758" s="224"/>
    </row>
    <row r="1759" spans="1:22" ht="14.65" customHeight="1" x14ac:dyDescent="0.2">
      <c r="A1759" s="225">
        <v>43755</v>
      </c>
      <c r="B1759" s="224" t="s">
        <v>1325</v>
      </c>
      <c r="C1759" s="224" t="s">
        <v>1326</v>
      </c>
      <c r="D1759" s="224" t="s">
        <v>1327</v>
      </c>
      <c r="E1759" s="226"/>
      <c r="G1759" s="224" t="s">
        <v>13</v>
      </c>
      <c r="H1759" s="224" t="s">
        <v>451</v>
      </c>
      <c r="I1759" s="224" t="s">
        <v>71</v>
      </c>
      <c r="J1759" s="227">
        <v>1</v>
      </c>
      <c r="K1759" s="227">
        <f t="array" ref="K1759">IFERROR(INDEX([1]Grille_Tarifs_Modulable!$B$2:$B$204,MATCH(Tableau14[[#This Row],[Designation]]&amp;Tableau14[[#This Row],[CL]],[1]Grille_Tarifs_Modulable!$C$2:$C$204&amp;[1]Grille_Tarifs_Modulable!$F$2:$F$204,0)),0)</f>
        <v>122</v>
      </c>
      <c r="L1759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299</v>
      </c>
      <c r="M1759" s="228">
        <f>IF(Tableau14[[#This Row],[Prix_Unit_HT]]=0,0,Tableau14[[#This Row],[Prix_Unit_HT]]+(Tableau14[[#This Row],[Prix_Unit_HT]]*VLOOKUP(Tableau14[[#This Row],[EAN]],[1]Grille_Tarifs_Modulable!$B$10:$Q$204,16,FALSE)))</f>
        <v>358.8</v>
      </c>
      <c r="N1759" s="224">
        <v>1</v>
      </c>
      <c r="O1759" s="228">
        <f>ROUND(Tableau14[[#This Row],[Prix_Unit_HT]],2)*Tableau14[[#This Row],[Qte_commande]]</f>
        <v>299</v>
      </c>
      <c r="P1759" s="228">
        <f>ROUND(Tableau14[[#This Row],[Prix_Unit_TTC]],2)*Tableau14[[#This Row],[Qte_commande]]</f>
        <v>358.8</v>
      </c>
      <c r="Q1759" s="224">
        <v>1</v>
      </c>
      <c r="R1759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</v>
      </c>
      <c r="U1759" s="224"/>
      <c r="V1759" s="224"/>
    </row>
    <row r="1760" spans="1:22" ht="14.65" customHeight="1" x14ac:dyDescent="0.2">
      <c r="A1760" s="225">
        <v>43756</v>
      </c>
      <c r="B1760" s="224" t="s">
        <v>428</v>
      </c>
      <c r="C1760" s="224" t="s">
        <v>378</v>
      </c>
      <c r="D1760" s="224" t="s">
        <v>429</v>
      </c>
      <c r="E1760" s="226"/>
      <c r="G1760" s="224" t="s">
        <v>13</v>
      </c>
      <c r="H1760" s="224" t="s">
        <v>289</v>
      </c>
      <c r="I1760" s="224" t="s">
        <v>35</v>
      </c>
      <c r="J1760" s="224">
        <v>70</v>
      </c>
      <c r="K1760" s="227">
        <f t="array" ref="K1760">IFERROR(INDEX([1]Grille_Tarifs_Modulable!$B$2:$B$204,MATCH(Tableau14[[#This Row],[Designation]]&amp;Tableau14[[#This Row],[CL]],[1]Grille_Tarifs_Modulable!$C$2:$C$204&amp;[1]Grille_Tarifs_Modulable!$F$2:$F$204,0)),0)</f>
        <v>3257150107012</v>
      </c>
      <c r="L1760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32.408644000000002</v>
      </c>
      <c r="M1760" s="228">
        <f>IF(Tableau14[[#This Row],[Prix_Unit_HT]]=0,0,Tableau14[[#This Row],[Prix_Unit_HT]]+(Tableau14[[#This Row],[Prix_Unit_HT]]*VLOOKUP(Tableau14[[#This Row],[EAN]],[1]Grille_Tarifs_Modulable!$B$10:$Q$204,16,FALSE)))</f>
        <v>38.890372800000002</v>
      </c>
      <c r="N1760" s="224">
        <v>12</v>
      </c>
      <c r="O1760" s="228">
        <f>ROUND(Tableau14[[#This Row],[Prix_Unit_HT]],2)*Tableau14[[#This Row],[Qte_commande]]</f>
        <v>388.91999999999996</v>
      </c>
      <c r="P1760" s="228">
        <f>ROUND(Tableau14[[#This Row],[Prix_Unit_TTC]],2)*Tableau14[[#This Row],[Qte_commande]]</f>
        <v>466.68</v>
      </c>
      <c r="Q1760" s="224">
        <v>12</v>
      </c>
      <c r="R1760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12.000000000000002</v>
      </c>
      <c r="U1760" s="224"/>
      <c r="V1760" s="224"/>
    </row>
    <row r="1761" spans="1:22" ht="14.65" customHeight="1" x14ac:dyDescent="0.2">
      <c r="A1761" s="225">
        <v>43756</v>
      </c>
      <c r="B1761" s="224" t="s">
        <v>769</v>
      </c>
      <c r="C1761" s="224" t="s">
        <v>770</v>
      </c>
      <c r="D1761" s="224" t="s">
        <v>437</v>
      </c>
      <c r="E1761" s="226"/>
      <c r="G1761" s="224" t="s">
        <v>13</v>
      </c>
      <c r="H1761" s="224" t="s">
        <v>289</v>
      </c>
      <c r="I1761" s="224" t="s">
        <v>15</v>
      </c>
      <c r="J1761" s="224">
        <v>175</v>
      </c>
      <c r="K1761" s="227">
        <f t="array" ref="K1761">IFERROR(INDEX([1]Grille_Tarifs_Modulable!$B$2:$B$204,MATCH(Tableau14[[#This Row],[Designation]]&amp;Tableau14[[#This Row],[CL]],[1]Grille_Tarifs_Modulable!$C$2:$C$204&amp;[1]Grille_Tarifs_Modulable!$F$2:$F$204,0)),0)</f>
        <v>4067700013835</v>
      </c>
      <c r="L1761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32.266408749999997</v>
      </c>
      <c r="M1761" s="228">
        <f>IF(Tableau14[[#This Row],[Prix_Unit_HT]]=0,0,Tableau14[[#This Row],[Prix_Unit_HT]]+(Tableau14[[#This Row],[Prix_Unit_HT]]*VLOOKUP(Tableau14[[#This Row],[EAN]],[1]Grille_Tarifs_Modulable!$B$10:$Q$204,16,FALSE)))</f>
        <v>38.719690499999999</v>
      </c>
      <c r="N1761" s="224">
        <v>6</v>
      </c>
      <c r="O1761" s="228">
        <f>ROUND(Tableau14[[#This Row],[Prix_Unit_HT]],2)*Tableau14[[#This Row],[Qte_commande]]</f>
        <v>193.62</v>
      </c>
      <c r="P1761" s="228">
        <f>ROUND(Tableau14[[#This Row],[Prix_Unit_TTC]],2)*Tableau14[[#This Row],[Qte_commande]]</f>
        <v>232.32</v>
      </c>
      <c r="Q1761" s="224">
        <v>15</v>
      </c>
      <c r="R1761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15.000000000000002</v>
      </c>
      <c r="U1761" s="224"/>
      <c r="V1761" s="224"/>
    </row>
    <row r="1762" spans="1:22" ht="14.65" customHeight="1" x14ac:dyDescent="0.2">
      <c r="A1762" s="225">
        <v>43756</v>
      </c>
      <c r="B1762" s="224" t="s">
        <v>839</v>
      </c>
      <c r="C1762" s="224" t="s">
        <v>840</v>
      </c>
      <c r="D1762" s="224" t="s">
        <v>209</v>
      </c>
      <c r="E1762" s="226"/>
      <c r="G1762" s="224" t="s">
        <v>13</v>
      </c>
      <c r="H1762" s="224" t="s">
        <v>196</v>
      </c>
      <c r="I1762" s="224" t="s">
        <v>66</v>
      </c>
      <c r="J1762" s="224">
        <v>20</v>
      </c>
      <c r="K1762" s="227">
        <f t="array" ref="K1762">IFERROR(INDEX([1]Grille_Tarifs_Modulable!$B$2:$B$204,MATCH(Tableau14[[#This Row],[Designation]]&amp;Tableau14[[#This Row],[CL]],[1]Grille_Tarifs_Modulable!$C$2:$C$204&amp;[1]Grille_Tarifs_Modulable!$F$2:$F$204,0)),0)</f>
        <v>4260310554785</v>
      </c>
      <c r="L1762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0.89</v>
      </c>
      <c r="M1762" s="228">
        <f>IF(Tableau14[[#This Row],[Prix_Unit_HT]]=0,0,Tableau14[[#This Row],[Prix_Unit_HT]]+(Tableau14[[#This Row],[Prix_Unit_HT]]*VLOOKUP(Tableau14[[#This Row],[EAN]],[1]Grille_Tarifs_Modulable!$B$10:$Q$204,16,FALSE)))</f>
        <v>0.93895000000000006</v>
      </c>
      <c r="N1762" s="224">
        <v>72</v>
      </c>
      <c r="O1762" s="228">
        <f>ROUND(Tableau14[[#This Row],[Prix_Unit_HT]],2)*Tableau14[[#This Row],[Qte_commande]]</f>
        <v>64.08</v>
      </c>
      <c r="P1762" s="228">
        <f>ROUND(Tableau14[[#This Row],[Prix_Unit_TTC]],2)*Tableau14[[#This Row],[Qte_commande]]</f>
        <v>67.679999999999993</v>
      </c>
      <c r="Q1762" s="224">
        <v>20.57</v>
      </c>
      <c r="R1762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20.571428571428573</v>
      </c>
      <c r="U1762" s="224"/>
      <c r="V1762" s="224"/>
    </row>
    <row r="1763" spans="1:22" ht="14.65" customHeight="1" x14ac:dyDescent="0.2">
      <c r="A1763" s="225">
        <v>43756</v>
      </c>
      <c r="B1763" s="224" t="s">
        <v>428</v>
      </c>
      <c r="C1763" s="224" t="s">
        <v>378</v>
      </c>
      <c r="D1763" s="224" t="s">
        <v>429</v>
      </c>
      <c r="E1763" s="226"/>
      <c r="G1763" s="224" t="s">
        <v>13</v>
      </c>
      <c r="H1763" s="224" t="s">
        <v>289</v>
      </c>
      <c r="I1763" s="224" t="s">
        <v>30</v>
      </c>
      <c r="J1763" s="224">
        <v>70</v>
      </c>
      <c r="K1763" s="227">
        <f t="array" ref="K1763">IFERROR(INDEX([1]Grille_Tarifs_Modulable!$B$2:$B$204,MATCH(Tableau14[[#This Row],[Designation]]&amp;Tableau14[[#This Row],[CL]],[1]Grille_Tarifs_Modulable!$C$2:$C$204&amp;[1]Grille_Tarifs_Modulable!$F$2:$F$204,0)),0)</f>
        <v>3257150101904</v>
      </c>
      <c r="L1763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18.506483000000003</v>
      </c>
      <c r="M1763" s="228">
        <f>IF(Tableau14[[#This Row],[Prix_Unit_HT]]=0,0,Tableau14[[#This Row],[Prix_Unit_HT]]+(Tableau14[[#This Row],[Prix_Unit_HT]]*VLOOKUP(Tableau14[[#This Row],[EAN]],[1]Grille_Tarifs_Modulable!$B$10:$Q$204,16,FALSE)))</f>
        <v>22.207779600000002</v>
      </c>
      <c r="N1763" s="224">
        <v>12</v>
      </c>
      <c r="O1763" s="228">
        <f>ROUND(Tableau14[[#This Row],[Prix_Unit_HT]],2)*Tableau14[[#This Row],[Qte_commande]]</f>
        <v>222.12</v>
      </c>
      <c r="P1763" s="228">
        <f>ROUND(Tableau14[[#This Row],[Prix_Unit_TTC]],2)*Tableau14[[#This Row],[Qte_commande]]</f>
        <v>266.52</v>
      </c>
      <c r="Q1763" s="224">
        <v>12</v>
      </c>
      <c r="R1763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12.000000000000002</v>
      </c>
      <c r="U1763" s="224"/>
      <c r="V1763" s="224"/>
    </row>
    <row r="1764" spans="1:22" ht="14.65" customHeight="1" x14ac:dyDescent="0.2">
      <c r="A1764" s="225">
        <v>43756</v>
      </c>
      <c r="B1764" s="224" t="s">
        <v>869</v>
      </c>
      <c r="C1764" s="224" t="s">
        <v>408</v>
      </c>
      <c r="D1764" s="224" t="s">
        <v>409</v>
      </c>
      <c r="E1764" s="226"/>
      <c r="G1764" s="224" t="s">
        <v>13</v>
      </c>
      <c r="H1764" s="224" t="s">
        <v>289</v>
      </c>
      <c r="I1764" s="224" t="s">
        <v>30</v>
      </c>
      <c r="J1764" s="224">
        <v>70</v>
      </c>
      <c r="K1764" s="227">
        <f t="array" ref="K1764">IFERROR(INDEX([1]Grille_Tarifs_Modulable!$B$2:$B$204,MATCH(Tableau14[[#This Row],[Designation]]&amp;Tableau14[[#This Row],[CL]],[1]Grille_Tarifs_Modulable!$C$2:$C$204&amp;[1]Grille_Tarifs_Modulable!$F$2:$F$204,0)),0)</f>
        <v>3257150101904</v>
      </c>
      <c r="L1764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18.506483000000003</v>
      </c>
      <c r="M1764" s="228">
        <f>IF(Tableau14[[#This Row],[Prix_Unit_HT]]=0,0,Tableau14[[#This Row],[Prix_Unit_HT]]+(Tableau14[[#This Row],[Prix_Unit_HT]]*VLOOKUP(Tableau14[[#This Row],[EAN]],[1]Grille_Tarifs_Modulable!$B$10:$Q$204,16,FALSE)))</f>
        <v>22.207779600000002</v>
      </c>
      <c r="N1764" s="224">
        <v>6</v>
      </c>
      <c r="O1764" s="228">
        <f>ROUND(Tableau14[[#This Row],[Prix_Unit_HT]],2)*Tableau14[[#This Row],[Qte_commande]]</f>
        <v>111.06</v>
      </c>
      <c r="P1764" s="228">
        <f>ROUND(Tableau14[[#This Row],[Prix_Unit_TTC]],2)*Tableau14[[#This Row],[Qte_commande]]</f>
        <v>133.26</v>
      </c>
      <c r="Q1764" s="224">
        <v>6</v>
      </c>
      <c r="R1764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6.0000000000000009</v>
      </c>
      <c r="U1764" s="224"/>
      <c r="V1764" s="224"/>
    </row>
    <row r="1765" spans="1:22" ht="14.65" customHeight="1" x14ac:dyDescent="0.2">
      <c r="A1765" s="225">
        <v>43756</v>
      </c>
      <c r="B1765" s="224" t="s">
        <v>769</v>
      </c>
      <c r="C1765" s="224" t="s">
        <v>770</v>
      </c>
      <c r="D1765" s="224" t="s">
        <v>437</v>
      </c>
      <c r="E1765" s="226"/>
      <c r="G1765" s="224" t="s">
        <v>13</v>
      </c>
      <c r="H1765" s="224" t="s">
        <v>289</v>
      </c>
      <c r="I1765" s="224" t="s">
        <v>30</v>
      </c>
      <c r="J1765" s="224">
        <v>70</v>
      </c>
      <c r="K1765" s="227">
        <f t="array" ref="K1765">IFERROR(INDEX([1]Grille_Tarifs_Modulable!$B$2:$B$204,MATCH(Tableau14[[#This Row],[Designation]]&amp;Tableau14[[#This Row],[CL]],[1]Grille_Tarifs_Modulable!$C$2:$C$204&amp;[1]Grille_Tarifs_Modulable!$F$2:$F$204,0)),0)</f>
        <v>3257150101904</v>
      </c>
      <c r="L1765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18.506483000000003</v>
      </c>
      <c r="M1765" s="228">
        <f>IF(Tableau14[[#This Row],[Prix_Unit_HT]]=0,0,Tableau14[[#This Row],[Prix_Unit_HT]]+(Tableau14[[#This Row],[Prix_Unit_HT]]*VLOOKUP(Tableau14[[#This Row],[EAN]],[1]Grille_Tarifs_Modulable!$B$10:$Q$204,16,FALSE)))</f>
        <v>22.207779600000002</v>
      </c>
      <c r="N1765" s="224">
        <v>6</v>
      </c>
      <c r="O1765" s="228">
        <f>ROUND(Tableau14[[#This Row],[Prix_Unit_HT]],2)*Tableau14[[#This Row],[Qte_commande]]</f>
        <v>111.06</v>
      </c>
      <c r="P1765" s="228">
        <f>ROUND(Tableau14[[#This Row],[Prix_Unit_TTC]],2)*Tableau14[[#This Row],[Qte_commande]]</f>
        <v>133.26</v>
      </c>
      <c r="Q1765" s="224">
        <v>6</v>
      </c>
      <c r="R1765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6.0000000000000009</v>
      </c>
      <c r="U1765" s="224"/>
      <c r="V1765" s="224"/>
    </row>
    <row r="1766" spans="1:22" ht="14.65" customHeight="1" x14ac:dyDescent="0.2">
      <c r="A1766" s="225">
        <v>43756</v>
      </c>
      <c r="B1766" s="224" t="s">
        <v>428</v>
      </c>
      <c r="C1766" s="224" t="s">
        <v>378</v>
      </c>
      <c r="D1766" s="224" t="s">
        <v>429</v>
      </c>
      <c r="E1766" s="226"/>
      <c r="G1766" s="224" t="s">
        <v>13</v>
      </c>
      <c r="H1766" s="224" t="s">
        <v>289</v>
      </c>
      <c r="I1766" s="224" t="s">
        <v>31</v>
      </c>
      <c r="J1766" s="224">
        <v>70</v>
      </c>
      <c r="K1766" s="227">
        <f t="array" ref="K1766">IFERROR(INDEX([1]Grille_Tarifs_Modulable!$B$2:$B$204,MATCH(Tableau14[[#This Row],[Designation]]&amp;Tableau14[[#This Row],[CL]],[1]Grille_Tarifs_Modulable!$C$2:$C$204&amp;[1]Grille_Tarifs_Modulable!$F$2:$F$204,0)),0)</f>
        <v>3257150102017</v>
      </c>
      <c r="L1766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16.854322</v>
      </c>
      <c r="M1766" s="228">
        <f>IF(Tableau14[[#This Row],[Prix_Unit_HT]]=0,0,Tableau14[[#This Row],[Prix_Unit_HT]]+(Tableau14[[#This Row],[Prix_Unit_HT]]*VLOOKUP(Tableau14[[#This Row],[EAN]],[1]Grille_Tarifs_Modulable!$B$10:$Q$204,16,FALSE)))</f>
        <v>20.225186399999998</v>
      </c>
      <c r="N1766" s="224">
        <v>12</v>
      </c>
      <c r="O1766" s="228">
        <f>ROUND(Tableau14[[#This Row],[Prix_Unit_HT]],2)*Tableau14[[#This Row],[Qte_commande]]</f>
        <v>202.20000000000002</v>
      </c>
      <c r="P1766" s="228">
        <f>ROUND(Tableau14[[#This Row],[Prix_Unit_TTC]],2)*Tableau14[[#This Row],[Qte_commande]]</f>
        <v>242.76</v>
      </c>
      <c r="Q1766" s="224">
        <v>12</v>
      </c>
      <c r="R1766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12.000000000000002</v>
      </c>
      <c r="U1766" s="224"/>
      <c r="V1766" s="224"/>
    </row>
    <row r="1767" spans="1:22" ht="14.65" customHeight="1" x14ac:dyDescent="0.2">
      <c r="A1767" s="225">
        <v>43756</v>
      </c>
      <c r="B1767" s="224" t="s">
        <v>869</v>
      </c>
      <c r="C1767" s="224" t="s">
        <v>408</v>
      </c>
      <c r="D1767" s="224" t="s">
        <v>409</v>
      </c>
      <c r="E1767" s="226"/>
      <c r="G1767" s="224" t="s">
        <v>13</v>
      </c>
      <c r="H1767" s="224" t="s">
        <v>289</v>
      </c>
      <c r="I1767" s="224" t="s">
        <v>31</v>
      </c>
      <c r="J1767" s="224">
        <v>70</v>
      </c>
      <c r="K1767" s="227">
        <f t="array" ref="K1767">IFERROR(INDEX([1]Grille_Tarifs_Modulable!$B$2:$B$204,MATCH(Tableau14[[#This Row],[Designation]]&amp;Tableau14[[#This Row],[CL]],[1]Grille_Tarifs_Modulable!$C$2:$C$204&amp;[1]Grille_Tarifs_Modulable!$F$2:$F$204,0)),0)</f>
        <v>3257150102017</v>
      </c>
      <c r="L1767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16.854322</v>
      </c>
      <c r="M1767" s="228">
        <f>IF(Tableau14[[#This Row],[Prix_Unit_HT]]=0,0,Tableau14[[#This Row],[Prix_Unit_HT]]+(Tableau14[[#This Row],[Prix_Unit_HT]]*VLOOKUP(Tableau14[[#This Row],[EAN]],[1]Grille_Tarifs_Modulable!$B$10:$Q$204,16,FALSE)))</f>
        <v>20.225186399999998</v>
      </c>
      <c r="N1767" s="224">
        <v>6</v>
      </c>
      <c r="O1767" s="228">
        <f>ROUND(Tableau14[[#This Row],[Prix_Unit_HT]],2)*Tableau14[[#This Row],[Qte_commande]]</f>
        <v>101.10000000000001</v>
      </c>
      <c r="P1767" s="228">
        <f>ROUND(Tableau14[[#This Row],[Prix_Unit_TTC]],2)*Tableau14[[#This Row],[Qte_commande]]</f>
        <v>121.38</v>
      </c>
      <c r="Q1767" s="224">
        <v>6</v>
      </c>
      <c r="R1767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6.0000000000000009</v>
      </c>
      <c r="U1767" s="224"/>
      <c r="V1767" s="224"/>
    </row>
    <row r="1768" spans="1:22" ht="14.65" customHeight="1" x14ac:dyDescent="0.2">
      <c r="A1768" s="225">
        <v>43759</v>
      </c>
      <c r="B1768" s="224" t="s">
        <v>525</v>
      </c>
      <c r="C1768" s="224" t="s">
        <v>526</v>
      </c>
      <c r="D1768" s="224" t="s">
        <v>527</v>
      </c>
      <c r="E1768" s="226"/>
      <c r="G1768" s="224" t="s">
        <v>13</v>
      </c>
      <c r="H1768" s="224" t="s">
        <v>289</v>
      </c>
      <c r="I1768" s="224" t="s">
        <v>47</v>
      </c>
      <c r="J1768" s="224">
        <v>70</v>
      </c>
      <c r="K1768" s="227">
        <f t="array" ref="K1768">IFERROR(INDEX([1]Grille_Tarifs_Modulable!$B$2:$B$204,MATCH(Tableau14[[#This Row],[Designation]]&amp;Tableau14[[#This Row],[CL]],[1]Grille_Tarifs_Modulable!$C$2:$C$204&amp;[1]Grille_Tarifs_Modulable!$F$2:$F$204,0)),0)</f>
        <v>3257150673005</v>
      </c>
      <c r="L1768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26.848644</v>
      </c>
      <c r="M1768" s="228">
        <f>IF(Tableau14[[#This Row],[Prix_Unit_HT]]=0,0,Tableau14[[#This Row],[Prix_Unit_HT]]+(Tableau14[[#This Row],[Prix_Unit_HT]]*VLOOKUP(Tableau14[[#This Row],[EAN]],[1]Grille_Tarifs_Modulable!$B$10:$Q$204,16,FALSE)))</f>
        <v>32.218372799999997</v>
      </c>
      <c r="N1768" s="224">
        <v>2</v>
      </c>
      <c r="O1768" s="228">
        <f>ROUND(Tableau14[[#This Row],[Prix_Unit_HT]],2)*Tableau14[[#This Row],[Qte_commande]]</f>
        <v>53.7</v>
      </c>
      <c r="P1768" s="228">
        <f>ROUND(Tableau14[[#This Row],[Prix_Unit_TTC]],2)*Tableau14[[#This Row],[Qte_commande]]</f>
        <v>64.44</v>
      </c>
      <c r="Q1768" s="224">
        <v>2</v>
      </c>
      <c r="R1768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2</v>
      </c>
      <c r="U1768" s="224"/>
      <c r="V1768" s="224"/>
    </row>
    <row r="1769" spans="1:22" ht="14.65" customHeight="1" x14ac:dyDescent="0.2">
      <c r="A1769" s="225">
        <v>43759</v>
      </c>
      <c r="B1769" s="224" t="s">
        <v>528</v>
      </c>
      <c r="C1769" s="224" t="s">
        <v>526</v>
      </c>
      <c r="D1769" s="224" t="s">
        <v>527</v>
      </c>
      <c r="E1769" s="226"/>
      <c r="G1769" s="224" t="s">
        <v>13</v>
      </c>
      <c r="H1769" s="224" t="s">
        <v>289</v>
      </c>
      <c r="I1769" s="224" t="s">
        <v>47</v>
      </c>
      <c r="J1769" s="224">
        <v>70</v>
      </c>
      <c r="K1769" s="227">
        <f t="array" ref="K1769">IFERROR(INDEX([1]Grille_Tarifs_Modulable!$B$2:$B$204,MATCH(Tableau14[[#This Row],[Designation]]&amp;Tableau14[[#This Row],[CL]],[1]Grille_Tarifs_Modulable!$C$2:$C$204&amp;[1]Grille_Tarifs_Modulable!$F$2:$F$204,0)),0)</f>
        <v>3257150673005</v>
      </c>
      <c r="L1769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26.848644</v>
      </c>
      <c r="M1769" s="228">
        <f>IF(Tableau14[[#This Row],[Prix_Unit_HT]]=0,0,Tableau14[[#This Row],[Prix_Unit_HT]]+(Tableau14[[#This Row],[Prix_Unit_HT]]*VLOOKUP(Tableau14[[#This Row],[EAN]],[1]Grille_Tarifs_Modulable!$B$10:$Q$204,16,FALSE)))</f>
        <v>32.218372799999997</v>
      </c>
      <c r="N1769" s="224">
        <v>-2</v>
      </c>
      <c r="O1769" s="228">
        <f>ROUND(Tableau14[[#This Row],[Prix_Unit_HT]],2)*Tableau14[[#This Row],[Qte_commande]]</f>
        <v>-53.7</v>
      </c>
      <c r="P1769" s="228">
        <f>ROUND(Tableau14[[#This Row],[Prix_Unit_TTC]],2)*Tableau14[[#This Row],[Qte_commande]]</f>
        <v>-64.44</v>
      </c>
      <c r="Q1769" s="224">
        <v>-2</v>
      </c>
      <c r="R1769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-2</v>
      </c>
      <c r="U1769" s="224"/>
      <c r="V1769" s="224"/>
    </row>
    <row r="1770" spans="1:22" ht="14.65" customHeight="1" x14ac:dyDescent="0.2">
      <c r="A1770" s="225">
        <v>43759</v>
      </c>
      <c r="B1770" s="224" t="s">
        <v>525</v>
      </c>
      <c r="C1770" s="224" t="s">
        <v>526</v>
      </c>
      <c r="D1770" s="224" t="s">
        <v>527</v>
      </c>
      <c r="E1770" s="226"/>
      <c r="G1770" s="224" t="s">
        <v>13</v>
      </c>
      <c r="H1770" s="224" t="s">
        <v>289</v>
      </c>
      <c r="I1770" s="224" t="s">
        <v>48</v>
      </c>
      <c r="J1770" s="224">
        <v>70</v>
      </c>
      <c r="K1770" s="227">
        <f t="array" ref="K1770">IFERROR(INDEX([1]Grille_Tarifs_Modulable!$B$2:$B$204,MATCH(Tableau14[[#This Row],[Designation]]&amp;Tableau14[[#This Row],[CL]],[1]Grille_Tarifs_Modulable!$C$2:$C$204&amp;[1]Grille_Tarifs_Modulable!$F$2:$F$204,0)),0)</f>
        <v>3257150673029</v>
      </c>
      <c r="L1770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23.269508399999999</v>
      </c>
      <c r="M1770" s="228">
        <f>IF(Tableau14[[#This Row],[Prix_Unit_HT]]=0,0,Tableau14[[#This Row],[Prix_Unit_HT]]+(Tableau14[[#This Row],[Prix_Unit_HT]]*VLOOKUP(Tableau14[[#This Row],[EAN]],[1]Grille_Tarifs_Modulable!$B$10:$Q$204,16,FALSE)))</f>
        <v>27.92341008</v>
      </c>
      <c r="N1770" s="224">
        <v>2</v>
      </c>
      <c r="O1770" s="228">
        <f>ROUND(Tableau14[[#This Row],[Prix_Unit_HT]],2)*Tableau14[[#This Row],[Qte_commande]]</f>
        <v>46.54</v>
      </c>
      <c r="P1770" s="228">
        <f>ROUND(Tableau14[[#This Row],[Prix_Unit_TTC]],2)*Tableau14[[#This Row],[Qte_commande]]</f>
        <v>55.84</v>
      </c>
      <c r="Q1770" s="224">
        <v>2</v>
      </c>
      <c r="R1770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2</v>
      </c>
      <c r="U1770" s="224"/>
      <c r="V1770" s="224"/>
    </row>
    <row r="1771" spans="1:22" ht="14.65" customHeight="1" x14ac:dyDescent="0.2">
      <c r="A1771" s="225">
        <v>43759</v>
      </c>
      <c r="B1771" s="224" t="s">
        <v>528</v>
      </c>
      <c r="C1771" s="224" t="s">
        <v>526</v>
      </c>
      <c r="D1771" s="224" t="s">
        <v>527</v>
      </c>
      <c r="E1771" s="226"/>
      <c r="G1771" s="224" t="s">
        <v>13</v>
      </c>
      <c r="H1771" s="224" t="s">
        <v>289</v>
      </c>
      <c r="I1771" s="224" t="s">
        <v>48</v>
      </c>
      <c r="J1771" s="224">
        <v>70</v>
      </c>
      <c r="K1771" s="227">
        <f t="array" ref="K1771">IFERROR(INDEX([1]Grille_Tarifs_Modulable!$B$2:$B$204,MATCH(Tableau14[[#This Row],[Designation]]&amp;Tableau14[[#This Row],[CL]],[1]Grille_Tarifs_Modulable!$C$2:$C$204&amp;[1]Grille_Tarifs_Modulable!$F$2:$F$204,0)),0)</f>
        <v>3257150673029</v>
      </c>
      <c r="L1771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23.269508399999999</v>
      </c>
      <c r="M1771" s="228">
        <f>IF(Tableau14[[#This Row],[Prix_Unit_HT]]=0,0,Tableau14[[#This Row],[Prix_Unit_HT]]+(Tableau14[[#This Row],[Prix_Unit_HT]]*VLOOKUP(Tableau14[[#This Row],[EAN]],[1]Grille_Tarifs_Modulable!$B$10:$Q$204,16,FALSE)))</f>
        <v>27.92341008</v>
      </c>
      <c r="N1771" s="224">
        <v>-2</v>
      </c>
      <c r="O1771" s="228">
        <f>ROUND(Tableau14[[#This Row],[Prix_Unit_HT]],2)*Tableau14[[#This Row],[Qte_commande]]</f>
        <v>-46.54</v>
      </c>
      <c r="P1771" s="228">
        <f>ROUND(Tableau14[[#This Row],[Prix_Unit_TTC]],2)*Tableau14[[#This Row],[Qte_commande]]</f>
        <v>-55.84</v>
      </c>
      <c r="Q1771" s="224">
        <v>-2</v>
      </c>
      <c r="R1771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-2</v>
      </c>
      <c r="U1771" s="224"/>
      <c r="V1771" s="224"/>
    </row>
    <row r="1772" spans="1:22" ht="14.65" customHeight="1" x14ac:dyDescent="0.2">
      <c r="A1772" s="225">
        <v>43759</v>
      </c>
      <c r="B1772" s="224" t="s">
        <v>525</v>
      </c>
      <c r="C1772" s="224" t="s">
        <v>526</v>
      </c>
      <c r="D1772" s="224" t="s">
        <v>527</v>
      </c>
      <c r="E1772" s="226"/>
      <c r="G1772" s="224" t="s">
        <v>13</v>
      </c>
      <c r="H1772" s="224" t="s">
        <v>289</v>
      </c>
      <c r="I1772" s="224" t="s">
        <v>32</v>
      </c>
      <c r="J1772" s="224">
        <v>70</v>
      </c>
      <c r="K1772" s="227">
        <f t="array" ref="K1772">IFERROR(INDEX([1]Grille_Tarifs_Modulable!$B$2:$B$204,MATCH(Tableau14[[#This Row],[Designation]]&amp;Tableau14[[#This Row],[CL]],[1]Grille_Tarifs_Modulable!$C$2:$C$204&amp;[1]Grille_Tarifs_Modulable!$F$2:$F$204,0)),0)</f>
        <v>3257150100228</v>
      </c>
      <c r="L1772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21.488644000000001</v>
      </c>
      <c r="M1772" s="228">
        <f>IF(Tableau14[[#This Row],[Prix_Unit_HT]]=0,0,Tableau14[[#This Row],[Prix_Unit_HT]]+(Tableau14[[#This Row],[Prix_Unit_HT]]*VLOOKUP(Tableau14[[#This Row],[EAN]],[1]Grille_Tarifs_Modulable!$B$10:$Q$204,16,FALSE)))</f>
        <v>25.786372800000002</v>
      </c>
      <c r="N1772" s="224">
        <v>6</v>
      </c>
      <c r="O1772" s="228">
        <f>ROUND(Tableau14[[#This Row],[Prix_Unit_HT]],2)*Tableau14[[#This Row],[Qte_commande]]</f>
        <v>128.94</v>
      </c>
      <c r="P1772" s="228">
        <f>ROUND(Tableau14[[#This Row],[Prix_Unit_TTC]],2)*Tableau14[[#This Row],[Qte_commande]]</f>
        <v>154.74</v>
      </c>
      <c r="Q1772" s="224">
        <v>6</v>
      </c>
      <c r="R1772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6.0000000000000009</v>
      </c>
      <c r="U1772" s="224"/>
      <c r="V1772" s="224"/>
    </row>
    <row r="1773" spans="1:22" ht="14.65" customHeight="1" x14ac:dyDescent="0.2">
      <c r="A1773" s="225">
        <v>43759</v>
      </c>
      <c r="B1773" s="224" t="s">
        <v>528</v>
      </c>
      <c r="C1773" s="224" t="s">
        <v>526</v>
      </c>
      <c r="D1773" s="224" t="s">
        <v>527</v>
      </c>
      <c r="E1773" s="226"/>
      <c r="G1773" s="224" t="s">
        <v>13</v>
      </c>
      <c r="H1773" s="224" t="s">
        <v>289</v>
      </c>
      <c r="I1773" s="224" t="s">
        <v>32</v>
      </c>
      <c r="J1773" s="224">
        <v>70</v>
      </c>
      <c r="K1773" s="227">
        <f t="array" ref="K1773">IFERROR(INDEX([1]Grille_Tarifs_Modulable!$B$2:$B$204,MATCH(Tableau14[[#This Row],[Designation]]&amp;Tableau14[[#This Row],[CL]],[1]Grille_Tarifs_Modulable!$C$2:$C$204&amp;[1]Grille_Tarifs_Modulable!$F$2:$F$204,0)),0)</f>
        <v>3257150100228</v>
      </c>
      <c r="L1773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21.488644000000001</v>
      </c>
      <c r="M1773" s="228">
        <f>IF(Tableau14[[#This Row],[Prix_Unit_HT]]=0,0,Tableau14[[#This Row],[Prix_Unit_HT]]+(Tableau14[[#This Row],[Prix_Unit_HT]]*VLOOKUP(Tableau14[[#This Row],[EAN]],[1]Grille_Tarifs_Modulable!$B$10:$Q$204,16,FALSE)))</f>
        <v>25.786372800000002</v>
      </c>
      <c r="N1773" s="224">
        <v>-6</v>
      </c>
      <c r="O1773" s="228">
        <f>ROUND(Tableau14[[#This Row],[Prix_Unit_HT]],2)*Tableau14[[#This Row],[Qte_commande]]</f>
        <v>-128.94</v>
      </c>
      <c r="P1773" s="228">
        <f>ROUND(Tableau14[[#This Row],[Prix_Unit_TTC]],2)*Tableau14[[#This Row],[Qte_commande]]</f>
        <v>-154.74</v>
      </c>
      <c r="Q1773" s="224">
        <v>-6</v>
      </c>
      <c r="R1773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-6.0000000000000009</v>
      </c>
      <c r="U1773" s="224"/>
      <c r="V1773" s="224"/>
    </row>
    <row r="1774" spans="1:22" ht="14.65" customHeight="1" x14ac:dyDescent="0.2">
      <c r="A1774" s="225">
        <v>43759</v>
      </c>
      <c r="B1774" s="224" t="s">
        <v>525</v>
      </c>
      <c r="C1774" s="224" t="s">
        <v>526</v>
      </c>
      <c r="D1774" s="224" t="s">
        <v>527</v>
      </c>
      <c r="E1774" s="226"/>
      <c r="G1774" s="224" t="s">
        <v>13</v>
      </c>
      <c r="H1774" s="224" t="s">
        <v>289</v>
      </c>
      <c r="I1774" s="224" t="s">
        <v>36</v>
      </c>
      <c r="J1774" s="224">
        <v>70</v>
      </c>
      <c r="K1774" s="227">
        <f t="array" ref="K1774">IFERROR(INDEX([1]Grille_Tarifs_Modulable!$B$2:$B$204,MATCH(Tableau14[[#This Row],[Designation]]&amp;Tableau14[[#This Row],[CL]],[1]Grille_Tarifs_Modulable!$C$2:$C$204&amp;[1]Grille_Tarifs_Modulable!$F$2:$F$204,0)),0)</f>
        <v>3257150100792</v>
      </c>
      <c r="L1774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78.608643999999998</v>
      </c>
      <c r="M1774" s="228">
        <f>IF(Tableau14[[#This Row],[Prix_Unit_HT]]=0,0,Tableau14[[#This Row],[Prix_Unit_HT]]+(Tableau14[[#This Row],[Prix_Unit_HT]]*VLOOKUP(Tableau14[[#This Row],[EAN]],[1]Grille_Tarifs_Modulable!$B$10:$Q$204,16,FALSE)))</f>
        <v>94.330372799999992</v>
      </c>
      <c r="N1774" s="224">
        <v>2</v>
      </c>
      <c r="O1774" s="228">
        <f>ROUND(Tableau14[[#This Row],[Prix_Unit_HT]],2)*Tableau14[[#This Row],[Qte_commande]]</f>
        <v>157.22</v>
      </c>
      <c r="P1774" s="228">
        <f>ROUND(Tableau14[[#This Row],[Prix_Unit_TTC]],2)*Tableau14[[#This Row],[Qte_commande]]</f>
        <v>188.66</v>
      </c>
      <c r="Q1774" s="224">
        <v>2</v>
      </c>
      <c r="R1774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2</v>
      </c>
      <c r="U1774" s="224"/>
      <c r="V1774" s="224"/>
    </row>
    <row r="1775" spans="1:22" ht="14.65" customHeight="1" x14ac:dyDescent="0.2">
      <c r="A1775" s="225">
        <v>43759</v>
      </c>
      <c r="B1775" s="224" t="s">
        <v>528</v>
      </c>
      <c r="C1775" s="224" t="s">
        <v>526</v>
      </c>
      <c r="D1775" s="224" t="s">
        <v>527</v>
      </c>
      <c r="E1775" s="226"/>
      <c r="G1775" s="224" t="s">
        <v>13</v>
      </c>
      <c r="H1775" s="224" t="s">
        <v>289</v>
      </c>
      <c r="I1775" s="224" t="s">
        <v>36</v>
      </c>
      <c r="J1775" s="224">
        <v>70</v>
      </c>
      <c r="K1775" s="227">
        <f t="array" ref="K1775">IFERROR(INDEX([1]Grille_Tarifs_Modulable!$B$2:$B$204,MATCH(Tableau14[[#This Row],[Designation]]&amp;Tableau14[[#This Row],[CL]],[1]Grille_Tarifs_Modulable!$C$2:$C$204&amp;[1]Grille_Tarifs_Modulable!$F$2:$F$204,0)),0)</f>
        <v>3257150100792</v>
      </c>
      <c r="L1775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78.608643999999998</v>
      </c>
      <c r="M1775" s="228">
        <f>IF(Tableau14[[#This Row],[Prix_Unit_HT]]=0,0,Tableau14[[#This Row],[Prix_Unit_HT]]+(Tableau14[[#This Row],[Prix_Unit_HT]]*VLOOKUP(Tableau14[[#This Row],[EAN]],[1]Grille_Tarifs_Modulable!$B$10:$Q$204,16,FALSE)))</f>
        <v>94.330372799999992</v>
      </c>
      <c r="N1775" s="224">
        <v>-2</v>
      </c>
      <c r="O1775" s="228">
        <f>ROUND(Tableau14[[#This Row],[Prix_Unit_HT]],2)*Tableau14[[#This Row],[Qte_commande]]</f>
        <v>-157.22</v>
      </c>
      <c r="P1775" s="228">
        <f>ROUND(Tableau14[[#This Row],[Prix_Unit_TTC]],2)*Tableau14[[#This Row],[Qte_commande]]</f>
        <v>-188.66</v>
      </c>
      <c r="Q1775" s="224">
        <v>-2</v>
      </c>
      <c r="R1775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-2</v>
      </c>
      <c r="U1775" s="224"/>
      <c r="V1775" s="224"/>
    </row>
    <row r="1776" spans="1:22" ht="14.65" customHeight="1" x14ac:dyDescent="0.2">
      <c r="A1776" s="225">
        <v>43759</v>
      </c>
      <c r="B1776" s="224" t="s">
        <v>525</v>
      </c>
      <c r="C1776" s="224" t="s">
        <v>526</v>
      </c>
      <c r="D1776" s="224" t="s">
        <v>527</v>
      </c>
      <c r="E1776" s="226"/>
      <c r="G1776" s="224" t="s">
        <v>13</v>
      </c>
      <c r="H1776" s="224" t="s">
        <v>289</v>
      </c>
      <c r="I1776" s="224" t="s">
        <v>49</v>
      </c>
      <c r="J1776" s="224">
        <v>70</v>
      </c>
      <c r="K1776" s="227">
        <f t="array" ref="K1776">IFERROR(INDEX([1]Grille_Tarifs_Modulable!$B$2:$B$204,MATCH(Tableau14[[#This Row],[Designation]]&amp;Tableau14[[#This Row],[CL]],[1]Grille_Tarifs_Modulable!$C$2:$C$204&amp;[1]Grille_Tarifs_Modulable!$F$2:$F$204,0)),0)</f>
        <v>3257150673043</v>
      </c>
      <c r="L1776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23.434724499999998</v>
      </c>
      <c r="M1776" s="228">
        <f>IF(Tableau14[[#This Row],[Prix_Unit_HT]]=0,0,Tableau14[[#This Row],[Prix_Unit_HT]]+(Tableau14[[#This Row],[Prix_Unit_HT]]*VLOOKUP(Tableau14[[#This Row],[EAN]],[1]Grille_Tarifs_Modulable!$B$10:$Q$204,16,FALSE)))</f>
        <v>28.121669399999998</v>
      </c>
      <c r="N1776" s="224">
        <v>2</v>
      </c>
      <c r="O1776" s="228">
        <f>ROUND(Tableau14[[#This Row],[Prix_Unit_HT]],2)*Tableau14[[#This Row],[Qte_commande]]</f>
        <v>46.86</v>
      </c>
      <c r="P1776" s="228">
        <f>ROUND(Tableau14[[#This Row],[Prix_Unit_TTC]],2)*Tableau14[[#This Row],[Qte_commande]]</f>
        <v>56.24</v>
      </c>
      <c r="Q1776" s="224">
        <v>2</v>
      </c>
      <c r="R1776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2</v>
      </c>
      <c r="U1776" s="224"/>
      <c r="V1776" s="224"/>
    </row>
    <row r="1777" spans="1:22" ht="14.65" customHeight="1" x14ac:dyDescent="0.2">
      <c r="A1777" s="225">
        <v>43759</v>
      </c>
      <c r="B1777" s="224" t="s">
        <v>528</v>
      </c>
      <c r="C1777" s="224" t="s">
        <v>526</v>
      </c>
      <c r="D1777" s="224" t="s">
        <v>527</v>
      </c>
      <c r="E1777" s="226"/>
      <c r="G1777" s="224" t="s">
        <v>13</v>
      </c>
      <c r="H1777" s="224" t="s">
        <v>289</v>
      </c>
      <c r="I1777" s="224" t="s">
        <v>49</v>
      </c>
      <c r="J1777" s="224">
        <v>70</v>
      </c>
      <c r="K1777" s="227">
        <f t="array" ref="K1777">IFERROR(INDEX([1]Grille_Tarifs_Modulable!$B$2:$B$204,MATCH(Tableau14[[#This Row],[Designation]]&amp;Tableau14[[#This Row],[CL]],[1]Grille_Tarifs_Modulable!$C$2:$C$204&amp;[1]Grille_Tarifs_Modulable!$F$2:$F$204,0)),0)</f>
        <v>3257150673043</v>
      </c>
      <c r="L1777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23.434724499999998</v>
      </c>
      <c r="M1777" s="228">
        <f>IF(Tableau14[[#This Row],[Prix_Unit_HT]]=0,0,Tableau14[[#This Row],[Prix_Unit_HT]]+(Tableau14[[#This Row],[Prix_Unit_HT]]*VLOOKUP(Tableau14[[#This Row],[EAN]],[1]Grille_Tarifs_Modulable!$B$10:$Q$204,16,FALSE)))</f>
        <v>28.121669399999998</v>
      </c>
      <c r="N1777" s="224">
        <v>-2</v>
      </c>
      <c r="O1777" s="228">
        <f>ROUND(Tableau14[[#This Row],[Prix_Unit_HT]],2)*Tableau14[[#This Row],[Qte_commande]]</f>
        <v>-46.86</v>
      </c>
      <c r="P1777" s="228">
        <f>ROUND(Tableau14[[#This Row],[Prix_Unit_TTC]],2)*Tableau14[[#This Row],[Qte_commande]]</f>
        <v>-56.24</v>
      </c>
      <c r="Q1777" s="224">
        <v>-2</v>
      </c>
      <c r="R1777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-2</v>
      </c>
      <c r="U1777" s="224"/>
      <c r="V1777" s="224"/>
    </row>
    <row r="1778" spans="1:22" ht="14.65" customHeight="1" x14ac:dyDescent="0.2">
      <c r="A1778" s="225">
        <v>43761</v>
      </c>
      <c r="B1778" s="224" t="s">
        <v>771</v>
      </c>
      <c r="C1778" s="224" t="s">
        <v>265</v>
      </c>
      <c r="D1778" s="224" t="s">
        <v>266</v>
      </c>
      <c r="E1778" s="226"/>
      <c r="G1778" s="224" t="s">
        <v>1</v>
      </c>
      <c r="H1778" s="224" t="s">
        <v>289</v>
      </c>
      <c r="I1778" s="224" t="s">
        <v>15</v>
      </c>
      <c r="J1778" s="224">
        <v>70</v>
      </c>
      <c r="K1778" s="227">
        <f t="array" ref="K1778">IFERROR(INDEX([1]Grille_Tarifs_Modulable!$B$2:$B$204,MATCH(Tableau14[[#This Row],[Designation]]&amp;Tableau14[[#This Row],[CL]],[1]Grille_Tarifs_Modulable!$C$2:$C$204&amp;[1]Grille_Tarifs_Modulable!$F$2:$F$204,0)),0)</f>
        <v>4067700013859</v>
      </c>
      <c r="L1778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12.532563499999998</v>
      </c>
      <c r="M1778" s="228">
        <f>IF(Tableau14[[#This Row],[Prix_Unit_HT]]=0,0,Tableau14[[#This Row],[Prix_Unit_HT]]+(Tableau14[[#This Row],[Prix_Unit_HT]]*VLOOKUP(Tableau14[[#This Row],[EAN]],[1]Grille_Tarifs_Modulable!$B$10:$Q$204,16,FALSE)))</f>
        <v>15.039076199999998</v>
      </c>
      <c r="N1778" s="224">
        <v>480</v>
      </c>
      <c r="O1778" s="228">
        <f>ROUND(Tableau14[[#This Row],[Prix_Unit_HT]],2)*Tableau14[[#This Row],[Qte_commande]]</f>
        <v>6014.4</v>
      </c>
      <c r="P1778" s="228">
        <f>ROUND(Tableau14[[#This Row],[Prix_Unit_TTC]],2)*Tableau14[[#This Row],[Qte_commande]]</f>
        <v>7219.2</v>
      </c>
      <c r="Q1778" s="224">
        <v>480</v>
      </c>
      <c r="R1778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480.00000000000006</v>
      </c>
      <c r="U1778" s="224"/>
      <c r="V1778" s="224"/>
    </row>
    <row r="1779" spans="1:22" ht="14.65" customHeight="1" x14ac:dyDescent="0.2">
      <c r="A1779" s="225">
        <v>43761</v>
      </c>
      <c r="B1779" s="224" t="s">
        <v>772</v>
      </c>
      <c r="C1779" s="224" t="s">
        <v>557</v>
      </c>
      <c r="D1779" s="224" t="s">
        <v>558</v>
      </c>
      <c r="E1779" s="226"/>
      <c r="G1779" s="224" t="s">
        <v>1</v>
      </c>
      <c r="H1779" s="224" t="s">
        <v>289</v>
      </c>
      <c r="I1779" s="224" t="s">
        <v>15</v>
      </c>
      <c r="J1779" s="224">
        <v>70</v>
      </c>
      <c r="K1779" s="227">
        <f t="array" ref="K1779">IFERROR(INDEX([1]Grille_Tarifs_Modulable!$B$2:$B$204,MATCH(Tableau14[[#This Row],[Designation]]&amp;Tableau14[[#This Row],[CL]],[1]Grille_Tarifs_Modulable!$C$2:$C$204&amp;[1]Grille_Tarifs_Modulable!$F$2:$F$204,0)),0)</f>
        <v>4067700013859</v>
      </c>
      <c r="L1779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12.532563499999998</v>
      </c>
      <c r="M1779" s="228">
        <f>IF(Tableau14[[#This Row],[Prix_Unit_HT]]=0,0,Tableau14[[#This Row],[Prix_Unit_HT]]+(Tableau14[[#This Row],[Prix_Unit_HT]]*VLOOKUP(Tableau14[[#This Row],[EAN]],[1]Grille_Tarifs_Modulable!$B$10:$Q$204,16,FALSE)))</f>
        <v>15.039076199999998</v>
      </c>
      <c r="N1779" s="224">
        <v>240</v>
      </c>
      <c r="O1779" s="228">
        <f>ROUND(Tableau14[[#This Row],[Prix_Unit_HT]],2)*Tableau14[[#This Row],[Qte_commande]]</f>
        <v>3007.2</v>
      </c>
      <c r="P1779" s="228">
        <f>ROUND(Tableau14[[#This Row],[Prix_Unit_TTC]],2)*Tableau14[[#This Row],[Qte_commande]]</f>
        <v>3609.6</v>
      </c>
      <c r="Q1779" s="224">
        <v>240</v>
      </c>
      <c r="R1779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240.00000000000003</v>
      </c>
      <c r="U1779" s="224"/>
      <c r="V1779" s="224"/>
    </row>
    <row r="1780" spans="1:22" ht="14.65" customHeight="1" x14ac:dyDescent="0.2">
      <c r="A1780" s="225">
        <v>43761</v>
      </c>
      <c r="B1780" s="224" t="s">
        <v>772</v>
      </c>
      <c r="C1780" s="224" t="s">
        <v>557</v>
      </c>
      <c r="D1780" s="224" t="s">
        <v>558</v>
      </c>
      <c r="E1780" s="226"/>
      <c r="G1780" s="224" t="s">
        <v>1</v>
      </c>
      <c r="H1780" s="224" t="s">
        <v>289</v>
      </c>
      <c r="I1780" s="224" t="s">
        <v>15</v>
      </c>
      <c r="J1780" s="224">
        <v>70</v>
      </c>
      <c r="K1780" s="227">
        <f t="array" ref="K1780">IFERROR(INDEX([1]Grille_Tarifs_Modulable!$B$2:$B$204,MATCH(Tableau14[[#This Row],[Designation]]&amp;Tableau14[[#This Row],[CL]],[1]Grille_Tarifs_Modulable!$C$2:$C$204&amp;[1]Grille_Tarifs_Modulable!$F$2:$F$204,0)),0)</f>
        <v>4067700013859</v>
      </c>
      <c r="L1780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12.532563499999998</v>
      </c>
      <c r="M1780" s="228">
        <f>IF(Tableau14[[#This Row],[Prix_Unit_HT]]=0,0,Tableau14[[#This Row],[Prix_Unit_HT]]+(Tableau14[[#This Row],[Prix_Unit_HT]]*VLOOKUP(Tableau14[[#This Row],[EAN]],[1]Grille_Tarifs_Modulable!$B$10:$Q$204,16,FALSE)))</f>
        <v>15.039076199999998</v>
      </c>
      <c r="N1780" s="224">
        <v>60</v>
      </c>
      <c r="O1780" s="228">
        <f>ROUND(Tableau14[[#This Row],[Prix_Unit_HT]],2)*Tableau14[[#This Row],[Qte_commande]]</f>
        <v>751.8</v>
      </c>
      <c r="P1780" s="228">
        <f>ROUND(Tableau14[[#This Row],[Prix_Unit_TTC]],2)*Tableau14[[#This Row],[Qte_commande]]</f>
        <v>902.4</v>
      </c>
      <c r="Q1780" s="224">
        <v>60</v>
      </c>
      <c r="R1780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60.000000000000007</v>
      </c>
      <c r="U1780" s="224"/>
      <c r="V1780" s="224"/>
    </row>
    <row r="1781" spans="1:22" ht="14.65" customHeight="1" x14ac:dyDescent="0.2">
      <c r="A1781" s="225">
        <v>43761</v>
      </c>
      <c r="B1781" s="224" t="s">
        <v>772</v>
      </c>
      <c r="C1781" s="224" t="s">
        <v>557</v>
      </c>
      <c r="D1781" s="224" t="s">
        <v>558</v>
      </c>
      <c r="E1781" s="226"/>
      <c r="G1781" s="224" t="s">
        <v>1</v>
      </c>
      <c r="H1781" s="224" t="s">
        <v>289</v>
      </c>
      <c r="I1781" s="224" t="s">
        <v>15</v>
      </c>
      <c r="J1781" s="224">
        <v>70</v>
      </c>
      <c r="K1781" s="227">
        <f t="array" ref="K1781">IFERROR(INDEX([1]Grille_Tarifs_Modulable!$B$2:$B$204,MATCH(Tableau14[[#This Row],[Designation]]&amp;Tableau14[[#This Row],[CL]],[1]Grille_Tarifs_Modulable!$C$2:$C$204&amp;[1]Grille_Tarifs_Modulable!$F$2:$F$204,0)),0)</f>
        <v>4067700013859</v>
      </c>
      <c r="L1781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12.532563499999998</v>
      </c>
      <c r="M1781" s="228">
        <f>IF(Tableau14[[#This Row],[Prix_Unit_HT]]=0,0,Tableau14[[#This Row],[Prix_Unit_HT]]+(Tableau14[[#This Row],[Prix_Unit_HT]]*VLOOKUP(Tableau14[[#This Row],[EAN]],[1]Grille_Tarifs_Modulable!$B$10:$Q$204,16,FALSE)))</f>
        <v>15.039076199999998</v>
      </c>
      <c r="N1781" s="224">
        <v>48</v>
      </c>
      <c r="O1781" s="228">
        <f>ROUND(Tableau14[[#This Row],[Prix_Unit_HT]],2)*Tableau14[[#This Row],[Qte_commande]]</f>
        <v>601.43999999999994</v>
      </c>
      <c r="P1781" s="228">
        <f>ROUND(Tableau14[[#This Row],[Prix_Unit_TTC]],2)*Tableau14[[#This Row],[Qte_commande]]</f>
        <v>721.92</v>
      </c>
      <c r="Q1781" s="224">
        <v>48</v>
      </c>
      <c r="R1781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48.000000000000007</v>
      </c>
      <c r="U1781" s="224"/>
      <c r="V1781" s="224"/>
    </row>
    <row r="1782" spans="1:22" ht="14.65" customHeight="1" x14ac:dyDescent="0.2">
      <c r="A1782" s="225">
        <v>43761</v>
      </c>
      <c r="B1782" s="224" t="s">
        <v>771</v>
      </c>
      <c r="C1782" s="224" t="s">
        <v>265</v>
      </c>
      <c r="D1782" s="224" t="s">
        <v>266</v>
      </c>
      <c r="E1782" s="226"/>
      <c r="G1782" s="224" t="s">
        <v>1</v>
      </c>
      <c r="H1782" s="224" t="s">
        <v>289</v>
      </c>
      <c r="I1782" s="224" t="s">
        <v>44</v>
      </c>
      <c r="J1782" s="224">
        <v>50</v>
      </c>
      <c r="K1782" s="227">
        <f t="array" ref="K1782">IFERROR(INDEX([1]Grille_Tarifs_Modulable!$B$2:$B$204,MATCH(Tableau14[[#This Row],[Designation]]&amp;Tableau14[[#This Row],[CL]],[1]Grille_Tarifs_Modulable!$C$2:$C$204&amp;[1]Grille_Tarifs_Modulable!$F$2:$F$204,0)),0)</f>
        <v>4260270192645</v>
      </c>
      <c r="L1782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25.192506000000002</v>
      </c>
      <c r="M1782" s="228">
        <f>IF(Tableau14[[#This Row],[Prix_Unit_HT]]=0,0,Tableau14[[#This Row],[Prix_Unit_HT]]+(Tableau14[[#This Row],[Prix_Unit_HT]]*VLOOKUP(Tableau14[[#This Row],[EAN]],[1]Grille_Tarifs_Modulable!$B$10:$Q$204,16,FALSE)))</f>
        <v>30.231007200000001</v>
      </c>
      <c r="N1782" s="224">
        <v>6</v>
      </c>
      <c r="O1782" s="228">
        <f>ROUND(Tableau14[[#This Row],[Prix_Unit_HT]],2)*Tableau14[[#This Row],[Qte_commande]]</f>
        <v>151.14000000000001</v>
      </c>
      <c r="P1782" s="228">
        <f>ROUND(Tableau14[[#This Row],[Prix_Unit_TTC]],2)*Tableau14[[#This Row],[Qte_commande]]</f>
        <v>181.38</v>
      </c>
      <c r="Q1782" s="224">
        <v>4.29</v>
      </c>
      <c r="R1782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4.2857142857142856</v>
      </c>
      <c r="U1782" s="224"/>
      <c r="V1782" s="224"/>
    </row>
    <row r="1783" spans="1:22" ht="14.65" customHeight="1" x14ac:dyDescent="0.2">
      <c r="A1783" s="225">
        <v>43761</v>
      </c>
      <c r="B1783" s="224" t="s">
        <v>771</v>
      </c>
      <c r="C1783" s="224" t="s">
        <v>265</v>
      </c>
      <c r="D1783" s="224" t="s">
        <v>266</v>
      </c>
      <c r="E1783" s="226"/>
      <c r="G1783" s="224" t="s">
        <v>1</v>
      </c>
      <c r="H1783" s="224" t="s">
        <v>196</v>
      </c>
      <c r="I1783" s="224" t="s">
        <v>64</v>
      </c>
      <c r="J1783" s="224">
        <v>20</v>
      </c>
      <c r="K1783" s="227">
        <f t="array" ref="K1783">IFERROR(INDEX([1]Grille_Tarifs_Modulable!$B$2:$B$204,MATCH(Tableau14[[#This Row],[Designation]]&amp;Tableau14[[#This Row],[CL]],[1]Grille_Tarifs_Modulable!$C$2:$C$204&amp;[1]Grille_Tarifs_Modulable!$F$2:$F$204,0)),0)</f>
        <v>4260310553849</v>
      </c>
      <c r="L1783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0.81</v>
      </c>
      <c r="M1783" s="228">
        <f>IF(Tableau14[[#This Row],[Prix_Unit_HT]]=0,0,Tableau14[[#This Row],[Prix_Unit_HT]]+(Tableau14[[#This Row],[Prix_Unit_HT]]*VLOOKUP(Tableau14[[#This Row],[EAN]],[1]Grille_Tarifs_Modulable!$B$10:$Q$204,16,FALSE)))</f>
        <v>0.85455000000000003</v>
      </c>
      <c r="N1783" s="224">
        <v>120</v>
      </c>
      <c r="O1783" s="228">
        <f>ROUND(Tableau14[[#This Row],[Prix_Unit_HT]],2)*Tableau14[[#This Row],[Qte_commande]]</f>
        <v>97.2</v>
      </c>
      <c r="P1783" s="228">
        <f>ROUND(Tableau14[[#This Row],[Prix_Unit_TTC]],2)*Tableau14[[#This Row],[Qte_commande]]</f>
        <v>102</v>
      </c>
      <c r="Q1783" s="224">
        <v>34.29</v>
      </c>
      <c r="R1783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34.285714285714285</v>
      </c>
      <c r="U1783" s="224"/>
      <c r="V1783" s="224"/>
    </row>
    <row r="1784" spans="1:22" ht="14.65" customHeight="1" x14ac:dyDescent="0.2">
      <c r="A1784" s="225">
        <v>43761</v>
      </c>
      <c r="B1784" s="224" t="s">
        <v>771</v>
      </c>
      <c r="C1784" s="224" t="s">
        <v>265</v>
      </c>
      <c r="D1784" s="224" t="s">
        <v>266</v>
      </c>
      <c r="E1784" s="226"/>
      <c r="G1784" s="224" t="s">
        <v>1</v>
      </c>
      <c r="H1784" s="224" t="s">
        <v>196</v>
      </c>
      <c r="I1784" s="224" t="s">
        <v>59</v>
      </c>
      <c r="J1784" s="224">
        <v>20</v>
      </c>
      <c r="K1784" s="227">
        <f t="array" ref="K1784">IFERROR(INDEX([1]Grille_Tarifs_Modulable!$B$2:$B$204,MATCH(Tableau14[[#This Row],[Designation]]&amp;Tableau14[[#This Row],[CL]],[1]Grille_Tarifs_Modulable!$C$2:$C$204&amp;[1]Grille_Tarifs_Modulable!$F$2:$F$204,0)),0)</f>
        <v>4260310553818</v>
      </c>
      <c r="L1784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0.81</v>
      </c>
      <c r="M1784" s="228">
        <f>IF(Tableau14[[#This Row],[Prix_Unit_HT]]=0,0,Tableau14[[#This Row],[Prix_Unit_HT]]+(Tableau14[[#This Row],[Prix_Unit_HT]]*VLOOKUP(Tableau14[[#This Row],[EAN]],[1]Grille_Tarifs_Modulable!$B$10:$Q$204,16,FALSE)))</f>
        <v>0.85455000000000003</v>
      </c>
      <c r="N1784" s="224">
        <v>120</v>
      </c>
      <c r="O1784" s="228">
        <f>ROUND(Tableau14[[#This Row],[Prix_Unit_HT]],2)*Tableau14[[#This Row],[Qte_commande]]</f>
        <v>97.2</v>
      </c>
      <c r="P1784" s="228">
        <f>ROUND(Tableau14[[#This Row],[Prix_Unit_TTC]],2)*Tableau14[[#This Row],[Qte_commande]]</f>
        <v>102</v>
      </c>
      <c r="Q1784" s="224">
        <v>34.29</v>
      </c>
      <c r="R1784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34.285714285714285</v>
      </c>
      <c r="U1784" s="224"/>
      <c r="V1784" s="224"/>
    </row>
    <row r="1785" spans="1:22" ht="14.65" customHeight="1" x14ac:dyDescent="0.2">
      <c r="A1785" s="225">
        <v>43762</v>
      </c>
      <c r="B1785" s="224" t="s">
        <v>773</v>
      </c>
      <c r="C1785" s="224" t="s">
        <v>194</v>
      </c>
      <c r="D1785" s="224" t="s">
        <v>343</v>
      </c>
      <c r="E1785" s="226"/>
      <c r="G1785" s="224" t="s">
        <v>1</v>
      </c>
      <c r="H1785" s="224" t="s">
        <v>289</v>
      </c>
      <c r="I1785" s="224" t="s">
        <v>15</v>
      </c>
      <c r="J1785" s="224">
        <v>175</v>
      </c>
      <c r="K1785" s="227">
        <f t="array" ref="K1785">IFERROR(INDEX([1]Grille_Tarifs_Modulable!$B$2:$B$204,MATCH(Tableau14[[#This Row],[Designation]]&amp;Tableau14[[#This Row],[CL]],[1]Grille_Tarifs_Modulable!$C$2:$C$204&amp;[1]Grille_Tarifs_Modulable!$F$2:$F$204,0)),0)</f>
        <v>4067700013835</v>
      </c>
      <c r="L1785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28.916408750000002</v>
      </c>
      <c r="M1785" s="228">
        <f>IF(Tableau14[[#This Row],[Prix_Unit_HT]]=0,0,Tableau14[[#This Row],[Prix_Unit_HT]]+(Tableau14[[#This Row],[Prix_Unit_HT]]*VLOOKUP(Tableau14[[#This Row],[EAN]],[1]Grille_Tarifs_Modulable!$B$10:$Q$204,16,FALSE)))</f>
        <v>34.699690500000003</v>
      </c>
      <c r="N1785" s="224">
        <v>96</v>
      </c>
      <c r="O1785" s="228">
        <f>ROUND(Tableau14[[#This Row],[Prix_Unit_HT]],2)*Tableau14[[#This Row],[Qte_commande]]</f>
        <v>2776.32</v>
      </c>
      <c r="P1785" s="228">
        <f>ROUND(Tableau14[[#This Row],[Prix_Unit_TTC]],2)*Tableau14[[#This Row],[Qte_commande]]</f>
        <v>3331.2000000000003</v>
      </c>
      <c r="Q1785" s="224">
        <v>240</v>
      </c>
      <c r="R1785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240.00000000000003</v>
      </c>
      <c r="U1785" s="224"/>
      <c r="V1785" s="224"/>
    </row>
    <row r="1786" spans="1:22" ht="14.65" customHeight="1" x14ac:dyDescent="0.2">
      <c r="A1786" s="225">
        <v>43762</v>
      </c>
      <c r="B1786" s="224" t="s">
        <v>1328</v>
      </c>
      <c r="C1786" s="224" t="s">
        <v>205</v>
      </c>
      <c r="D1786" s="224" t="s">
        <v>206</v>
      </c>
      <c r="E1786" s="226"/>
      <c r="G1786" s="224" t="s">
        <v>13</v>
      </c>
      <c r="H1786" s="224" t="s">
        <v>451</v>
      </c>
      <c r="I1786" s="224" t="s">
        <v>71</v>
      </c>
      <c r="J1786" s="227">
        <v>1</v>
      </c>
      <c r="K1786" s="227">
        <f t="array" ref="K1786">IFERROR(INDEX([1]Grille_Tarifs_Modulable!$B$2:$B$204,MATCH(Tableau14[[#This Row],[Designation]]&amp;Tableau14[[#This Row],[CL]],[1]Grille_Tarifs_Modulable!$C$2:$C$204&amp;[1]Grille_Tarifs_Modulable!$F$2:$F$204,0)),0)</f>
        <v>122</v>
      </c>
      <c r="L1786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299</v>
      </c>
      <c r="M1786" s="228">
        <f>IF(Tableau14[[#This Row],[Prix_Unit_HT]]=0,0,Tableau14[[#This Row],[Prix_Unit_HT]]+(Tableau14[[#This Row],[Prix_Unit_HT]]*VLOOKUP(Tableau14[[#This Row],[EAN]],[1]Grille_Tarifs_Modulable!$B$10:$Q$204,16,FALSE)))</f>
        <v>358.8</v>
      </c>
      <c r="N1786" s="224">
        <v>1</v>
      </c>
      <c r="O1786" s="228">
        <f>ROUND(Tableau14[[#This Row],[Prix_Unit_HT]],2)*Tableau14[[#This Row],[Qte_commande]]</f>
        <v>299</v>
      </c>
      <c r="P1786" s="228">
        <f>ROUND(Tableau14[[#This Row],[Prix_Unit_TTC]],2)*Tableau14[[#This Row],[Qte_commande]]</f>
        <v>358.8</v>
      </c>
      <c r="Q1786" s="224">
        <v>1</v>
      </c>
      <c r="R1786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</v>
      </c>
      <c r="U1786" s="224"/>
      <c r="V1786" s="224"/>
    </row>
    <row r="1787" spans="1:22" ht="14.65" customHeight="1" x14ac:dyDescent="0.2">
      <c r="A1787" s="225">
        <v>43769</v>
      </c>
      <c r="B1787" s="224" t="s">
        <v>774</v>
      </c>
      <c r="C1787" s="224" t="s">
        <v>557</v>
      </c>
      <c r="D1787" s="224" t="s">
        <v>558</v>
      </c>
      <c r="E1787" s="226"/>
      <c r="G1787" s="224" t="s">
        <v>1</v>
      </c>
      <c r="H1787" s="224" t="s">
        <v>289</v>
      </c>
      <c r="I1787" s="224" t="s">
        <v>15</v>
      </c>
      <c r="J1787" s="224">
        <v>70</v>
      </c>
      <c r="K1787" s="227">
        <f t="array" ref="K1787">IFERROR(INDEX([1]Grille_Tarifs_Modulable!$B$2:$B$204,MATCH(Tableau14[[#This Row],[Designation]]&amp;Tableau14[[#This Row],[CL]],[1]Grille_Tarifs_Modulable!$C$2:$C$204&amp;[1]Grille_Tarifs_Modulable!$F$2:$F$204,0)),0)</f>
        <v>4067700013859</v>
      </c>
      <c r="L1787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12.532563499999998</v>
      </c>
      <c r="M1787" s="228">
        <f>IF(Tableau14[[#This Row],[Prix_Unit_HT]]=0,0,Tableau14[[#This Row],[Prix_Unit_HT]]+(Tableau14[[#This Row],[Prix_Unit_HT]]*VLOOKUP(Tableau14[[#This Row],[EAN]],[1]Grille_Tarifs_Modulable!$B$10:$Q$204,16,FALSE)))</f>
        <v>15.039076199999998</v>
      </c>
      <c r="N1787" s="224">
        <v>480</v>
      </c>
      <c r="O1787" s="228">
        <f>ROUND(Tableau14[[#This Row],[Prix_Unit_HT]],2)*Tableau14[[#This Row],[Qte_commande]]</f>
        <v>6014.4</v>
      </c>
      <c r="P1787" s="228">
        <f>ROUND(Tableau14[[#This Row],[Prix_Unit_TTC]],2)*Tableau14[[#This Row],[Qte_commande]]</f>
        <v>7219.2</v>
      </c>
      <c r="Q1787" s="224">
        <v>480</v>
      </c>
      <c r="R1787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480.00000000000006</v>
      </c>
      <c r="U1787" s="224"/>
      <c r="V1787" s="224"/>
    </row>
    <row r="1788" spans="1:22" ht="14.65" customHeight="1" x14ac:dyDescent="0.2">
      <c r="A1788" s="225">
        <v>43769</v>
      </c>
      <c r="B1788" s="224" t="s">
        <v>774</v>
      </c>
      <c r="C1788" s="224" t="s">
        <v>557</v>
      </c>
      <c r="D1788" s="224" t="s">
        <v>558</v>
      </c>
      <c r="E1788" s="226"/>
      <c r="G1788" s="224" t="s">
        <v>1</v>
      </c>
      <c r="H1788" s="224" t="s">
        <v>289</v>
      </c>
      <c r="I1788" s="224" t="s">
        <v>15</v>
      </c>
      <c r="J1788" s="224">
        <v>70</v>
      </c>
      <c r="K1788" s="227">
        <f t="array" ref="K1788">IFERROR(INDEX([1]Grille_Tarifs_Modulable!$B$2:$B$204,MATCH(Tableau14[[#This Row],[Designation]]&amp;Tableau14[[#This Row],[CL]],[1]Grille_Tarifs_Modulable!$C$2:$C$204&amp;[1]Grille_Tarifs_Modulable!$F$2:$F$204,0)),0)</f>
        <v>4067700013859</v>
      </c>
      <c r="L1788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12.532563499999998</v>
      </c>
      <c r="M1788" s="228">
        <f>IF(Tableau14[[#This Row],[Prix_Unit_HT]]=0,0,Tableau14[[#This Row],[Prix_Unit_HT]]+(Tableau14[[#This Row],[Prix_Unit_HT]]*VLOOKUP(Tableau14[[#This Row],[EAN]],[1]Grille_Tarifs_Modulable!$B$10:$Q$204,16,FALSE)))</f>
        <v>15.039076199999998</v>
      </c>
      <c r="N1788" s="224">
        <v>12</v>
      </c>
      <c r="O1788" s="228">
        <f>ROUND(Tableau14[[#This Row],[Prix_Unit_HT]],2)*Tableau14[[#This Row],[Qte_commande]]</f>
        <v>150.35999999999999</v>
      </c>
      <c r="P1788" s="228">
        <f>ROUND(Tableau14[[#This Row],[Prix_Unit_TTC]],2)*Tableau14[[#This Row],[Qte_commande]]</f>
        <v>180.48</v>
      </c>
      <c r="Q1788" s="224">
        <v>12</v>
      </c>
      <c r="R1788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12.000000000000002</v>
      </c>
      <c r="U1788" s="224"/>
      <c r="V1788" s="224"/>
    </row>
    <row r="1789" spans="1:22" ht="14.65" customHeight="1" x14ac:dyDescent="0.2">
      <c r="A1789" s="225">
        <v>43773</v>
      </c>
      <c r="B1789" s="224" t="s">
        <v>775</v>
      </c>
      <c r="C1789" s="224" t="s">
        <v>265</v>
      </c>
      <c r="D1789" s="224" t="s">
        <v>266</v>
      </c>
      <c r="E1789" s="226"/>
      <c r="G1789" s="224" t="s">
        <v>1</v>
      </c>
      <c r="H1789" s="224" t="s">
        <v>289</v>
      </c>
      <c r="I1789" s="224" t="s">
        <v>15</v>
      </c>
      <c r="J1789" s="224">
        <v>70</v>
      </c>
      <c r="K1789" s="227">
        <f t="array" ref="K1789">IFERROR(INDEX([1]Grille_Tarifs_Modulable!$B$2:$B$204,MATCH(Tableau14[[#This Row],[Designation]]&amp;Tableau14[[#This Row],[CL]],[1]Grille_Tarifs_Modulable!$C$2:$C$204&amp;[1]Grille_Tarifs_Modulable!$F$2:$F$204,0)),0)</f>
        <v>4067700013859</v>
      </c>
      <c r="L1789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12.532563499999998</v>
      </c>
      <c r="M1789" s="228">
        <f>IF(Tableau14[[#This Row],[Prix_Unit_HT]]=0,0,Tableau14[[#This Row],[Prix_Unit_HT]]+(Tableau14[[#This Row],[Prix_Unit_HT]]*VLOOKUP(Tableau14[[#This Row],[EAN]],[1]Grille_Tarifs_Modulable!$B$10:$Q$204,16,FALSE)))</f>
        <v>15.039076199999998</v>
      </c>
      <c r="N1789" s="224">
        <v>480</v>
      </c>
      <c r="O1789" s="228">
        <f>ROUND(Tableau14[[#This Row],[Prix_Unit_HT]],2)*Tableau14[[#This Row],[Qte_commande]]</f>
        <v>6014.4</v>
      </c>
      <c r="P1789" s="228">
        <f>ROUND(Tableau14[[#This Row],[Prix_Unit_TTC]],2)*Tableau14[[#This Row],[Qte_commande]]</f>
        <v>7219.2</v>
      </c>
      <c r="Q1789" s="224">
        <v>480</v>
      </c>
      <c r="R1789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480.00000000000006</v>
      </c>
      <c r="U1789" s="224"/>
      <c r="V1789" s="224"/>
    </row>
    <row r="1790" spans="1:22" ht="14.65" customHeight="1" x14ac:dyDescent="0.2">
      <c r="A1790" s="225">
        <v>43773</v>
      </c>
      <c r="B1790" s="224" t="s">
        <v>775</v>
      </c>
      <c r="C1790" s="224" t="s">
        <v>265</v>
      </c>
      <c r="D1790" s="224" t="s">
        <v>266</v>
      </c>
      <c r="E1790" s="226"/>
      <c r="G1790" s="224" t="s">
        <v>1</v>
      </c>
      <c r="H1790" s="224" t="s">
        <v>196</v>
      </c>
      <c r="I1790" s="224" t="s">
        <v>64</v>
      </c>
      <c r="J1790" s="224">
        <v>20</v>
      </c>
      <c r="K1790" s="227">
        <f t="array" ref="K1790">IFERROR(INDEX([1]Grille_Tarifs_Modulable!$B$2:$B$204,MATCH(Tableau14[[#This Row],[Designation]]&amp;Tableau14[[#This Row],[CL]],[1]Grille_Tarifs_Modulable!$C$2:$C$204&amp;[1]Grille_Tarifs_Modulable!$F$2:$F$204,0)),0)</f>
        <v>4260310553849</v>
      </c>
      <c r="L1790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0.81</v>
      </c>
      <c r="M1790" s="228">
        <f>IF(Tableau14[[#This Row],[Prix_Unit_HT]]=0,0,Tableau14[[#This Row],[Prix_Unit_HT]]+(Tableau14[[#This Row],[Prix_Unit_HT]]*VLOOKUP(Tableau14[[#This Row],[EAN]],[1]Grille_Tarifs_Modulable!$B$10:$Q$204,16,FALSE)))</f>
        <v>0.85455000000000003</v>
      </c>
      <c r="N1790" s="224">
        <v>240</v>
      </c>
      <c r="O1790" s="228">
        <f>ROUND(Tableau14[[#This Row],[Prix_Unit_HT]],2)*Tableau14[[#This Row],[Qte_commande]]</f>
        <v>194.4</v>
      </c>
      <c r="P1790" s="228">
        <f>ROUND(Tableau14[[#This Row],[Prix_Unit_TTC]],2)*Tableau14[[#This Row],[Qte_commande]]</f>
        <v>204</v>
      </c>
      <c r="Q1790" s="224">
        <v>68.569999999999993</v>
      </c>
      <c r="R1790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68.571428571428569</v>
      </c>
      <c r="U1790" s="224"/>
      <c r="V1790" s="224"/>
    </row>
    <row r="1791" spans="1:22" ht="14.65" customHeight="1" x14ac:dyDescent="0.2">
      <c r="A1791" s="225">
        <v>43773</v>
      </c>
      <c r="B1791" s="224" t="s">
        <v>775</v>
      </c>
      <c r="C1791" s="224" t="s">
        <v>265</v>
      </c>
      <c r="D1791" s="224" t="s">
        <v>266</v>
      </c>
      <c r="E1791" s="226"/>
      <c r="G1791" s="224" t="s">
        <v>1</v>
      </c>
      <c r="H1791" s="224" t="s">
        <v>196</v>
      </c>
      <c r="I1791" s="224" t="s">
        <v>59</v>
      </c>
      <c r="J1791" s="224">
        <v>20</v>
      </c>
      <c r="K1791" s="227">
        <f t="array" ref="K1791">IFERROR(INDEX([1]Grille_Tarifs_Modulable!$B$2:$B$204,MATCH(Tableau14[[#This Row],[Designation]]&amp;Tableau14[[#This Row],[CL]],[1]Grille_Tarifs_Modulable!$C$2:$C$204&amp;[1]Grille_Tarifs_Modulable!$F$2:$F$204,0)),0)</f>
        <v>4260310553818</v>
      </c>
      <c r="L1791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0.81</v>
      </c>
      <c r="M1791" s="228">
        <f>IF(Tableau14[[#This Row],[Prix_Unit_HT]]=0,0,Tableau14[[#This Row],[Prix_Unit_HT]]+(Tableau14[[#This Row],[Prix_Unit_HT]]*VLOOKUP(Tableau14[[#This Row],[EAN]],[1]Grille_Tarifs_Modulable!$B$10:$Q$204,16,FALSE)))</f>
        <v>0.85455000000000003</v>
      </c>
      <c r="N1791" s="224">
        <v>240</v>
      </c>
      <c r="O1791" s="228">
        <f>ROUND(Tableau14[[#This Row],[Prix_Unit_HT]],2)*Tableau14[[#This Row],[Qte_commande]]</f>
        <v>194.4</v>
      </c>
      <c r="P1791" s="228">
        <f>ROUND(Tableau14[[#This Row],[Prix_Unit_TTC]],2)*Tableau14[[#This Row],[Qte_commande]]</f>
        <v>204</v>
      </c>
      <c r="Q1791" s="224">
        <v>68.569999999999993</v>
      </c>
      <c r="R1791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68.571428571428569</v>
      </c>
      <c r="U1791" s="224"/>
      <c r="V1791" s="224"/>
    </row>
    <row r="1792" spans="1:22" ht="14.65" customHeight="1" x14ac:dyDescent="0.2">
      <c r="A1792" s="225">
        <v>43774</v>
      </c>
      <c r="B1792" s="224" t="s">
        <v>446</v>
      </c>
      <c r="C1792" s="224" t="s">
        <v>240</v>
      </c>
      <c r="D1792" s="224" t="s">
        <v>241</v>
      </c>
      <c r="E1792" s="226"/>
      <c r="G1792" s="224" t="s">
        <v>13</v>
      </c>
      <c r="H1792" s="224"/>
      <c r="I1792" s="224" t="s">
        <v>447</v>
      </c>
      <c r="J1792" s="228" t="s">
        <v>448</v>
      </c>
      <c r="K1792" s="227">
        <f t="array" ref="K1792">IFERROR(INDEX([1]Grille_Tarifs_Modulable!$B$2:$B$204,MATCH(Tableau14[[#This Row],[Designation]]&amp;Tableau14[[#This Row],[CL]],[1]Grille_Tarifs_Modulable!$C$2:$C$204&amp;[1]Grille_Tarifs_Modulable!$F$2:$F$204,0)),0)</f>
        <v>0</v>
      </c>
      <c r="L1792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</v>
      </c>
      <c r="M1792" s="228">
        <f>IF(Tableau14[[#This Row],[Prix_Unit_HT]]=0,0,Tableau14[[#This Row],[Prix_Unit_HT]]+(Tableau14[[#This Row],[Prix_Unit_HT]]*VLOOKUP(Tableau14[[#This Row],[EAN]],[1]Grille_Tarifs_Modulable!$B$10:$Q$204,16,FALSE)))</f>
        <v>0</v>
      </c>
      <c r="N1792" s="224">
        <v>1</v>
      </c>
      <c r="O1792" s="228">
        <f>ROUND(Tableau14[[#This Row],[Prix_Unit_HT]],2)*Tableau14[[#This Row],[Qte_commande]]</f>
        <v>0</v>
      </c>
      <c r="P1792" s="228">
        <f>ROUND(Tableau14[[#This Row],[Prix_Unit_TTC]],2)*Tableau14[[#This Row],[Qte_commande]]</f>
        <v>0</v>
      </c>
      <c r="Q1792" s="224">
        <v>1</v>
      </c>
      <c r="R1792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0</v>
      </c>
      <c r="U1792" s="224"/>
      <c r="V1792" s="224"/>
    </row>
    <row r="1793" spans="1:22" ht="14.65" customHeight="1" x14ac:dyDescent="0.2">
      <c r="A1793" s="225">
        <v>43775</v>
      </c>
      <c r="B1793" s="224" t="s">
        <v>776</v>
      </c>
      <c r="C1793" s="224" t="s">
        <v>530</v>
      </c>
      <c r="D1793" s="224" t="s">
        <v>531</v>
      </c>
      <c r="E1793" s="226"/>
      <c r="G1793" s="224" t="s">
        <v>1</v>
      </c>
      <c r="H1793" s="224" t="s">
        <v>289</v>
      </c>
      <c r="I1793" s="224" t="s">
        <v>15</v>
      </c>
      <c r="J1793" s="224">
        <v>70</v>
      </c>
      <c r="K1793" s="227">
        <f t="array" ref="K1793">IFERROR(INDEX([1]Grille_Tarifs_Modulable!$B$2:$B$204,MATCH(Tableau14[[#This Row],[Designation]]&amp;Tableau14[[#This Row],[CL]],[1]Grille_Tarifs_Modulable!$C$2:$C$204&amp;[1]Grille_Tarifs_Modulable!$F$2:$F$204,0)),0)</f>
        <v>4067700013859</v>
      </c>
      <c r="L1793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12.532563499999998</v>
      </c>
      <c r="M1793" s="228">
        <f>IF(Tableau14[[#This Row],[Prix_Unit_HT]]=0,0,Tableau14[[#This Row],[Prix_Unit_HT]]+(Tableau14[[#This Row],[Prix_Unit_HT]]*VLOOKUP(Tableau14[[#This Row],[EAN]],[1]Grille_Tarifs_Modulable!$B$10:$Q$204,16,FALSE)))</f>
        <v>15.039076199999998</v>
      </c>
      <c r="N1793" s="224">
        <v>240</v>
      </c>
      <c r="O1793" s="228">
        <f>ROUND(Tableau14[[#This Row],[Prix_Unit_HT]],2)*Tableau14[[#This Row],[Qte_commande]]</f>
        <v>3007.2</v>
      </c>
      <c r="P1793" s="228">
        <f>ROUND(Tableau14[[#This Row],[Prix_Unit_TTC]],2)*Tableau14[[#This Row],[Qte_commande]]</f>
        <v>3609.6</v>
      </c>
      <c r="Q1793" s="224">
        <v>240</v>
      </c>
      <c r="R1793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240.00000000000003</v>
      </c>
      <c r="U1793" s="224"/>
      <c r="V1793" s="224"/>
    </row>
    <row r="1794" spans="1:22" ht="14.65" customHeight="1" x14ac:dyDescent="0.2">
      <c r="A1794" s="225">
        <v>43776</v>
      </c>
      <c r="B1794" s="224" t="s">
        <v>777</v>
      </c>
      <c r="C1794" s="224" t="s">
        <v>265</v>
      </c>
      <c r="D1794" s="224" t="s">
        <v>266</v>
      </c>
      <c r="E1794" s="226"/>
      <c r="G1794" s="224" t="s">
        <v>1</v>
      </c>
      <c r="H1794" s="224" t="s">
        <v>289</v>
      </c>
      <c r="I1794" s="224" t="s">
        <v>15</v>
      </c>
      <c r="J1794" s="224">
        <v>70</v>
      </c>
      <c r="K1794" s="227">
        <f t="array" ref="K1794">IFERROR(INDEX([1]Grille_Tarifs_Modulable!$B$2:$B$204,MATCH(Tableau14[[#This Row],[Designation]]&amp;Tableau14[[#This Row],[CL]],[1]Grille_Tarifs_Modulable!$C$2:$C$204&amp;[1]Grille_Tarifs_Modulable!$F$2:$F$204,0)),0)</f>
        <v>4067700013859</v>
      </c>
      <c r="L1794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12.532563499999998</v>
      </c>
      <c r="M1794" s="228">
        <f>IF(Tableau14[[#This Row],[Prix_Unit_HT]]=0,0,Tableau14[[#This Row],[Prix_Unit_HT]]+(Tableau14[[#This Row],[Prix_Unit_HT]]*VLOOKUP(Tableau14[[#This Row],[EAN]],[1]Grille_Tarifs_Modulable!$B$10:$Q$204,16,FALSE)))</f>
        <v>15.039076199999998</v>
      </c>
      <c r="N1794" s="224">
        <v>240</v>
      </c>
      <c r="O1794" s="228">
        <f>ROUND(Tableau14[[#This Row],[Prix_Unit_HT]],2)*Tableau14[[#This Row],[Qte_commande]]</f>
        <v>3007.2</v>
      </c>
      <c r="P1794" s="228">
        <f>ROUND(Tableau14[[#This Row],[Prix_Unit_TTC]],2)*Tableau14[[#This Row],[Qte_commande]]</f>
        <v>3609.6</v>
      </c>
      <c r="Q1794" s="224">
        <v>240</v>
      </c>
      <c r="R1794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240.00000000000003</v>
      </c>
      <c r="U1794" s="224"/>
      <c r="V1794" s="224"/>
    </row>
    <row r="1795" spans="1:22" ht="14.65" customHeight="1" x14ac:dyDescent="0.2">
      <c r="A1795" s="225">
        <v>43776</v>
      </c>
      <c r="B1795" s="224" t="s">
        <v>777</v>
      </c>
      <c r="C1795" s="224" t="s">
        <v>265</v>
      </c>
      <c r="D1795" s="224" t="s">
        <v>266</v>
      </c>
      <c r="E1795" s="226"/>
      <c r="G1795" s="224" t="s">
        <v>1</v>
      </c>
      <c r="H1795" s="224" t="s">
        <v>289</v>
      </c>
      <c r="I1795" s="224" t="s">
        <v>24</v>
      </c>
      <c r="J1795" s="224">
        <v>70</v>
      </c>
      <c r="K1795" s="227">
        <f t="array" ref="K1795">IFERROR(INDEX([1]Grille_Tarifs_Modulable!$B$2:$B$204,MATCH(Tableau14[[#This Row],[Designation]]&amp;Tableau14[[#This Row],[CL]],[1]Grille_Tarifs_Modulable!$C$2:$C$204&amp;[1]Grille_Tarifs_Modulable!$F$2:$F$204,0)),0)</f>
        <v>8500000917008</v>
      </c>
      <c r="L1795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11.028211800000001</v>
      </c>
      <c r="M1795" s="228">
        <f>IF(Tableau14[[#This Row],[Prix_Unit_HT]]=0,0,Tableau14[[#This Row],[Prix_Unit_HT]]+(Tableau14[[#This Row],[Prix_Unit_HT]]*VLOOKUP(Tableau14[[#This Row],[EAN]],[1]Grille_Tarifs_Modulable!$B$10:$Q$204,16,FALSE)))</f>
        <v>13.233854160000002</v>
      </c>
      <c r="N1795" s="224">
        <v>12</v>
      </c>
      <c r="O1795" s="228">
        <f>ROUND(Tableau14[[#This Row],[Prix_Unit_HT]],2)*Tableau14[[#This Row],[Qte_commande]]</f>
        <v>132.35999999999999</v>
      </c>
      <c r="P1795" s="228">
        <f>ROUND(Tableau14[[#This Row],[Prix_Unit_TTC]],2)*Tableau14[[#This Row],[Qte_commande]]</f>
        <v>158.76</v>
      </c>
      <c r="Q1795" s="224">
        <v>12</v>
      </c>
      <c r="R1795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12.000000000000002</v>
      </c>
      <c r="U1795" s="224"/>
      <c r="V1795" s="224"/>
    </row>
    <row r="1796" spans="1:22" ht="14.65" customHeight="1" x14ac:dyDescent="0.2">
      <c r="A1796" s="225">
        <v>43776</v>
      </c>
      <c r="B1796" s="224" t="s">
        <v>777</v>
      </c>
      <c r="C1796" s="224" t="s">
        <v>265</v>
      </c>
      <c r="D1796" s="224" t="s">
        <v>266</v>
      </c>
      <c r="E1796" s="226"/>
      <c r="G1796" s="224" t="s">
        <v>1</v>
      </c>
      <c r="H1796" s="224" t="s">
        <v>196</v>
      </c>
      <c r="I1796" s="224" t="s">
        <v>59</v>
      </c>
      <c r="J1796" s="224">
        <v>20</v>
      </c>
      <c r="K1796" s="227">
        <f t="array" ref="K1796">IFERROR(INDEX([1]Grille_Tarifs_Modulable!$B$2:$B$204,MATCH(Tableau14[[#This Row],[Designation]]&amp;Tableau14[[#This Row],[CL]],[1]Grille_Tarifs_Modulable!$C$2:$C$204&amp;[1]Grille_Tarifs_Modulable!$F$2:$F$204,0)),0)</f>
        <v>4260310553818</v>
      </c>
      <c r="L1796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0.81</v>
      </c>
      <c r="M1796" s="228">
        <f>IF(Tableau14[[#This Row],[Prix_Unit_HT]]=0,0,Tableau14[[#This Row],[Prix_Unit_HT]]+(Tableau14[[#This Row],[Prix_Unit_HT]]*VLOOKUP(Tableau14[[#This Row],[EAN]],[1]Grille_Tarifs_Modulable!$B$10:$Q$204,16,FALSE)))</f>
        <v>0.85455000000000003</v>
      </c>
      <c r="N1796" s="224">
        <v>48</v>
      </c>
      <c r="O1796" s="228">
        <f>ROUND(Tableau14[[#This Row],[Prix_Unit_HT]],2)*Tableau14[[#This Row],[Qte_commande]]</f>
        <v>38.880000000000003</v>
      </c>
      <c r="P1796" s="228">
        <f>ROUND(Tableau14[[#This Row],[Prix_Unit_TTC]],2)*Tableau14[[#This Row],[Qte_commande]]</f>
        <v>40.799999999999997</v>
      </c>
      <c r="Q1796" s="224">
        <v>13.71</v>
      </c>
      <c r="R1796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13.714285714285715</v>
      </c>
      <c r="U1796" s="224"/>
      <c r="V1796" s="224"/>
    </row>
    <row r="1797" spans="1:22" ht="14.65" customHeight="1" x14ac:dyDescent="0.2">
      <c r="A1797" s="225">
        <v>43783</v>
      </c>
      <c r="B1797" s="224" t="s">
        <v>347</v>
      </c>
      <c r="C1797" s="224" t="s">
        <v>348</v>
      </c>
      <c r="D1797" s="224" t="s">
        <v>155</v>
      </c>
      <c r="E1797" s="226"/>
      <c r="G1797" s="224" t="s">
        <v>1</v>
      </c>
      <c r="H1797" s="224" t="s">
        <v>289</v>
      </c>
      <c r="I1797" s="224" t="s">
        <v>22</v>
      </c>
      <c r="J1797" s="224">
        <v>70</v>
      </c>
      <c r="K1797" s="227">
        <f t="array" ref="K1797">IFERROR(INDEX([1]Grille_Tarifs_Modulable!$B$2:$B$204,MATCH(Tableau14[[#This Row],[Designation]]&amp;Tableau14[[#This Row],[CL]],[1]Grille_Tarifs_Modulable!$C$2:$C$204&amp;[1]Grille_Tarifs_Modulable!$F$2:$F$204,0)),0)</f>
        <v>4055800060200</v>
      </c>
      <c r="L1797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17.408644000000002</v>
      </c>
      <c r="M1797" s="228">
        <f>IF(Tableau14[[#This Row],[Prix_Unit_HT]]=0,0,Tableau14[[#This Row],[Prix_Unit_HT]]+(Tableau14[[#This Row],[Prix_Unit_HT]]*VLOOKUP(Tableau14[[#This Row],[EAN]],[1]Grille_Tarifs_Modulable!$B$10:$Q$204,16,FALSE)))</f>
        <v>20.890372800000002</v>
      </c>
      <c r="N1797" s="224">
        <v>6</v>
      </c>
      <c r="O1797" s="228">
        <f>ROUND(Tableau14[[#This Row],[Prix_Unit_HT]],2)*Tableau14[[#This Row],[Qte_commande]]</f>
        <v>104.46000000000001</v>
      </c>
      <c r="P1797" s="228">
        <f>ROUND(Tableau14[[#This Row],[Prix_Unit_TTC]],2)*Tableau14[[#This Row],[Qte_commande]]</f>
        <v>125.34</v>
      </c>
      <c r="Q1797" s="224">
        <v>6</v>
      </c>
      <c r="R1797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6.0000000000000009</v>
      </c>
      <c r="U1797" s="224"/>
      <c r="V1797" s="224"/>
    </row>
    <row r="1798" spans="1:22" ht="14.65" customHeight="1" x14ac:dyDescent="0.2">
      <c r="A1798" s="225">
        <v>43783</v>
      </c>
      <c r="B1798" s="224" t="s">
        <v>347</v>
      </c>
      <c r="C1798" s="224" t="s">
        <v>348</v>
      </c>
      <c r="D1798" s="224" t="s">
        <v>155</v>
      </c>
      <c r="E1798" s="226"/>
      <c r="G1798" s="224" t="s">
        <v>1</v>
      </c>
      <c r="H1798" s="224" t="s">
        <v>289</v>
      </c>
      <c r="I1798" s="224" t="s">
        <v>35</v>
      </c>
      <c r="J1798" s="224">
        <v>70</v>
      </c>
      <c r="K1798" s="227">
        <f t="array" ref="K1798">IFERROR(INDEX([1]Grille_Tarifs_Modulable!$B$2:$B$204,MATCH(Tableau14[[#This Row],[Designation]]&amp;Tableau14[[#This Row],[CL]],[1]Grille_Tarifs_Modulable!$C$2:$C$204&amp;[1]Grille_Tarifs_Modulable!$F$2:$F$204,0)),0)</f>
        <v>3257150107012</v>
      </c>
      <c r="L1798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29.828643999999997</v>
      </c>
      <c r="M1798" s="228">
        <f>IF(Tableau14[[#This Row],[Prix_Unit_HT]]=0,0,Tableau14[[#This Row],[Prix_Unit_HT]]+(Tableau14[[#This Row],[Prix_Unit_HT]]*VLOOKUP(Tableau14[[#This Row],[EAN]],[1]Grille_Tarifs_Modulable!$B$10:$Q$204,16,FALSE)))</f>
        <v>35.794372799999998</v>
      </c>
      <c r="N1798" s="224">
        <v>12</v>
      </c>
      <c r="O1798" s="228">
        <f>ROUND(Tableau14[[#This Row],[Prix_Unit_HT]],2)*Tableau14[[#This Row],[Qte_commande]]</f>
        <v>357.96</v>
      </c>
      <c r="P1798" s="228">
        <f>ROUND(Tableau14[[#This Row],[Prix_Unit_TTC]],2)*Tableau14[[#This Row],[Qte_commande]]</f>
        <v>429.48</v>
      </c>
      <c r="Q1798" s="224">
        <v>12</v>
      </c>
      <c r="R1798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12.000000000000002</v>
      </c>
      <c r="U1798" s="224"/>
      <c r="V1798" s="224"/>
    </row>
    <row r="1799" spans="1:22" ht="14.65" customHeight="1" x14ac:dyDescent="0.2">
      <c r="A1799" s="225">
        <v>43783</v>
      </c>
      <c r="B1799" s="224" t="s">
        <v>430</v>
      </c>
      <c r="C1799" s="224" t="s">
        <v>431</v>
      </c>
      <c r="D1799" s="224" t="s">
        <v>432</v>
      </c>
      <c r="E1799" s="226"/>
      <c r="G1799" s="224" t="s">
        <v>1</v>
      </c>
      <c r="H1799" s="224" t="s">
        <v>289</v>
      </c>
      <c r="I1799" s="224" t="s">
        <v>35</v>
      </c>
      <c r="J1799" s="224">
        <v>70</v>
      </c>
      <c r="K1799" s="227">
        <f t="array" ref="K1799">IFERROR(INDEX([1]Grille_Tarifs_Modulable!$B$2:$B$204,MATCH(Tableau14[[#This Row],[Designation]]&amp;Tableau14[[#This Row],[CL]],[1]Grille_Tarifs_Modulable!$C$2:$C$204&amp;[1]Grille_Tarifs_Modulable!$F$2:$F$204,0)),0)</f>
        <v>3257150107012</v>
      </c>
      <c r="L1799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29.828643999999997</v>
      </c>
      <c r="M1799" s="228">
        <f>IF(Tableau14[[#This Row],[Prix_Unit_HT]]=0,0,Tableau14[[#This Row],[Prix_Unit_HT]]+(Tableau14[[#This Row],[Prix_Unit_HT]]*VLOOKUP(Tableau14[[#This Row],[EAN]],[1]Grille_Tarifs_Modulable!$B$10:$Q$204,16,FALSE)))</f>
        <v>35.794372799999998</v>
      </c>
      <c r="N1799" s="224">
        <v>12</v>
      </c>
      <c r="O1799" s="228">
        <f>ROUND(Tableau14[[#This Row],[Prix_Unit_HT]],2)*Tableau14[[#This Row],[Qte_commande]]</f>
        <v>357.96</v>
      </c>
      <c r="P1799" s="228">
        <f>ROUND(Tableau14[[#This Row],[Prix_Unit_TTC]],2)*Tableau14[[#This Row],[Qte_commande]]</f>
        <v>429.48</v>
      </c>
      <c r="Q1799" s="224">
        <v>12</v>
      </c>
      <c r="R1799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12.000000000000002</v>
      </c>
      <c r="U1799" s="224"/>
      <c r="V1799" s="224"/>
    </row>
    <row r="1800" spans="1:22" ht="14.65" customHeight="1" x14ac:dyDescent="0.2">
      <c r="A1800" s="225">
        <v>43783</v>
      </c>
      <c r="B1800" s="224" t="s">
        <v>347</v>
      </c>
      <c r="C1800" s="224" t="s">
        <v>348</v>
      </c>
      <c r="D1800" s="224" t="s">
        <v>155</v>
      </c>
      <c r="E1800" s="226"/>
      <c r="G1800" s="224" t="s">
        <v>1</v>
      </c>
      <c r="H1800" s="224" t="s">
        <v>289</v>
      </c>
      <c r="I1800" s="224" t="s">
        <v>47</v>
      </c>
      <c r="J1800" s="224">
        <v>70</v>
      </c>
      <c r="K1800" s="227">
        <f t="array" ref="K1800">IFERROR(INDEX([1]Grille_Tarifs_Modulable!$B$2:$B$204,MATCH(Tableau14[[#This Row],[Designation]]&amp;Tableau14[[#This Row],[CL]],[1]Grille_Tarifs_Modulable!$C$2:$C$204&amp;[1]Grille_Tarifs_Modulable!$F$2:$F$204,0)),0)</f>
        <v>3257150673005</v>
      </c>
      <c r="L1800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20.158644000000002</v>
      </c>
      <c r="M1800" s="228">
        <f>IF(Tableau14[[#This Row],[Prix_Unit_HT]]=0,0,Tableau14[[#This Row],[Prix_Unit_HT]]+(Tableau14[[#This Row],[Prix_Unit_HT]]*VLOOKUP(Tableau14[[#This Row],[EAN]],[1]Grille_Tarifs_Modulable!$B$10:$Q$204,16,FALSE)))</f>
        <v>24.190372800000002</v>
      </c>
      <c r="N1800" s="224">
        <v>12</v>
      </c>
      <c r="O1800" s="228">
        <f>ROUND(Tableau14[[#This Row],[Prix_Unit_HT]],2)*Tableau14[[#This Row],[Qte_commande]]</f>
        <v>241.92000000000002</v>
      </c>
      <c r="P1800" s="228">
        <f>ROUND(Tableau14[[#This Row],[Prix_Unit_TTC]],2)*Tableau14[[#This Row],[Qte_commande]]</f>
        <v>290.28000000000003</v>
      </c>
      <c r="Q1800" s="224">
        <v>12</v>
      </c>
      <c r="R1800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12.000000000000002</v>
      </c>
      <c r="U1800" s="224"/>
      <c r="V1800" s="224"/>
    </row>
    <row r="1801" spans="1:22" ht="14.65" customHeight="1" x14ac:dyDescent="0.2">
      <c r="A1801" s="225">
        <v>43783</v>
      </c>
      <c r="B1801" s="224" t="s">
        <v>347</v>
      </c>
      <c r="C1801" s="224" t="s">
        <v>348</v>
      </c>
      <c r="D1801" s="224" t="s">
        <v>155</v>
      </c>
      <c r="E1801" s="226"/>
      <c r="G1801" s="224" t="s">
        <v>1</v>
      </c>
      <c r="H1801" s="224" t="s">
        <v>289</v>
      </c>
      <c r="I1801" s="224" t="s">
        <v>20</v>
      </c>
      <c r="J1801" s="224">
        <v>70</v>
      </c>
      <c r="K1801" s="227">
        <f t="array" ref="K1801">IFERROR(INDEX([1]Grille_Tarifs_Modulable!$B$2:$B$204,MATCH(Tableau14[[#This Row],[Designation]]&amp;Tableau14[[#This Row],[CL]],[1]Grille_Tarifs_Modulable!$C$2:$C$204&amp;[1]Grille_Tarifs_Modulable!$F$2:$F$204,0)),0)</f>
        <v>8017450002104</v>
      </c>
      <c r="L1801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14.266482999999999</v>
      </c>
      <c r="M1801" s="228">
        <f>IF(Tableau14[[#This Row],[Prix_Unit_HT]]=0,0,Tableau14[[#This Row],[Prix_Unit_HT]]+(Tableau14[[#This Row],[Prix_Unit_HT]]*VLOOKUP(Tableau14[[#This Row],[EAN]],[1]Grille_Tarifs_Modulable!$B$10:$Q$204,16,FALSE)))</f>
        <v>17.119779600000001</v>
      </c>
      <c r="N1801" s="224">
        <v>12</v>
      </c>
      <c r="O1801" s="228">
        <f>ROUND(Tableau14[[#This Row],[Prix_Unit_HT]],2)*Tableau14[[#This Row],[Qte_commande]]</f>
        <v>171.24</v>
      </c>
      <c r="P1801" s="228">
        <f>ROUND(Tableau14[[#This Row],[Prix_Unit_TTC]],2)*Tableau14[[#This Row],[Qte_commande]]</f>
        <v>205.44</v>
      </c>
      <c r="Q1801" s="224">
        <v>12</v>
      </c>
      <c r="R1801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12.000000000000002</v>
      </c>
      <c r="U1801" s="224"/>
      <c r="V1801" s="224"/>
    </row>
    <row r="1802" spans="1:22" ht="14.65" customHeight="1" x14ac:dyDescent="0.2">
      <c r="A1802" s="225">
        <v>43783</v>
      </c>
      <c r="B1802" s="224" t="s">
        <v>430</v>
      </c>
      <c r="C1802" s="224" t="s">
        <v>431</v>
      </c>
      <c r="D1802" s="224" t="s">
        <v>432</v>
      </c>
      <c r="E1802" s="226"/>
      <c r="G1802" s="224" t="s">
        <v>1</v>
      </c>
      <c r="H1802" s="224" t="s">
        <v>289</v>
      </c>
      <c r="I1802" s="224" t="s">
        <v>48</v>
      </c>
      <c r="J1802" s="224">
        <v>70</v>
      </c>
      <c r="K1802" s="227">
        <f t="array" ref="K1802">IFERROR(INDEX([1]Grille_Tarifs_Modulable!$B$2:$B$204,MATCH(Tableau14[[#This Row],[Designation]]&amp;Tableau14[[#This Row],[CL]],[1]Grille_Tarifs_Modulable!$C$2:$C$204&amp;[1]Grille_Tarifs_Modulable!$F$2:$F$204,0)),0)</f>
        <v>3257150673029</v>
      </c>
      <c r="L1802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17.769508399999999</v>
      </c>
      <c r="M1802" s="228">
        <f>IF(Tableau14[[#This Row],[Prix_Unit_HT]]=0,0,Tableau14[[#This Row],[Prix_Unit_HT]]+(Tableau14[[#This Row],[Prix_Unit_HT]]*VLOOKUP(Tableau14[[#This Row],[EAN]],[1]Grille_Tarifs_Modulable!$B$10:$Q$204,16,FALSE)))</f>
        <v>21.323410079999999</v>
      </c>
      <c r="N1802" s="224">
        <v>12</v>
      </c>
      <c r="O1802" s="228">
        <f>ROUND(Tableau14[[#This Row],[Prix_Unit_HT]],2)*Tableau14[[#This Row],[Qte_commande]]</f>
        <v>213.24</v>
      </c>
      <c r="P1802" s="228">
        <f>ROUND(Tableau14[[#This Row],[Prix_Unit_TTC]],2)*Tableau14[[#This Row],[Qte_commande]]</f>
        <v>255.84</v>
      </c>
      <c r="Q1802" s="224">
        <v>12</v>
      </c>
      <c r="R1802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12.000000000000002</v>
      </c>
      <c r="U1802" s="224"/>
      <c r="V1802" s="224"/>
    </row>
    <row r="1803" spans="1:22" ht="14.65" customHeight="1" x14ac:dyDescent="0.2">
      <c r="A1803" s="225">
        <v>43783</v>
      </c>
      <c r="B1803" s="224" t="s">
        <v>347</v>
      </c>
      <c r="C1803" s="224" t="s">
        <v>348</v>
      </c>
      <c r="D1803" s="224" t="s">
        <v>155</v>
      </c>
      <c r="E1803" s="226"/>
      <c r="G1803" s="224" t="s">
        <v>1</v>
      </c>
      <c r="H1803" s="224" t="s">
        <v>289</v>
      </c>
      <c r="I1803" s="224" t="s">
        <v>30</v>
      </c>
      <c r="J1803" s="224">
        <v>70</v>
      </c>
      <c r="K1803" s="227">
        <f t="array" ref="K1803">IFERROR(INDEX([1]Grille_Tarifs_Modulable!$B$2:$B$204,MATCH(Tableau14[[#This Row],[Designation]]&amp;Tableau14[[#This Row],[CL]],[1]Grille_Tarifs_Modulable!$C$2:$C$204&amp;[1]Grille_Tarifs_Modulable!$F$2:$F$204,0)),0)</f>
        <v>3257150101904</v>
      </c>
      <c r="L1803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16.346482999999999</v>
      </c>
      <c r="M1803" s="228">
        <f>IF(Tableau14[[#This Row],[Prix_Unit_HT]]=0,0,Tableau14[[#This Row],[Prix_Unit_HT]]+(Tableau14[[#This Row],[Prix_Unit_HT]]*VLOOKUP(Tableau14[[#This Row],[EAN]],[1]Grille_Tarifs_Modulable!$B$10:$Q$204,16,FALSE)))</f>
        <v>19.6157796</v>
      </c>
      <c r="N1803" s="224">
        <v>12</v>
      </c>
      <c r="O1803" s="228">
        <f>ROUND(Tableau14[[#This Row],[Prix_Unit_HT]],2)*Tableau14[[#This Row],[Qte_commande]]</f>
        <v>196.20000000000002</v>
      </c>
      <c r="P1803" s="228">
        <f>ROUND(Tableau14[[#This Row],[Prix_Unit_TTC]],2)*Tableau14[[#This Row],[Qte_commande]]</f>
        <v>235.44</v>
      </c>
      <c r="Q1803" s="224">
        <v>12</v>
      </c>
      <c r="R1803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12.000000000000002</v>
      </c>
      <c r="U1803" s="224"/>
      <c r="V1803" s="224"/>
    </row>
    <row r="1804" spans="1:22" ht="14.65" customHeight="1" x14ac:dyDescent="0.2">
      <c r="A1804" s="225">
        <v>43783</v>
      </c>
      <c r="B1804" s="224" t="s">
        <v>430</v>
      </c>
      <c r="C1804" s="224" t="s">
        <v>431</v>
      </c>
      <c r="D1804" s="224" t="s">
        <v>432</v>
      </c>
      <c r="E1804" s="226"/>
      <c r="G1804" s="224" t="s">
        <v>1</v>
      </c>
      <c r="H1804" s="224" t="s">
        <v>289</v>
      </c>
      <c r="I1804" s="224" t="s">
        <v>30</v>
      </c>
      <c r="J1804" s="224">
        <v>70</v>
      </c>
      <c r="K1804" s="227">
        <f t="array" ref="K1804">IFERROR(INDEX([1]Grille_Tarifs_Modulable!$B$2:$B$204,MATCH(Tableau14[[#This Row],[Designation]]&amp;Tableau14[[#This Row],[CL]],[1]Grille_Tarifs_Modulable!$C$2:$C$204&amp;[1]Grille_Tarifs_Modulable!$F$2:$F$204,0)),0)</f>
        <v>3257150101904</v>
      </c>
      <c r="L1804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16.346482999999999</v>
      </c>
      <c r="M1804" s="228">
        <f>IF(Tableau14[[#This Row],[Prix_Unit_HT]]=0,0,Tableau14[[#This Row],[Prix_Unit_HT]]+(Tableau14[[#This Row],[Prix_Unit_HT]]*VLOOKUP(Tableau14[[#This Row],[EAN]],[1]Grille_Tarifs_Modulable!$B$10:$Q$204,16,FALSE)))</f>
        <v>19.6157796</v>
      </c>
      <c r="N1804" s="224">
        <v>12</v>
      </c>
      <c r="O1804" s="228">
        <f>ROUND(Tableau14[[#This Row],[Prix_Unit_HT]],2)*Tableau14[[#This Row],[Qte_commande]]</f>
        <v>196.20000000000002</v>
      </c>
      <c r="P1804" s="228">
        <f>ROUND(Tableau14[[#This Row],[Prix_Unit_TTC]],2)*Tableau14[[#This Row],[Qte_commande]]</f>
        <v>235.44</v>
      </c>
      <c r="Q1804" s="224">
        <v>12</v>
      </c>
      <c r="R1804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12.000000000000002</v>
      </c>
      <c r="U1804" s="224"/>
      <c r="V1804" s="224"/>
    </row>
    <row r="1805" spans="1:22" ht="14.65" customHeight="1" x14ac:dyDescent="0.2">
      <c r="A1805" s="225">
        <v>43783</v>
      </c>
      <c r="B1805" s="224" t="s">
        <v>347</v>
      </c>
      <c r="C1805" s="224" t="s">
        <v>348</v>
      </c>
      <c r="D1805" s="224" t="s">
        <v>155</v>
      </c>
      <c r="E1805" s="226"/>
      <c r="G1805" s="224" t="s">
        <v>1</v>
      </c>
      <c r="H1805" s="224" t="s">
        <v>289</v>
      </c>
      <c r="I1805" s="224" t="s">
        <v>32</v>
      </c>
      <c r="J1805" s="224">
        <v>70</v>
      </c>
      <c r="K1805" s="227">
        <f t="array" ref="K1805">IFERROR(INDEX([1]Grille_Tarifs_Modulable!$B$2:$B$204,MATCH(Tableau14[[#This Row],[Designation]]&amp;Tableau14[[#This Row],[CL]],[1]Grille_Tarifs_Modulable!$C$2:$C$204&amp;[1]Grille_Tarifs_Modulable!$F$2:$F$204,0)),0)</f>
        <v>3257150100228</v>
      </c>
      <c r="L1805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19.998643999999999</v>
      </c>
      <c r="M1805" s="228">
        <f>IF(Tableau14[[#This Row],[Prix_Unit_HT]]=0,0,Tableau14[[#This Row],[Prix_Unit_HT]]+(Tableau14[[#This Row],[Prix_Unit_HT]]*VLOOKUP(Tableau14[[#This Row],[EAN]],[1]Grille_Tarifs_Modulable!$B$10:$Q$204,16,FALSE)))</f>
        <v>23.998372799999999</v>
      </c>
      <c r="N1805" s="224">
        <v>18</v>
      </c>
      <c r="O1805" s="228">
        <f>ROUND(Tableau14[[#This Row],[Prix_Unit_HT]],2)*Tableau14[[#This Row],[Qte_commande]]</f>
        <v>360</v>
      </c>
      <c r="P1805" s="228">
        <f>ROUND(Tableau14[[#This Row],[Prix_Unit_TTC]],2)*Tableau14[[#This Row],[Qte_commande]]</f>
        <v>432</v>
      </c>
      <c r="Q1805" s="224">
        <v>18</v>
      </c>
      <c r="R1805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18</v>
      </c>
      <c r="U1805" s="224"/>
      <c r="V1805" s="224"/>
    </row>
    <row r="1806" spans="1:22" ht="14.65" customHeight="1" x14ac:dyDescent="0.2">
      <c r="A1806" s="225">
        <v>43783</v>
      </c>
      <c r="B1806" s="224" t="s">
        <v>430</v>
      </c>
      <c r="C1806" s="224" t="s">
        <v>431</v>
      </c>
      <c r="D1806" s="224" t="s">
        <v>432</v>
      </c>
      <c r="E1806" s="226"/>
      <c r="G1806" s="224" t="s">
        <v>1</v>
      </c>
      <c r="H1806" s="224" t="s">
        <v>289</v>
      </c>
      <c r="I1806" s="224" t="s">
        <v>32</v>
      </c>
      <c r="J1806" s="224">
        <v>70</v>
      </c>
      <c r="K1806" s="227">
        <f t="array" ref="K1806">IFERROR(INDEX([1]Grille_Tarifs_Modulable!$B$2:$B$204,MATCH(Tableau14[[#This Row],[Designation]]&amp;Tableau14[[#This Row],[CL]],[1]Grille_Tarifs_Modulable!$C$2:$C$204&amp;[1]Grille_Tarifs_Modulable!$F$2:$F$204,0)),0)</f>
        <v>3257150100228</v>
      </c>
      <c r="L1806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19.998643999999999</v>
      </c>
      <c r="M1806" s="228">
        <f>IF(Tableau14[[#This Row],[Prix_Unit_HT]]=0,0,Tableau14[[#This Row],[Prix_Unit_HT]]+(Tableau14[[#This Row],[Prix_Unit_HT]]*VLOOKUP(Tableau14[[#This Row],[EAN]],[1]Grille_Tarifs_Modulable!$B$10:$Q$204,16,FALSE)))</f>
        <v>23.998372799999999</v>
      </c>
      <c r="N1806" s="224">
        <v>12</v>
      </c>
      <c r="O1806" s="228">
        <f>ROUND(Tableau14[[#This Row],[Prix_Unit_HT]],2)*Tableau14[[#This Row],[Qte_commande]]</f>
        <v>240</v>
      </c>
      <c r="P1806" s="228">
        <f>ROUND(Tableau14[[#This Row],[Prix_Unit_TTC]],2)*Tableau14[[#This Row],[Qte_commande]]</f>
        <v>288</v>
      </c>
      <c r="Q1806" s="224">
        <v>12</v>
      </c>
      <c r="R1806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12.000000000000002</v>
      </c>
      <c r="U1806" s="224"/>
      <c r="V1806" s="224"/>
    </row>
    <row r="1807" spans="1:22" ht="14.65" customHeight="1" x14ac:dyDescent="0.2">
      <c r="A1807" s="225">
        <v>43783</v>
      </c>
      <c r="B1807" s="224" t="s">
        <v>347</v>
      </c>
      <c r="C1807" s="224" t="s">
        <v>348</v>
      </c>
      <c r="D1807" s="224" t="s">
        <v>155</v>
      </c>
      <c r="E1807" s="226"/>
      <c r="G1807" s="224" t="s">
        <v>1</v>
      </c>
      <c r="H1807" s="224" t="s">
        <v>289</v>
      </c>
      <c r="I1807" s="224" t="s">
        <v>34</v>
      </c>
      <c r="J1807" s="224">
        <v>70</v>
      </c>
      <c r="K1807" s="227">
        <f t="array" ref="K1807">IFERROR(INDEX([1]Grille_Tarifs_Modulable!$B$2:$B$204,MATCH(Tableau14[[#This Row],[Designation]]&amp;Tableau14[[#This Row],[CL]],[1]Grille_Tarifs_Modulable!$C$2:$C$204&amp;[1]Grille_Tarifs_Modulable!$F$2:$F$204,0)),0)</f>
        <v>3257150100167</v>
      </c>
      <c r="L1807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27.618644000000003</v>
      </c>
      <c r="M1807" s="228">
        <f>IF(Tableau14[[#This Row],[Prix_Unit_HT]]=0,0,Tableau14[[#This Row],[Prix_Unit_HT]]+(Tableau14[[#This Row],[Prix_Unit_HT]]*VLOOKUP(Tableau14[[#This Row],[EAN]],[1]Grille_Tarifs_Modulable!$B$10:$Q$204,16,FALSE)))</f>
        <v>33.142372800000004</v>
      </c>
      <c r="N1807" s="224">
        <v>12</v>
      </c>
      <c r="O1807" s="228">
        <f>ROUND(Tableau14[[#This Row],[Prix_Unit_HT]],2)*Tableau14[[#This Row],[Qte_commande]]</f>
        <v>331.44</v>
      </c>
      <c r="P1807" s="228">
        <f>ROUND(Tableau14[[#This Row],[Prix_Unit_TTC]],2)*Tableau14[[#This Row],[Qte_commande]]</f>
        <v>397.68</v>
      </c>
      <c r="Q1807" s="224">
        <v>12</v>
      </c>
      <c r="R1807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12.000000000000002</v>
      </c>
      <c r="U1807" s="224"/>
      <c r="V1807" s="224"/>
    </row>
    <row r="1808" spans="1:22" ht="14.65" customHeight="1" x14ac:dyDescent="0.2">
      <c r="A1808" s="225">
        <v>43783</v>
      </c>
      <c r="B1808" s="224" t="s">
        <v>430</v>
      </c>
      <c r="C1808" s="224" t="s">
        <v>431</v>
      </c>
      <c r="D1808" s="224" t="s">
        <v>432</v>
      </c>
      <c r="E1808" s="226"/>
      <c r="G1808" s="224" t="s">
        <v>1</v>
      </c>
      <c r="H1808" s="224" t="s">
        <v>289</v>
      </c>
      <c r="I1808" s="224" t="s">
        <v>36</v>
      </c>
      <c r="J1808" s="224">
        <v>70</v>
      </c>
      <c r="K1808" s="227">
        <f t="array" ref="K1808">IFERROR(INDEX([1]Grille_Tarifs_Modulable!$B$2:$B$204,MATCH(Tableau14[[#This Row],[Designation]]&amp;Tableau14[[#This Row],[CL]],[1]Grille_Tarifs_Modulable!$C$2:$C$204&amp;[1]Grille_Tarifs_Modulable!$F$2:$F$204,0)),0)</f>
        <v>3257150100792</v>
      </c>
      <c r="L1808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71.40864400000001</v>
      </c>
      <c r="M1808" s="228">
        <f>IF(Tableau14[[#This Row],[Prix_Unit_HT]]=0,0,Tableau14[[#This Row],[Prix_Unit_HT]]+(Tableau14[[#This Row],[Prix_Unit_HT]]*VLOOKUP(Tableau14[[#This Row],[EAN]],[1]Grille_Tarifs_Modulable!$B$10:$Q$204,16,FALSE)))</f>
        <v>85.690372800000006</v>
      </c>
      <c r="N1808" s="224">
        <v>6</v>
      </c>
      <c r="O1808" s="228">
        <f>ROUND(Tableau14[[#This Row],[Prix_Unit_HT]],2)*Tableau14[[#This Row],[Qte_commande]]</f>
        <v>428.46</v>
      </c>
      <c r="P1808" s="228">
        <f>ROUND(Tableau14[[#This Row],[Prix_Unit_TTC]],2)*Tableau14[[#This Row],[Qte_commande]]</f>
        <v>514.14</v>
      </c>
      <c r="Q1808" s="224">
        <v>6</v>
      </c>
      <c r="R1808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6.0000000000000009</v>
      </c>
      <c r="U1808" s="224"/>
      <c r="V1808" s="224"/>
    </row>
    <row r="1809" spans="1:22" ht="14.65" customHeight="1" x14ac:dyDescent="0.2">
      <c r="A1809" s="225">
        <v>43783</v>
      </c>
      <c r="B1809" s="224" t="s">
        <v>347</v>
      </c>
      <c r="C1809" s="224" t="s">
        <v>348</v>
      </c>
      <c r="D1809" s="224" t="s">
        <v>155</v>
      </c>
      <c r="E1809" s="226"/>
      <c r="G1809" s="224" t="s">
        <v>1</v>
      </c>
      <c r="H1809" s="224" t="s">
        <v>289</v>
      </c>
      <c r="I1809" s="224" t="s">
        <v>38</v>
      </c>
      <c r="J1809" s="224">
        <v>70</v>
      </c>
      <c r="K1809" s="227">
        <f t="array" ref="K1809">IFERROR(INDEX([1]Grille_Tarifs_Modulable!$B$2:$B$204,MATCH(Tableau14[[#This Row],[Designation]]&amp;Tableau14[[#This Row],[CL]],[1]Grille_Tarifs_Modulable!$C$2:$C$204&amp;[1]Grille_Tarifs_Modulable!$F$2:$F$204,0)),0)</f>
        <v>3257150101300</v>
      </c>
      <c r="L1809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82.208643999999993</v>
      </c>
      <c r="M1809" s="228">
        <f>IF(Tableau14[[#This Row],[Prix_Unit_HT]]=0,0,Tableau14[[#This Row],[Prix_Unit_HT]]+(Tableau14[[#This Row],[Prix_Unit_HT]]*VLOOKUP(Tableau14[[#This Row],[EAN]],[1]Grille_Tarifs_Modulable!$B$10:$Q$204,16,FALSE)))</f>
        <v>98.650372799999985</v>
      </c>
      <c r="N1809" s="224">
        <v>6</v>
      </c>
      <c r="O1809" s="228">
        <f>ROUND(Tableau14[[#This Row],[Prix_Unit_HT]],2)*Tableau14[[#This Row],[Qte_commande]]</f>
        <v>493.26</v>
      </c>
      <c r="P1809" s="228">
        <f>ROUND(Tableau14[[#This Row],[Prix_Unit_TTC]],2)*Tableau14[[#This Row],[Qte_commande]]</f>
        <v>591.90000000000009</v>
      </c>
      <c r="Q1809" s="224">
        <v>6</v>
      </c>
      <c r="R1809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6.0000000000000009</v>
      </c>
      <c r="U1809" s="224"/>
      <c r="V1809" s="224"/>
    </row>
    <row r="1810" spans="1:22" ht="14.65" customHeight="1" x14ac:dyDescent="0.2">
      <c r="A1810" s="225">
        <v>43783</v>
      </c>
      <c r="B1810" s="224" t="s">
        <v>347</v>
      </c>
      <c r="C1810" s="224" t="s">
        <v>348</v>
      </c>
      <c r="D1810" s="224" t="s">
        <v>155</v>
      </c>
      <c r="E1810" s="226"/>
      <c r="G1810" s="224" t="s">
        <v>1</v>
      </c>
      <c r="H1810" s="224" t="s">
        <v>289</v>
      </c>
      <c r="I1810" s="224" t="s">
        <v>31</v>
      </c>
      <c r="J1810" s="224">
        <v>70</v>
      </c>
      <c r="K1810" s="227">
        <f t="array" ref="K1810">IFERROR(INDEX([1]Grille_Tarifs_Modulable!$B$2:$B$204,MATCH(Tableau14[[#This Row],[Designation]]&amp;Tableau14[[#This Row],[CL]],[1]Grille_Tarifs_Modulable!$C$2:$C$204&amp;[1]Grille_Tarifs_Modulable!$F$2:$F$204,0)),0)</f>
        <v>3257150102017</v>
      </c>
      <c r="L1810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14.694322</v>
      </c>
      <c r="M1810" s="228">
        <f>IF(Tableau14[[#This Row],[Prix_Unit_HT]]=0,0,Tableau14[[#This Row],[Prix_Unit_HT]]+(Tableau14[[#This Row],[Prix_Unit_HT]]*VLOOKUP(Tableau14[[#This Row],[EAN]],[1]Grille_Tarifs_Modulable!$B$10:$Q$204,16,FALSE)))</f>
        <v>17.6331864</v>
      </c>
      <c r="N1810" s="224">
        <v>12</v>
      </c>
      <c r="O1810" s="228">
        <f>ROUND(Tableau14[[#This Row],[Prix_Unit_HT]],2)*Tableau14[[#This Row],[Qte_commande]]</f>
        <v>176.28</v>
      </c>
      <c r="P1810" s="228">
        <f>ROUND(Tableau14[[#This Row],[Prix_Unit_TTC]],2)*Tableau14[[#This Row],[Qte_commande]]</f>
        <v>211.56</v>
      </c>
      <c r="Q1810" s="224">
        <v>12</v>
      </c>
      <c r="R1810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12.000000000000002</v>
      </c>
      <c r="U1810" s="224"/>
      <c r="V1810" s="224"/>
    </row>
    <row r="1811" spans="1:22" ht="14.65" customHeight="1" x14ac:dyDescent="0.2">
      <c r="A1811" s="225">
        <v>43783</v>
      </c>
      <c r="B1811" s="224" t="s">
        <v>430</v>
      </c>
      <c r="C1811" s="224" t="s">
        <v>431</v>
      </c>
      <c r="D1811" s="224" t="s">
        <v>432</v>
      </c>
      <c r="E1811" s="226"/>
      <c r="G1811" s="224" t="s">
        <v>1</v>
      </c>
      <c r="H1811" s="224" t="s">
        <v>289</v>
      </c>
      <c r="I1811" s="224" t="s">
        <v>31</v>
      </c>
      <c r="J1811" s="224">
        <v>70</v>
      </c>
      <c r="K1811" s="227">
        <f t="array" ref="K1811">IFERROR(INDEX([1]Grille_Tarifs_Modulable!$B$2:$B$204,MATCH(Tableau14[[#This Row],[Designation]]&amp;Tableau14[[#This Row],[CL]],[1]Grille_Tarifs_Modulable!$C$2:$C$204&amp;[1]Grille_Tarifs_Modulable!$F$2:$F$204,0)),0)</f>
        <v>3257150102017</v>
      </c>
      <c r="L1811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14.694322</v>
      </c>
      <c r="M1811" s="228">
        <f>IF(Tableau14[[#This Row],[Prix_Unit_HT]]=0,0,Tableau14[[#This Row],[Prix_Unit_HT]]+(Tableau14[[#This Row],[Prix_Unit_HT]]*VLOOKUP(Tableau14[[#This Row],[EAN]],[1]Grille_Tarifs_Modulable!$B$10:$Q$204,16,FALSE)))</f>
        <v>17.6331864</v>
      </c>
      <c r="N1811" s="224">
        <v>12</v>
      </c>
      <c r="O1811" s="228">
        <f>ROUND(Tableau14[[#This Row],[Prix_Unit_HT]],2)*Tableau14[[#This Row],[Qte_commande]]</f>
        <v>176.28</v>
      </c>
      <c r="P1811" s="228">
        <f>ROUND(Tableau14[[#This Row],[Prix_Unit_TTC]],2)*Tableau14[[#This Row],[Qte_commande]]</f>
        <v>211.56</v>
      </c>
      <c r="Q1811" s="224">
        <v>12</v>
      </c>
      <c r="R1811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12.000000000000002</v>
      </c>
      <c r="U1811" s="224"/>
      <c r="V1811" s="224"/>
    </row>
    <row r="1812" spans="1:22" ht="14.65" customHeight="1" x14ac:dyDescent="0.2">
      <c r="A1812" s="225">
        <v>43783</v>
      </c>
      <c r="B1812" s="224" t="s">
        <v>347</v>
      </c>
      <c r="C1812" s="224" t="s">
        <v>348</v>
      </c>
      <c r="D1812" s="224" t="s">
        <v>155</v>
      </c>
      <c r="E1812" s="226"/>
      <c r="G1812" s="224" t="s">
        <v>1</v>
      </c>
      <c r="H1812" s="224" t="s">
        <v>289</v>
      </c>
      <c r="I1812" s="224" t="s">
        <v>44</v>
      </c>
      <c r="J1812" s="224">
        <v>50</v>
      </c>
      <c r="K1812" s="227">
        <f t="array" ref="K1812">IFERROR(INDEX([1]Grille_Tarifs_Modulable!$B$2:$B$204,MATCH(Tableau14[[#This Row],[Designation]]&amp;Tableau14[[#This Row],[CL]],[1]Grille_Tarifs_Modulable!$C$2:$C$204&amp;[1]Grille_Tarifs_Modulable!$F$2:$F$204,0)),0)</f>
        <v>4260270192645</v>
      </c>
      <c r="L1812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25.192506000000002</v>
      </c>
      <c r="M1812" s="228">
        <f>IF(Tableau14[[#This Row],[Prix_Unit_HT]]=0,0,Tableau14[[#This Row],[Prix_Unit_HT]]+(Tableau14[[#This Row],[Prix_Unit_HT]]*VLOOKUP(Tableau14[[#This Row],[EAN]],[1]Grille_Tarifs_Modulable!$B$10:$Q$204,16,FALSE)))</f>
        <v>30.231007200000001</v>
      </c>
      <c r="N1812" s="224">
        <v>12</v>
      </c>
      <c r="O1812" s="228">
        <f>ROUND(Tableau14[[#This Row],[Prix_Unit_HT]],2)*Tableau14[[#This Row],[Qte_commande]]</f>
        <v>302.28000000000003</v>
      </c>
      <c r="P1812" s="228">
        <f>ROUND(Tableau14[[#This Row],[Prix_Unit_TTC]],2)*Tableau14[[#This Row],[Qte_commande]]</f>
        <v>362.76</v>
      </c>
      <c r="Q1812" s="224">
        <v>8.57</v>
      </c>
      <c r="R1812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8.5714285714285712</v>
      </c>
      <c r="U1812" s="224"/>
      <c r="V1812" s="224"/>
    </row>
    <row r="1813" spans="1:22" ht="14.65" customHeight="1" x14ac:dyDescent="0.2">
      <c r="A1813" s="225">
        <v>43783</v>
      </c>
      <c r="B1813" s="224" t="s">
        <v>430</v>
      </c>
      <c r="C1813" s="224" t="s">
        <v>431</v>
      </c>
      <c r="D1813" s="224" t="s">
        <v>432</v>
      </c>
      <c r="E1813" s="226"/>
      <c r="G1813" s="224" t="s">
        <v>1</v>
      </c>
      <c r="H1813" s="224" t="s">
        <v>289</v>
      </c>
      <c r="I1813" s="224" t="s">
        <v>44</v>
      </c>
      <c r="J1813" s="224">
        <v>50</v>
      </c>
      <c r="K1813" s="227">
        <f t="array" ref="K1813">IFERROR(INDEX([1]Grille_Tarifs_Modulable!$B$2:$B$204,MATCH(Tableau14[[#This Row],[Designation]]&amp;Tableau14[[#This Row],[CL]],[1]Grille_Tarifs_Modulable!$C$2:$C$204&amp;[1]Grille_Tarifs_Modulable!$F$2:$F$204,0)),0)</f>
        <v>4260270192645</v>
      </c>
      <c r="L1813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25.192506000000002</v>
      </c>
      <c r="M1813" s="228">
        <f>IF(Tableau14[[#This Row],[Prix_Unit_HT]]=0,0,Tableau14[[#This Row],[Prix_Unit_HT]]+(Tableau14[[#This Row],[Prix_Unit_HT]]*VLOOKUP(Tableau14[[#This Row],[EAN]],[1]Grille_Tarifs_Modulable!$B$10:$Q$204,16,FALSE)))</f>
        <v>30.231007200000001</v>
      </c>
      <c r="N1813" s="224">
        <v>6</v>
      </c>
      <c r="O1813" s="228">
        <f>ROUND(Tableau14[[#This Row],[Prix_Unit_HT]],2)*Tableau14[[#This Row],[Qte_commande]]</f>
        <v>151.14000000000001</v>
      </c>
      <c r="P1813" s="228">
        <f>ROUND(Tableau14[[#This Row],[Prix_Unit_TTC]],2)*Tableau14[[#This Row],[Qte_commande]]</f>
        <v>181.38</v>
      </c>
      <c r="Q1813" s="224">
        <v>4.29</v>
      </c>
      <c r="R1813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4.2857142857142856</v>
      </c>
      <c r="U1813" s="224"/>
      <c r="V1813" s="224"/>
    </row>
    <row r="1814" spans="1:22" ht="14.65" customHeight="1" x14ac:dyDescent="0.2">
      <c r="A1814" s="225">
        <v>43783</v>
      </c>
      <c r="B1814" s="224" t="s">
        <v>430</v>
      </c>
      <c r="C1814" s="224" t="s">
        <v>431</v>
      </c>
      <c r="D1814" s="224" t="s">
        <v>432</v>
      </c>
      <c r="E1814" s="226"/>
      <c r="G1814" s="224" t="s">
        <v>1</v>
      </c>
      <c r="H1814" s="224" t="s">
        <v>289</v>
      </c>
      <c r="I1814" s="224" t="s">
        <v>44</v>
      </c>
      <c r="J1814" s="224">
        <v>50</v>
      </c>
      <c r="K1814" s="227">
        <f t="array" ref="K1814">IFERROR(INDEX([1]Grille_Tarifs_Modulable!$B$2:$B$204,MATCH(Tableau14[[#This Row],[Designation]]&amp;Tableau14[[#This Row],[CL]],[1]Grille_Tarifs_Modulable!$C$2:$C$204&amp;[1]Grille_Tarifs_Modulable!$F$2:$F$204,0)),0)</f>
        <v>4260270192645</v>
      </c>
      <c r="L1814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25.192506000000002</v>
      </c>
      <c r="M1814" s="228">
        <f>IF(Tableau14[[#This Row],[Prix_Unit_HT]]=0,0,Tableau14[[#This Row],[Prix_Unit_HT]]+(Tableau14[[#This Row],[Prix_Unit_HT]]*VLOOKUP(Tableau14[[#This Row],[EAN]],[1]Grille_Tarifs_Modulable!$B$10:$Q$204,16,FALSE)))</f>
        <v>30.231007200000001</v>
      </c>
      <c r="N1814" s="224">
        <v>6</v>
      </c>
      <c r="O1814" s="228">
        <f>ROUND(Tableau14[[#This Row],[Prix_Unit_HT]],2)*Tableau14[[#This Row],[Qte_commande]]</f>
        <v>151.14000000000001</v>
      </c>
      <c r="P1814" s="228">
        <f>ROUND(Tableau14[[#This Row],[Prix_Unit_TTC]],2)*Tableau14[[#This Row],[Qte_commande]]</f>
        <v>181.38</v>
      </c>
      <c r="Q1814" s="224">
        <v>4.29</v>
      </c>
      <c r="R1814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4.2857142857142856</v>
      </c>
      <c r="U1814" s="224"/>
      <c r="V1814" s="224"/>
    </row>
    <row r="1815" spans="1:22" ht="14.65" customHeight="1" x14ac:dyDescent="0.2">
      <c r="A1815" s="225">
        <v>43783</v>
      </c>
      <c r="B1815" s="224" t="s">
        <v>430</v>
      </c>
      <c r="C1815" s="224" t="s">
        <v>431</v>
      </c>
      <c r="D1815" s="224" t="s">
        <v>432</v>
      </c>
      <c r="E1815" s="226"/>
      <c r="G1815" s="224" t="s">
        <v>1</v>
      </c>
      <c r="H1815" s="224" t="s">
        <v>196</v>
      </c>
      <c r="I1815" s="224" t="s">
        <v>64</v>
      </c>
      <c r="J1815" s="224">
        <v>20</v>
      </c>
      <c r="K1815" s="227">
        <f t="array" ref="K1815">IFERROR(INDEX([1]Grille_Tarifs_Modulable!$B$2:$B$204,MATCH(Tableau14[[#This Row],[Designation]]&amp;Tableau14[[#This Row],[CL]],[1]Grille_Tarifs_Modulable!$C$2:$C$204&amp;[1]Grille_Tarifs_Modulable!$F$2:$F$204,0)),0)</f>
        <v>4260310553849</v>
      </c>
      <c r="L1815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0.81</v>
      </c>
      <c r="M1815" s="228">
        <f>IF(Tableau14[[#This Row],[Prix_Unit_HT]]=0,0,Tableau14[[#This Row],[Prix_Unit_HT]]+(Tableau14[[#This Row],[Prix_Unit_HT]]*VLOOKUP(Tableau14[[#This Row],[EAN]],[1]Grille_Tarifs_Modulable!$B$10:$Q$204,16,FALSE)))</f>
        <v>0.85455000000000003</v>
      </c>
      <c r="N1815" s="224">
        <v>24</v>
      </c>
      <c r="O1815" s="228">
        <f>ROUND(Tableau14[[#This Row],[Prix_Unit_HT]],2)*Tableau14[[#This Row],[Qte_commande]]</f>
        <v>19.440000000000001</v>
      </c>
      <c r="P1815" s="228">
        <f>ROUND(Tableau14[[#This Row],[Prix_Unit_TTC]],2)*Tableau14[[#This Row],[Qte_commande]]</f>
        <v>20.399999999999999</v>
      </c>
      <c r="Q1815" s="224">
        <v>6.86</v>
      </c>
      <c r="R1815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6.8571428571428577</v>
      </c>
      <c r="U1815" s="224"/>
      <c r="V1815" s="224"/>
    </row>
    <row r="1816" spans="1:22" ht="14.65" customHeight="1" x14ac:dyDescent="0.2">
      <c r="A1816" s="225">
        <v>43783</v>
      </c>
      <c r="B1816" s="224" t="s">
        <v>1329</v>
      </c>
      <c r="C1816" s="224" t="s">
        <v>1330</v>
      </c>
      <c r="D1816" s="224" t="s">
        <v>233</v>
      </c>
      <c r="E1816" s="226"/>
      <c r="G1816" s="224" t="s">
        <v>13</v>
      </c>
      <c r="H1816" s="224" t="s">
        <v>451</v>
      </c>
      <c r="I1816" s="224" t="s">
        <v>71</v>
      </c>
      <c r="J1816" s="227">
        <v>1</v>
      </c>
      <c r="K1816" s="227">
        <f t="array" ref="K1816">IFERROR(INDEX([1]Grille_Tarifs_Modulable!$B$2:$B$204,MATCH(Tableau14[[#This Row],[Designation]]&amp;Tableau14[[#This Row],[CL]],[1]Grille_Tarifs_Modulable!$C$2:$C$204&amp;[1]Grille_Tarifs_Modulable!$F$2:$F$204,0)),0)</f>
        <v>122</v>
      </c>
      <c r="L1816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299</v>
      </c>
      <c r="M1816" s="228">
        <f>IF(Tableau14[[#This Row],[Prix_Unit_HT]]=0,0,Tableau14[[#This Row],[Prix_Unit_HT]]+(Tableau14[[#This Row],[Prix_Unit_HT]]*VLOOKUP(Tableau14[[#This Row],[EAN]],[1]Grille_Tarifs_Modulable!$B$10:$Q$204,16,FALSE)))</f>
        <v>358.8</v>
      </c>
      <c r="N1816" s="224">
        <v>1</v>
      </c>
      <c r="O1816" s="228">
        <f>ROUND(Tableau14[[#This Row],[Prix_Unit_HT]],2)*Tableau14[[#This Row],[Qte_commande]]</f>
        <v>299</v>
      </c>
      <c r="P1816" s="228">
        <f>ROUND(Tableau14[[#This Row],[Prix_Unit_TTC]],2)*Tableau14[[#This Row],[Qte_commande]]</f>
        <v>358.8</v>
      </c>
      <c r="Q1816" s="224">
        <v>1</v>
      </c>
      <c r="R1816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</v>
      </c>
      <c r="U1816" s="224"/>
      <c r="V1816" s="224"/>
    </row>
    <row r="1817" spans="1:22" ht="14.65" customHeight="1" x14ac:dyDescent="0.2">
      <c r="A1817" s="225">
        <v>43783</v>
      </c>
      <c r="B1817" s="224" t="s">
        <v>1331</v>
      </c>
      <c r="C1817" s="224" t="s">
        <v>1140</v>
      </c>
      <c r="D1817" s="224" t="s">
        <v>1138</v>
      </c>
      <c r="E1817" s="226"/>
      <c r="G1817" s="224" t="s">
        <v>13</v>
      </c>
      <c r="H1817" s="224" t="s">
        <v>451</v>
      </c>
      <c r="I1817" s="224" t="s">
        <v>71</v>
      </c>
      <c r="J1817" s="227">
        <v>1</v>
      </c>
      <c r="K1817" s="227">
        <f t="array" ref="K1817">IFERROR(INDEX([1]Grille_Tarifs_Modulable!$B$2:$B$204,MATCH(Tableau14[[#This Row],[Designation]]&amp;Tableau14[[#This Row],[CL]],[1]Grille_Tarifs_Modulable!$C$2:$C$204&amp;[1]Grille_Tarifs_Modulable!$F$2:$F$204,0)),0)</f>
        <v>122</v>
      </c>
      <c r="L1817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299</v>
      </c>
      <c r="M1817" s="228">
        <f>IF(Tableau14[[#This Row],[Prix_Unit_HT]]=0,0,Tableau14[[#This Row],[Prix_Unit_HT]]+(Tableau14[[#This Row],[Prix_Unit_HT]]*VLOOKUP(Tableau14[[#This Row],[EAN]],[1]Grille_Tarifs_Modulable!$B$10:$Q$204,16,FALSE)))</f>
        <v>358.8</v>
      </c>
      <c r="N1817" s="224">
        <v>1</v>
      </c>
      <c r="O1817" s="228">
        <f>ROUND(Tableau14[[#This Row],[Prix_Unit_HT]],2)*Tableau14[[#This Row],[Qte_commande]]</f>
        <v>299</v>
      </c>
      <c r="P1817" s="228">
        <f>ROUND(Tableau14[[#This Row],[Prix_Unit_TTC]],2)*Tableau14[[#This Row],[Qte_commande]]</f>
        <v>358.8</v>
      </c>
      <c r="Q1817" s="224">
        <v>1</v>
      </c>
      <c r="R1817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</v>
      </c>
      <c r="U1817" s="224"/>
      <c r="V1817" s="224"/>
    </row>
    <row r="1818" spans="1:22" ht="14.65" customHeight="1" x14ac:dyDescent="0.2">
      <c r="A1818" s="225">
        <v>43783</v>
      </c>
      <c r="B1818" s="224" t="s">
        <v>1332</v>
      </c>
      <c r="C1818" s="224" t="s">
        <v>232</v>
      </c>
      <c r="D1818" s="224" t="s">
        <v>233</v>
      </c>
      <c r="E1818" s="226"/>
      <c r="G1818" s="224" t="s">
        <v>13</v>
      </c>
      <c r="H1818" s="224" t="s">
        <v>451</v>
      </c>
      <c r="I1818" s="224" t="s">
        <v>71</v>
      </c>
      <c r="J1818" s="227">
        <v>1</v>
      </c>
      <c r="K1818" s="227">
        <f t="array" ref="K1818">IFERROR(INDEX([1]Grille_Tarifs_Modulable!$B$2:$B$204,MATCH(Tableau14[[#This Row],[Designation]]&amp;Tableau14[[#This Row],[CL]],[1]Grille_Tarifs_Modulable!$C$2:$C$204&amp;[1]Grille_Tarifs_Modulable!$F$2:$F$204,0)),0)</f>
        <v>122</v>
      </c>
      <c r="L1818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299</v>
      </c>
      <c r="M1818" s="228">
        <f>IF(Tableau14[[#This Row],[Prix_Unit_HT]]=0,0,Tableau14[[#This Row],[Prix_Unit_HT]]+(Tableau14[[#This Row],[Prix_Unit_HT]]*VLOOKUP(Tableau14[[#This Row],[EAN]],[1]Grille_Tarifs_Modulable!$B$10:$Q$204,16,FALSE)))</f>
        <v>358.8</v>
      </c>
      <c r="N1818" s="224">
        <v>1</v>
      </c>
      <c r="O1818" s="228">
        <f>ROUND(Tableau14[[#This Row],[Prix_Unit_HT]],2)*Tableau14[[#This Row],[Qte_commande]]</f>
        <v>299</v>
      </c>
      <c r="P1818" s="228">
        <f>ROUND(Tableau14[[#This Row],[Prix_Unit_TTC]],2)*Tableau14[[#This Row],[Qte_commande]]</f>
        <v>358.8</v>
      </c>
      <c r="Q1818" s="224">
        <v>1</v>
      </c>
      <c r="R1818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</v>
      </c>
      <c r="U1818" s="224"/>
      <c r="V1818" s="224"/>
    </row>
    <row r="1819" spans="1:22" ht="14.65" customHeight="1" x14ac:dyDescent="0.2">
      <c r="A1819" s="225">
        <v>43783</v>
      </c>
      <c r="B1819" s="224" t="s">
        <v>1333</v>
      </c>
      <c r="C1819" s="224" t="s">
        <v>301</v>
      </c>
      <c r="D1819" s="224" t="s">
        <v>302</v>
      </c>
      <c r="E1819" s="226"/>
      <c r="G1819" s="224" t="s">
        <v>13</v>
      </c>
      <c r="H1819" s="224" t="s">
        <v>451</v>
      </c>
      <c r="I1819" s="224" t="s">
        <v>71</v>
      </c>
      <c r="J1819" s="227">
        <v>1</v>
      </c>
      <c r="K1819" s="227">
        <f t="array" ref="K1819">IFERROR(INDEX([1]Grille_Tarifs_Modulable!$B$2:$B$204,MATCH(Tableau14[[#This Row],[Designation]]&amp;Tableau14[[#This Row],[CL]],[1]Grille_Tarifs_Modulable!$C$2:$C$204&amp;[1]Grille_Tarifs_Modulable!$F$2:$F$204,0)),0)</f>
        <v>122</v>
      </c>
      <c r="L1819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299</v>
      </c>
      <c r="M1819" s="228">
        <f>IF(Tableau14[[#This Row],[Prix_Unit_HT]]=0,0,Tableau14[[#This Row],[Prix_Unit_HT]]+(Tableau14[[#This Row],[Prix_Unit_HT]]*VLOOKUP(Tableau14[[#This Row],[EAN]],[1]Grille_Tarifs_Modulable!$B$10:$Q$204,16,FALSE)))</f>
        <v>358.8</v>
      </c>
      <c r="N1819" s="224">
        <v>1</v>
      </c>
      <c r="O1819" s="228">
        <f>ROUND(Tableau14[[#This Row],[Prix_Unit_HT]],2)*Tableau14[[#This Row],[Qte_commande]]</f>
        <v>299</v>
      </c>
      <c r="P1819" s="228">
        <f>ROUND(Tableau14[[#This Row],[Prix_Unit_TTC]],2)*Tableau14[[#This Row],[Qte_commande]]</f>
        <v>358.8</v>
      </c>
      <c r="Q1819" s="224">
        <v>1</v>
      </c>
      <c r="R1819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</v>
      </c>
      <c r="U1819" s="224"/>
      <c r="V1819" s="224"/>
    </row>
    <row r="1820" spans="1:22" ht="14.65" customHeight="1" x14ac:dyDescent="0.2">
      <c r="A1820" s="225">
        <v>43783</v>
      </c>
      <c r="B1820" s="224" t="s">
        <v>430</v>
      </c>
      <c r="C1820" s="224" t="s">
        <v>431</v>
      </c>
      <c r="D1820" s="224" t="s">
        <v>432</v>
      </c>
      <c r="E1820" s="226"/>
      <c r="G1820" s="224" t="s">
        <v>1</v>
      </c>
      <c r="H1820" s="224" t="s">
        <v>196</v>
      </c>
      <c r="I1820" s="224" t="s">
        <v>59</v>
      </c>
      <c r="J1820" s="224">
        <v>20</v>
      </c>
      <c r="K1820" s="227">
        <f t="array" ref="K1820">IFERROR(INDEX([1]Grille_Tarifs_Modulable!$B$2:$B$204,MATCH(Tableau14[[#This Row],[Designation]]&amp;Tableau14[[#This Row],[CL]],[1]Grille_Tarifs_Modulable!$C$2:$C$204&amp;[1]Grille_Tarifs_Modulable!$F$2:$F$204,0)),0)</f>
        <v>4260310553818</v>
      </c>
      <c r="L1820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0.81</v>
      </c>
      <c r="M1820" s="228">
        <f>IF(Tableau14[[#This Row],[Prix_Unit_HT]]=0,0,Tableau14[[#This Row],[Prix_Unit_HT]]+(Tableau14[[#This Row],[Prix_Unit_HT]]*VLOOKUP(Tableau14[[#This Row],[EAN]],[1]Grille_Tarifs_Modulable!$B$10:$Q$204,16,FALSE)))</f>
        <v>0.85455000000000003</v>
      </c>
      <c r="N1820" s="224">
        <v>24</v>
      </c>
      <c r="O1820" s="228">
        <f>ROUND(Tableau14[[#This Row],[Prix_Unit_HT]],2)*Tableau14[[#This Row],[Qte_commande]]</f>
        <v>19.440000000000001</v>
      </c>
      <c r="P1820" s="228">
        <f>ROUND(Tableau14[[#This Row],[Prix_Unit_TTC]],2)*Tableau14[[#This Row],[Qte_commande]]</f>
        <v>20.399999999999999</v>
      </c>
      <c r="Q1820" s="224">
        <v>6.86</v>
      </c>
      <c r="R1820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6.8571428571428577</v>
      </c>
      <c r="U1820" s="224"/>
      <c r="V1820" s="224"/>
    </row>
    <row r="1821" spans="1:22" ht="14.65" customHeight="1" x14ac:dyDescent="0.2">
      <c r="A1821" s="225">
        <v>43784</v>
      </c>
      <c r="B1821" s="224" t="s">
        <v>349</v>
      </c>
      <c r="C1821" s="224" t="s">
        <v>198</v>
      </c>
      <c r="D1821" s="224" t="s">
        <v>199</v>
      </c>
      <c r="E1821" s="226"/>
      <c r="G1821" s="224" t="s">
        <v>1</v>
      </c>
      <c r="H1821" s="224" t="s">
        <v>289</v>
      </c>
      <c r="I1821" s="224" t="s">
        <v>22</v>
      </c>
      <c r="J1821" s="224">
        <v>70</v>
      </c>
      <c r="K1821" s="227">
        <f t="array" ref="K1821">IFERROR(INDEX([1]Grille_Tarifs_Modulable!$B$2:$B$204,MATCH(Tableau14[[#This Row],[Designation]]&amp;Tableau14[[#This Row],[CL]],[1]Grille_Tarifs_Modulable!$C$2:$C$204&amp;[1]Grille_Tarifs_Modulable!$F$2:$F$204,0)),0)</f>
        <v>4055800060200</v>
      </c>
      <c r="L1821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17.408644000000002</v>
      </c>
      <c r="M1821" s="228">
        <f>IF(Tableau14[[#This Row],[Prix_Unit_HT]]=0,0,Tableau14[[#This Row],[Prix_Unit_HT]]+(Tableau14[[#This Row],[Prix_Unit_HT]]*VLOOKUP(Tableau14[[#This Row],[EAN]],[1]Grille_Tarifs_Modulable!$B$10:$Q$204,16,FALSE)))</f>
        <v>20.890372800000002</v>
      </c>
      <c r="N1821" s="224">
        <v>24</v>
      </c>
      <c r="O1821" s="228">
        <f>ROUND(Tableau14[[#This Row],[Prix_Unit_HT]],2)*Tableau14[[#This Row],[Qte_commande]]</f>
        <v>417.84000000000003</v>
      </c>
      <c r="P1821" s="228">
        <f>ROUND(Tableau14[[#This Row],[Prix_Unit_TTC]],2)*Tableau14[[#This Row],[Qte_commande]]</f>
        <v>501.36</v>
      </c>
      <c r="Q1821" s="224">
        <v>24</v>
      </c>
      <c r="R1821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24.000000000000004</v>
      </c>
      <c r="U1821" s="224"/>
      <c r="V1821" s="224"/>
    </row>
    <row r="1822" spans="1:22" ht="14.65" customHeight="1" x14ac:dyDescent="0.2">
      <c r="A1822" s="225">
        <v>43784</v>
      </c>
      <c r="B1822" s="224" t="s">
        <v>349</v>
      </c>
      <c r="C1822" s="224" t="s">
        <v>198</v>
      </c>
      <c r="D1822" s="224" t="s">
        <v>199</v>
      </c>
      <c r="E1822" s="226"/>
      <c r="G1822" s="224" t="s">
        <v>1</v>
      </c>
      <c r="H1822" s="224" t="s">
        <v>196</v>
      </c>
      <c r="I1822" s="224" t="s">
        <v>60</v>
      </c>
      <c r="J1822" s="224">
        <v>20</v>
      </c>
      <c r="K1822" s="227">
        <f t="array" ref="K1822">IFERROR(INDEX([1]Grille_Tarifs_Modulable!$B$2:$B$204,MATCH(Tableau14[[#This Row],[Designation]]&amp;Tableau14[[#This Row],[CL]],[1]Grille_Tarifs_Modulable!$C$2:$C$204&amp;[1]Grille_Tarifs_Modulable!$F$2:$F$204,0)),0)</f>
        <v>4260310553832</v>
      </c>
      <c r="L1822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0.81</v>
      </c>
      <c r="M1822" s="228">
        <f>IF(Tableau14[[#This Row],[Prix_Unit_HT]]=0,0,Tableau14[[#This Row],[Prix_Unit_HT]]+(Tableau14[[#This Row],[Prix_Unit_HT]]*VLOOKUP(Tableau14[[#This Row],[EAN]],[1]Grille_Tarifs_Modulable!$B$10:$Q$204,16,FALSE)))</f>
        <v>0.85455000000000003</v>
      </c>
      <c r="N1822" s="224">
        <v>96</v>
      </c>
      <c r="O1822" s="228">
        <f>ROUND(Tableau14[[#This Row],[Prix_Unit_HT]],2)*Tableau14[[#This Row],[Qte_commande]]</f>
        <v>77.760000000000005</v>
      </c>
      <c r="P1822" s="228">
        <f>ROUND(Tableau14[[#This Row],[Prix_Unit_TTC]],2)*Tableau14[[#This Row],[Qte_commande]]</f>
        <v>81.599999999999994</v>
      </c>
      <c r="Q1822" s="224">
        <v>27.43</v>
      </c>
      <c r="R1822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27.428571428571431</v>
      </c>
      <c r="U1822" s="224"/>
      <c r="V1822" s="224"/>
    </row>
    <row r="1823" spans="1:22" ht="14.65" customHeight="1" x14ac:dyDescent="0.2">
      <c r="A1823" s="225">
        <v>43784</v>
      </c>
      <c r="B1823" s="224" t="s">
        <v>778</v>
      </c>
      <c r="C1823" s="224" t="s">
        <v>301</v>
      </c>
      <c r="D1823" s="224" t="s">
        <v>302</v>
      </c>
      <c r="E1823" s="226"/>
      <c r="G1823" s="224" t="s">
        <v>1</v>
      </c>
      <c r="H1823" s="224" t="s">
        <v>289</v>
      </c>
      <c r="I1823" s="224" t="s">
        <v>15</v>
      </c>
      <c r="J1823" s="224">
        <v>100</v>
      </c>
      <c r="K1823" s="227">
        <f t="array" ref="K1823">IFERROR(INDEX([1]Grille_Tarifs_Modulable!$B$2:$B$204,MATCH(Tableau14[[#This Row],[Designation]]&amp;Tableau14[[#This Row],[CL]],[1]Grille_Tarifs_Modulable!$C$2:$C$204&amp;[1]Grille_Tarifs_Modulable!$F$2:$F$204,0)),0)</f>
        <v>4067700013842</v>
      </c>
      <c r="L1823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17.100804999999998</v>
      </c>
      <c r="M1823" s="228">
        <f>IF(Tableau14[[#This Row],[Prix_Unit_HT]]=0,0,Tableau14[[#This Row],[Prix_Unit_HT]]+(Tableau14[[#This Row],[Prix_Unit_HT]]*VLOOKUP(Tableau14[[#This Row],[EAN]],[1]Grille_Tarifs_Modulable!$B$10:$Q$204,16,FALSE)))</f>
        <v>20.520965999999998</v>
      </c>
      <c r="N1823" s="224">
        <v>120</v>
      </c>
      <c r="O1823" s="228">
        <f>ROUND(Tableau14[[#This Row],[Prix_Unit_HT]],2)*Tableau14[[#This Row],[Qte_commande]]</f>
        <v>2052</v>
      </c>
      <c r="P1823" s="228">
        <f>ROUND(Tableau14[[#This Row],[Prix_Unit_TTC]],2)*Tableau14[[#This Row],[Qte_commande]]</f>
        <v>2462.4</v>
      </c>
      <c r="Q1823" s="224">
        <v>171.43</v>
      </c>
      <c r="R1823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171.42857142857144</v>
      </c>
      <c r="U1823" s="224"/>
      <c r="V1823" s="224"/>
    </row>
    <row r="1824" spans="1:22" ht="14.65" customHeight="1" x14ac:dyDescent="0.2">
      <c r="A1824" s="225">
        <v>43784</v>
      </c>
      <c r="B1824" s="224" t="s">
        <v>779</v>
      </c>
      <c r="C1824" s="224" t="s">
        <v>308</v>
      </c>
      <c r="D1824" s="224" t="s">
        <v>309</v>
      </c>
      <c r="E1824" s="226"/>
      <c r="G1824" s="224" t="s">
        <v>1</v>
      </c>
      <c r="H1824" s="224" t="s">
        <v>289</v>
      </c>
      <c r="I1824" s="224" t="s">
        <v>15</v>
      </c>
      <c r="J1824" s="224">
        <v>100</v>
      </c>
      <c r="K1824" s="227">
        <f t="array" ref="K1824">IFERROR(INDEX([1]Grille_Tarifs_Modulable!$B$2:$B$204,MATCH(Tableau14[[#This Row],[Designation]]&amp;Tableau14[[#This Row],[CL]],[1]Grille_Tarifs_Modulable!$C$2:$C$204&amp;[1]Grille_Tarifs_Modulable!$F$2:$F$204,0)),0)</f>
        <v>4067700013842</v>
      </c>
      <c r="L1824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17.100804999999998</v>
      </c>
      <c r="M1824" s="228">
        <f>IF(Tableau14[[#This Row],[Prix_Unit_HT]]=0,0,Tableau14[[#This Row],[Prix_Unit_HT]]+(Tableau14[[#This Row],[Prix_Unit_HT]]*VLOOKUP(Tableau14[[#This Row],[EAN]],[1]Grille_Tarifs_Modulable!$B$10:$Q$204,16,FALSE)))</f>
        <v>20.520965999999998</v>
      </c>
      <c r="N1824" s="224">
        <v>306</v>
      </c>
      <c r="O1824" s="228">
        <f>ROUND(Tableau14[[#This Row],[Prix_Unit_HT]],2)*Tableau14[[#This Row],[Qte_commande]]</f>
        <v>5232.6000000000004</v>
      </c>
      <c r="P1824" s="228">
        <f>ROUND(Tableau14[[#This Row],[Prix_Unit_TTC]],2)*Tableau14[[#This Row],[Qte_commande]]</f>
        <v>6279.12</v>
      </c>
      <c r="Q1824" s="224">
        <v>437.14</v>
      </c>
      <c r="R1824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437.14285714285717</v>
      </c>
      <c r="U1824" s="224"/>
      <c r="V1824" s="224"/>
    </row>
    <row r="1825" spans="1:22" ht="14.65" customHeight="1" x14ac:dyDescent="0.2">
      <c r="A1825" s="225">
        <v>43784</v>
      </c>
      <c r="B1825" s="224" t="s">
        <v>780</v>
      </c>
      <c r="C1825" s="224" t="s">
        <v>781</v>
      </c>
      <c r="D1825" s="224" t="s">
        <v>209</v>
      </c>
      <c r="E1825" s="226"/>
      <c r="G1825" s="224" t="s">
        <v>13</v>
      </c>
      <c r="H1825" s="224" t="s">
        <v>289</v>
      </c>
      <c r="I1825" s="224" t="s">
        <v>15</v>
      </c>
      <c r="J1825" s="224">
        <v>175</v>
      </c>
      <c r="K1825" s="227">
        <f t="array" ref="K1825">IFERROR(INDEX([1]Grille_Tarifs_Modulable!$B$2:$B$204,MATCH(Tableau14[[#This Row],[Designation]]&amp;Tableau14[[#This Row],[CL]],[1]Grille_Tarifs_Modulable!$C$2:$C$204&amp;[1]Grille_Tarifs_Modulable!$F$2:$F$204,0)),0)</f>
        <v>4067700013835</v>
      </c>
      <c r="L1825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32.266408749999997</v>
      </c>
      <c r="M1825" s="228">
        <f>IF(Tableau14[[#This Row],[Prix_Unit_HT]]=0,0,Tableau14[[#This Row],[Prix_Unit_HT]]+(Tableau14[[#This Row],[Prix_Unit_HT]]*VLOOKUP(Tableau14[[#This Row],[EAN]],[1]Grille_Tarifs_Modulable!$B$10:$Q$204,16,FALSE)))</f>
        <v>38.719690499999999</v>
      </c>
      <c r="N1825" s="224">
        <v>60</v>
      </c>
      <c r="O1825" s="228">
        <f>ROUND(Tableau14[[#This Row],[Prix_Unit_HT]],2)*Tableau14[[#This Row],[Qte_commande]]</f>
        <v>1936.2000000000003</v>
      </c>
      <c r="P1825" s="228">
        <f>ROUND(Tableau14[[#This Row],[Prix_Unit_TTC]],2)*Tableau14[[#This Row],[Qte_commande]]</f>
        <v>2323.1999999999998</v>
      </c>
      <c r="Q1825" s="224">
        <v>150</v>
      </c>
      <c r="R1825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150</v>
      </c>
      <c r="U1825" s="224"/>
      <c r="V1825" s="224"/>
    </row>
    <row r="1826" spans="1:22" ht="14.65" customHeight="1" x14ac:dyDescent="0.2">
      <c r="A1826" s="225">
        <v>43784</v>
      </c>
      <c r="B1826" s="224" t="s">
        <v>778</v>
      </c>
      <c r="C1826" s="224" t="s">
        <v>301</v>
      </c>
      <c r="D1826" s="224" t="s">
        <v>302</v>
      </c>
      <c r="E1826" s="226"/>
      <c r="G1826" s="224" t="s">
        <v>1</v>
      </c>
      <c r="H1826" s="224" t="s">
        <v>289</v>
      </c>
      <c r="I1826" s="224" t="s">
        <v>796</v>
      </c>
      <c r="J1826" s="224">
        <v>70</v>
      </c>
      <c r="K1826" s="227">
        <f t="array" ref="K1826">IFERROR(INDEX([1]Grille_Tarifs_Modulable!$B$2:$B$204,MATCH(Tableau14[[#This Row],[Designation]]&amp;Tableau14[[#This Row],[CL]],[1]Grille_Tarifs_Modulable!$C$2:$C$204&amp;[1]Grille_Tarifs_Modulable!$F$2:$F$204,0)),0)</f>
        <v>4067700012085</v>
      </c>
      <c r="L1826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12.2021313</v>
      </c>
      <c r="M1826" s="228">
        <f>IF(Tableau14[[#This Row],[Prix_Unit_HT]]=0,0,Tableau14[[#This Row],[Prix_Unit_HT]]+(Tableau14[[#This Row],[Prix_Unit_HT]]*VLOOKUP(Tableau14[[#This Row],[EAN]],[1]Grille_Tarifs_Modulable!$B$10:$Q$204,16,FALSE)))</f>
        <v>14.64255756</v>
      </c>
      <c r="N1826" s="224">
        <v>6</v>
      </c>
      <c r="O1826" s="228">
        <f>ROUND(Tableau14[[#This Row],[Prix_Unit_HT]],2)*Tableau14[[#This Row],[Qte_commande]]</f>
        <v>73.199999999999989</v>
      </c>
      <c r="P1826" s="228">
        <f>ROUND(Tableau14[[#This Row],[Prix_Unit_TTC]],2)*Tableau14[[#This Row],[Qte_commande]]</f>
        <v>87.84</v>
      </c>
      <c r="Q1826" s="224">
        <v>6</v>
      </c>
      <c r="R1826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6.0000000000000009</v>
      </c>
      <c r="U1826" s="224"/>
      <c r="V1826" s="224"/>
    </row>
    <row r="1827" spans="1:22" ht="14.65" customHeight="1" x14ac:dyDescent="0.2">
      <c r="A1827" s="225">
        <v>43784</v>
      </c>
      <c r="B1827" s="224" t="s">
        <v>780</v>
      </c>
      <c r="C1827" s="224" t="s">
        <v>781</v>
      </c>
      <c r="D1827" s="224" t="s">
        <v>209</v>
      </c>
      <c r="E1827" s="226"/>
      <c r="G1827" s="224" t="s">
        <v>13</v>
      </c>
      <c r="H1827" s="224" t="s">
        <v>289</v>
      </c>
      <c r="I1827" s="224" t="s">
        <v>48</v>
      </c>
      <c r="J1827" s="224">
        <v>70</v>
      </c>
      <c r="K1827" s="227">
        <f t="array" ref="K1827">IFERROR(INDEX([1]Grille_Tarifs_Modulable!$B$2:$B$204,MATCH(Tableau14[[#This Row],[Designation]]&amp;Tableau14[[#This Row],[CL]],[1]Grille_Tarifs_Modulable!$C$2:$C$204&amp;[1]Grille_Tarifs_Modulable!$F$2:$F$204,0)),0)</f>
        <v>3257150673029</v>
      </c>
      <c r="L1827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23.269508399999999</v>
      </c>
      <c r="M1827" s="228">
        <f>IF(Tableau14[[#This Row],[Prix_Unit_HT]]=0,0,Tableau14[[#This Row],[Prix_Unit_HT]]+(Tableau14[[#This Row],[Prix_Unit_HT]]*VLOOKUP(Tableau14[[#This Row],[EAN]],[1]Grille_Tarifs_Modulable!$B$10:$Q$204,16,FALSE)))</f>
        <v>27.92341008</v>
      </c>
      <c r="N1827" s="224">
        <v>6</v>
      </c>
      <c r="O1827" s="228">
        <f>ROUND(Tableau14[[#This Row],[Prix_Unit_HT]],2)*Tableau14[[#This Row],[Qte_commande]]</f>
        <v>139.62</v>
      </c>
      <c r="P1827" s="228">
        <f>ROUND(Tableau14[[#This Row],[Prix_Unit_TTC]],2)*Tableau14[[#This Row],[Qte_commande]]</f>
        <v>167.52</v>
      </c>
      <c r="Q1827" s="224">
        <v>6</v>
      </c>
      <c r="R1827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6.0000000000000009</v>
      </c>
      <c r="U1827" s="224"/>
      <c r="V1827" s="224"/>
    </row>
    <row r="1828" spans="1:22" ht="14.65" customHeight="1" x14ac:dyDescent="0.2">
      <c r="A1828" s="225">
        <v>43784</v>
      </c>
      <c r="B1828" s="224" t="s">
        <v>780</v>
      </c>
      <c r="C1828" s="224" t="s">
        <v>781</v>
      </c>
      <c r="D1828" s="224" t="s">
        <v>209</v>
      </c>
      <c r="E1828" s="226"/>
      <c r="G1828" s="224" t="s">
        <v>13</v>
      </c>
      <c r="H1828" s="224" t="s">
        <v>289</v>
      </c>
      <c r="I1828" s="224" t="s">
        <v>48</v>
      </c>
      <c r="J1828" s="224">
        <v>70</v>
      </c>
      <c r="K1828" s="227">
        <f t="array" ref="K1828">IFERROR(INDEX([1]Grille_Tarifs_Modulable!$B$2:$B$204,MATCH(Tableau14[[#This Row],[Designation]]&amp;Tableau14[[#This Row],[CL]],[1]Grille_Tarifs_Modulable!$C$2:$C$204&amp;[1]Grille_Tarifs_Modulable!$F$2:$F$204,0)),0)</f>
        <v>3257150673029</v>
      </c>
      <c r="L1828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23.269508399999999</v>
      </c>
      <c r="M1828" s="228">
        <f>IF(Tableau14[[#This Row],[Prix_Unit_HT]]=0,0,Tableau14[[#This Row],[Prix_Unit_HT]]+(Tableau14[[#This Row],[Prix_Unit_HT]]*VLOOKUP(Tableau14[[#This Row],[EAN]],[1]Grille_Tarifs_Modulable!$B$10:$Q$204,16,FALSE)))</f>
        <v>27.92341008</v>
      </c>
      <c r="N1828" s="224">
        <v>3</v>
      </c>
      <c r="O1828" s="228">
        <f>ROUND(Tableau14[[#This Row],[Prix_Unit_HT]],2)*Tableau14[[#This Row],[Qte_commande]]</f>
        <v>69.81</v>
      </c>
      <c r="P1828" s="228">
        <f>ROUND(Tableau14[[#This Row],[Prix_Unit_TTC]],2)*Tableau14[[#This Row],[Qte_commande]]</f>
        <v>83.76</v>
      </c>
      <c r="Q1828" s="224">
        <v>3</v>
      </c>
      <c r="R1828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3.0000000000000004</v>
      </c>
      <c r="U1828" s="224"/>
      <c r="V1828" s="224"/>
    </row>
    <row r="1829" spans="1:22" ht="14.65" customHeight="1" x14ac:dyDescent="0.2">
      <c r="A1829" s="225">
        <v>43784</v>
      </c>
      <c r="B1829" s="224" t="s">
        <v>349</v>
      </c>
      <c r="C1829" s="224" t="s">
        <v>198</v>
      </c>
      <c r="D1829" s="224" t="s">
        <v>199</v>
      </c>
      <c r="E1829" s="226"/>
      <c r="G1829" s="224" t="s">
        <v>1</v>
      </c>
      <c r="H1829" s="224" t="s">
        <v>289</v>
      </c>
      <c r="I1829" s="224" t="s">
        <v>30</v>
      </c>
      <c r="J1829" s="224">
        <v>70</v>
      </c>
      <c r="K1829" s="227">
        <f t="array" ref="K1829">IFERROR(INDEX([1]Grille_Tarifs_Modulable!$B$2:$B$204,MATCH(Tableau14[[#This Row],[Designation]]&amp;Tableau14[[#This Row],[CL]],[1]Grille_Tarifs_Modulable!$C$2:$C$204&amp;[1]Grille_Tarifs_Modulable!$F$2:$F$204,0)),0)</f>
        <v>3257150101904</v>
      </c>
      <c r="L1829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16.346482999999999</v>
      </c>
      <c r="M1829" s="228">
        <f>IF(Tableau14[[#This Row],[Prix_Unit_HT]]=0,0,Tableau14[[#This Row],[Prix_Unit_HT]]+(Tableau14[[#This Row],[Prix_Unit_HT]]*VLOOKUP(Tableau14[[#This Row],[EAN]],[1]Grille_Tarifs_Modulable!$B$10:$Q$204,16,FALSE)))</f>
        <v>19.6157796</v>
      </c>
      <c r="N1829" s="224">
        <v>6</v>
      </c>
      <c r="O1829" s="228">
        <f>ROUND(Tableau14[[#This Row],[Prix_Unit_HT]],2)*Tableau14[[#This Row],[Qte_commande]]</f>
        <v>98.100000000000009</v>
      </c>
      <c r="P1829" s="228">
        <f>ROUND(Tableau14[[#This Row],[Prix_Unit_TTC]],2)*Tableau14[[#This Row],[Qte_commande]]</f>
        <v>117.72</v>
      </c>
      <c r="Q1829" s="224">
        <v>6</v>
      </c>
      <c r="R1829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6.0000000000000009</v>
      </c>
      <c r="U1829" s="224"/>
      <c r="V1829" s="224"/>
    </row>
    <row r="1830" spans="1:22" ht="14.65" customHeight="1" x14ac:dyDescent="0.2">
      <c r="A1830" s="225">
        <v>43784</v>
      </c>
      <c r="B1830" s="224" t="s">
        <v>778</v>
      </c>
      <c r="C1830" s="224" t="s">
        <v>301</v>
      </c>
      <c r="D1830" s="224" t="s">
        <v>302</v>
      </c>
      <c r="E1830" s="226"/>
      <c r="G1830" s="224" t="s">
        <v>1</v>
      </c>
      <c r="H1830" s="224" t="s">
        <v>289</v>
      </c>
      <c r="I1830" s="224" t="s">
        <v>32</v>
      </c>
      <c r="J1830" s="224">
        <v>70</v>
      </c>
      <c r="K1830" s="227">
        <f t="array" ref="K1830">IFERROR(INDEX([1]Grille_Tarifs_Modulable!$B$2:$B$204,MATCH(Tableau14[[#This Row],[Designation]]&amp;Tableau14[[#This Row],[CL]],[1]Grille_Tarifs_Modulable!$C$2:$C$204&amp;[1]Grille_Tarifs_Modulable!$F$2:$F$204,0)),0)</f>
        <v>3257150100228</v>
      </c>
      <c r="L1830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19.998643999999999</v>
      </c>
      <c r="M1830" s="228">
        <f>IF(Tableau14[[#This Row],[Prix_Unit_HT]]=0,0,Tableau14[[#This Row],[Prix_Unit_HT]]+(Tableau14[[#This Row],[Prix_Unit_HT]]*VLOOKUP(Tableau14[[#This Row],[EAN]],[1]Grille_Tarifs_Modulable!$B$10:$Q$204,16,FALSE)))</f>
        <v>23.998372799999999</v>
      </c>
      <c r="N1830" s="224">
        <v>18</v>
      </c>
      <c r="O1830" s="228">
        <f>ROUND(Tableau14[[#This Row],[Prix_Unit_HT]],2)*Tableau14[[#This Row],[Qte_commande]]</f>
        <v>360</v>
      </c>
      <c r="P1830" s="228">
        <f>ROUND(Tableau14[[#This Row],[Prix_Unit_TTC]],2)*Tableau14[[#This Row],[Qte_commande]]</f>
        <v>432</v>
      </c>
      <c r="Q1830" s="224">
        <v>18</v>
      </c>
      <c r="R1830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18</v>
      </c>
      <c r="U1830" s="224"/>
      <c r="V1830" s="224"/>
    </row>
    <row r="1831" spans="1:22" ht="14.65" customHeight="1" x14ac:dyDescent="0.2">
      <c r="A1831" s="225">
        <v>43784</v>
      </c>
      <c r="B1831" s="224" t="s">
        <v>780</v>
      </c>
      <c r="C1831" s="224" t="s">
        <v>781</v>
      </c>
      <c r="D1831" s="224" t="s">
        <v>209</v>
      </c>
      <c r="E1831" s="226"/>
      <c r="G1831" s="224" t="s">
        <v>13</v>
      </c>
      <c r="H1831" s="224" t="s">
        <v>289</v>
      </c>
      <c r="I1831" s="224" t="s">
        <v>49</v>
      </c>
      <c r="J1831" s="224">
        <v>70</v>
      </c>
      <c r="K1831" s="227">
        <f t="array" ref="K1831">IFERROR(INDEX([1]Grille_Tarifs_Modulable!$B$2:$B$204,MATCH(Tableau14[[#This Row],[Designation]]&amp;Tableau14[[#This Row],[CL]],[1]Grille_Tarifs_Modulable!$C$2:$C$204&amp;[1]Grille_Tarifs_Modulable!$F$2:$F$204,0)),0)</f>
        <v>3257150673043</v>
      </c>
      <c r="L1831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23.434724499999998</v>
      </c>
      <c r="M1831" s="228">
        <f>IF(Tableau14[[#This Row],[Prix_Unit_HT]]=0,0,Tableau14[[#This Row],[Prix_Unit_HT]]+(Tableau14[[#This Row],[Prix_Unit_HT]]*VLOOKUP(Tableau14[[#This Row],[EAN]],[1]Grille_Tarifs_Modulable!$B$10:$Q$204,16,FALSE)))</f>
        <v>28.121669399999998</v>
      </c>
      <c r="N1831" s="224">
        <v>3</v>
      </c>
      <c r="O1831" s="228">
        <f>ROUND(Tableau14[[#This Row],[Prix_Unit_HT]],2)*Tableau14[[#This Row],[Qte_commande]]</f>
        <v>70.289999999999992</v>
      </c>
      <c r="P1831" s="228">
        <f>ROUND(Tableau14[[#This Row],[Prix_Unit_TTC]],2)*Tableau14[[#This Row],[Qte_commande]]</f>
        <v>84.36</v>
      </c>
      <c r="Q1831" s="224">
        <v>3</v>
      </c>
      <c r="R1831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3.0000000000000004</v>
      </c>
      <c r="U1831" s="224"/>
      <c r="V1831" s="224"/>
    </row>
    <row r="1832" spans="1:22" ht="14.65" customHeight="1" x14ac:dyDescent="0.2">
      <c r="A1832" s="225">
        <v>43784</v>
      </c>
      <c r="B1832" s="224" t="s">
        <v>778</v>
      </c>
      <c r="C1832" s="224" t="s">
        <v>301</v>
      </c>
      <c r="D1832" s="224" t="s">
        <v>302</v>
      </c>
      <c r="E1832" s="226"/>
      <c r="G1832" s="224" t="s">
        <v>1</v>
      </c>
      <c r="H1832" s="224" t="s">
        <v>289</v>
      </c>
      <c r="I1832" s="224" t="s">
        <v>25</v>
      </c>
      <c r="J1832" s="224">
        <v>100</v>
      </c>
      <c r="K1832" s="227">
        <f t="array" ref="K1832">IFERROR(INDEX([1]Grille_Tarifs_Modulable!$B$2:$B$204,MATCH(Tableau14[[#This Row],[Designation]]&amp;Tableau14[[#This Row],[CL]],[1]Grille_Tarifs_Modulable!$C$2:$C$204&amp;[1]Grille_Tarifs_Modulable!$F$2:$F$204,0)),0)</f>
        <v>3257150410167</v>
      </c>
      <c r="L1832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15.778874</v>
      </c>
      <c r="M1832" s="228">
        <f>IF(Tableau14[[#This Row],[Prix_Unit_HT]]=0,0,Tableau14[[#This Row],[Prix_Unit_HT]]+(Tableau14[[#This Row],[Prix_Unit_HT]]*VLOOKUP(Tableau14[[#This Row],[EAN]],[1]Grille_Tarifs_Modulable!$B$10:$Q$204,16,FALSE)))</f>
        <v>18.934648800000002</v>
      </c>
      <c r="N1832" s="224">
        <v>60</v>
      </c>
      <c r="O1832" s="228">
        <f>ROUND(Tableau14[[#This Row],[Prix_Unit_HT]],2)*Tableau14[[#This Row],[Qte_commande]]</f>
        <v>946.8</v>
      </c>
      <c r="P1832" s="228">
        <f>ROUND(Tableau14[[#This Row],[Prix_Unit_TTC]],2)*Tableau14[[#This Row],[Qte_commande]]</f>
        <v>1135.8</v>
      </c>
      <c r="Q1832" s="224">
        <v>85.71</v>
      </c>
      <c r="R1832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85.714285714285722</v>
      </c>
      <c r="U1832" s="224"/>
      <c r="V1832" s="224"/>
    </row>
    <row r="1833" spans="1:22" ht="14.65" customHeight="1" x14ac:dyDescent="0.2">
      <c r="A1833" s="225">
        <v>43784</v>
      </c>
      <c r="B1833" s="224" t="s">
        <v>349</v>
      </c>
      <c r="C1833" s="224" t="s">
        <v>198</v>
      </c>
      <c r="D1833" s="224" t="s">
        <v>199</v>
      </c>
      <c r="E1833" s="226"/>
      <c r="G1833" s="224" t="s">
        <v>1</v>
      </c>
      <c r="H1833" s="224" t="s">
        <v>196</v>
      </c>
      <c r="I1833" s="224" t="s">
        <v>64</v>
      </c>
      <c r="J1833" s="224">
        <v>20</v>
      </c>
      <c r="K1833" s="227">
        <f t="array" ref="K1833">IFERROR(INDEX([1]Grille_Tarifs_Modulable!$B$2:$B$204,MATCH(Tableau14[[#This Row],[Designation]]&amp;Tableau14[[#This Row],[CL]],[1]Grille_Tarifs_Modulable!$C$2:$C$204&amp;[1]Grille_Tarifs_Modulable!$F$2:$F$204,0)),0)</f>
        <v>4260310553849</v>
      </c>
      <c r="L1833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0.81</v>
      </c>
      <c r="M1833" s="228">
        <f>IF(Tableau14[[#This Row],[Prix_Unit_HT]]=0,0,Tableau14[[#This Row],[Prix_Unit_HT]]+(Tableau14[[#This Row],[Prix_Unit_HT]]*VLOOKUP(Tableau14[[#This Row],[EAN]],[1]Grille_Tarifs_Modulable!$B$10:$Q$204,16,FALSE)))</f>
        <v>0.85455000000000003</v>
      </c>
      <c r="N1833" s="224">
        <v>96</v>
      </c>
      <c r="O1833" s="228">
        <f>ROUND(Tableau14[[#This Row],[Prix_Unit_HT]],2)*Tableau14[[#This Row],[Qte_commande]]</f>
        <v>77.760000000000005</v>
      </c>
      <c r="P1833" s="228">
        <f>ROUND(Tableau14[[#This Row],[Prix_Unit_TTC]],2)*Tableau14[[#This Row],[Qte_commande]]</f>
        <v>81.599999999999994</v>
      </c>
      <c r="Q1833" s="224">
        <v>27.43</v>
      </c>
      <c r="R1833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27.428571428571431</v>
      </c>
      <c r="U1833" s="224"/>
      <c r="V1833" s="224"/>
    </row>
    <row r="1834" spans="1:22" ht="14.65" customHeight="1" x14ac:dyDescent="0.2">
      <c r="A1834" s="225">
        <v>43787</v>
      </c>
      <c r="B1834" s="224" t="s">
        <v>497</v>
      </c>
      <c r="C1834" s="224" t="s">
        <v>498</v>
      </c>
      <c r="D1834" s="224" t="s">
        <v>499</v>
      </c>
      <c r="E1834" s="226"/>
      <c r="G1834" s="224" t="s">
        <v>13</v>
      </c>
      <c r="H1834" s="224" t="s">
        <v>289</v>
      </c>
      <c r="I1834" s="224" t="s">
        <v>57</v>
      </c>
      <c r="J1834" s="224">
        <v>75</v>
      </c>
      <c r="K1834" s="227">
        <f t="array" ref="K1834">IFERROR(INDEX([1]Grille_Tarifs_Modulable!$B$2:$B$204,MATCH(Tableau14[[#This Row],[Designation]]&amp;Tableau14[[#This Row],[CL]],[1]Grille_Tarifs_Modulable!$C$2:$C$204&amp;[1]Grille_Tarifs_Modulable!$F$2:$F$204,0)),0)</f>
        <v>3242890008026</v>
      </c>
      <c r="L1834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11.342975000000001</v>
      </c>
      <c r="M1834" s="228">
        <f>IF(Tableau14[[#This Row],[Prix_Unit_HT]]=0,0,Tableau14[[#This Row],[Prix_Unit_HT]]+(Tableau14[[#This Row],[Prix_Unit_HT]]*VLOOKUP(Tableau14[[#This Row],[EAN]],[1]Grille_Tarifs_Modulable!$B$10:$Q$204,16,FALSE)))</f>
        <v>13.61157</v>
      </c>
      <c r="N1834" s="224">
        <v>6</v>
      </c>
      <c r="O1834" s="228">
        <f>ROUND(Tableau14[[#This Row],[Prix_Unit_HT]],2)*Tableau14[[#This Row],[Qte_commande]]</f>
        <v>68.039999999999992</v>
      </c>
      <c r="P1834" s="228">
        <f>ROUND(Tableau14[[#This Row],[Prix_Unit_TTC]],2)*Tableau14[[#This Row],[Qte_commande]]</f>
        <v>81.66</v>
      </c>
      <c r="Q1834" s="224">
        <v>6.43</v>
      </c>
      <c r="R1834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6.4285714285714288</v>
      </c>
      <c r="U1834" s="224"/>
      <c r="V1834" s="224"/>
    </row>
    <row r="1835" spans="1:22" ht="14.65" customHeight="1" x14ac:dyDescent="0.2">
      <c r="A1835" s="225">
        <v>43787</v>
      </c>
      <c r="B1835" s="224" t="s">
        <v>497</v>
      </c>
      <c r="C1835" s="224" t="s">
        <v>498</v>
      </c>
      <c r="D1835" s="224" t="s">
        <v>499</v>
      </c>
      <c r="E1835" s="226"/>
      <c r="G1835" s="224" t="s">
        <v>13</v>
      </c>
      <c r="H1835" s="224" t="s">
        <v>289</v>
      </c>
      <c r="I1835" s="224" t="s">
        <v>57</v>
      </c>
      <c r="J1835" s="224">
        <v>75</v>
      </c>
      <c r="K1835" s="227">
        <f t="array" ref="K1835">IFERROR(INDEX([1]Grille_Tarifs_Modulable!$B$2:$B$204,MATCH(Tableau14[[#This Row],[Designation]]&amp;Tableau14[[#This Row],[CL]],[1]Grille_Tarifs_Modulable!$C$2:$C$204&amp;[1]Grille_Tarifs_Modulable!$F$2:$F$204,0)),0)</f>
        <v>3242890008026</v>
      </c>
      <c r="L1835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11.342975000000001</v>
      </c>
      <c r="M1835" s="228">
        <f>IF(Tableau14[[#This Row],[Prix_Unit_HT]]=0,0,Tableau14[[#This Row],[Prix_Unit_HT]]+(Tableau14[[#This Row],[Prix_Unit_HT]]*VLOOKUP(Tableau14[[#This Row],[EAN]],[1]Grille_Tarifs_Modulable!$B$10:$Q$204,16,FALSE)))</f>
        <v>13.61157</v>
      </c>
      <c r="N1835" s="224">
        <v>6</v>
      </c>
      <c r="O1835" s="228">
        <f>ROUND(Tableau14[[#This Row],[Prix_Unit_HT]],2)*Tableau14[[#This Row],[Qte_commande]]</f>
        <v>68.039999999999992</v>
      </c>
      <c r="P1835" s="228">
        <f>ROUND(Tableau14[[#This Row],[Prix_Unit_TTC]],2)*Tableau14[[#This Row],[Qte_commande]]</f>
        <v>81.66</v>
      </c>
      <c r="Q1835" s="224">
        <v>6.43</v>
      </c>
      <c r="R1835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6.4285714285714288</v>
      </c>
      <c r="U1835" s="224"/>
      <c r="V1835" s="224"/>
    </row>
    <row r="1836" spans="1:22" ht="14.65" customHeight="1" x14ac:dyDescent="0.2">
      <c r="A1836" s="225">
        <v>43787</v>
      </c>
      <c r="B1836" s="224" t="s">
        <v>500</v>
      </c>
      <c r="C1836" s="224" t="s">
        <v>498</v>
      </c>
      <c r="D1836" s="224" t="s">
        <v>499</v>
      </c>
      <c r="E1836" s="226"/>
      <c r="G1836" s="224" t="s">
        <v>13</v>
      </c>
      <c r="H1836" s="224" t="s">
        <v>289</v>
      </c>
      <c r="I1836" s="224" t="s">
        <v>57</v>
      </c>
      <c r="J1836" s="224">
        <v>75</v>
      </c>
      <c r="K1836" s="227">
        <f t="array" ref="K1836">IFERROR(INDEX([1]Grille_Tarifs_Modulable!$B$2:$B$204,MATCH(Tableau14[[#This Row],[Designation]]&amp;Tableau14[[#This Row],[CL]],[1]Grille_Tarifs_Modulable!$C$2:$C$204&amp;[1]Grille_Tarifs_Modulable!$F$2:$F$204,0)),0)</f>
        <v>3242890008026</v>
      </c>
      <c r="L1836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11.342975000000001</v>
      </c>
      <c r="M1836" s="228">
        <f>IF(Tableau14[[#This Row],[Prix_Unit_HT]]=0,0,Tableau14[[#This Row],[Prix_Unit_HT]]+(Tableau14[[#This Row],[Prix_Unit_HT]]*VLOOKUP(Tableau14[[#This Row],[EAN]],[1]Grille_Tarifs_Modulable!$B$10:$Q$204,16,FALSE)))</f>
        <v>13.61157</v>
      </c>
      <c r="N1836" s="224">
        <v>6</v>
      </c>
      <c r="O1836" s="228">
        <f>ROUND(Tableau14[[#This Row],[Prix_Unit_HT]],2)*Tableau14[[#This Row],[Qte_commande]]</f>
        <v>68.039999999999992</v>
      </c>
      <c r="P1836" s="228">
        <f>ROUND(Tableau14[[#This Row],[Prix_Unit_TTC]],2)*Tableau14[[#This Row],[Qte_commande]]</f>
        <v>81.66</v>
      </c>
      <c r="Q1836" s="224">
        <v>6.43</v>
      </c>
      <c r="R1836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6.4285714285714288</v>
      </c>
      <c r="U1836" s="224"/>
      <c r="V1836" s="224"/>
    </row>
    <row r="1837" spans="1:22" ht="14.65" customHeight="1" x14ac:dyDescent="0.2">
      <c r="A1837" s="225">
        <v>43787</v>
      </c>
      <c r="B1837" s="224" t="s">
        <v>500</v>
      </c>
      <c r="C1837" s="224" t="s">
        <v>498</v>
      </c>
      <c r="D1837" s="224" t="s">
        <v>499</v>
      </c>
      <c r="E1837" s="226"/>
      <c r="G1837" s="224" t="s">
        <v>13</v>
      </c>
      <c r="H1837" s="224" t="s">
        <v>289</v>
      </c>
      <c r="I1837" s="224" t="s">
        <v>20</v>
      </c>
      <c r="J1837" s="224">
        <v>70</v>
      </c>
      <c r="K1837" s="227">
        <f t="array" ref="K1837">IFERROR(INDEX([1]Grille_Tarifs_Modulable!$B$2:$B$204,MATCH(Tableau14[[#This Row],[Designation]]&amp;Tableau14[[#This Row],[CL]],[1]Grille_Tarifs_Modulable!$C$2:$C$204&amp;[1]Grille_Tarifs_Modulable!$F$2:$F$204,0)),0)</f>
        <v>8017450002104</v>
      </c>
      <c r="L1837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14.266482999999999</v>
      </c>
      <c r="M1837" s="228">
        <f>IF(Tableau14[[#This Row],[Prix_Unit_HT]]=0,0,Tableau14[[#This Row],[Prix_Unit_HT]]+(Tableau14[[#This Row],[Prix_Unit_HT]]*VLOOKUP(Tableau14[[#This Row],[EAN]],[1]Grille_Tarifs_Modulable!$B$10:$Q$204,16,FALSE)))</f>
        <v>17.119779600000001</v>
      </c>
      <c r="N1837" s="224">
        <v>6</v>
      </c>
      <c r="O1837" s="228">
        <f>ROUND(Tableau14[[#This Row],[Prix_Unit_HT]],2)*Tableau14[[#This Row],[Qte_commande]]</f>
        <v>85.62</v>
      </c>
      <c r="P1837" s="228">
        <f>ROUND(Tableau14[[#This Row],[Prix_Unit_TTC]],2)*Tableau14[[#This Row],[Qte_commande]]</f>
        <v>102.72</v>
      </c>
      <c r="Q1837" s="224">
        <v>6</v>
      </c>
      <c r="R1837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6.0000000000000009</v>
      </c>
      <c r="U1837" s="224"/>
      <c r="V1837" s="224"/>
    </row>
    <row r="1838" spans="1:22" ht="14.65" customHeight="1" x14ac:dyDescent="0.2">
      <c r="A1838" s="225">
        <v>43787</v>
      </c>
      <c r="B1838" s="224" t="s">
        <v>874</v>
      </c>
      <c r="C1838" s="224" t="s">
        <v>202</v>
      </c>
      <c r="D1838" s="224" t="s">
        <v>203</v>
      </c>
      <c r="E1838" s="226"/>
      <c r="G1838" s="224" t="s">
        <v>1</v>
      </c>
      <c r="H1838" s="224" t="s">
        <v>289</v>
      </c>
      <c r="I1838" s="224" t="s">
        <v>32</v>
      </c>
      <c r="J1838" s="224">
        <v>70</v>
      </c>
      <c r="K1838" s="227">
        <f t="array" ref="K1838">IFERROR(INDEX([1]Grille_Tarifs_Modulable!$B$2:$B$204,MATCH(Tableau14[[#This Row],[Designation]]&amp;Tableau14[[#This Row],[CL]],[1]Grille_Tarifs_Modulable!$C$2:$C$204&amp;[1]Grille_Tarifs_Modulable!$F$2:$F$204,0)),0)</f>
        <v>3257150100228</v>
      </c>
      <c r="L1838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19.998643999999999</v>
      </c>
      <c r="M1838" s="228">
        <f>IF(Tableau14[[#This Row],[Prix_Unit_HT]]=0,0,Tableau14[[#This Row],[Prix_Unit_HT]]+(Tableau14[[#This Row],[Prix_Unit_HT]]*VLOOKUP(Tableau14[[#This Row],[EAN]],[1]Grille_Tarifs_Modulable!$B$10:$Q$204,16,FALSE)))</f>
        <v>23.998372799999999</v>
      </c>
      <c r="N1838" s="224">
        <v>6</v>
      </c>
      <c r="O1838" s="228">
        <f>ROUND(Tableau14[[#This Row],[Prix_Unit_HT]],2)*Tableau14[[#This Row],[Qte_commande]]</f>
        <v>120</v>
      </c>
      <c r="P1838" s="228">
        <f>ROUND(Tableau14[[#This Row],[Prix_Unit_TTC]],2)*Tableau14[[#This Row],[Qte_commande]]</f>
        <v>144</v>
      </c>
      <c r="Q1838" s="224">
        <v>6</v>
      </c>
      <c r="R1838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6.0000000000000009</v>
      </c>
      <c r="U1838" s="224"/>
      <c r="V1838" s="224"/>
    </row>
    <row r="1839" spans="1:22" ht="14.65" customHeight="1" x14ac:dyDescent="0.2">
      <c r="A1839" s="225">
        <v>43787</v>
      </c>
      <c r="B1839" s="224" t="s">
        <v>497</v>
      </c>
      <c r="C1839" s="224" t="s">
        <v>498</v>
      </c>
      <c r="D1839" s="224" t="s">
        <v>499</v>
      </c>
      <c r="E1839" s="226"/>
      <c r="G1839" s="224" t="s">
        <v>13</v>
      </c>
      <c r="H1839" s="224" t="s">
        <v>289</v>
      </c>
      <c r="I1839" s="224" t="s">
        <v>34</v>
      </c>
      <c r="J1839" s="224">
        <v>70</v>
      </c>
      <c r="K1839" s="227">
        <f t="array" ref="K1839">IFERROR(INDEX([1]Grille_Tarifs_Modulable!$B$2:$B$204,MATCH(Tableau14[[#This Row],[Designation]]&amp;Tableau14[[#This Row],[CL]],[1]Grille_Tarifs_Modulable!$C$2:$C$204&amp;[1]Grille_Tarifs_Modulable!$F$2:$F$204,0)),0)</f>
        <v>3257150100167</v>
      </c>
      <c r="L1839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29.948644000000002</v>
      </c>
      <c r="M1839" s="228">
        <f>IF(Tableau14[[#This Row],[Prix_Unit_HT]]=0,0,Tableau14[[#This Row],[Prix_Unit_HT]]+(Tableau14[[#This Row],[Prix_Unit_HT]]*VLOOKUP(Tableau14[[#This Row],[EAN]],[1]Grille_Tarifs_Modulable!$B$10:$Q$204,16,FALSE)))</f>
        <v>35.938372800000003</v>
      </c>
      <c r="N1839" s="224">
        <v>6</v>
      </c>
      <c r="O1839" s="228">
        <f>ROUND(Tableau14[[#This Row],[Prix_Unit_HT]],2)*Tableau14[[#This Row],[Qte_commande]]</f>
        <v>179.7</v>
      </c>
      <c r="P1839" s="228">
        <f>ROUND(Tableau14[[#This Row],[Prix_Unit_TTC]],2)*Tableau14[[#This Row],[Qte_commande]]</f>
        <v>215.64</v>
      </c>
      <c r="Q1839" s="224">
        <v>6</v>
      </c>
      <c r="R1839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6.0000000000000009</v>
      </c>
      <c r="U1839" s="224"/>
      <c r="V1839" s="224"/>
    </row>
    <row r="1840" spans="1:22" ht="14.65" customHeight="1" x14ac:dyDescent="0.2">
      <c r="A1840" s="225">
        <v>43787</v>
      </c>
      <c r="B1840" s="224" t="s">
        <v>874</v>
      </c>
      <c r="C1840" s="224" t="s">
        <v>202</v>
      </c>
      <c r="D1840" s="224" t="s">
        <v>203</v>
      </c>
      <c r="E1840" s="226"/>
      <c r="G1840" s="224" t="s">
        <v>1</v>
      </c>
      <c r="H1840" s="224" t="s">
        <v>289</v>
      </c>
      <c r="I1840" s="224" t="s">
        <v>34</v>
      </c>
      <c r="J1840" s="224">
        <v>70</v>
      </c>
      <c r="K1840" s="227">
        <f t="array" ref="K1840">IFERROR(INDEX([1]Grille_Tarifs_Modulable!$B$2:$B$204,MATCH(Tableau14[[#This Row],[Designation]]&amp;Tableau14[[#This Row],[CL]],[1]Grille_Tarifs_Modulable!$C$2:$C$204&amp;[1]Grille_Tarifs_Modulable!$F$2:$F$204,0)),0)</f>
        <v>3257150100167</v>
      </c>
      <c r="L1840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27.618644000000003</v>
      </c>
      <c r="M1840" s="228">
        <f>IF(Tableau14[[#This Row],[Prix_Unit_HT]]=0,0,Tableau14[[#This Row],[Prix_Unit_HT]]+(Tableau14[[#This Row],[Prix_Unit_HT]]*VLOOKUP(Tableau14[[#This Row],[EAN]],[1]Grille_Tarifs_Modulable!$B$10:$Q$204,16,FALSE)))</f>
        <v>33.142372800000004</v>
      </c>
      <c r="N1840" s="224">
        <v>6</v>
      </c>
      <c r="O1840" s="228">
        <f>ROUND(Tableau14[[#This Row],[Prix_Unit_HT]],2)*Tableau14[[#This Row],[Qte_commande]]</f>
        <v>165.72</v>
      </c>
      <c r="P1840" s="228">
        <f>ROUND(Tableau14[[#This Row],[Prix_Unit_TTC]],2)*Tableau14[[#This Row],[Qte_commande]]</f>
        <v>198.84</v>
      </c>
      <c r="Q1840" s="224">
        <v>6</v>
      </c>
      <c r="R1840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6.0000000000000009</v>
      </c>
      <c r="U1840" s="224"/>
      <c r="V1840" s="224"/>
    </row>
    <row r="1841" spans="1:22" ht="14.65" customHeight="1" x14ac:dyDescent="0.2">
      <c r="A1841" s="225">
        <v>43787</v>
      </c>
      <c r="B1841" s="224" t="s">
        <v>879</v>
      </c>
      <c r="C1841" s="224" t="s">
        <v>864</v>
      </c>
      <c r="D1841" s="224" t="s">
        <v>180</v>
      </c>
      <c r="E1841" s="226"/>
      <c r="G1841" s="224" t="s">
        <v>13</v>
      </c>
      <c r="H1841" s="224" t="s">
        <v>289</v>
      </c>
      <c r="I1841" s="224" t="s">
        <v>34</v>
      </c>
      <c r="J1841" s="224">
        <v>70</v>
      </c>
      <c r="K1841" s="227">
        <f t="array" ref="K1841">IFERROR(INDEX([1]Grille_Tarifs_Modulable!$B$2:$B$204,MATCH(Tableau14[[#This Row],[Designation]]&amp;Tableau14[[#This Row],[CL]],[1]Grille_Tarifs_Modulable!$C$2:$C$204&amp;[1]Grille_Tarifs_Modulable!$F$2:$F$204,0)),0)</f>
        <v>3257150100167</v>
      </c>
      <c r="L1841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29.948644000000002</v>
      </c>
      <c r="M1841" s="228">
        <f>IF(Tableau14[[#This Row],[Prix_Unit_HT]]=0,0,Tableau14[[#This Row],[Prix_Unit_HT]]+(Tableau14[[#This Row],[Prix_Unit_HT]]*VLOOKUP(Tableau14[[#This Row],[EAN]],[1]Grille_Tarifs_Modulable!$B$10:$Q$204,16,FALSE)))</f>
        <v>35.938372800000003</v>
      </c>
      <c r="N1841" s="224">
        <v>12</v>
      </c>
      <c r="O1841" s="228">
        <f>ROUND(Tableau14[[#This Row],[Prix_Unit_HT]],2)*Tableau14[[#This Row],[Qte_commande]]</f>
        <v>359.4</v>
      </c>
      <c r="P1841" s="228">
        <f>ROUND(Tableau14[[#This Row],[Prix_Unit_TTC]],2)*Tableau14[[#This Row],[Qte_commande]]</f>
        <v>431.28</v>
      </c>
      <c r="Q1841" s="224">
        <v>12</v>
      </c>
      <c r="R1841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12.000000000000002</v>
      </c>
      <c r="U1841" s="224"/>
      <c r="V1841" s="224"/>
    </row>
    <row r="1842" spans="1:22" ht="14.65" customHeight="1" x14ac:dyDescent="0.2">
      <c r="A1842" s="225">
        <v>43787</v>
      </c>
      <c r="B1842" s="224" t="s">
        <v>897</v>
      </c>
      <c r="C1842" s="224" t="s">
        <v>852</v>
      </c>
      <c r="D1842" s="224" t="s">
        <v>195</v>
      </c>
      <c r="E1842" s="226"/>
      <c r="G1842" s="224" t="s">
        <v>13</v>
      </c>
      <c r="H1842" s="224" t="s">
        <v>289</v>
      </c>
      <c r="I1842" s="224" t="s">
        <v>31</v>
      </c>
      <c r="J1842" s="224">
        <v>70</v>
      </c>
      <c r="K1842" s="227">
        <f t="array" ref="K1842">IFERROR(INDEX([1]Grille_Tarifs_Modulable!$B$2:$B$204,MATCH(Tableau14[[#This Row],[Designation]]&amp;Tableau14[[#This Row],[CL]],[1]Grille_Tarifs_Modulable!$C$2:$C$204&amp;[1]Grille_Tarifs_Modulable!$F$2:$F$204,0)),0)</f>
        <v>3257150102017</v>
      </c>
      <c r="L1842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16.854322</v>
      </c>
      <c r="M1842" s="228">
        <f>IF(Tableau14[[#This Row],[Prix_Unit_HT]]=0,0,Tableau14[[#This Row],[Prix_Unit_HT]]+(Tableau14[[#This Row],[Prix_Unit_HT]]*VLOOKUP(Tableau14[[#This Row],[EAN]],[1]Grille_Tarifs_Modulable!$B$10:$Q$204,16,FALSE)))</f>
        <v>20.225186399999998</v>
      </c>
      <c r="N1842" s="224">
        <v>12</v>
      </c>
      <c r="O1842" s="228">
        <f>ROUND(Tableau14[[#This Row],[Prix_Unit_HT]],2)*Tableau14[[#This Row],[Qte_commande]]</f>
        <v>202.20000000000002</v>
      </c>
      <c r="P1842" s="228">
        <f>ROUND(Tableau14[[#This Row],[Prix_Unit_TTC]],2)*Tableau14[[#This Row],[Qte_commande]]</f>
        <v>242.76</v>
      </c>
      <c r="Q1842" s="224">
        <v>12</v>
      </c>
      <c r="R1842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12.000000000000002</v>
      </c>
      <c r="U1842" s="224"/>
      <c r="V1842" s="224"/>
    </row>
    <row r="1843" spans="1:22" ht="14.65" customHeight="1" x14ac:dyDescent="0.2">
      <c r="A1843" s="225">
        <v>43787</v>
      </c>
      <c r="B1843" s="224" t="s">
        <v>898</v>
      </c>
      <c r="C1843" s="224" t="s">
        <v>320</v>
      </c>
      <c r="D1843" s="224" t="s">
        <v>855</v>
      </c>
      <c r="E1843" s="226"/>
      <c r="G1843" s="224" t="s">
        <v>13</v>
      </c>
      <c r="H1843" s="224" t="s">
        <v>289</v>
      </c>
      <c r="I1843" s="224" t="s">
        <v>31</v>
      </c>
      <c r="J1843" s="224">
        <v>70</v>
      </c>
      <c r="K1843" s="227">
        <f t="array" ref="K1843">IFERROR(INDEX([1]Grille_Tarifs_Modulable!$B$2:$B$204,MATCH(Tableau14[[#This Row],[Designation]]&amp;Tableau14[[#This Row],[CL]],[1]Grille_Tarifs_Modulable!$C$2:$C$204&amp;[1]Grille_Tarifs_Modulable!$F$2:$F$204,0)),0)</f>
        <v>3257150102017</v>
      </c>
      <c r="L1843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16.854322</v>
      </c>
      <c r="M1843" s="228">
        <f>IF(Tableau14[[#This Row],[Prix_Unit_HT]]=0,0,Tableau14[[#This Row],[Prix_Unit_HT]]+(Tableau14[[#This Row],[Prix_Unit_HT]]*VLOOKUP(Tableau14[[#This Row],[EAN]],[1]Grille_Tarifs_Modulable!$B$10:$Q$204,16,FALSE)))</f>
        <v>20.225186399999998</v>
      </c>
      <c r="N1843" s="224">
        <v>6</v>
      </c>
      <c r="O1843" s="228">
        <f>ROUND(Tableau14[[#This Row],[Prix_Unit_HT]],2)*Tableau14[[#This Row],[Qte_commande]]</f>
        <v>101.10000000000001</v>
      </c>
      <c r="P1843" s="228">
        <f>ROUND(Tableau14[[#This Row],[Prix_Unit_TTC]],2)*Tableau14[[#This Row],[Qte_commande]]</f>
        <v>121.38</v>
      </c>
      <c r="Q1843" s="224">
        <v>6</v>
      </c>
      <c r="R1843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6.0000000000000009</v>
      </c>
      <c r="U1843" s="224"/>
      <c r="V1843" s="224"/>
    </row>
    <row r="1844" spans="1:22" ht="14.65" customHeight="1" x14ac:dyDescent="0.2">
      <c r="A1844" s="225">
        <v>43787</v>
      </c>
      <c r="B1844" s="224" t="s">
        <v>879</v>
      </c>
      <c r="C1844" s="224" t="s">
        <v>864</v>
      </c>
      <c r="D1844" s="224" t="s">
        <v>180</v>
      </c>
      <c r="E1844" s="226"/>
      <c r="G1844" s="224" t="s">
        <v>13</v>
      </c>
      <c r="H1844" s="224" t="s">
        <v>289</v>
      </c>
      <c r="I1844" s="224" t="s">
        <v>31</v>
      </c>
      <c r="J1844" s="224">
        <v>70</v>
      </c>
      <c r="K1844" s="227">
        <f t="array" ref="K1844">IFERROR(INDEX([1]Grille_Tarifs_Modulable!$B$2:$B$204,MATCH(Tableau14[[#This Row],[Designation]]&amp;Tableau14[[#This Row],[CL]],[1]Grille_Tarifs_Modulable!$C$2:$C$204&amp;[1]Grille_Tarifs_Modulable!$F$2:$F$204,0)),0)</f>
        <v>3257150102017</v>
      </c>
      <c r="L1844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16.854322</v>
      </c>
      <c r="M1844" s="228">
        <f>IF(Tableau14[[#This Row],[Prix_Unit_HT]]=0,0,Tableau14[[#This Row],[Prix_Unit_HT]]+(Tableau14[[#This Row],[Prix_Unit_HT]]*VLOOKUP(Tableau14[[#This Row],[EAN]],[1]Grille_Tarifs_Modulable!$B$10:$Q$204,16,FALSE)))</f>
        <v>20.225186399999998</v>
      </c>
      <c r="N1844" s="224">
        <v>12</v>
      </c>
      <c r="O1844" s="228">
        <f>ROUND(Tableau14[[#This Row],[Prix_Unit_HT]],2)*Tableau14[[#This Row],[Qte_commande]]</f>
        <v>202.20000000000002</v>
      </c>
      <c r="P1844" s="228">
        <f>ROUND(Tableau14[[#This Row],[Prix_Unit_TTC]],2)*Tableau14[[#This Row],[Qte_commande]]</f>
        <v>242.76</v>
      </c>
      <c r="Q1844" s="224">
        <v>12</v>
      </c>
      <c r="R1844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12.000000000000002</v>
      </c>
      <c r="U1844" s="224"/>
      <c r="V1844" s="224"/>
    </row>
    <row r="1845" spans="1:22" ht="14.65" customHeight="1" x14ac:dyDescent="0.2">
      <c r="A1845" s="225">
        <v>43787</v>
      </c>
      <c r="B1845" s="224" t="s">
        <v>913</v>
      </c>
      <c r="C1845" s="224" t="s">
        <v>205</v>
      </c>
      <c r="D1845" s="224" t="s">
        <v>206</v>
      </c>
      <c r="E1845" s="226"/>
      <c r="G1845" s="224" t="s">
        <v>1</v>
      </c>
      <c r="H1845" s="224" t="s">
        <v>289</v>
      </c>
      <c r="I1845" s="224" t="s">
        <v>44</v>
      </c>
      <c r="J1845" s="224">
        <v>50</v>
      </c>
      <c r="K1845" s="227">
        <f t="array" ref="K1845">IFERROR(INDEX([1]Grille_Tarifs_Modulable!$B$2:$B$204,MATCH(Tableau14[[#This Row],[Designation]]&amp;Tableau14[[#This Row],[CL]],[1]Grille_Tarifs_Modulable!$C$2:$C$204&amp;[1]Grille_Tarifs_Modulable!$F$2:$F$204,0)),0)</f>
        <v>4260270192645</v>
      </c>
      <c r="L1845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25.192506000000002</v>
      </c>
      <c r="M1845" s="228">
        <f>IF(Tableau14[[#This Row],[Prix_Unit_HT]]=0,0,Tableau14[[#This Row],[Prix_Unit_HT]]+(Tableau14[[#This Row],[Prix_Unit_HT]]*VLOOKUP(Tableau14[[#This Row],[EAN]],[1]Grille_Tarifs_Modulable!$B$10:$Q$204,16,FALSE)))</f>
        <v>30.231007200000001</v>
      </c>
      <c r="N1845" s="224">
        <v>12</v>
      </c>
      <c r="O1845" s="228">
        <f>ROUND(Tableau14[[#This Row],[Prix_Unit_HT]],2)*Tableau14[[#This Row],[Qte_commande]]</f>
        <v>302.28000000000003</v>
      </c>
      <c r="P1845" s="228">
        <f>ROUND(Tableau14[[#This Row],[Prix_Unit_TTC]],2)*Tableau14[[#This Row],[Qte_commande]]</f>
        <v>362.76</v>
      </c>
      <c r="Q1845" s="224">
        <v>8.57</v>
      </c>
      <c r="R1845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8.5714285714285712</v>
      </c>
      <c r="U1845" s="224"/>
      <c r="V1845" s="224"/>
    </row>
    <row r="1846" spans="1:22" ht="14.65" customHeight="1" x14ac:dyDescent="0.2">
      <c r="A1846" s="225">
        <v>43791</v>
      </c>
      <c r="B1846" s="224" t="s">
        <v>433</v>
      </c>
      <c r="C1846" s="224" t="s">
        <v>434</v>
      </c>
      <c r="D1846" s="224" t="s">
        <v>435</v>
      </c>
      <c r="E1846" s="226"/>
      <c r="G1846" s="224" t="s">
        <v>1</v>
      </c>
      <c r="H1846" s="224" t="s">
        <v>289</v>
      </c>
      <c r="I1846" s="224" t="s">
        <v>35</v>
      </c>
      <c r="J1846" s="224">
        <v>70</v>
      </c>
      <c r="K1846" s="227">
        <f t="array" ref="K1846">IFERROR(INDEX([1]Grille_Tarifs_Modulable!$B$2:$B$204,MATCH(Tableau14[[#This Row],[Designation]]&amp;Tableau14[[#This Row],[CL]],[1]Grille_Tarifs_Modulable!$C$2:$C$204&amp;[1]Grille_Tarifs_Modulable!$F$2:$F$204,0)),0)</f>
        <v>3257150107012</v>
      </c>
      <c r="L1846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29.828643999999997</v>
      </c>
      <c r="M1846" s="228">
        <f>IF(Tableau14[[#This Row],[Prix_Unit_HT]]=0,0,Tableau14[[#This Row],[Prix_Unit_HT]]+(Tableau14[[#This Row],[Prix_Unit_HT]]*VLOOKUP(Tableau14[[#This Row],[EAN]],[1]Grille_Tarifs_Modulable!$B$10:$Q$204,16,FALSE)))</f>
        <v>35.794372799999998</v>
      </c>
      <c r="N1846" s="224">
        <v>6</v>
      </c>
      <c r="O1846" s="228">
        <f>ROUND(Tableau14[[#This Row],[Prix_Unit_HT]],2)*Tableau14[[#This Row],[Qte_commande]]</f>
        <v>178.98</v>
      </c>
      <c r="P1846" s="228">
        <f>ROUND(Tableau14[[#This Row],[Prix_Unit_TTC]],2)*Tableau14[[#This Row],[Qte_commande]]</f>
        <v>214.74</v>
      </c>
      <c r="Q1846" s="224">
        <v>6</v>
      </c>
      <c r="R1846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6.0000000000000009</v>
      </c>
      <c r="U1846" s="224"/>
      <c r="V1846" s="224"/>
    </row>
    <row r="1847" spans="1:22" ht="14.65" customHeight="1" x14ac:dyDescent="0.2">
      <c r="A1847" s="225">
        <v>43791</v>
      </c>
      <c r="B1847" s="224" t="s">
        <v>433</v>
      </c>
      <c r="C1847" s="224" t="s">
        <v>434</v>
      </c>
      <c r="D1847" s="224" t="s">
        <v>435</v>
      </c>
      <c r="E1847" s="226"/>
      <c r="G1847" s="224" t="s">
        <v>1</v>
      </c>
      <c r="H1847" s="224" t="s">
        <v>196</v>
      </c>
      <c r="I1847" s="224" t="s">
        <v>60</v>
      </c>
      <c r="J1847" s="224">
        <v>20</v>
      </c>
      <c r="K1847" s="227">
        <f t="array" ref="K1847">IFERROR(INDEX([1]Grille_Tarifs_Modulable!$B$2:$B$204,MATCH(Tableau14[[#This Row],[Designation]]&amp;Tableau14[[#This Row],[CL]],[1]Grille_Tarifs_Modulable!$C$2:$C$204&amp;[1]Grille_Tarifs_Modulable!$F$2:$F$204,0)),0)</f>
        <v>4260310553832</v>
      </c>
      <c r="L1847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0.81</v>
      </c>
      <c r="M1847" s="228">
        <f>IF(Tableau14[[#This Row],[Prix_Unit_HT]]=0,0,Tableau14[[#This Row],[Prix_Unit_HT]]+(Tableau14[[#This Row],[Prix_Unit_HT]]*VLOOKUP(Tableau14[[#This Row],[EAN]],[1]Grille_Tarifs_Modulable!$B$10:$Q$204,16,FALSE)))</f>
        <v>0.85455000000000003</v>
      </c>
      <c r="N1847" s="224">
        <v>24</v>
      </c>
      <c r="O1847" s="228">
        <f>ROUND(Tableau14[[#This Row],[Prix_Unit_HT]],2)*Tableau14[[#This Row],[Qte_commande]]</f>
        <v>19.440000000000001</v>
      </c>
      <c r="P1847" s="228">
        <f>ROUND(Tableau14[[#This Row],[Prix_Unit_TTC]],2)*Tableau14[[#This Row],[Qte_commande]]</f>
        <v>20.399999999999999</v>
      </c>
      <c r="Q1847" s="224">
        <v>6.86</v>
      </c>
      <c r="R1847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6.8571428571428577</v>
      </c>
      <c r="U1847" s="224"/>
      <c r="V1847" s="224"/>
    </row>
    <row r="1848" spans="1:22" ht="14.65" customHeight="1" x14ac:dyDescent="0.2">
      <c r="A1848" s="225">
        <v>43791</v>
      </c>
      <c r="B1848" s="224" t="s">
        <v>433</v>
      </c>
      <c r="C1848" s="224" t="s">
        <v>434</v>
      </c>
      <c r="D1848" s="224" t="s">
        <v>435</v>
      </c>
      <c r="E1848" s="226"/>
      <c r="G1848" s="224" t="s">
        <v>1</v>
      </c>
      <c r="H1848" s="224" t="s">
        <v>289</v>
      </c>
      <c r="I1848" s="224" t="s">
        <v>48</v>
      </c>
      <c r="J1848" s="224">
        <v>70</v>
      </c>
      <c r="K1848" s="227">
        <f t="array" ref="K1848">IFERROR(INDEX([1]Grille_Tarifs_Modulable!$B$2:$B$204,MATCH(Tableau14[[#This Row],[Designation]]&amp;Tableau14[[#This Row],[CL]],[1]Grille_Tarifs_Modulable!$C$2:$C$204&amp;[1]Grille_Tarifs_Modulable!$F$2:$F$204,0)),0)</f>
        <v>3257150673029</v>
      </c>
      <c r="L1848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17.769508399999999</v>
      </c>
      <c r="M1848" s="228">
        <f>IF(Tableau14[[#This Row],[Prix_Unit_HT]]=0,0,Tableau14[[#This Row],[Prix_Unit_HT]]+(Tableau14[[#This Row],[Prix_Unit_HT]]*VLOOKUP(Tableau14[[#This Row],[EAN]],[1]Grille_Tarifs_Modulable!$B$10:$Q$204,16,FALSE)))</f>
        <v>21.323410079999999</v>
      </c>
      <c r="N1848" s="224">
        <v>12</v>
      </c>
      <c r="O1848" s="228">
        <f>ROUND(Tableau14[[#This Row],[Prix_Unit_HT]],2)*Tableau14[[#This Row],[Qte_commande]]</f>
        <v>213.24</v>
      </c>
      <c r="P1848" s="228">
        <f>ROUND(Tableau14[[#This Row],[Prix_Unit_TTC]],2)*Tableau14[[#This Row],[Qte_commande]]</f>
        <v>255.84</v>
      </c>
      <c r="Q1848" s="224">
        <v>12</v>
      </c>
      <c r="R1848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12.000000000000002</v>
      </c>
      <c r="U1848" s="224"/>
      <c r="V1848" s="224"/>
    </row>
    <row r="1849" spans="1:22" ht="14.65" customHeight="1" x14ac:dyDescent="0.2">
      <c r="A1849" s="225">
        <v>43791</v>
      </c>
      <c r="B1849" s="224" t="s">
        <v>433</v>
      </c>
      <c r="C1849" s="224" t="s">
        <v>434</v>
      </c>
      <c r="D1849" s="224" t="s">
        <v>435</v>
      </c>
      <c r="E1849" s="226"/>
      <c r="G1849" s="224" t="s">
        <v>1</v>
      </c>
      <c r="H1849" s="224" t="s">
        <v>289</v>
      </c>
      <c r="I1849" s="224" t="s">
        <v>30</v>
      </c>
      <c r="J1849" s="224">
        <v>70</v>
      </c>
      <c r="K1849" s="227">
        <f t="array" ref="K1849">IFERROR(INDEX([1]Grille_Tarifs_Modulable!$B$2:$B$204,MATCH(Tableau14[[#This Row],[Designation]]&amp;Tableau14[[#This Row],[CL]],[1]Grille_Tarifs_Modulable!$C$2:$C$204&amp;[1]Grille_Tarifs_Modulable!$F$2:$F$204,0)),0)</f>
        <v>3257150101904</v>
      </c>
      <c r="L1849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16.346482999999999</v>
      </c>
      <c r="M1849" s="228">
        <f>IF(Tableau14[[#This Row],[Prix_Unit_HT]]=0,0,Tableau14[[#This Row],[Prix_Unit_HT]]+(Tableau14[[#This Row],[Prix_Unit_HT]]*VLOOKUP(Tableau14[[#This Row],[EAN]],[1]Grille_Tarifs_Modulable!$B$10:$Q$204,16,FALSE)))</f>
        <v>19.6157796</v>
      </c>
      <c r="N1849" s="224">
        <v>12</v>
      </c>
      <c r="O1849" s="228">
        <f>ROUND(Tableau14[[#This Row],[Prix_Unit_HT]],2)*Tableau14[[#This Row],[Qte_commande]]</f>
        <v>196.20000000000002</v>
      </c>
      <c r="P1849" s="228">
        <f>ROUND(Tableau14[[#This Row],[Prix_Unit_TTC]],2)*Tableau14[[#This Row],[Qte_commande]]</f>
        <v>235.44</v>
      </c>
      <c r="Q1849" s="224">
        <v>12</v>
      </c>
      <c r="R1849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12.000000000000002</v>
      </c>
      <c r="U1849" s="224"/>
      <c r="V1849" s="224"/>
    </row>
    <row r="1850" spans="1:22" ht="14.65" customHeight="1" x14ac:dyDescent="0.2">
      <c r="A1850" s="225">
        <v>43791</v>
      </c>
      <c r="B1850" s="224" t="s">
        <v>433</v>
      </c>
      <c r="C1850" s="224" t="s">
        <v>434</v>
      </c>
      <c r="D1850" s="224" t="s">
        <v>435</v>
      </c>
      <c r="E1850" s="226"/>
      <c r="G1850" s="224" t="s">
        <v>1</v>
      </c>
      <c r="H1850" s="224" t="s">
        <v>289</v>
      </c>
      <c r="I1850" s="224" t="s">
        <v>32</v>
      </c>
      <c r="J1850" s="224">
        <v>70</v>
      </c>
      <c r="K1850" s="227">
        <f t="array" ref="K1850">IFERROR(INDEX([1]Grille_Tarifs_Modulable!$B$2:$B$204,MATCH(Tableau14[[#This Row],[Designation]]&amp;Tableau14[[#This Row],[CL]],[1]Grille_Tarifs_Modulable!$C$2:$C$204&amp;[1]Grille_Tarifs_Modulable!$F$2:$F$204,0)),0)</f>
        <v>3257150100228</v>
      </c>
      <c r="L1850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19.998643999999999</v>
      </c>
      <c r="M1850" s="228">
        <f>IF(Tableau14[[#This Row],[Prix_Unit_HT]]=0,0,Tableau14[[#This Row],[Prix_Unit_HT]]+(Tableau14[[#This Row],[Prix_Unit_HT]]*VLOOKUP(Tableau14[[#This Row],[EAN]],[1]Grille_Tarifs_Modulable!$B$10:$Q$204,16,FALSE)))</f>
        <v>23.998372799999999</v>
      </c>
      <c r="N1850" s="224">
        <v>12</v>
      </c>
      <c r="O1850" s="228">
        <f>ROUND(Tableau14[[#This Row],[Prix_Unit_HT]],2)*Tableau14[[#This Row],[Qte_commande]]</f>
        <v>240</v>
      </c>
      <c r="P1850" s="228">
        <f>ROUND(Tableau14[[#This Row],[Prix_Unit_TTC]],2)*Tableau14[[#This Row],[Qte_commande]]</f>
        <v>288</v>
      </c>
      <c r="Q1850" s="224">
        <v>12</v>
      </c>
      <c r="R1850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12.000000000000002</v>
      </c>
      <c r="U1850" s="224"/>
      <c r="V1850" s="224"/>
    </row>
    <row r="1851" spans="1:22" ht="14.65" customHeight="1" x14ac:dyDescent="0.2">
      <c r="A1851" s="225">
        <v>43791</v>
      </c>
      <c r="B1851" s="224" t="s">
        <v>433</v>
      </c>
      <c r="C1851" s="224" t="s">
        <v>434</v>
      </c>
      <c r="D1851" s="224" t="s">
        <v>435</v>
      </c>
      <c r="E1851" s="226"/>
      <c r="G1851" s="224" t="s">
        <v>1</v>
      </c>
      <c r="H1851" s="224" t="s">
        <v>289</v>
      </c>
      <c r="I1851" s="224" t="s">
        <v>34</v>
      </c>
      <c r="J1851" s="224">
        <v>70</v>
      </c>
      <c r="K1851" s="227">
        <f t="array" ref="K1851">IFERROR(INDEX([1]Grille_Tarifs_Modulable!$B$2:$B$204,MATCH(Tableau14[[#This Row],[Designation]]&amp;Tableau14[[#This Row],[CL]],[1]Grille_Tarifs_Modulable!$C$2:$C$204&amp;[1]Grille_Tarifs_Modulable!$F$2:$F$204,0)),0)</f>
        <v>3257150100167</v>
      </c>
      <c r="L1851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27.618644000000003</v>
      </c>
      <c r="M1851" s="228">
        <f>IF(Tableau14[[#This Row],[Prix_Unit_HT]]=0,0,Tableau14[[#This Row],[Prix_Unit_HT]]+(Tableau14[[#This Row],[Prix_Unit_HT]]*VLOOKUP(Tableau14[[#This Row],[EAN]],[1]Grille_Tarifs_Modulable!$B$10:$Q$204,16,FALSE)))</f>
        <v>33.142372800000004</v>
      </c>
      <c r="N1851" s="224">
        <v>6</v>
      </c>
      <c r="O1851" s="228">
        <f>ROUND(Tableau14[[#This Row],[Prix_Unit_HT]],2)*Tableau14[[#This Row],[Qte_commande]]</f>
        <v>165.72</v>
      </c>
      <c r="P1851" s="228">
        <f>ROUND(Tableau14[[#This Row],[Prix_Unit_TTC]],2)*Tableau14[[#This Row],[Qte_commande]]</f>
        <v>198.84</v>
      </c>
      <c r="Q1851" s="224">
        <v>6</v>
      </c>
      <c r="R1851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6.0000000000000009</v>
      </c>
      <c r="U1851" s="224"/>
      <c r="V1851" s="224"/>
    </row>
    <row r="1852" spans="1:22" ht="14.65" customHeight="1" x14ac:dyDescent="0.2">
      <c r="A1852" s="225">
        <v>43791</v>
      </c>
      <c r="B1852" s="224" t="s">
        <v>433</v>
      </c>
      <c r="C1852" s="224" t="s">
        <v>434</v>
      </c>
      <c r="D1852" s="224" t="s">
        <v>435</v>
      </c>
      <c r="E1852" s="226"/>
      <c r="G1852" s="224" t="s">
        <v>1</v>
      </c>
      <c r="H1852" s="224" t="s">
        <v>289</v>
      </c>
      <c r="I1852" s="224" t="s">
        <v>31</v>
      </c>
      <c r="J1852" s="224">
        <v>70</v>
      </c>
      <c r="K1852" s="227">
        <f t="array" ref="K1852">IFERROR(INDEX([1]Grille_Tarifs_Modulable!$B$2:$B$204,MATCH(Tableau14[[#This Row],[Designation]]&amp;Tableau14[[#This Row],[CL]],[1]Grille_Tarifs_Modulable!$C$2:$C$204&amp;[1]Grille_Tarifs_Modulable!$F$2:$F$204,0)),0)</f>
        <v>3257150102017</v>
      </c>
      <c r="L1852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14.694322</v>
      </c>
      <c r="M1852" s="228">
        <f>IF(Tableau14[[#This Row],[Prix_Unit_HT]]=0,0,Tableau14[[#This Row],[Prix_Unit_HT]]+(Tableau14[[#This Row],[Prix_Unit_HT]]*VLOOKUP(Tableau14[[#This Row],[EAN]],[1]Grille_Tarifs_Modulable!$B$10:$Q$204,16,FALSE)))</f>
        <v>17.6331864</v>
      </c>
      <c r="N1852" s="224">
        <v>12</v>
      </c>
      <c r="O1852" s="228">
        <f>ROUND(Tableau14[[#This Row],[Prix_Unit_HT]],2)*Tableau14[[#This Row],[Qte_commande]]</f>
        <v>176.28</v>
      </c>
      <c r="P1852" s="228">
        <f>ROUND(Tableau14[[#This Row],[Prix_Unit_TTC]],2)*Tableau14[[#This Row],[Qte_commande]]</f>
        <v>211.56</v>
      </c>
      <c r="Q1852" s="224">
        <v>12</v>
      </c>
      <c r="R1852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12.000000000000002</v>
      </c>
      <c r="U1852" s="224"/>
      <c r="V1852" s="224"/>
    </row>
    <row r="1853" spans="1:22" ht="14.65" customHeight="1" x14ac:dyDescent="0.2">
      <c r="A1853" s="225">
        <v>43791</v>
      </c>
      <c r="B1853" s="224" t="s">
        <v>433</v>
      </c>
      <c r="C1853" s="224" t="s">
        <v>434</v>
      </c>
      <c r="D1853" s="224" t="s">
        <v>435</v>
      </c>
      <c r="E1853" s="226"/>
      <c r="G1853" s="224" t="s">
        <v>1</v>
      </c>
      <c r="H1853" s="224" t="s">
        <v>289</v>
      </c>
      <c r="I1853" s="224" t="s">
        <v>44</v>
      </c>
      <c r="J1853" s="224">
        <v>50</v>
      </c>
      <c r="K1853" s="227">
        <f t="array" ref="K1853">IFERROR(INDEX([1]Grille_Tarifs_Modulable!$B$2:$B$204,MATCH(Tableau14[[#This Row],[Designation]]&amp;Tableau14[[#This Row],[CL]],[1]Grille_Tarifs_Modulable!$C$2:$C$204&amp;[1]Grille_Tarifs_Modulable!$F$2:$F$204,0)),0)</f>
        <v>4260270192645</v>
      </c>
      <c r="L1853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25.192506000000002</v>
      </c>
      <c r="M1853" s="228">
        <f>IF(Tableau14[[#This Row],[Prix_Unit_HT]]=0,0,Tableau14[[#This Row],[Prix_Unit_HT]]+(Tableau14[[#This Row],[Prix_Unit_HT]]*VLOOKUP(Tableau14[[#This Row],[EAN]],[1]Grille_Tarifs_Modulable!$B$10:$Q$204,16,FALSE)))</f>
        <v>30.231007200000001</v>
      </c>
      <c r="N1853" s="224">
        <v>12</v>
      </c>
      <c r="O1853" s="228">
        <f>ROUND(Tableau14[[#This Row],[Prix_Unit_HT]],2)*Tableau14[[#This Row],[Qte_commande]]</f>
        <v>302.28000000000003</v>
      </c>
      <c r="P1853" s="228">
        <f>ROUND(Tableau14[[#This Row],[Prix_Unit_TTC]],2)*Tableau14[[#This Row],[Qte_commande]]</f>
        <v>362.76</v>
      </c>
      <c r="Q1853" s="224">
        <v>8.57</v>
      </c>
      <c r="R1853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8.5714285714285712</v>
      </c>
      <c r="U1853" s="224"/>
      <c r="V1853" s="224"/>
    </row>
    <row r="1854" spans="1:22" ht="14.65" customHeight="1" x14ac:dyDescent="0.2">
      <c r="A1854" s="225">
        <v>43791</v>
      </c>
      <c r="B1854" s="224" t="s">
        <v>433</v>
      </c>
      <c r="C1854" s="224" t="s">
        <v>434</v>
      </c>
      <c r="D1854" s="224" t="s">
        <v>435</v>
      </c>
      <c r="E1854" s="226"/>
      <c r="G1854" s="224" t="s">
        <v>1</v>
      </c>
      <c r="H1854" s="224" t="s">
        <v>196</v>
      </c>
      <c r="I1854" s="224" t="s">
        <v>64</v>
      </c>
      <c r="J1854" s="224">
        <v>20</v>
      </c>
      <c r="K1854" s="227">
        <f t="array" ref="K1854">IFERROR(INDEX([1]Grille_Tarifs_Modulable!$B$2:$B$204,MATCH(Tableau14[[#This Row],[Designation]]&amp;Tableau14[[#This Row],[CL]],[1]Grille_Tarifs_Modulable!$C$2:$C$204&amp;[1]Grille_Tarifs_Modulable!$F$2:$F$204,0)),0)</f>
        <v>4260310553849</v>
      </c>
      <c r="L1854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0.81</v>
      </c>
      <c r="M1854" s="228">
        <f>IF(Tableau14[[#This Row],[Prix_Unit_HT]]=0,0,Tableau14[[#This Row],[Prix_Unit_HT]]+(Tableau14[[#This Row],[Prix_Unit_HT]]*VLOOKUP(Tableau14[[#This Row],[EAN]],[1]Grille_Tarifs_Modulable!$B$10:$Q$204,16,FALSE)))</f>
        <v>0.85455000000000003</v>
      </c>
      <c r="N1854" s="224">
        <v>24</v>
      </c>
      <c r="O1854" s="228">
        <f>ROUND(Tableau14[[#This Row],[Prix_Unit_HT]],2)*Tableau14[[#This Row],[Qte_commande]]</f>
        <v>19.440000000000001</v>
      </c>
      <c r="P1854" s="228">
        <f>ROUND(Tableau14[[#This Row],[Prix_Unit_TTC]],2)*Tableau14[[#This Row],[Qte_commande]]</f>
        <v>20.399999999999999</v>
      </c>
      <c r="Q1854" s="224">
        <v>6.86</v>
      </c>
      <c r="R1854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6.8571428571428577</v>
      </c>
      <c r="U1854" s="224"/>
      <c r="V1854" s="224"/>
    </row>
    <row r="1855" spans="1:22" ht="14.65" customHeight="1" x14ac:dyDescent="0.2">
      <c r="A1855" s="225">
        <v>43791</v>
      </c>
      <c r="B1855" s="224" t="s">
        <v>433</v>
      </c>
      <c r="C1855" s="224" t="s">
        <v>434</v>
      </c>
      <c r="D1855" s="224" t="s">
        <v>435</v>
      </c>
      <c r="E1855" s="226"/>
      <c r="G1855" s="224" t="s">
        <v>1</v>
      </c>
      <c r="H1855" s="224" t="s">
        <v>196</v>
      </c>
      <c r="I1855" s="224" t="s">
        <v>59</v>
      </c>
      <c r="J1855" s="224">
        <v>20</v>
      </c>
      <c r="K1855" s="227">
        <f t="array" ref="K1855">IFERROR(INDEX([1]Grille_Tarifs_Modulable!$B$2:$B$204,MATCH(Tableau14[[#This Row],[Designation]]&amp;Tableau14[[#This Row],[CL]],[1]Grille_Tarifs_Modulable!$C$2:$C$204&amp;[1]Grille_Tarifs_Modulable!$F$2:$F$204,0)),0)</f>
        <v>4260310553818</v>
      </c>
      <c r="L1855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0.81</v>
      </c>
      <c r="M1855" s="228">
        <f>IF(Tableau14[[#This Row],[Prix_Unit_HT]]=0,0,Tableau14[[#This Row],[Prix_Unit_HT]]+(Tableau14[[#This Row],[Prix_Unit_HT]]*VLOOKUP(Tableau14[[#This Row],[EAN]],[1]Grille_Tarifs_Modulable!$B$10:$Q$204,16,FALSE)))</f>
        <v>0.85455000000000003</v>
      </c>
      <c r="N1855" s="224">
        <v>24</v>
      </c>
      <c r="O1855" s="228">
        <f>ROUND(Tableau14[[#This Row],[Prix_Unit_HT]],2)*Tableau14[[#This Row],[Qte_commande]]</f>
        <v>19.440000000000001</v>
      </c>
      <c r="P1855" s="228">
        <f>ROUND(Tableau14[[#This Row],[Prix_Unit_TTC]],2)*Tableau14[[#This Row],[Qte_commande]]</f>
        <v>20.399999999999999</v>
      </c>
      <c r="Q1855" s="224">
        <v>6.86</v>
      </c>
      <c r="R1855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6.8571428571428577</v>
      </c>
      <c r="U1855" s="224"/>
      <c r="V1855" s="224"/>
    </row>
    <row r="1856" spans="1:22" ht="14.65" customHeight="1" x14ac:dyDescent="0.2">
      <c r="A1856" s="225">
        <v>43795</v>
      </c>
      <c r="B1856" s="224" t="s">
        <v>782</v>
      </c>
      <c r="C1856" s="224" t="s">
        <v>530</v>
      </c>
      <c r="D1856" s="224" t="s">
        <v>531</v>
      </c>
      <c r="E1856" s="226"/>
      <c r="G1856" s="224" t="s">
        <v>1</v>
      </c>
      <c r="H1856" s="224" t="s">
        <v>289</v>
      </c>
      <c r="I1856" s="224" t="s">
        <v>15</v>
      </c>
      <c r="J1856" s="224">
        <v>70</v>
      </c>
      <c r="K1856" s="227">
        <f t="array" ref="K1856">IFERROR(INDEX([1]Grille_Tarifs_Modulable!$B$2:$B$204,MATCH(Tableau14[[#This Row],[Designation]]&amp;Tableau14[[#This Row],[CL]],[1]Grille_Tarifs_Modulable!$C$2:$C$204&amp;[1]Grille_Tarifs_Modulable!$F$2:$F$204,0)),0)</f>
        <v>4067700013859</v>
      </c>
      <c r="L1856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12.532563499999998</v>
      </c>
      <c r="M1856" s="228">
        <f>IF(Tableau14[[#This Row],[Prix_Unit_HT]]=0,0,Tableau14[[#This Row],[Prix_Unit_HT]]+(Tableau14[[#This Row],[Prix_Unit_HT]]*VLOOKUP(Tableau14[[#This Row],[EAN]],[1]Grille_Tarifs_Modulable!$B$10:$Q$204,16,FALSE)))</f>
        <v>15.039076199999998</v>
      </c>
      <c r="N1856" s="224">
        <v>240</v>
      </c>
      <c r="O1856" s="228">
        <f>ROUND(Tableau14[[#This Row],[Prix_Unit_HT]],2)*Tableau14[[#This Row],[Qte_commande]]</f>
        <v>3007.2</v>
      </c>
      <c r="P1856" s="228">
        <f>ROUND(Tableau14[[#This Row],[Prix_Unit_TTC]],2)*Tableau14[[#This Row],[Qte_commande]]</f>
        <v>3609.6</v>
      </c>
      <c r="Q1856" s="224">
        <v>240</v>
      </c>
      <c r="R1856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240.00000000000003</v>
      </c>
      <c r="U1856" s="224"/>
      <c r="V1856" s="224"/>
    </row>
    <row r="1857" spans="1:22" ht="14.65" customHeight="1" x14ac:dyDescent="0.2">
      <c r="A1857" s="225">
        <v>43796</v>
      </c>
      <c r="B1857" s="224" t="s">
        <v>436</v>
      </c>
      <c r="C1857" s="224" t="s">
        <v>378</v>
      </c>
      <c r="D1857" s="224" t="s">
        <v>437</v>
      </c>
      <c r="E1857" s="226"/>
      <c r="G1857" s="224" t="s">
        <v>1</v>
      </c>
      <c r="H1857" s="224" t="s">
        <v>289</v>
      </c>
      <c r="I1857" s="224" t="s">
        <v>35</v>
      </c>
      <c r="J1857" s="224">
        <v>70</v>
      </c>
      <c r="K1857" s="227">
        <f t="array" ref="K1857">IFERROR(INDEX([1]Grille_Tarifs_Modulable!$B$2:$B$204,MATCH(Tableau14[[#This Row],[Designation]]&amp;Tableau14[[#This Row],[CL]],[1]Grille_Tarifs_Modulable!$C$2:$C$204&amp;[1]Grille_Tarifs_Modulable!$F$2:$F$204,0)),0)</f>
        <v>3257150107012</v>
      </c>
      <c r="L1857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29.828643999999997</v>
      </c>
      <c r="M1857" s="228">
        <f>IF(Tableau14[[#This Row],[Prix_Unit_HT]]=0,0,Tableau14[[#This Row],[Prix_Unit_HT]]+(Tableau14[[#This Row],[Prix_Unit_HT]]*VLOOKUP(Tableau14[[#This Row],[EAN]],[1]Grille_Tarifs_Modulable!$B$10:$Q$204,16,FALSE)))</f>
        <v>35.794372799999998</v>
      </c>
      <c r="N1857" s="224">
        <v>18</v>
      </c>
      <c r="O1857" s="228">
        <f>ROUND(Tableau14[[#This Row],[Prix_Unit_HT]],2)*Tableau14[[#This Row],[Qte_commande]]</f>
        <v>536.93999999999994</v>
      </c>
      <c r="P1857" s="228">
        <f>ROUND(Tableau14[[#This Row],[Prix_Unit_TTC]],2)*Tableau14[[#This Row],[Qte_commande]]</f>
        <v>644.22</v>
      </c>
      <c r="Q1857" s="224">
        <v>18</v>
      </c>
      <c r="R1857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18</v>
      </c>
      <c r="U1857" s="224"/>
      <c r="V1857" s="224"/>
    </row>
    <row r="1858" spans="1:22" ht="14.65" customHeight="1" x14ac:dyDescent="0.2">
      <c r="A1858" s="225">
        <v>43796</v>
      </c>
      <c r="B1858" s="224" t="s">
        <v>514</v>
      </c>
      <c r="C1858" s="224" t="s">
        <v>265</v>
      </c>
      <c r="D1858" s="224" t="s">
        <v>266</v>
      </c>
      <c r="E1858" s="226"/>
      <c r="G1858" s="224" t="s">
        <v>1</v>
      </c>
      <c r="H1858" s="224" t="s">
        <v>196</v>
      </c>
      <c r="I1858" s="224" t="s">
        <v>60</v>
      </c>
      <c r="J1858" s="224">
        <v>20</v>
      </c>
      <c r="K1858" s="227">
        <f t="array" ref="K1858">IFERROR(INDEX([1]Grille_Tarifs_Modulable!$B$2:$B$204,MATCH(Tableau14[[#This Row],[Designation]]&amp;Tableau14[[#This Row],[CL]],[1]Grille_Tarifs_Modulable!$C$2:$C$204&amp;[1]Grille_Tarifs_Modulable!$F$2:$F$204,0)),0)</f>
        <v>4260310553832</v>
      </c>
      <c r="L1858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0.81</v>
      </c>
      <c r="M1858" s="228">
        <f>IF(Tableau14[[#This Row],[Prix_Unit_HT]]=0,0,Tableau14[[#This Row],[Prix_Unit_HT]]+(Tableau14[[#This Row],[Prix_Unit_HT]]*VLOOKUP(Tableau14[[#This Row],[EAN]],[1]Grille_Tarifs_Modulable!$B$10:$Q$204,16,FALSE)))</f>
        <v>0.85455000000000003</v>
      </c>
      <c r="N1858" s="224">
        <v>96</v>
      </c>
      <c r="O1858" s="228">
        <f>ROUND(Tableau14[[#This Row],[Prix_Unit_HT]],2)*Tableau14[[#This Row],[Qte_commande]]</f>
        <v>77.760000000000005</v>
      </c>
      <c r="P1858" s="228">
        <f>ROUND(Tableau14[[#This Row],[Prix_Unit_TTC]],2)*Tableau14[[#This Row],[Qte_commande]]</f>
        <v>81.599999999999994</v>
      </c>
      <c r="Q1858" s="224">
        <v>27.43</v>
      </c>
      <c r="R1858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27.428571428571431</v>
      </c>
      <c r="U1858" s="224"/>
      <c r="V1858" s="224"/>
    </row>
    <row r="1859" spans="1:22" ht="14.65" customHeight="1" x14ac:dyDescent="0.2">
      <c r="A1859" s="225">
        <v>43796</v>
      </c>
      <c r="B1859" s="224" t="s">
        <v>514</v>
      </c>
      <c r="C1859" s="224" t="s">
        <v>265</v>
      </c>
      <c r="D1859" s="224" t="s">
        <v>266</v>
      </c>
      <c r="E1859" s="226"/>
      <c r="G1859" s="224" t="s">
        <v>1</v>
      </c>
      <c r="H1859" s="224" t="s">
        <v>289</v>
      </c>
      <c r="I1859" s="224" t="s">
        <v>15</v>
      </c>
      <c r="J1859" s="224">
        <v>70</v>
      </c>
      <c r="K1859" s="227">
        <f t="array" ref="K1859">IFERROR(INDEX([1]Grille_Tarifs_Modulable!$B$2:$B$204,MATCH(Tableau14[[#This Row],[Designation]]&amp;Tableau14[[#This Row],[CL]],[1]Grille_Tarifs_Modulable!$C$2:$C$204&amp;[1]Grille_Tarifs_Modulable!$F$2:$F$204,0)),0)</f>
        <v>4067700013859</v>
      </c>
      <c r="L1859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12.532563499999998</v>
      </c>
      <c r="M1859" s="228">
        <f>IF(Tableau14[[#This Row],[Prix_Unit_HT]]=0,0,Tableau14[[#This Row],[Prix_Unit_HT]]+(Tableau14[[#This Row],[Prix_Unit_HT]]*VLOOKUP(Tableau14[[#This Row],[EAN]],[1]Grille_Tarifs_Modulable!$B$10:$Q$204,16,FALSE)))</f>
        <v>15.039076199999998</v>
      </c>
      <c r="N1859" s="224">
        <v>42</v>
      </c>
      <c r="O1859" s="228">
        <f>ROUND(Tableau14[[#This Row],[Prix_Unit_HT]],2)*Tableau14[[#This Row],[Qte_commande]]</f>
        <v>526.26</v>
      </c>
      <c r="P1859" s="228">
        <f>ROUND(Tableau14[[#This Row],[Prix_Unit_TTC]],2)*Tableau14[[#This Row],[Qte_commande]]</f>
        <v>631.67999999999995</v>
      </c>
      <c r="Q1859" s="224">
        <v>42</v>
      </c>
      <c r="R1859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42</v>
      </c>
      <c r="U1859" s="224"/>
      <c r="V1859" s="224"/>
    </row>
    <row r="1860" spans="1:22" ht="14.65" customHeight="1" x14ac:dyDescent="0.2">
      <c r="A1860" s="225">
        <v>43796</v>
      </c>
      <c r="B1860" s="224" t="s">
        <v>514</v>
      </c>
      <c r="C1860" s="224" t="s">
        <v>265</v>
      </c>
      <c r="D1860" s="224" t="s">
        <v>266</v>
      </c>
      <c r="E1860" s="226"/>
      <c r="G1860" s="224" t="s">
        <v>1</v>
      </c>
      <c r="H1860" s="224" t="s">
        <v>289</v>
      </c>
      <c r="I1860" s="224" t="s">
        <v>15</v>
      </c>
      <c r="J1860" s="224">
        <v>70</v>
      </c>
      <c r="K1860" s="227">
        <f t="array" ref="K1860">IFERROR(INDEX([1]Grille_Tarifs_Modulable!$B$2:$B$204,MATCH(Tableau14[[#This Row],[Designation]]&amp;Tableau14[[#This Row],[CL]],[1]Grille_Tarifs_Modulable!$C$2:$C$204&amp;[1]Grille_Tarifs_Modulable!$F$2:$F$204,0)),0)</f>
        <v>4067700013859</v>
      </c>
      <c r="L1860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12.532563499999998</v>
      </c>
      <c r="M1860" s="228">
        <f>IF(Tableau14[[#This Row],[Prix_Unit_HT]]=0,0,Tableau14[[#This Row],[Prix_Unit_HT]]+(Tableau14[[#This Row],[Prix_Unit_HT]]*VLOOKUP(Tableau14[[#This Row],[EAN]],[1]Grille_Tarifs_Modulable!$B$10:$Q$204,16,FALSE)))</f>
        <v>15.039076199999998</v>
      </c>
      <c r="N1860" s="224">
        <v>198</v>
      </c>
      <c r="O1860" s="228">
        <f>ROUND(Tableau14[[#This Row],[Prix_Unit_HT]],2)*Tableau14[[#This Row],[Qte_commande]]</f>
        <v>2480.94</v>
      </c>
      <c r="P1860" s="228">
        <f>ROUND(Tableau14[[#This Row],[Prix_Unit_TTC]],2)*Tableau14[[#This Row],[Qte_commande]]</f>
        <v>2977.9199999999996</v>
      </c>
      <c r="Q1860" s="224">
        <v>198</v>
      </c>
      <c r="R1860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198</v>
      </c>
      <c r="U1860" s="224"/>
      <c r="V1860" s="224"/>
    </row>
    <row r="1861" spans="1:22" ht="14.65" customHeight="1" x14ac:dyDescent="0.2">
      <c r="A1861" s="225">
        <v>43796</v>
      </c>
      <c r="B1861" s="224" t="s">
        <v>436</v>
      </c>
      <c r="C1861" s="224" t="s">
        <v>378</v>
      </c>
      <c r="D1861" s="224" t="s">
        <v>437</v>
      </c>
      <c r="E1861" s="226"/>
      <c r="G1861" s="224" t="s">
        <v>1</v>
      </c>
      <c r="H1861" s="224" t="s">
        <v>289</v>
      </c>
      <c r="I1861" s="224" t="s">
        <v>48</v>
      </c>
      <c r="J1861" s="224">
        <v>70</v>
      </c>
      <c r="K1861" s="227">
        <f t="array" ref="K1861">IFERROR(INDEX([1]Grille_Tarifs_Modulable!$B$2:$B$204,MATCH(Tableau14[[#This Row],[Designation]]&amp;Tableau14[[#This Row],[CL]],[1]Grille_Tarifs_Modulable!$C$2:$C$204&amp;[1]Grille_Tarifs_Modulable!$F$2:$F$204,0)),0)</f>
        <v>3257150673029</v>
      </c>
      <c r="L1861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17.769508399999999</v>
      </c>
      <c r="M1861" s="228">
        <f>IF(Tableau14[[#This Row],[Prix_Unit_HT]]=0,0,Tableau14[[#This Row],[Prix_Unit_HT]]+(Tableau14[[#This Row],[Prix_Unit_HT]]*VLOOKUP(Tableau14[[#This Row],[EAN]],[1]Grille_Tarifs_Modulable!$B$10:$Q$204,16,FALSE)))</f>
        <v>21.323410079999999</v>
      </c>
      <c r="N1861" s="224">
        <v>6</v>
      </c>
      <c r="O1861" s="228">
        <f>ROUND(Tableau14[[#This Row],[Prix_Unit_HT]],2)*Tableau14[[#This Row],[Qte_commande]]</f>
        <v>106.62</v>
      </c>
      <c r="P1861" s="228">
        <f>ROUND(Tableau14[[#This Row],[Prix_Unit_TTC]],2)*Tableau14[[#This Row],[Qte_commande]]</f>
        <v>127.92</v>
      </c>
      <c r="Q1861" s="224">
        <v>6</v>
      </c>
      <c r="R1861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6.0000000000000009</v>
      </c>
      <c r="U1861" s="224"/>
      <c r="V1861" s="224"/>
    </row>
    <row r="1862" spans="1:22" ht="14.65" customHeight="1" x14ac:dyDescent="0.2">
      <c r="A1862" s="225">
        <v>43796</v>
      </c>
      <c r="B1862" s="224" t="s">
        <v>514</v>
      </c>
      <c r="C1862" s="224" t="s">
        <v>265</v>
      </c>
      <c r="D1862" s="224" t="s">
        <v>266</v>
      </c>
      <c r="E1862" s="226"/>
      <c r="G1862" s="224" t="s">
        <v>13</v>
      </c>
      <c r="H1862" s="224" t="s">
        <v>196</v>
      </c>
      <c r="I1862" s="224" t="s">
        <v>66</v>
      </c>
      <c r="J1862" s="224">
        <v>20</v>
      </c>
      <c r="K1862" s="227">
        <f t="array" ref="K1862">IFERROR(INDEX([1]Grille_Tarifs_Modulable!$B$2:$B$204,MATCH(Tableau14[[#This Row],[Designation]]&amp;Tableau14[[#This Row],[CL]],[1]Grille_Tarifs_Modulable!$C$2:$C$204&amp;[1]Grille_Tarifs_Modulable!$F$2:$F$204,0)),0)</f>
        <v>4260310554785</v>
      </c>
      <c r="L1862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0.89</v>
      </c>
      <c r="M1862" s="228">
        <f>IF(Tableau14[[#This Row],[Prix_Unit_HT]]=0,0,Tableau14[[#This Row],[Prix_Unit_HT]]+(Tableau14[[#This Row],[Prix_Unit_HT]]*VLOOKUP(Tableau14[[#This Row],[EAN]],[1]Grille_Tarifs_Modulable!$B$10:$Q$204,16,FALSE)))</f>
        <v>0.93895000000000006</v>
      </c>
      <c r="N1862" s="224">
        <v>192</v>
      </c>
      <c r="O1862" s="228">
        <f>ROUND(Tableau14[[#This Row],[Prix_Unit_HT]],2)*Tableau14[[#This Row],[Qte_commande]]</f>
        <v>170.88</v>
      </c>
      <c r="P1862" s="228">
        <f>ROUND(Tableau14[[#This Row],[Prix_Unit_TTC]],2)*Tableau14[[#This Row],[Qte_commande]]</f>
        <v>180.48</v>
      </c>
      <c r="Q1862" s="224">
        <v>54.86</v>
      </c>
      <c r="R1862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54.857142857142861</v>
      </c>
      <c r="U1862" s="224"/>
      <c r="V1862" s="224"/>
    </row>
    <row r="1863" spans="1:22" ht="14.65" customHeight="1" x14ac:dyDescent="0.2">
      <c r="A1863" s="225">
        <v>43796</v>
      </c>
      <c r="B1863" s="224" t="s">
        <v>436</v>
      </c>
      <c r="C1863" s="224" t="s">
        <v>378</v>
      </c>
      <c r="D1863" s="224" t="s">
        <v>437</v>
      </c>
      <c r="E1863" s="226"/>
      <c r="G1863" s="224" t="s">
        <v>1</v>
      </c>
      <c r="H1863" s="224" t="s">
        <v>289</v>
      </c>
      <c r="I1863" s="224" t="s">
        <v>30</v>
      </c>
      <c r="J1863" s="224">
        <v>70</v>
      </c>
      <c r="K1863" s="227">
        <f t="array" ref="K1863">IFERROR(INDEX([1]Grille_Tarifs_Modulable!$B$2:$B$204,MATCH(Tableau14[[#This Row],[Designation]]&amp;Tableau14[[#This Row],[CL]],[1]Grille_Tarifs_Modulable!$C$2:$C$204&amp;[1]Grille_Tarifs_Modulable!$F$2:$F$204,0)),0)</f>
        <v>3257150101904</v>
      </c>
      <c r="L1863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16.346482999999999</v>
      </c>
      <c r="M1863" s="228">
        <f>IF(Tableau14[[#This Row],[Prix_Unit_HT]]=0,0,Tableau14[[#This Row],[Prix_Unit_HT]]+(Tableau14[[#This Row],[Prix_Unit_HT]]*VLOOKUP(Tableau14[[#This Row],[EAN]],[1]Grille_Tarifs_Modulable!$B$10:$Q$204,16,FALSE)))</f>
        <v>19.6157796</v>
      </c>
      <c r="N1863" s="224">
        <v>18</v>
      </c>
      <c r="O1863" s="228">
        <f>ROUND(Tableau14[[#This Row],[Prix_Unit_HT]],2)*Tableau14[[#This Row],[Qte_commande]]</f>
        <v>294.3</v>
      </c>
      <c r="P1863" s="228">
        <f>ROUND(Tableau14[[#This Row],[Prix_Unit_TTC]],2)*Tableau14[[#This Row],[Qte_commande]]</f>
        <v>353.16</v>
      </c>
      <c r="Q1863" s="224">
        <v>18</v>
      </c>
      <c r="R1863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18</v>
      </c>
      <c r="U1863" s="224"/>
      <c r="V1863" s="224"/>
    </row>
    <row r="1864" spans="1:22" ht="14.65" customHeight="1" x14ac:dyDescent="0.2">
      <c r="A1864" s="225">
        <v>43796</v>
      </c>
      <c r="B1864" s="224" t="s">
        <v>514</v>
      </c>
      <c r="C1864" s="224" t="s">
        <v>265</v>
      </c>
      <c r="D1864" s="224" t="s">
        <v>266</v>
      </c>
      <c r="E1864" s="226"/>
      <c r="G1864" s="224" t="s">
        <v>1</v>
      </c>
      <c r="H1864" s="224" t="s">
        <v>289</v>
      </c>
      <c r="I1864" s="224" t="s">
        <v>31</v>
      </c>
      <c r="J1864" s="224">
        <v>70</v>
      </c>
      <c r="K1864" s="227">
        <f t="array" ref="K1864">IFERROR(INDEX([1]Grille_Tarifs_Modulable!$B$2:$B$204,MATCH(Tableau14[[#This Row],[Designation]]&amp;Tableau14[[#This Row],[CL]],[1]Grille_Tarifs_Modulable!$C$2:$C$204&amp;[1]Grille_Tarifs_Modulable!$F$2:$F$204,0)),0)</f>
        <v>3257150102017</v>
      </c>
      <c r="L1864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14.694322</v>
      </c>
      <c r="M1864" s="228">
        <f>IF(Tableau14[[#This Row],[Prix_Unit_HT]]=0,0,Tableau14[[#This Row],[Prix_Unit_HT]]+(Tableau14[[#This Row],[Prix_Unit_HT]]*VLOOKUP(Tableau14[[#This Row],[EAN]],[1]Grille_Tarifs_Modulable!$B$10:$Q$204,16,FALSE)))</f>
        <v>17.6331864</v>
      </c>
      <c r="N1864" s="224">
        <v>6</v>
      </c>
      <c r="O1864" s="228">
        <f>ROUND(Tableau14[[#This Row],[Prix_Unit_HT]],2)*Tableau14[[#This Row],[Qte_commande]]</f>
        <v>88.14</v>
      </c>
      <c r="P1864" s="228">
        <f>ROUND(Tableau14[[#This Row],[Prix_Unit_TTC]],2)*Tableau14[[#This Row],[Qte_commande]]</f>
        <v>105.78</v>
      </c>
      <c r="Q1864" s="224">
        <v>6</v>
      </c>
      <c r="R1864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6.0000000000000009</v>
      </c>
      <c r="U1864" s="224"/>
      <c r="V1864" s="224"/>
    </row>
    <row r="1865" spans="1:22" ht="14.65" customHeight="1" x14ac:dyDescent="0.2">
      <c r="A1865" s="225">
        <v>43796</v>
      </c>
      <c r="B1865" s="224" t="s">
        <v>436</v>
      </c>
      <c r="C1865" s="224" t="s">
        <v>378</v>
      </c>
      <c r="D1865" s="224" t="s">
        <v>437</v>
      </c>
      <c r="E1865" s="226"/>
      <c r="G1865" s="224" t="s">
        <v>1</v>
      </c>
      <c r="H1865" s="224" t="s">
        <v>289</v>
      </c>
      <c r="I1865" s="224" t="s">
        <v>31</v>
      </c>
      <c r="J1865" s="224">
        <v>70</v>
      </c>
      <c r="K1865" s="227">
        <f t="array" ref="K1865">IFERROR(INDEX([1]Grille_Tarifs_Modulable!$B$2:$B$204,MATCH(Tableau14[[#This Row],[Designation]]&amp;Tableau14[[#This Row],[CL]],[1]Grille_Tarifs_Modulable!$C$2:$C$204&amp;[1]Grille_Tarifs_Modulable!$F$2:$F$204,0)),0)</f>
        <v>3257150102017</v>
      </c>
      <c r="L1865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14.694322</v>
      </c>
      <c r="M1865" s="228">
        <f>IF(Tableau14[[#This Row],[Prix_Unit_HT]]=0,0,Tableau14[[#This Row],[Prix_Unit_HT]]+(Tableau14[[#This Row],[Prix_Unit_HT]]*VLOOKUP(Tableau14[[#This Row],[EAN]],[1]Grille_Tarifs_Modulable!$B$10:$Q$204,16,FALSE)))</f>
        <v>17.6331864</v>
      </c>
      <c r="N1865" s="224">
        <v>18</v>
      </c>
      <c r="O1865" s="228">
        <f>ROUND(Tableau14[[#This Row],[Prix_Unit_HT]],2)*Tableau14[[#This Row],[Qte_commande]]</f>
        <v>264.42</v>
      </c>
      <c r="P1865" s="228">
        <f>ROUND(Tableau14[[#This Row],[Prix_Unit_TTC]],2)*Tableau14[[#This Row],[Qte_commande]]</f>
        <v>317.33999999999997</v>
      </c>
      <c r="Q1865" s="224">
        <v>18</v>
      </c>
      <c r="R1865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18</v>
      </c>
      <c r="U1865" s="224"/>
      <c r="V1865" s="224"/>
    </row>
    <row r="1866" spans="1:22" ht="14.65" customHeight="1" x14ac:dyDescent="0.2">
      <c r="A1866" s="225">
        <v>43796</v>
      </c>
      <c r="B1866" s="224" t="s">
        <v>514</v>
      </c>
      <c r="C1866" s="224" t="s">
        <v>265</v>
      </c>
      <c r="D1866" s="224" t="s">
        <v>266</v>
      </c>
      <c r="E1866" s="226"/>
      <c r="G1866" s="224" t="s">
        <v>1</v>
      </c>
      <c r="H1866" s="224" t="s">
        <v>196</v>
      </c>
      <c r="I1866" s="224" t="s">
        <v>59</v>
      </c>
      <c r="J1866" s="224">
        <v>20</v>
      </c>
      <c r="K1866" s="227">
        <f t="array" ref="K1866">IFERROR(INDEX([1]Grille_Tarifs_Modulable!$B$2:$B$204,MATCH(Tableau14[[#This Row],[Designation]]&amp;Tableau14[[#This Row],[CL]],[1]Grille_Tarifs_Modulable!$C$2:$C$204&amp;[1]Grille_Tarifs_Modulable!$F$2:$F$204,0)),0)</f>
        <v>4260310553818</v>
      </c>
      <c r="L1866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0.81</v>
      </c>
      <c r="M1866" s="228">
        <f>IF(Tableau14[[#This Row],[Prix_Unit_HT]]=0,0,Tableau14[[#This Row],[Prix_Unit_HT]]+(Tableau14[[#This Row],[Prix_Unit_HT]]*VLOOKUP(Tableau14[[#This Row],[EAN]],[1]Grille_Tarifs_Modulable!$B$10:$Q$204,16,FALSE)))</f>
        <v>0.85455000000000003</v>
      </c>
      <c r="N1866" s="224">
        <v>240</v>
      </c>
      <c r="O1866" s="228">
        <f>ROUND(Tableau14[[#This Row],[Prix_Unit_HT]],2)*Tableau14[[#This Row],[Qte_commande]]</f>
        <v>194.4</v>
      </c>
      <c r="P1866" s="228">
        <f>ROUND(Tableau14[[#This Row],[Prix_Unit_TTC]],2)*Tableau14[[#This Row],[Qte_commande]]</f>
        <v>204</v>
      </c>
      <c r="Q1866" s="224">
        <v>68.569999999999993</v>
      </c>
      <c r="R1866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68.571428571428569</v>
      </c>
      <c r="U1866" s="224"/>
      <c r="V1866" s="224"/>
    </row>
    <row r="1867" spans="1:22" ht="14.65" customHeight="1" x14ac:dyDescent="0.2">
      <c r="A1867" s="225">
        <v>43801</v>
      </c>
      <c r="B1867" s="224" t="s">
        <v>783</v>
      </c>
      <c r="C1867" s="224" t="s">
        <v>737</v>
      </c>
      <c r="D1867" s="224" t="s">
        <v>209</v>
      </c>
      <c r="E1867" s="226"/>
      <c r="G1867" s="224" t="s">
        <v>1</v>
      </c>
      <c r="H1867" s="224" t="s">
        <v>289</v>
      </c>
      <c r="I1867" s="224" t="s">
        <v>15</v>
      </c>
      <c r="J1867" s="224">
        <v>70</v>
      </c>
      <c r="K1867" s="227">
        <f t="array" ref="K1867">IFERROR(INDEX([1]Grille_Tarifs_Modulable!$B$2:$B$204,MATCH(Tableau14[[#This Row],[Designation]]&amp;Tableau14[[#This Row],[CL]],[1]Grille_Tarifs_Modulable!$C$2:$C$204&amp;[1]Grille_Tarifs_Modulable!$F$2:$F$204,0)),0)</f>
        <v>4067700013859</v>
      </c>
      <c r="L1867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12.532563499999998</v>
      </c>
      <c r="M1867" s="228">
        <f>IF(Tableau14[[#This Row],[Prix_Unit_HT]]=0,0,Tableau14[[#This Row],[Prix_Unit_HT]]+(Tableau14[[#This Row],[Prix_Unit_HT]]*VLOOKUP(Tableau14[[#This Row],[EAN]],[1]Grille_Tarifs_Modulable!$B$10:$Q$204,16,FALSE)))</f>
        <v>15.039076199999998</v>
      </c>
      <c r="N1867" s="224">
        <v>180</v>
      </c>
      <c r="O1867" s="228">
        <f>ROUND(Tableau14[[#This Row],[Prix_Unit_HT]],2)*Tableau14[[#This Row],[Qte_commande]]</f>
        <v>2255.4</v>
      </c>
      <c r="P1867" s="228">
        <f>ROUND(Tableau14[[#This Row],[Prix_Unit_TTC]],2)*Tableau14[[#This Row],[Qte_commande]]</f>
        <v>2707.2</v>
      </c>
      <c r="Q1867" s="224">
        <v>180</v>
      </c>
      <c r="R1867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180</v>
      </c>
      <c r="U1867" s="224"/>
      <c r="V1867" s="224"/>
    </row>
    <row r="1868" spans="1:22" ht="14.65" customHeight="1" x14ac:dyDescent="0.2">
      <c r="A1868" s="225">
        <v>43801</v>
      </c>
      <c r="B1868" s="224" t="s">
        <v>783</v>
      </c>
      <c r="C1868" s="224" t="s">
        <v>737</v>
      </c>
      <c r="D1868" s="224" t="s">
        <v>209</v>
      </c>
      <c r="E1868" s="226"/>
      <c r="G1868" s="224" t="s">
        <v>1</v>
      </c>
      <c r="H1868" s="224" t="s">
        <v>289</v>
      </c>
      <c r="I1868" s="224" t="s">
        <v>15</v>
      </c>
      <c r="J1868" s="224">
        <v>100</v>
      </c>
      <c r="K1868" s="227">
        <f t="array" ref="K1868">IFERROR(INDEX([1]Grille_Tarifs_Modulable!$B$2:$B$204,MATCH(Tableau14[[#This Row],[Designation]]&amp;Tableau14[[#This Row],[CL]],[1]Grille_Tarifs_Modulable!$C$2:$C$204&amp;[1]Grille_Tarifs_Modulable!$F$2:$F$204,0)),0)</f>
        <v>4067700013842</v>
      </c>
      <c r="L1868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17.100804999999998</v>
      </c>
      <c r="M1868" s="228">
        <f>IF(Tableau14[[#This Row],[Prix_Unit_HT]]=0,0,Tableau14[[#This Row],[Prix_Unit_HT]]+(Tableau14[[#This Row],[Prix_Unit_HT]]*VLOOKUP(Tableau14[[#This Row],[EAN]],[1]Grille_Tarifs_Modulable!$B$10:$Q$204,16,FALSE)))</f>
        <v>20.520965999999998</v>
      </c>
      <c r="N1868" s="224">
        <v>24</v>
      </c>
      <c r="O1868" s="228">
        <f>ROUND(Tableau14[[#This Row],[Prix_Unit_HT]],2)*Tableau14[[#This Row],[Qte_commande]]</f>
        <v>410.40000000000003</v>
      </c>
      <c r="P1868" s="228">
        <f>ROUND(Tableau14[[#This Row],[Prix_Unit_TTC]],2)*Tableau14[[#This Row],[Qte_commande]]</f>
        <v>492.48</v>
      </c>
      <c r="Q1868" s="224">
        <v>34.29</v>
      </c>
      <c r="R1868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34.285714285714285</v>
      </c>
      <c r="U1868" s="224"/>
      <c r="V1868" s="224"/>
    </row>
    <row r="1869" spans="1:22" ht="14.65" customHeight="1" x14ac:dyDescent="0.2">
      <c r="A1869" s="225">
        <v>43801</v>
      </c>
      <c r="B1869" s="224" t="s">
        <v>783</v>
      </c>
      <c r="C1869" s="224" t="s">
        <v>737</v>
      </c>
      <c r="D1869" s="224" t="s">
        <v>209</v>
      </c>
      <c r="E1869" s="226"/>
      <c r="G1869" s="224" t="s">
        <v>1</v>
      </c>
      <c r="H1869" s="224" t="s">
        <v>289</v>
      </c>
      <c r="I1869" s="224" t="s">
        <v>30</v>
      </c>
      <c r="J1869" s="224">
        <v>70</v>
      </c>
      <c r="K1869" s="227">
        <f t="array" ref="K1869">IFERROR(INDEX([1]Grille_Tarifs_Modulable!$B$2:$B$204,MATCH(Tableau14[[#This Row],[Designation]]&amp;Tableau14[[#This Row],[CL]],[1]Grille_Tarifs_Modulable!$C$2:$C$204&amp;[1]Grille_Tarifs_Modulable!$F$2:$F$204,0)),0)</f>
        <v>3257150101904</v>
      </c>
      <c r="L1869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16.346482999999999</v>
      </c>
      <c r="M1869" s="228">
        <f>IF(Tableau14[[#This Row],[Prix_Unit_HT]]=0,0,Tableau14[[#This Row],[Prix_Unit_HT]]+(Tableau14[[#This Row],[Prix_Unit_HT]]*VLOOKUP(Tableau14[[#This Row],[EAN]],[1]Grille_Tarifs_Modulable!$B$10:$Q$204,16,FALSE)))</f>
        <v>19.6157796</v>
      </c>
      <c r="N1869" s="224">
        <v>18</v>
      </c>
      <c r="O1869" s="228">
        <f>ROUND(Tableau14[[#This Row],[Prix_Unit_HT]],2)*Tableau14[[#This Row],[Qte_commande]]</f>
        <v>294.3</v>
      </c>
      <c r="P1869" s="228">
        <f>ROUND(Tableau14[[#This Row],[Prix_Unit_TTC]],2)*Tableau14[[#This Row],[Qte_commande]]</f>
        <v>353.16</v>
      </c>
      <c r="Q1869" s="224">
        <v>18</v>
      </c>
      <c r="R1869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18</v>
      </c>
      <c r="U1869" s="224"/>
      <c r="V1869" s="224"/>
    </row>
    <row r="1870" spans="1:22" ht="14.65" customHeight="1" x14ac:dyDescent="0.2">
      <c r="A1870" s="225">
        <v>43802</v>
      </c>
      <c r="B1870" s="224" t="s">
        <v>885</v>
      </c>
      <c r="C1870" s="224" t="s">
        <v>884</v>
      </c>
      <c r="D1870" s="224" t="s">
        <v>523</v>
      </c>
      <c r="E1870" s="226"/>
      <c r="G1870" s="224" t="s">
        <v>13</v>
      </c>
      <c r="H1870" s="224" t="s">
        <v>289</v>
      </c>
      <c r="I1870" s="224" t="s">
        <v>37</v>
      </c>
      <c r="J1870" s="224">
        <v>5</v>
      </c>
      <c r="K1870" s="227">
        <f t="array" ref="K1870">IFERROR(INDEX([1]Grille_Tarifs_Modulable!$B$2:$B$204,MATCH(Tableau14[[#This Row],[Designation]]&amp;Tableau14[[#This Row],[CL]],[1]Grille_Tarifs_Modulable!$C$2:$C$204&amp;[1]Grille_Tarifs_Modulable!$F$2:$F$204,0)),0)</f>
        <v>3257150100821</v>
      </c>
      <c r="L1870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7.872046000000001</v>
      </c>
      <c r="M1870" s="228">
        <f>IF(Tableau14[[#This Row],[Prix_Unit_HT]]=0,0,Tableau14[[#This Row],[Prix_Unit_HT]]+(Tableau14[[#This Row],[Prix_Unit_HT]]*VLOOKUP(Tableau14[[#This Row],[EAN]],[1]Grille_Tarifs_Modulable!$B$10:$Q$204,16,FALSE)))</f>
        <v>9.4464552000000008</v>
      </c>
      <c r="N1870" s="224">
        <v>31</v>
      </c>
      <c r="O1870" s="228">
        <f>ROUND(Tableau14[[#This Row],[Prix_Unit_HT]],2)*Tableau14[[#This Row],[Qte_commande]]</f>
        <v>243.97</v>
      </c>
      <c r="P1870" s="228">
        <f>ROUND(Tableau14[[#This Row],[Prix_Unit_TTC]],2)*Tableau14[[#This Row],[Qte_commande]]</f>
        <v>292.95</v>
      </c>
      <c r="Q1870" s="224">
        <v>2.21</v>
      </c>
      <c r="R1870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2.2142857142857144</v>
      </c>
      <c r="U1870" s="224"/>
      <c r="V1870" s="224"/>
    </row>
    <row r="1871" spans="1:22" ht="14.65" customHeight="1" x14ac:dyDescent="0.2">
      <c r="A1871" s="225">
        <v>43802</v>
      </c>
      <c r="B1871" s="224" t="s">
        <v>1334</v>
      </c>
      <c r="C1871" s="224" t="s">
        <v>202</v>
      </c>
      <c r="D1871" s="224" t="s">
        <v>203</v>
      </c>
      <c r="E1871" s="226"/>
      <c r="G1871" s="224" t="s">
        <v>13</v>
      </c>
      <c r="H1871" s="224" t="s">
        <v>451</v>
      </c>
      <c r="I1871" s="224" t="s">
        <v>71</v>
      </c>
      <c r="J1871" s="227">
        <v>1</v>
      </c>
      <c r="K1871" s="227">
        <f t="array" ref="K1871">IFERROR(INDEX([1]Grille_Tarifs_Modulable!$B$2:$B$204,MATCH(Tableau14[[#This Row],[Designation]]&amp;Tableau14[[#This Row],[CL]],[1]Grille_Tarifs_Modulable!$C$2:$C$204&amp;[1]Grille_Tarifs_Modulable!$F$2:$F$204,0)),0)</f>
        <v>122</v>
      </c>
      <c r="L1871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299</v>
      </c>
      <c r="M1871" s="228">
        <f>IF(Tableau14[[#This Row],[Prix_Unit_HT]]=0,0,Tableau14[[#This Row],[Prix_Unit_HT]]+(Tableau14[[#This Row],[Prix_Unit_HT]]*VLOOKUP(Tableau14[[#This Row],[EAN]],[1]Grille_Tarifs_Modulable!$B$10:$Q$204,16,FALSE)))</f>
        <v>358.8</v>
      </c>
      <c r="N1871" s="224">
        <v>5</v>
      </c>
      <c r="O1871" s="228">
        <f>ROUND(Tableau14[[#This Row],[Prix_Unit_HT]],2)*Tableau14[[#This Row],[Qte_commande]]</f>
        <v>1495</v>
      </c>
      <c r="P1871" s="228">
        <f>ROUND(Tableau14[[#This Row],[Prix_Unit_TTC]],2)*Tableau14[[#This Row],[Qte_commande]]</f>
        <v>1794</v>
      </c>
      <c r="Q1871" s="224">
        <v>5</v>
      </c>
      <c r="R1871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5</v>
      </c>
      <c r="U1871" s="224"/>
      <c r="V1871" s="224"/>
    </row>
    <row r="1872" spans="1:22" ht="14.65" customHeight="1" x14ac:dyDescent="0.2">
      <c r="A1872" s="225">
        <v>43802</v>
      </c>
      <c r="B1872" s="224" t="s">
        <v>885</v>
      </c>
      <c r="C1872" s="224" t="s">
        <v>884</v>
      </c>
      <c r="D1872" s="224" t="s">
        <v>523</v>
      </c>
      <c r="E1872" s="226"/>
      <c r="G1872" s="224" t="s">
        <v>13</v>
      </c>
      <c r="H1872" s="224"/>
      <c r="I1872" s="224" t="s">
        <v>1348</v>
      </c>
      <c r="J1872" s="228" t="s">
        <v>448</v>
      </c>
      <c r="K1872" s="227">
        <f t="array" ref="K1872">IFERROR(INDEX([1]Grille_Tarifs_Modulable!$B$2:$B$204,MATCH(Tableau14[[#This Row],[Designation]]&amp;Tableau14[[#This Row],[CL]],[1]Grille_Tarifs_Modulable!$C$2:$C$204&amp;[1]Grille_Tarifs_Modulable!$F$2:$F$204,0)),0)</f>
        <v>0</v>
      </c>
      <c r="L1872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</v>
      </c>
      <c r="M1872" s="228">
        <f>IF(Tableau14[[#This Row],[Prix_Unit_HT]]=0,0,Tableau14[[#This Row],[Prix_Unit_HT]]+(Tableau14[[#This Row],[Prix_Unit_HT]]*VLOOKUP(Tableau14[[#This Row],[EAN]],[1]Grille_Tarifs_Modulable!$B$10:$Q$204,16,FALSE)))</f>
        <v>0</v>
      </c>
      <c r="N1872" s="224">
        <v>1</v>
      </c>
      <c r="O1872" s="228">
        <f>ROUND(Tableau14[[#This Row],[Prix_Unit_HT]],2)*Tableau14[[#This Row],[Qte_commande]]</f>
        <v>0</v>
      </c>
      <c r="P1872" s="228">
        <f>ROUND(Tableau14[[#This Row],[Prix_Unit_TTC]],2)*Tableau14[[#This Row],[Qte_commande]]</f>
        <v>0</v>
      </c>
      <c r="Q1872" s="224">
        <v>1</v>
      </c>
      <c r="R1872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0</v>
      </c>
      <c r="U1872" s="224"/>
      <c r="V1872" s="224"/>
    </row>
    <row r="1873" spans="1:22" ht="14.65" customHeight="1" x14ac:dyDescent="0.2">
      <c r="A1873" s="225">
        <v>43808</v>
      </c>
      <c r="B1873" s="224" t="s">
        <v>784</v>
      </c>
      <c r="C1873" s="224" t="s">
        <v>265</v>
      </c>
      <c r="D1873" s="224" t="s">
        <v>266</v>
      </c>
      <c r="E1873" s="226"/>
      <c r="G1873" s="224" t="s">
        <v>1</v>
      </c>
      <c r="H1873" s="224" t="s">
        <v>289</v>
      </c>
      <c r="I1873" s="224" t="s">
        <v>15</v>
      </c>
      <c r="J1873" s="224">
        <v>70</v>
      </c>
      <c r="K1873" s="227">
        <f t="array" ref="K1873">IFERROR(INDEX([1]Grille_Tarifs_Modulable!$B$2:$B$204,MATCH(Tableau14[[#This Row],[Designation]]&amp;Tableau14[[#This Row],[CL]],[1]Grille_Tarifs_Modulable!$C$2:$C$204&amp;[1]Grille_Tarifs_Modulable!$F$2:$F$204,0)),0)</f>
        <v>4067700013859</v>
      </c>
      <c r="L1873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12.532563499999998</v>
      </c>
      <c r="M1873" s="228">
        <f>IF(Tableau14[[#This Row],[Prix_Unit_HT]]=0,0,Tableau14[[#This Row],[Prix_Unit_HT]]+(Tableau14[[#This Row],[Prix_Unit_HT]]*VLOOKUP(Tableau14[[#This Row],[EAN]],[1]Grille_Tarifs_Modulable!$B$10:$Q$204,16,FALSE)))</f>
        <v>15.039076199999998</v>
      </c>
      <c r="N1873" s="224">
        <v>240</v>
      </c>
      <c r="O1873" s="228">
        <f>ROUND(Tableau14[[#This Row],[Prix_Unit_HT]],2)*Tableau14[[#This Row],[Qte_commande]]</f>
        <v>3007.2</v>
      </c>
      <c r="P1873" s="228">
        <f>ROUND(Tableau14[[#This Row],[Prix_Unit_TTC]],2)*Tableau14[[#This Row],[Qte_commande]]</f>
        <v>3609.6</v>
      </c>
      <c r="Q1873" s="224">
        <v>240</v>
      </c>
      <c r="R1873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240.00000000000003</v>
      </c>
      <c r="U1873" s="224"/>
      <c r="V1873" s="224"/>
    </row>
    <row r="1874" spans="1:22" ht="14.65" customHeight="1" x14ac:dyDescent="0.2">
      <c r="A1874" s="225">
        <v>43808</v>
      </c>
      <c r="B1874" s="224" t="s">
        <v>799</v>
      </c>
      <c r="C1874" s="224" t="s">
        <v>800</v>
      </c>
      <c r="D1874" s="224" t="s">
        <v>180</v>
      </c>
      <c r="E1874" s="226"/>
      <c r="G1874" s="224" t="s">
        <v>13</v>
      </c>
      <c r="H1874" s="224" t="s">
        <v>289</v>
      </c>
      <c r="I1874" s="224" t="s">
        <v>20</v>
      </c>
      <c r="J1874" s="224">
        <v>70</v>
      </c>
      <c r="K1874" s="227">
        <f t="array" ref="K1874">IFERROR(INDEX([1]Grille_Tarifs_Modulable!$B$2:$B$204,MATCH(Tableau14[[#This Row],[Designation]]&amp;Tableau14[[#This Row],[CL]],[1]Grille_Tarifs_Modulable!$C$2:$C$204&amp;[1]Grille_Tarifs_Modulable!$F$2:$F$204,0)),0)</f>
        <v>8017450002104</v>
      </c>
      <c r="L1874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14.266482999999999</v>
      </c>
      <c r="M1874" s="228">
        <f>IF(Tableau14[[#This Row],[Prix_Unit_HT]]=0,0,Tableau14[[#This Row],[Prix_Unit_HT]]+(Tableau14[[#This Row],[Prix_Unit_HT]]*VLOOKUP(Tableau14[[#This Row],[EAN]],[1]Grille_Tarifs_Modulable!$B$10:$Q$204,16,FALSE)))</f>
        <v>17.119779600000001</v>
      </c>
      <c r="N1874" s="224">
        <v>24</v>
      </c>
      <c r="O1874" s="228">
        <f>ROUND(Tableau14[[#This Row],[Prix_Unit_HT]],2)*Tableau14[[#This Row],[Qte_commande]]</f>
        <v>342.48</v>
      </c>
      <c r="P1874" s="228">
        <f>ROUND(Tableau14[[#This Row],[Prix_Unit_TTC]],2)*Tableau14[[#This Row],[Qte_commande]]</f>
        <v>410.88</v>
      </c>
      <c r="Q1874" s="224">
        <v>24</v>
      </c>
      <c r="R1874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24.000000000000004</v>
      </c>
      <c r="U1874" s="224"/>
      <c r="V1874" s="224"/>
    </row>
    <row r="1875" spans="1:22" ht="14.65" customHeight="1" x14ac:dyDescent="0.2">
      <c r="A1875" s="225">
        <v>43808</v>
      </c>
      <c r="B1875" s="224" t="s">
        <v>799</v>
      </c>
      <c r="C1875" s="224" t="s">
        <v>800</v>
      </c>
      <c r="D1875" s="224" t="s">
        <v>180</v>
      </c>
      <c r="E1875" s="226"/>
      <c r="G1875" s="224" t="s">
        <v>13</v>
      </c>
      <c r="H1875" s="224" t="s">
        <v>289</v>
      </c>
      <c r="I1875" s="224" t="s">
        <v>32</v>
      </c>
      <c r="J1875" s="224">
        <v>70</v>
      </c>
      <c r="K1875" s="227">
        <f t="array" ref="K1875">IFERROR(INDEX([1]Grille_Tarifs_Modulable!$B$2:$B$204,MATCH(Tableau14[[#This Row],[Designation]]&amp;Tableau14[[#This Row],[CL]],[1]Grille_Tarifs_Modulable!$C$2:$C$204&amp;[1]Grille_Tarifs_Modulable!$F$2:$F$204,0)),0)</f>
        <v>3257150100228</v>
      </c>
      <c r="L1875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21.488644000000001</v>
      </c>
      <c r="M1875" s="228">
        <f>IF(Tableau14[[#This Row],[Prix_Unit_HT]]=0,0,Tableau14[[#This Row],[Prix_Unit_HT]]+(Tableau14[[#This Row],[Prix_Unit_HT]]*VLOOKUP(Tableau14[[#This Row],[EAN]],[1]Grille_Tarifs_Modulable!$B$10:$Q$204,16,FALSE)))</f>
        <v>25.786372800000002</v>
      </c>
      <c r="N1875" s="224">
        <v>12</v>
      </c>
      <c r="O1875" s="228">
        <f>ROUND(Tableau14[[#This Row],[Prix_Unit_HT]],2)*Tableau14[[#This Row],[Qte_commande]]</f>
        <v>257.88</v>
      </c>
      <c r="P1875" s="228">
        <f>ROUND(Tableau14[[#This Row],[Prix_Unit_TTC]],2)*Tableau14[[#This Row],[Qte_commande]]</f>
        <v>309.48</v>
      </c>
      <c r="Q1875" s="224">
        <v>12</v>
      </c>
      <c r="R1875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12.000000000000002</v>
      </c>
      <c r="U1875" s="224"/>
      <c r="V1875" s="224"/>
    </row>
    <row r="1876" spans="1:22" ht="14.65" customHeight="1" x14ac:dyDescent="0.2">
      <c r="A1876" s="225">
        <v>43808</v>
      </c>
      <c r="B1876" s="224" t="s">
        <v>799</v>
      </c>
      <c r="C1876" s="224" t="s">
        <v>800</v>
      </c>
      <c r="D1876" s="224" t="s">
        <v>180</v>
      </c>
      <c r="E1876" s="226"/>
      <c r="G1876" s="224" t="s">
        <v>13</v>
      </c>
      <c r="H1876" s="224" t="s">
        <v>289</v>
      </c>
      <c r="I1876" s="224" t="s">
        <v>34</v>
      </c>
      <c r="J1876" s="224">
        <v>70</v>
      </c>
      <c r="K1876" s="227">
        <f t="array" ref="K1876">IFERROR(INDEX([1]Grille_Tarifs_Modulable!$B$2:$B$204,MATCH(Tableau14[[#This Row],[Designation]]&amp;Tableau14[[#This Row],[CL]],[1]Grille_Tarifs_Modulable!$C$2:$C$204&amp;[1]Grille_Tarifs_Modulable!$F$2:$F$204,0)),0)</f>
        <v>3257150100167</v>
      </c>
      <c r="L1876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29.948644000000002</v>
      </c>
      <c r="M1876" s="228">
        <f>IF(Tableau14[[#This Row],[Prix_Unit_HT]]=0,0,Tableau14[[#This Row],[Prix_Unit_HT]]+(Tableau14[[#This Row],[Prix_Unit_HT]]*VLOOKUP(Tableau14[[#This Row],[EAN]],[1]Grille_Tarifs_Modulable!$B$10:$Q$204,16,FALSE)))</f>
        <v>35.938372800000003</v>
      </c>
      <c r="N1876" s="224">
        <v>12</v>
      </c>
      <c r="O1876" s="228">
        <f>ROUND(Tableau14[[#This Row],[Prix_Unit_HT]],2)*Tableau14[[#This Row],[Qte_commande]]</f>
        <v>359.4</v>
      </c>
      <c r="P1876" s="228">
        <f>ROUND(Tableau14[[#This Row],[Prix_Unit_TTC]],2)*Tableau14[[#This Row],[Qte_commande]]</f>
        <v>431.28</v>
      </c>
      <c r="Q1876" s="224">
        <v>12</v>
      </c>
      <c r="R1876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12.000000000000002</v>
      </c>
      <c r="U1876" s="224"/>
      <c r="V1876" s="224"/>
    </row>
    <row r="1877" spans="1:22" ht="14.65" customHeight="1" x14ac:dyDescent="0.2">
      <c r="A1877" s="225">
        <v>43808</v>
      </c>
      <c r="B1877" s="224" t="s">
        <v>799</v>
      </c>
      <c r="C1877" s="224" t="s">
        <v>800</v>
      </c>
      <c r="D1877" s="224" t="s">
        <v>180</v>
      </c>
      <c r="E1877" s="226"/>
      <c r="G1877" s="224" t="s">
        <v>13</v>
      </c>
      <c r="H1877" s="224" t="s">
        <v>289</v>
      </c>
      <c r="I1877" s="224" t="s">
        <v>31</v>
      </c>
      <c r="J1877" s="224">
        <v>70</v>
      </c>
      <c r="K1877" s="227">
        <f t="array" ref="K1877">IFERROR(INDEX([1]Grille_Tarifs_Modulable!$B$2:$B$204,MATCH(Tableau14[[#This Row],[Designation]]&amp;Tableau14[[#This Row],[CL]],[1]Grille_Tarifs_Modulable!$C$2:$C$204&amp;[1]Grille_Tarifs_Modulable!$F$2:$F$204,0)),0)</f>
        <v>3257150102017</v>
      </c>
      <c r="L1877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16.854322</v>
      </c>
      <c r="M1877" s="228">
        <f>IF(Tableau14[[#This Row],[Prix_Unit_HT]]=0,0,Tableau14[[#This Row],[Prix_Unit_HT]]+(Tableau14[[#This Row],[Prix_Unit_HT]]*VLOOKUP(Tableau14[[#This Row],[EAN]],[1]Grille_Tarifs_Modulable!$B$10:$Q$204,16,FALSE)))</f>
        <v>20.225186399999998</v>
      </c>
      <c r="N1877" s="224">
        <v>12</v>
      </c>
      <c r="O1877" s="228">
        <f>ROUND(Tableau14[[#This Row],[Prix_Unit_HT]],2)*Tableau14[[#This Row],[Qte_commande]]</f>
        <v>202.20000000000002</v>
      </c>
      <c r="P1877" s="228">
        <f>ROUND(Tableau14[[#This Row],[Prix_Unit_TTC]],2)*Tableau14[[#This Row],[Qte_commande]]</f>
        <v>242.76</v>
      </c>
      <c r="Q1877" s="224">
        <v>12</v>
      </c>
      <c r="R1877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12.000000000000002</v>
      </c>
      <c r="U1877" s="224"/>
      <c r="V1877" s="224"/>
    </row>
    <row r="1878" spans="1:22" ht="14.65" customHeight="1" x14ac:dyDescent="0.2">
      <c r="A1878" s="225">
        <v>43808</v>
      </c>
      <c r="B1878" s="224" t="s">
        <v>1335</v>
      </c>
      <c r="C1878" s="224" t="s">
        <v>1336</v>
      </c>
      <c r="D1878" s="224" t="s">
        <v>209</v>
      </c>
      <c r="E1878" s="226"/>
      <c r="G1878" s="224" t="s">
        <v>13</v>
      </c>
      <c r="H1878" s="224" t="s">
        <v>451</v>
      </c>
      <c r="I1878" s="224" t="s">
        <v>71</v>
      </c>
      <c r="J1878" s="227">
        <v>1</v>
      </c>
      <c r="K1878" s="227">
        <f t="array" ref="K1878">IFERROR(INDEX([1]Grille_Tarifs_Modulable!$B$2:$B$204,MATCH(Tableau14[[#This Row],[Designation]]&amp;Tableau14[[#This Row],[CL]],[1]Grille_Tarifs_Modulable!$C$2:$C$204&amp;[1]Grille_Tarifs_Modulable!$F$2:$F$204,0)),0)</f>
        <v>122</v>
      </c>
      <c r="L1878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299</v>
      </c>
      <c r="M1878" s="228">
        <f>IF(Tableau14[[#This Row],[Prix_Unit_HT]]=0,0,Tableau14[[#This Row],[Prix_Unit_HT]]+(Tableau14[[#This Row],[Prix_Unit_HT]]*VLOOKUP(Tableau14[[#This Row],[EAN]],[1]Grille_Tarifs_Modulable!$B$10:$Q$204,16,FALSE)))</f>
        <v>358.8</v>
      </c>
      <c r="N1878" s="224">
        <v>1</v>
      </c>
      <c r="O1878" s="228">
        <f>ROUND(Tableau14[[#This Row],[Prix_Unit_HT]],2)*Tableau14[[#This Row],[Qte_commande]]</f>
        <v>299</v>
      </c>
      <c r="P1878" s="228">
        <f>ROUND(Tableau14[[#This Row],[Prix_Unit_TTC]],2)*Tableau14[[#This Row],[Qte_commande]]</f>
        <v>358.8</v>
      </c>
      <c r="Q1878" s="224">
        <v>1</v>
      </c>
      <c r="R1878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</v>
      </c>
      <c r="U1878" s="224"/>
      <c r="V1878" s="224"/>
    </row>
    <row r="1879" spans="1:22" ht="14.65" customHeight="1" x14ac:dyDescent="0.2">
      <c r="A1879" s="225">
        <v>43808</v>
      </c>
      <c r="B1879" s="224" t="s">
        <v>1337</v>
      </c>
      <c r="C1879" s="224" t="s">
        <v>1338</v>
      </c>
      <c r="D1879" s="224" t="s">
        <v>1339</v>
      </c>
      <c r="E1879" s="226"/>
      <c r="G1879" s="224" t="s">
        <v>13</v>
      </c>
      <c r="H1879" s="224" t="s">
        <v>451</v>
      </c>
      <c r="I1879" s="224" t="s">
        <v>71</v>
      </c>
      <c r="J1879" s="227">
        <v>1</v>
      </c>
      <c r="K1879" s="227">
        <f t="array" ref="K1879">IFERROR(INDEX([1]Grille_Tarifs_Modulable!$B$2:$B$204,MATCH(Tableau14[[#This Row],[Designation]]&amp;Tableau14[[#This Row],[CL]],[1]Grille_Tarifs_Modulable!$C$2:$C$204&amp;[1]Grille_Tarifs_Modulable!$F$2:$F$204,0)),0)</f>
        <v>122</v>
      </c>
      <c r="L1879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299</v>
      </c>
      <c r="M1879" s="228">
        <f>IF(Tableau14[[#This Row],[Prix_Unit_HT]]=0,0,Tableau14[[#This Row],[Prix_Unit_HT]]+(Tableau14[[#This Row],[Prix_Unit_HT]]*VLOOKUP(Tableau14[[#This Row],[EAN]],[1]Grille_Tarifs_Modulable!$B$10:$Q$204,16,FALSE)))</f>
        <v>358.8</v>
      </c>
      <c r="N1879" s="224">
        <v>1</v>
      </c>
      <c r="O1879" s="228">
        <f>ROUND(Tableau14[[#This Row],[Prix_Unit_HT]],2)*Tableau14[[#This Row],[Qte_commande]]</f>
        <v>299</v>
      </c>
      <c r="P1879" s="228">
        <f>ROUND(Tableau14[[#This Row],[Prix_Unit_TTC]],2)*Tableau14[[#This Row],[Qte_commande]]</f>
        <v>358.8</v>
      </c>
      <c r="Q1879" s="224">
        <v>1</v>
      </c>
      <c r="R1879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</v>
      </c>
      <c r="U1879" s="224"/>
      <c r="V1879" s="224"/>
    </row>
    <row r="1880" spans="1:22" ht="14.65" customHeight="1" x14ac:dyDescent="0.2">
      <c r="A1880" s="225">
        <v>43808</v>
      </c>
      <c r="B1880" s="224" t="s">
        <v>1340</v>
      </c>
      <c r="C1880" s="224" t="s">
        <v>1341</v>
      </c>
      <c r="D1880" s="224" t="s">
        <v>209</v>
      </c>
      <c r="E1880" s="226"/>
      <c r="G1880" s="224" t="s">
        <v>13</v>
      </c>
      <c r="H1880" s="224" t="s">
        <v>451</v>
      </c>
      <c r="I1880" s="224" t="s">
        <v>71</v>
      </c>
      <c r="J1880" s="227">
        <v>1</v>
      </c>
      <c r="K1880" s="227">
        <f t="array" ref="K1880">IFERROR(INDEX([1]Grille_Tarifs_Modulable!$B$2:$B$204,MATCH(Tableau14[[#This Row],[Designation]]&amp;Tableau14[[#This Row],[CL]],[1]Grille_Tarifs_Modulable!$C$2:$C$204&amp;[1]Grille_Tarifs_Modulable!$F$2:$F$204,0)),0)</f>
        <v>122</v>
      </c>
      <c r="L1880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299</v>
      </c>
      <c r="M1880" s="228">
        <f>IF(Tableau14[[#This Row],[Prix_Unit_HT]]=0,0,Tableau14[[#This Row],[Prix_Unit_HT]]+(Tableau14[[#This Row],[Prix_Unit_HT]]*VLOOKUP(Tableau14[[#This Row],[EAN]],[1]Grille_Tarifs_Modulable!$B$10:$Q$204,16,FALSE)))</f>
        <v>358.8</v>
      </c>
      <c r="N1880" s="224">
        <v>1</v>
      </c>
      <c r="O1880" s="228">
        <f>ROUND(Tableau14[[#This Row],[Prix_Unit_HT]],2)*Tableau14[[#This Row],[Qte_commande]]</f>
        <v>299</v>
      </c>
      <c r="P1880" s="228">
        <f>ROUND(Tableau14[[#This Row],[Prix_Unit_TTC]],2)*Tableau14[[#This Row],[Qte_commande]]</f>
        <v>358.8</v>
      </c>
      <c r="Q1880" s="224">
        <v>1</v>
      </c>
      <c r="R1880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</v>
      </c>
      <c r="U1880" s="224"/>
      <c r="V1880" s="224"/>
    </row>
    <row r="1881" spans="1:22" ht="14.65" customHeight="1" x14ac:dyDescent="0.2">
      <c r="A1881" s="225">
        <v>43808</v>
      </c>
      <c r="B1881" s="224" t="s">
        <v>1342</v>
      </c>
      <c r="C1881" s="224" t="s">
        <v>1343</v>
      </c>
      <c r="D1881" s="224" t="s">
        <v>343</v>
      </c>
      <c r="E1881" s="226"/>
      <c r="G1881" s="224" t="s">
        <v>13</v>
      </c>
      <c r="H1881" s="224" t="s">
        <v>451</v>
      </c>
      <c r="I1881" s="224" t="s">
        <v>71</v>
      </c>
      <c r="J1881" s="227">
        <v>1</v>
      </c>
      <c r="K1881" s="227">
        <f t="array" ref="K1881">IFERROR(INDEX([1]Grille_Tarifs_Modulable!$B$2:$B$204,MATCH(Tableau14[[#This Row],[Designation]]&amp;Tableau14[[#This Row],[CL]],[1]Grille_Tarifs_Modulable!$C$2:$C$204&amp;[1]Grille_Tarifs_Modulable!$F$2:$F$204,0)),0)</f>
        <v>122</v>
      </c>
      <c r="L1881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299</v>
      </c>
      <c r="M1881" s="228">
        <f>IF(Tableau14[[#This Row],[Prix_Unit_HT]]=0,0,Tableau14[[#This Row],[Prix_Unit_HT]]+(Tableau14[[#This Row],[Prix_Unit_HT]]*VLOOKUP(Tableau14[[#This Row],[EAN]],[1]Grille_Tarifs_Modulable!$B$10:$Q$204,16,FALSE)))</f>
        <v>358.8</v>
      </c>
      <c r="N1881" s="224">
        <v>1</v>
      </c>
      <c r="O1881" s="228">
        <f>ROUND(Tableau14[[#This Row],[Prix_Unit_HT]],2)*Tableau14[[#This Row],[Qte_commande]]</f>
        <v>299</v>
      </c>
      <c r="P1881" s="228">
        <f>ROUND(Tableau14[[#This Row],[Prix_Unit_TTC]],2)*Tableau14[[#This Row],[Qte_commande]]</f>
        <v>358.8</v>
      </c>
      <c r="Q1881" s="224">
        <v>1</v>
      </c>
      <c r="R1881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</v>
      </c>
      <c r="U1881" s="224"/>
      <c r="V1881" s="224"/>
    </row>
    <row r="1882" spans="1:22" ht="14.65" customHeight="1" x14ac:dyDescent="0.2">
      <c r="A1882" s="225">
        <v>43808</v>
      </c>
      <c r="B1882" s="224" t="s">
        <v>1344</v>
      </c>
      <c r="C1882" s="224" t="s">
        <v>179</v>
      </c>
      <c r="D1882" s="224" t="s">
        <v>443</v>
      </c>
      <c r="E1882" s="226"/>
      <c r="G1882" s="224" t="s">
        <v>13</v>
      </c>
      <c r="H1882" s="224" t="s">
        <v>451</v>
      </c>
      <c r="I1882" s="224" t="s">
        <v>71</v>
      </c>
      <c r="J1882" s="227">
        <v>1</v>
      </c>
      <c r="K1882" s="227">
        <f t="array" ref="K1882">IFERROR(INDEX([1]Grille_Tarifs_Modulable!$B$2:$B$204,MATCH(Tableau14[[#This Row],[Designation]]&amp;Tableau14[[#This Row],[CL]],[1]Grille_Tarifs_Modulable!$C$2:$C$204&amp;[1]Grille_Tarifs_Modulable!$F$2:$F$204,0)),0)</f>
        <v>122</v>
      </c>
      <c r="L1882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299</v>
      </c>
      <c r="M1882" s="228">
        <f>IF(Tableau14[[#This Row],[Prix_Unit_HT]]=0,0,Tableau14[[#This Row],[Prix_Unit_HT]]+(Tableau14[[#This Row],[Prix_Unit_HT]]*VLOOKUP(Tableau14[[#This Row],[EAN]],[1]Grille_Tarifs_Modulable!$B$10:$Q$204,16,FALSE)))</f>
        <v>358.8</v>
      </c>
      <c r="N1882" s="224">
        <v>1</v>
      </c>
      <c r="O1882" s="228">
        <f>ROUND(Tableau14[[#This Row],[Prix_Unit_HT]],2)*Tableau14[[#This Row],[Qte_commande]]</f>
        <v>299</v>
      </c>
      <c r="P1882" s="228">
        <f>ROUND(Tableau14[[#This Row],[Prix_Unit_TTC]],2)*Tableau14[[#This Row],[Qte_commande]]</f>
        <v>358.8</v>
      </c>
      <c r="Q1882" s="224">
        <v>1</v>
      </c>
      <c r="R1882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</v>
      </c>
      <c r="U1882" s="224"/>
      <c r="V1882" s="224"/>
    </row>
    <row r="1883" spans="1:22" ht="14.65" customHeight="1" x14ac:dyDescent="0.2">
      <c r="A1883" s="225">
        <v>43810</v>
      </c>
      <c r="B1883" s="224" t="s">
        <v>785</v>
      </c>
      <c r="C1883" s="224" t="s">
        <v>686</v>
      </c>
      <c r="D1883" s="224" t="s">
        <v>687</v>
      </c>
      <c r="E1883" s="226"/>
      <c r="G1883" s="224" t="s">
        <v>13</v>
      </c>
      <c r="H1883" s="224" t="s">
        <v>289</v>
      </c>
      <c r="I1883" s="224" t="s">
        <v>15</v>
      </c>
      <c r="J1883" s="224">
        <v>175</v>
      </c>
      <c r="K1883" s="227">
        <f t="array" ref="K1883">IFERROR(INDEX([1]Grille_Tarifs_Modulable!$B$2:$B$204,MATCH(Tableau14[[#This Row],[Designation]]&amp;Tableau14[[#This Row],[CL]],[1]Grille_Tarifs_Modulable!$C$2:$C$204&amp;[1]Grille_Tarifs_Modulable!$F$2:$F$204,0)),0)</f>
        <v>4067700013835</v>
      </c>
      <c r="L1883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32.266408749999997</v>
      </c>
      <c r="M1883" s="228">
        <f>IF(Tableau14[[#This Row],[Prix_Unit_HT]]=0,0,Tableau14[[#This Row],[Prix_Unit_HT]]+(Tableau14[[#This Row],[Prix_Unit_HT]]*VLOOKUP(Tableau14[[#This Row],[EAN]],[1]Grille_Tarifs_Modulable!$B$10:$Q$204,16,FALSE)))</f>
        <v>38.719690499999999</v>
      </c>
      <c r="N1883" s="224">
        <v>42</v>
      </c>
      <c r="O1883" s="228">
        <f>ROUND(Tableau14[[#This Row],[Prix_Unit_HT]],2)*Tableau14[[#This Row],[Qte_commande]]</f>
        <v>1355.3400000000001</v>
      </c>
      <c r="P1883" s="228">
        <f>ROUND(Tableau14[[#This Row],[Prix_Unit_TTC]],2)*Tableau14[[#This Row],[Qte_commande]]</f>
        <v>1626.24</v>
      </c>
      <c r="Q1883" s="224">
        <v>105</v>
      </c>
      <c r="R1883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105</v>
      </c>
      <c r="U1883" s="224"/>
      <c r="V1883" s="224"/>
    </row>
    <row r="1884" spans="1:22" ht="14.65" customHeight="1" x14ac:dyDescent="0.2">
      <c r="A1884" s="225">
        <v>43810</v>
      </c>
      <c r="B1884" s="224" t="s">
        <v>785</v>
      </c>
      <c r="C1884" s="224" t="s">
        <v>686</v>
      </c>
      <c r="D1884" s="224" t="s">
        <v>687</v>
      </c>
      <c r="E1884" s="226"/>
      <c r="G1884" s="224" t="s">
        <v>13</v>
      </c>
      <c r="H1884" s="224" t="s">
        <v>289</v>
      </c>
      <c r="I1884" s="224" t="s">
        <v>15</v>
      </c>
      <c r="J1884" s="224">
        <v>175</v>
      </c>
      <c r="K1884" s="227">
        <f t="array" ref="K1884">IFERROR(INDEX([1]Grille_Tarifs_Modulable!$B$2:$B$204,MATCH(Tableau14[[#This Row],[Designation]]&amp;Tableau14[[#This Row],[CL]],[1]Grille_Tarifs_Modulable!$C$2:$C$204&amp;[1]Grille_Tarifs_Modulable!$F$2:$F$204,0)),0)</f>
        <v>4067700013835</v>
      </c>
      <c r="L1884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32.266408749999997</v>
      </c>
      <c r="M1884" s="228">
        <f>IF(Tableau14[[#This Row],[Prix_Unit_HT]]=0,0,Tableau14[[#This Row],[Prix_Unit_HT]]+(Tableau14[[#This Row],[Prix_Unit_HT]]*VLOOKUP(Tableau14[[#This Row],[EAN]],[1]Grille_Tarifs_Modulable!$B$10:$Q$204,16,FALSE)))</f>
        <v>38.719690499999999</v>
      </c>
      <c r="N1884" s="224">
        <v>6</v>
      </c>
      <c r="O1884" s="228">
        <f>ROUND(Tableau14[[#This Row],[Prix_Unit_HT]],2)*Tableau14[[#This Row],[Qte_commande]]</f>
        <v>193.62</v>
      </c>
      <c r="P1884" s="228">
        <f>ROUND(Tableau14[[#This Row],[Prix_Unit_TTC]],2)*Tableau14[[#This Row],[Qte_commande]]</f>
        <v>232.32</v>
      </c>
      <c r="Q1884" s="224">
        <v>15</v>
      </c>
      <c r="R1884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15.000000000000002</v>
      </c>
      <c r="U1884" s="224"/>
      <c r="V1884" s="224"/>
    </row>
    <row r="1885" spans="1:22" ht="14.65" customHeight="1" x14ac:dyDescent="0.2">
      <c r="A1885" s="225">
        <v>43810</v>
      </c>
      <c r="B1885" s="224" t="s">
        <v>785</v>
      </c>
      <c r="C1885" s="224" t="s">
        <v>686</v>
      </c>
      <c r="D1885" s="224" t="s">
        <v>687</v>
      </c>
      <c r="E1885" s="226"/>
      <c r="G1885" s="224" t="s">
        <v>13</v>
      </c>
      <c r="H1885" s="224" t="s">
        <v>289</v>
      </c>
      <c r="I1885" s="224" t="s">
        <v>30</v>
      </c>
      <c r="J1885" s="224">
        <v>70</v>
      </c>
      <c r="K1885" s="227">
        <f t="array" ref="K1885">IFERROR(INDEX([1]Grille_Tarifs_Modulable!$B$2:$B$204,MATCH(Tableau14[[#This Row],[Designation]]&amp;Tableau14[[#This Row],[CL]],[1]Grille_Tarifs_Modulable!$C$2:$C$204&amp;[1]Grille_Tarifs_Modulable!$F$2:$F$204,0)),0)</f>
        <v>3257150101904</v>
      </c>
      <c r="L1885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18.506483000000003</v>
      </c>
      <c r="M1885" s="228">
        <f>IF(Tableau14[[#This Row],[Prix_Unit_HT]]=0,0,Tableau14[[#This Row],[Prix_Unit_HT]]+(Tableau14[[#This Row],[Prix_Unit_HT]]*VLOOKUP(Tableau14[[#This Row],[EAN]],[1]Grille_Tarifs_Modulable!$B$10:$Q$204,16,FALSE)))</f>
        <v>22.207779600000002</v>
      </c>
      <c r="N1885" s="224">
        <v>6</v>
      </c>
      <c r="O1885" s="228">
        <f>ROUND(Tableau14[[#This Row],[Prix_Unit_HT]],2)*Tableau14[[#This Row],[Qte_commande]]</f>
        <v>111.06</v>
      </c>
      <c r="P1885" s="228">
        <f>ROUND(Tableau14[[#This Row],[Prix_Unit_TTC]],2)*Tableau14[[#This Row],[Qte_commande]]</f>
        <v>133.26</v>
      </c>
      <c r="Q1885" s="224">
        <v>6</v>
      </c>
      <c r="R1885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6.0000000000000009</v>
      </c>
      <c r="U1885" s="224"/>
      <c r="V1885" s="224"/>
    </row>
    <row r="1886" spans="1:22" ht="14.65" customHeight="1" x14ac:dyDescent="0.2">
      <c r="A1886" s="225">
        <v>43810</v>
      </c>
      <c r="B1886" s="224" t="s">
        <v>785</v>
      </c>
      <c r="C1886" s="224" t="s">
        <v>686</v>
      </c>
      <c r="D1886" s="224" t="s">
        <v>687</v>
      </c>
      <c r="E1886" s="226"/>
      <c r="G1886" s="224" t="s">
        <v>13</v>
      </c>
      <c r="H1886" s="224" t="s">
        <v>289</v>
      </c>
      <c r="I1886" s="224" t="s">
        <v>31</v>
      </c>
      <c r="J1886" s="224">
        <v>70</v>
      </c>
      <c r="K1886" s="227">
        <f t="array" ref="K1886">IFERROR(INDEX([1]Grille_Tarifs_Modulable!$B$2:$B$204,MATCH(Tableau14[[#This Row],[Designation]]&amp;Tableau14[[#This Row],[CL]],[1]Grille_Tarifs_Modulable!$C$2:$C$204&amp;[1]Grille_Tarifs_Modulable!$F$2:$F$204,0)),0)</f>
        <v>3257150102017</v>
      </c>
      <c r="L1886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16.854322</v>
      </c>
      <c r="M1886" s="228">
        <f>IF(Tableau14[[#This Row],[Prix_Unit_HT]]=0,0,Tableau14[[#This Row],[Prix_Unit_HT]]+(Tableau14[[#This Row],[Prix_Unit_HT]]*VLOOKUP(Tableau14[[#This Row],[EAN]],[1]Grille_Tarifs_Modulable!$B$10:$Q$204,16,FALSE)))</f>
        <v>20.225186399999998</v>
      </c>
      <c r="N1886" s="224">
        <v>6</v>
      </c>
      <c r="O1886" s="228">
        <f>ROUND(Tableau14[[#This Row],[Prix_Unit_HT]],2)*Tableau14[[#This Row],[Qte_commande]]</f>
        <v>101.10000000000001</v>
      </c>
      <c r="P1886" s="228">
        <f>ROUND(Tableau14[[#This Row],[Prix_Unit_TTC]],2)*Tableau14[[#This Row],[Qte_commande]]</f>
        <v>121.38</v>
      </c>
      <c r="Q1886" s="224">
        <v>6</v>
      </c>
      <c r="R1886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6.0000000000000009</v>
      </c>
      <c r="U1886" s="224"/>
      <c r="V1886" s="224"/>
    </row>
    <row r="1887" spans="1:22" ht="14.65" customHeight="1" x14ac:dyDescent="0.2">
      <c r="A1887" s="225">
        <v>43812</v>
      </c>
      <c r="B1887" s="224" t="s">
        <v>366</v>
      </c>
      <c r="C1887" s="224" t="s">
        <v>367</v>
      </c>
      <c r="D1887" s="224" t="s">
        <v>368</v>
      </c>
      <c r="E1887" s="226"/>
      <c r="G1887" s="224" t="s">
        <v>1</v>
      </c>
      <c r="H1887" s="224" t="s">
        <v>196</v>
      </c>
      <c r="I1887" s="224" t="s">
        <v>65</v>
      </c>
      <c r="J1887" s="224">
        <v>20</v>
      </c>
      <c r="K1887" s="227">
        <f t="array" ref="K1887">IFERROR(INDEX([1]Grille_Tarifs_Modulable!$B$2:$B$204,MATCH(Tableau14[[#This Row],[Designation]]&amp;Tableau14[[#This Row],[CL]],[1]Grille_Tarifs_Modulable!$C$2:$C$204&amp;[1]Grille_Tarifs_Modulable!$F$2:$F$204,0)),0)</f>
        <v>4260310553863</v>
      </c>
      <c r="L1887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0.81</v>
      </c>
      <c r="M1887" s="228">
        <f>IF(Tableau14[[#This Row],[Prix_Unit_HT]]=0,0,Tableau14[[#This Row],[Prix_Unit_HT]]+(Tableau14[[#This Row],[Prix_Unit_HT]]*VLOOKUP(Tableau14[[#This Row],[EAN]],[1]Grille_Tarifs_Modulable!$B$10:$Q$204,16,FALSE)))</f>
        <v>0.85455000000000003</v>
      </c>
      <c r="N1887" s="224">
        <v>96</v>
      </c>
      <c r="O1887" s="228">
        <f>ROUND(Tableau14[[#This Row],[Prix_Unit_HT]],2)*Tableau14[[#This Row],[Qte_commande]]</f>
        <v>77.760000000000005</v>
      </c>
      <c r="P1887" s="228">
        <f>ROUND(Tableau14[[#This Row],[Prix_Unit_TTC]],2)*Tableau14[[#This Row],[Qte_commande]]</f>
        <v>81.599999999999994</v>
      </c>
      <c r="Q1887" s="224">
        <v>27.43</v>
      </c>
      <c r="R1887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27.428571428571431</v>
      </c>
      <c r="U1887" s="224"/>
      <c r="V1887" s="224"/>
    </row>
    <row r="1888" spans="1:22" ht="14.65" customHeight="1" x14ac:dyDescent="0.2">
      <c r="A1888" s="225">
        <v>43812</v>
      </c>
      <c r="B1888" s="224" t="s">
        <v>438</v>
      </c>
      <c r="C1888" s="224" t="s">
        <v>367</v>
      </c>
      <c r="D1888" s="224" t="s">
        <v>368</v>
      </c>
      <c r="E1888" s="226"/>
      <c r="G1888" s="224" t="s">
        <v>1</v>
      </c>
      <c r="H1888" s="224" t="s">
        <v>289</v>
      </c>
      <c r="I1888" s="224" t="s">
        <v>35</v>
      </c>
      <c r="J1888" s="224">
        <v>70</v>
      </c>
      <c r="K1888" s="227">
        <f t="array" ref="K1888">IFERROR(INDEX([1]Grille_Tarifs_Modulable!$B$2:$B$204,MATCH(Tableau14[[#This Row],[Designation]]&amp;Tableau14[[#This Row],[CL]],[1]Grille_Tarifs_Modulable!$C$2:$C$204&amp;[1]Grille_Tarifs_Modulable!$F$2:$F$204,0)),0)</f>
        <v>3257150107012</v>
      </c>
      <c r="L1888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29.828643999999997</v>
      </c>
      <c r="M1888" s="228">
        <f>IF(Tableau14[[#This Row],[Prix_Unit_HT]]=0,0,Tableau14[[#This Row],[Prix_Unit_HT]]+(Tableau14[[#This Row],[Prix_Unit_HT]]*VLOOKUP(Tableau14[[#This Row],[EAN]],[1]Grille_Tarifs_Modulable!$B$10:$Q$204,16,FALSE)))</f>
        <v>35.794372799999998</v>
      </c>
      <c r="N1888" s="224">
        <v>24</v>
      </c>
      <c r="O1888" s="228">
        <f>ROUND(Tableau14[[#This Row],[Prix_Unit_HT]],2)*Tableau14[[#This Row],[Qte_commande]]</f>
        <v>715.92</v>
      </c>
      <c r="P1888" s="228">
        <f>ROUND(Tableau14[[#This Row],[Prix_Unit_TTC]],2)*Tableau14[[#This Row],[Qte_commande]]</f>
        <v>858.96</v>
      </c>
      <c r="Q1888" s="224">
        <v>24</v>
      </c>
      <c r="R1888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24.000000000000004</v>
      </c>
      <c r="U1888" s="224"/>
      <c r="V1888" s="224"/>
    </row>
    <row r="1889" spans="1:22" ht="14.65" customHeight="1" x14ac:dyDescent="0.2">
      <c r="A1889" s="225">
        <v>43812</v>
      </c>
      <c r="B1889" s="224" t="s">
        <v>438</v>
      </c>
      <c r="C1889" s="224" t="s">
        <v>367</v>
      </c>
      <c r="D1889" s="224" t="s">
        <v>368</v>
      </c>
      <c r="E1889" s="226"/>
      <c r="G1889" s="224" t="s">
        <v>1</v>
      </c>
      <c r="H1889" s="224" t="s">
        <v>289</v>
      </c>
      <c r="I1889" s="224" t="s">
        <v>33</v>
      </c>
      <c r="J1889" s="224">
        <v>70</v>
      </c>
      <c r="K1889" s="227">
        <f t="array" ref="K1889">IFERROR(INDEX([1]Grille_Tarifs_Modulable!$B$2:$B$204,MATCH(Tableau14[[#This Row],[Designation]]&amp;Tableau14[[#This Row],[CL]],[1]Grille_Tarifs_Modulable!$C$2:$C$204&amp;[1]Grille_Tarifs_Modulable!$F$2:$F$204,0)),0)</f>
        <v>3257150101485</v>
      </c>
      <c r="L1889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30.474724499999997</v>
      </c>
      <c r="M1889" s="228">
        <f>IF(Tableau14[[#This Row],[Prix_Unit_HT]]=0,0,Tableau14[[#This Row],[Prix_Unit_HT]]+(Tableau14[[#This Row],[Prix_Unit_HT]]*VLOOKUP(Tableau14[[#This Row],[EAN]],[1]Grille_Tarifs_Modulable!$B$10:$Q$204,16,FALSE)))</f>
        <v>36.569669399999995</v>
      </c>
      <c r="N1889" s="224">
        <v>24</v>
      </c>
      <c r="O1889" s="228">
        <f>ROUND(Tableau14[[#This Row],[Prix_Unit_HT]],2)*Tableau14[[#This Row],[Qte_commande]]</f>
        <v>731.28</v>
      </c>
      <c r="P1889" s="228">
        <f>ROUND(Tableau14[[#This Row],[Prix_Unit_TTC]],2)*Tableau14[[#This Row],[Qte_commande]]</f>
        <v>877.68000000000006</v>
      </c>
      <c r="Q1889" s="224">
        <v>24</v>
      </c>
      <c r="R1889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24.000000000000004</v>
      </c>
      <c r="U1889" s="224"/>
      <c r="V1889" s="224"/>
    </row>
    <row r="1890" spans="1:22" ht="14.65" customHeight="1" x14ac:dyDescent="0.2">
      <c r="A1890" s="225">
        <v>43812</v>
      </c>
      <c r="B1890" s="224" t="s">
        <v>438</v>
      </c>
      <c r="C1890" s="224" t="s">
        <v>367</v>
      </c>
      <c r="D1890" s="224" t="s">
        <v>368</v>
      </c>
      <c r="E1890" s="226"/>
      <c r="G1890" s="224" t="s">
        <v>1</v>
      </c>
      <c r="H1890" s="224" t="s">
        <v>289</v>
      </c>
      <c r="I1890" s="224" t="s">
        <v>32</v>
      </c>
      <c r="J1890" s="224">
        <v>70</v>
      </c>
      <c r="K1890" s="227">
        <f t="array" ref="K1890">IFERROR(INDEX([1]Grille_Tarifs_Modulable!$B$2:$B$204,MATCH(Tableau14[[#This Row],[Designation]]&amp;Tableau14[[#This Row],[CL]],[1]Grille_Tarifs_Modulable!$C$2:$C$204&amp;[1]Grille_Tarifs_Modulable!$F$2:$F$204,0)),0)</f>
        <v>3257150100228</v>
      </c>
      <c r="L1890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19.998643999999999</v>
      </c>
      <c r="M1890" s="228">
        <f>IF(Tableau14[[#This Row],[Prix_Unit_HT]]=0,0,Tableau14[[#This Row],[Prix_Unit_HT]]+(Tableau14[[#This Row],[Prix_Unit_HT]]*VLOOKUP(Tableau14[[#This Row],[EAN]],[1]Grille_Tarifs_Modulable!$B$10:$Q$204,16,FALSE)))</f>
        <v>23.998372799999999</v>
      </c>
      <c r="N1890" s="224">
        <v>30</v>
      </c>
      <c r="O1890" s="228">
        <f>ROUND(Tableau14[[#This Row],[Prix_Unit_HT]],2)*Tableau14[[#This Row],[Qte_commande]]</f>
        <v>600</v>
      </c>
      <c r="P1890" s="228">
        <f>ROUND(Tableau14[[#This Row],[Prix_Unit_TTC]],2)*Tableau14[[#This Row],[Qte_commande]]</f>
        <v>720</v>
      </c>
      <c r="Q1890" s="224">
        <v>30</v>
      </c>
      <c r="R1890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30.000000000000004</v>
      </c>
      <c r="U1890" s="224"/>
      <c r="V1890" s="224"/>
    </row>
    <row r="1891" spans="1:22" ht="14.65" customHeight="1" x14ac:dyDescent="0.2">
      <c r="A1891" s="225">
        <v>43812</v>
      </c>
      <c r="B1891" s="224" t="s">
        <v>438</v>
      </c>
      <c r="C1891" s="224" t="s">
        <v>367</v>
      </c>
      <c r="D1891" s="224" t="s">
        <v>368</v>
      </c>
      <c r="E1891" s="226"/>
      <c r="G1891" s="224" t="s">
        <v>1</v>
      </c>
      <c r="H1891" s="224" t="s">
        <v>289</v>
      </c>
      <c r="I1891" s="224" t="s">
        <v>31</v>
      </c>
      <c r="J1891" s="224">
        <v>70</v>
      </c>
      <c r="K1891" s="227">
        <f t="array" ref="K1891">IFERROR(INDEX([1]Grille_Tarifs_Modulable!$B$2:$B$204,MATCH(Tableau14[[#This Row],[Designation]]&amp;Tableau14[[#This Row],[CL]],[1]Grille_Tarifs_Modulable!$C$2:$C$204&amp;[1]Grille_Tarifs_Modulable!$F$2:$F$204,0)),0)</f>
        <v>3257150102017</v>
      </c>
      <c r="L1891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14.694322</v>
      </c>
      <c r="M1891" s="228">
        <f>IF(Tableau14[[#This Row],[Prix_Unit_HT]]=0,0,Tableau14[[#This Row],[Prix_Unit_HT]]+(Tableau14[[#This Row],[Prix_Unit_HT]]*VLOOKUP(Tableau14[[#This Row],[EAN]],[1]Grille_Tarifs_Modulable!$B$10:$Q$204,16,FALSE)))</f>
        <v>17.6331864</v>
      </c>
      <c r="N1891" s="224">
        <v>12</v>
      </c>
      <c r="O1891" s="228">
        <f>ROUND(Tableau14[[#This Row],[Prix_Unit_HT]],2)*Tableau14[[#This Row],[Qte_commande]]</f>
        <v>176.28</v>
      </c>
      <c r="P1891" s="228">
        <f>ROUND(Tableau14[[#This Row],[Prix_Unit_TTC]],2)*Tableau14[[#This Row],[Qte_commande]]</f>
        <v>211.56</v>
      </c>
      <c r="Q1891" s="224">
        <v>12</v>
      </c>
      <c r="R1891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12.000000000000002</v>
      </c>
      <c r="U1891" s="224"/>
      <c r="V1891" s="224"/>
    </row>
    <row r="1892" spans="1:22" ht="14.65" customHeight="1" x14ac:dyDescent="0.2">
      <c r="A1892" s="225">
        <v>43812</v>
      </c>
      <c r="B1892" s="224" t="s">
        <v>438</v>
      </c>
      <c r="C1892" s="224" t="s">
        <v>367</v>
      </c>
      <c r="D1892" s="224" t="s">
        <v>368</v>
      </c>
      <c r="E1892" s="226"/>
      <c r="G1892" s="224" t="s">
        <v>1</v>
      </c>
      <c r="H1892" s="224" t="s">
        <v>289</v>
      </c>
      <c r="I1892" s="224" t="s">
        <v>44</v>
      </c>
      <c r="J1892" s="224">
        <v>50</v>
      </c>
      <c r="K1892" s="227">
        <f t="array" ref="K1892">IFERROR(INDEX([1]Grille_Tarifs_Modulable!$B$2:$B$204,MATCH(Tableau14[[#This Row],[Designation]]&amp;Tableau14[[#This Row],[CL]],[1]Grille_Tarifs_Modulable!$C$2:$C$204&amp;[1]Grille_Tarifs_Modulable!$F$2:$F$204,0)),0)</f>
        <v>4260270192645</v>
      </c>
      <c r="L1892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25.192506000000002</v>
      </c>
      <c r="M1892" s="228">
        <f>IF(Tableau14[[#This Row],[Prix_Unit_HT]]=0,0,Tableau14[[#This Row],[Prix_Unit_HT]]+(Tableau14[[#This Row],[Prix_Unit_HT]]*VLOOKUP(Tableau14[[#This Row],[EAN]],[1]Grille_Tarifs_Modulable!$B$10:$Q$204,16,FALSE)))</f>
        <v>30.231007200000001</v>
      </c>
      <c r="N1892" s="224">
        <v>12</v>
      </c>
      <c r="O1892" s="228">
        <f>ROUND(Tableau14[[#This Row],[Prix_Unit_HT]],2)*Tableau14[[#This Row],[Qte_commande]]</f>
        <v>302.28000000000003</v>
      </c>
      <c r="P1892" s="228">
        <f>ROUND(Tableau14[[#This Row],[Prix_Unit_TTC]],2)*Tableau14[[#This Row],[Qte_commande]]</f>
        <v>362.76</v>
      </c>
      <c r="Q1892" s="224">
        <v>8.57</v>
      </c>
      <c r="R1892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8.5714285714285712</v>
      </c>
      <c r="U1892" s="224"/>
      <c r="V1892" s="224"/>
    </row>
    <row r="1893" spans="1:22" ht="14.65" customHeight="1" x14ac:dyDescent="0.2">
      <c r="A1893" s="225">
        <v>43812</v>
      </c>
      <c r="B1893" s="224" t="s">
        <v>366</v>
      </c>
      <c r="C1893" s="224" t="s">
        <v>367</v>
      </c>
      <c r="D1893" s="224" t="s">
        <v>368</v>
      </c>
      <c r="E1893" s="226"/>
      <c r="G1893" s="224" t="s">
        <v>1</v>
      </c>
      <c r="H1893" s="224" t="s">
        <v>196</v>
      </c>
      <c r="I1893" s="224" t="s">
        <v>59</v>
      </c>
      <c r="J1893" s="224">
        <v>20</v>
      </c>
      <c r="K1893" s="227">
        <f t="array" ref="K1893">IFERROR(INDEX([1]Grille_Tarifs_Modulable!$B$2:$B$204,MATCH(Tableau14[[#This Row],[Designation]]&amp;Tableau14[[#This Row],[CL]],[1]Grille_Tarifs_Modulable!$C$2:$C$204&amp;[1]Grille_Tarifs_Modulable!$F$2:$F$204,0)),0)</f>
        <v>4260310553818</v>
      </c>
      <c r="L1893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0.81</v>
      </c>
      <c r="M1893" s="228">
        <f>IF(Tableau14[[#This Row],[Prix_Unit_HT]]=0,0,Tableau14[[#This Row],[Prix_Unit_HT]]+(Tableau14[[#This Row],[Prix_Unit_HT]]*VLOOKUP(Tableau14[[#This Row],[EAN]],[1]Grille_Tarifs_Modulable!$B$10:$Q$204,16,FALSE)))</f>
        <v>0.85455000000000003</v>
      </c>
      <c r="N1893" s="224">
        <v>96</v>
      </c>
      <c r="O1893" s="228">
        <f>ROUND(Tableau14[[#This Row],[Prix_Unit_HT]],2)*Tableau14[[#This Row],[Qte_commande]]</f>
        <v>77.760000000000005</v>
      </c>
      <c r="P1893" s="228">
        <f>ROUND(Tableau14[[#This Row],[Prix_Unit_TTC]],2)*Tableau14[[#This Row],[Qte_commande]]</f>
        <v>81.599999999999994</v>
      </c>
      <c r="Q1893" s="224">
        <v>27.43</v>
      </c>
      <c r="R1893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27.428571428571431</v>
      </c>
      <c r="U1893" s="224"/>
      <c r="V1893" s="224"/>
    </row>
    <row r="1894" spans="1:22" ht="14.65" customHeight="1" x14ac:dyDescent="0.2">
      <c r="A1894" s="225">
        <v>43815</v>
      </c>
      <c r="B1894" s="224" t="s">
        <v>439</v>
      </c>
      <c r="C1894" s="224" t="s">
        <v>440</v>
      </c>
      <c r="D1894" s="224" t="s">
        <v>209</v>
      </c>
      <c r="E1894" s="226"/>
      <c r="G1894" s="224" t="s">
        <v>14</v>
      </c>
      <c r="H1894" s="224" t="s">
        <v>289</v>
      </c>
      <c r="I1894" s="224" t="s">
        <v>35</v>
      </c>
      <c r="J1894" s="224">
        <v>70</v>
      </c>
      <c r="K1894" s="227">
        <f t="array" ref="K1894">IFERROR(INDEX([1]Grille_Tarifs_Modulable!$B$2:$B$204,MATCH(Tableau14[[#This Row],[Designation]]&amp;Tableau14[[#This Row],[CL]],[1]Grille_Tarifs_Modulable!$C$2:$C$204&amp;[1]Grille_Tarifs_Modulable!$F$2:$F$204,0)),0)</f>
        <v>3257150107012</v>
      </c>
      <c r="L1894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24.608643999999998</v>
      </c>
      <c r="M1894" s="228">
        <f>IF(Tableau14[[#This Row],[Prix_Unit_HT]]=0,0,Tableau14[[#This Row],[Prix_Unit_HT]]+(Tableau14[[#This Row],[Prix_Unit_HT]]*VLOOKUP(Tableau14[[#This Row],[EAN]],[1]Grille_Tarifs_Modulable!$B$10:$Q$204,16,FALSE)))</f>
        <v>29.530372799999999</v>
      </c>
      <c r="N1894" s="224">
        <v>1</v>
      </c>
      <c r="O1894" s="228">
        <f>ROUND(Tableau14[[#This Row],[Prix_Unit_HT]],2)*Tableau14[[#This Row],[Qte_commande]]</f>
        <v>24.61</v>
      </c>
      <c r="P1894" s="228">
        <f>ROUND(Tableau14[[#This Row],[Prix_Unit_TTC]],2)*Tableau14[[#This Row],[Qte_commande]]</f>
        <v>29.53</v>
      </c>
      <c r="Q1894" s="224">
        <v>1</v>
      </c>
      <c r="R1894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</v>
      </c>
      <c r="U1894" s="224"/>
      <c r="V1894" s="224"/>
    </row>
    <row r="1895" spans="1:22" ht="14.65" customHeight="1" x14ac:dyDescent="0.2">
      <c r="A1895" s="225">
        <v>43815</v>
      </c>
      <c r="B1895" s="224" t="s">
        <v>795</v>
      </c>
      <c r="C1895" s="224" t="s">
        <v>211</v>
      </c>
      <c r="D1895" s="224" t="s">
        <v>212</v>
      </c>
      <c r="E1895" s="226"/>
      <c r="G1895" s="224" t="s">
        <v>1</v>
      </c>
      <c r="H1895" s="224" t="s">
        <v>289</v>
      </c>
      <c r="I1895" s="224" t="s">
        <v>794</v>
      </c>
      <c r="J1895" s="224">
        <v>2</v>
      </c>
      <c r="K1895" s="227">
        <f t="array" ref="K1895">IFERROR(INDEX([1]Grille_Tarifs_Modulable!$B$2:$B$204,MATCH(Tableau14[[#This Row],[Designation]]&amp;Tableau14[[#This Row],[CL]],[1]Grille_Tarifs_Modulable!$C$2:$C$204&amp;[1]Grille_Tarifs_Modulable!$F$2:$F$204,0)),0)</f>
        <v>4067700015884</v>
      </c>
      <c r="L1895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0.63521610000000006</v>
      </c>
      <c r="M1895" s="228">
        <f>IF(Tableau14[[#This Row],[Prix_Unit_HT]]=0,0,Tableau14[[#This Row],[Prix_Unit_HT]]+(Tableau14[[#This Row],[Prix_Unit_HT]]*VLOOKUP(Tableau14[[#This Row],[EAN]],[1]Grille_Tarifs_Modulable!$B$10:$Q$204,16,FALSE)))</f>
        <v>0.76225932000000007</v>
      </c>
      <c r="N1895" s="224">
        <v>600</v>
      </c>
      <c r="O1895" s="228">
        <f>ROUND(Tableau14[[#This Row],[Prix_Unit_HT]],2)*Tableau14[[#This Row],[Qte_commande]]</f>
        <v>384</v>
      </c>
      <c r="P1895" s="228">
        <f>ROUND(Tableau14[[#This Row],[Prix_Unit_TTC]],2)*Tableau14[[#This Row],[Qte_commande]]</f>
        <v>456</v>
      </c>
      <c r="Q1895" s="224">
        <v>17.14</v>
      </c>
      <c r="R1895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17.142857142857142</v>
      </c>
      <c r="U1895" s="224"/>
      <c r="V1895" s="224"/>
    </row>
    <row r="1896" spans="1:22" ht="14.65" customHeight="1" x14ac:dyDescent="0.2">
      <c r="A1896" s="225">
        <v>43815</v>
      </c>
      <c r="B1896" s="224" t="s">
        <v>795</v>
      </c>
      <c r="C1896" s="224" t="s">
        <v>211</v>
      </c>
      <c r="D1896" s="224" t="s">
        <v>212</v>
      </c>
      <c r="E1896" s="226"/>
      <c r="G1896" s="224" t="s">
        <v>1</v>
      </c>
      <c r="H1896" s="224" t="s">
        <v>289</v>
      </c>
      <c r="I1896" s="224" t="s">
        <v>796</v>
      </c>
      <c r="J1896" s="224">
        <v>70</v>
      </c>
      <c r="K1896" s="227">
        <f t="array" ref="K1896">IFERROR(INDEX([1]Grille_Tarifs_Modulable!$B$2:$B$204,MATCH(Tableau14[[#This Row],[Designation]]&amp;Tableau14[[#This Row],[CL]],[1]Grille_Tarifs_Modulable!$C$2:$C$204&amp;[1]Grille_Tarifs_Modulable!$F$2:$F$204,0)),0)</f>
        <v>4067700012085</v>
      </c>
      <c r="L1896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12.2021313</v>
      </c>
      <c r="M1896" s="228">
        <f>IF(Tableau14[[#This Row],[Prix_Unit_HT]]=0,0,Tableau14[[#This Row],[Prix_Unit_HT]]+(Tableau14[[#This Row],[Prix_Unit_HT]]*VLOOKUP(Tableau14[[#This Row],[EAN]],[1]Grille_Tarifs_Modulable!$B$10:$Q$204,16,FALSE)))</f>
        <v>14.64255756</v>
      </c>
      <c r="N1896" s="224">
        <v>12</v>
      </c>
      <c r="O1896" s="228">
        <f>ROUND(Tableau14[[#This Row],[Prix_Unit_HT]],2)*Tableau14[[#This Row],[Qte_commande]]</f>
        <v>146.39999999999998</v>
      </c>
      <c r="P1896" s="228">
        <f>ROUND(Tableau14[[#This Row],[Prix_Unit_TTC]],2)*Tableau14[[#This Row],[Qte_commande]]</f>
        <v>175.68</v>
      </c>
      <c r="Q1896" s="224">
        <v>12</v>
      </c>
      <c r="R1896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12.000000000000002</v>
      </c>
      <c r="U1896" s="224"/>
      <c r="V1896" s="224"/>
    </row>
    <row r="1897" spans="1:22" ht="14.65" customHeight="1" x14ac:dyDescent="0.2">
      <c r="A1897" s="225">
        <v>43815</v>
      </c>
      <c r="B1897" s="224" t="s">
        <v>881</v>
      </c>
      <c r="C1897" s="224" t="s">
        <v>539</v>
      </c>
      <c r="D1897" s="224" t="s">
        <v>523</v>
      </c>
      <c r="E1897" s="226"/>
      <c r="G1897" s="224" t="s">
        <v>13</v>
      </c>
      <c r="H1897" s="224" t="s">
        <v>289</v>
      </c>
      <c r="I1897" s="224" t="s">
        <v>36</v>
      </c>
      <c r="J1897" s="224">
        <v>70</v>
      </c>
      <c r="K1897" s="227">
        <f t="array" ref="K1897">IFERROR(INDEX([1]Grille_Tarifs_Modulable!$B$2:$B$204,MATCH(Tableau14[[#This Row],[Designation]]&amp;Tableau14[[#This Row],[CL]],[1]Grille_Tarifs_Modulable!$C$2:$C$204&amp;[1]Grille_Tarifs_Modulable!$F$2:$F$204,0)),0)</f>
        <v>3257150100792</v>
      </c>
      <c r="L1897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78.608643999999998</v>
      </c>
      <c r="M1897" s="228">
        <f>IF(Tableau14[[#This Row],[Prix_Unit_HT]]=0,0,Tableau14[[#This Row],[Prix_Unit_HT]]+(Tableau14[[#This Row],[Prix_Unit_HT]]*VLOOKUP(Tableau14[[#This Row],[EAN]],[1]Grille_Tarifs_Modulable!$B$10:$Q$204,16,FALSE)))</f>
        <v>94.330372799999992</v>
      </c>
      <c r="N1897" s="224">
        <v>6</v>
      </c>
      <c r="O1897" s="228">
        <f>ROUND(Tableau14[[#This Row],[Prix_Unit_HT]],2)*Tableau14[[#This Row],[Qte_commande]]</f>
        <v>471.65999999999997</v>
      </c>
      <c r="P1897" s="228">
        <f>ROUND(Tableau14[[#This Row],[Prix_Unit_TTC]],2)*Tableau14[[#This Row],[Qte_commande]]</f>
        <v>565.98</v>
      </c>
      <c r="Q1897" s="224">
        <v>6</v>
      </c>
      <c r="R1897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6.0000000000000009</v>
      </c>
      <c r="U1897" s="224"/>
      <c r="V1897" s="224"/>
    </row>
    <row r="1898" spans="1:22" ht="14.65" customHeight="1" x14ac:dyDescent="0.2">
      <c r="A1898" s="225">
        <v>43815</v>
      </c>
      <c r="B1898" s="224" t="s">
        <v>882</v>
      </c>
      <c r="C1898" s="224" t="s">
        <v>737</v>
      </c>
      <c r="D1898" s="224" t="s">
        <v>209</v>
      </c>
      <c r="E1898" s="226"/>
      <c r="G1898" s="224" t="s">
        <v>1</v>
      </c>
      <c r="H1898" s="224" t="s">
        <v>289</v>
      </c>
      <c r="I1898" s="224" t="s">
        <v>36</v>
      </c>
      <c r="J1898" s="224">
        <v>70</v>
      </c>
      <c r="K1898" s="227">
        <f t="array" ref="K1898">IFERROR(INDEX([1]Grille_Tarifs_Modulable!$B$2:$B$204,MATCH(Tableau14[[#This Row],[Designation]]&amp;Tableau14[[#This Row],[CL]],[1]Grille_Tarifs_Modulable!$C$2:$C$204&amp;[1]Grille_Tarifs_Modulable!$F$2:$F$204,0)),0)</f>
        <v>3257150100792</v>
      </c>
      <c r="L1898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71.40864400000001</v>
      </c>
      <c r="M1898" s="228">
        <f>IF(Tableau14[[#This Row],[Prix_Unit_HT]]=0,0,Tableau14[[#This Row],[Prix_Unit_HT]]+(Tableau14[[#This Row],[Prix_Unit_HT]]*VLOOKUP(Tableau14[[#This Row],[EAN]],[1]Grille_Tarifs_Modulable!$B$10:$Q$204,16,FALSE)))</f>
        <v>85.690372800000006</v>
      </c>
      <c r="N1898" s="224">
        <v>3</v>
      </c>
      <c r="O1898" s="228">
        <f>ROUND(Tableau14[[#This Row],[Prix_Unit_HT]],2)*Tableau14[[#This Row],[Qte_commande]]</f>
        <v>214.23</v>
      </c>
      <c r="P1898" s="228">
        <f>ROUND(Tableau14[[#This Row],[Prix_Unit_TTC]],2)*Tableau14[[#This Row],[Qte_commande]]</f>
        <v>257.07</v>
      </c>
      <c r="Q1898" s="224">
        <v>3</v>
      </c>
      <c r="R1898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3.0000000000000004</v>
      </c>
      <c r="U1898" s="224"/>
      <c r="V1898" s="224"/>
    </row>
    <row r="1899" spans="1:22" ht="14.65" customHeight="1" x14ac:dyDescent="0.2">
      <c r="A1899" s="225">
        <v>43815</v>
      </c>
      <c r="B1899" s="224" t="s">
        <v>882</v>
      </c>
      <c r="C1899" s="224" t="s">
        <v>737</v>
      </c>
      <c r="D1899" s="224" t="s">
        <v>209</v>
      </c>
      <c r="E1899" s="226"/>
      <c r="G1899" s="224" t="s">
        <v>1</v>
      </c>
      <c r="H1899" s="224" t="s">
        <v>289</v>
      </c>
      <c r="I1899" s="224" t="s">
        <v>38</v>
      </c>
      <c r="J1899" s="224">
        <v>70</v>
      </c>
      <c r="K1899" s="227">
        <f t="array" ref="K1899">IFERROR(INDEX([1]Grille_Tarifs_Modulable!$B$2:$B$204,MATCH(Tableau14[[#This Row],[Designation]]&amp;Tableau14[[#This Row],[CL]],[1]Grille_Tarifs_Modulable!$C$2:$C$204&amp;[1]Grille_Tarifs_Modulable!$F$2:$F$204,0)),0)</f>
        <v>3257150101300</v>
      </c>
      <c r="L1899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82.208643999999993</v>
      </c>
      <c r="M1899" s="228">
        <f>IF(Tableau14[[#This Row],[Prix_Unit_HT]]=0,0,Tableau14[[#This Row],[Prix_Unit_HT]]+(Tableau14[[#This Row],[Prix_Unit_HT]]*VLOOKUP(Tableau14[[#This Row],[EAN]],[1]Grille_Tarifs_Modulable!$B$10:$Q$204,16,FALSE)))</f>
        <v>98.650372799999985</v>
      </c>
      <c r="N1899" s="224">
        <v>3</v>
      </c>
      <c r="O1899" s="228">
        <f>ROUND(Tableau14[[#This Row],[Prix_Unit_HT]],2)*Tableau14[[#This Row],[Qte_commande]]</f>
        <v>246.63</v>
      </c>
      <c r="P1899" s="228">
        <f>ROUND(Tableau14[[#This Row],[Prix_Unit_TTC]],2)*Tableau14[[#This Row],[Qte_commande]]</f>
        <v>295.95000000000005</v>
      </c>
      <c r="Q1899" s="224">
        <v>3</v>
      </c>
      <c r="R1899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3.0000000000000004</v>
      </c>
      <c r="U1899" s="224"/>
      <c r="V1899" s="224"/>
    </row>
    <row r="1900" spans="1:22" ht="14.65" customHeight="1" x14ac:dyDescent="0.2">
      <c r="A1900" s="225">
        <v>43815</v>
      </c>
      <c r="B1900" s="224" t="s">
        <v>795</v>
      </c>
      <c r="C1900" s="224" t="s">
        <v>211</v>
      </c>
      <c r="D1900" s="224" t="s">
        <v>212</v>
      </c>
      <c r="E1900" s="226"/>
      <c r="G1900" s="224" t="s">
        <v>1</v>
      </c>
      <c r="H1900" s="224" t="s">
        <v>289</v>
      </c>
      <c r="I1900" s="224" t="s">
        <v>31</v>
      </c>
      <c r="J1900" s="224">
        <v>70</v>
      </c>
      <c r="K1900" s="227">
        <f t="array" ref="K1900">IFERROR(INDEX([1]Grille_Tarifs_Modulable!$B$2:$B$204,MATCH(Tableau14[[#This Row],[Designation]]&amp;Tableau14[[#This Row],[CL]],[1]Grille_Tarifs_Modulable!$C$2:$C$204&amp;[1]Grille_Tarifs_Modulable!$F$2:$F$204,0)),0)</f>
        <v>3257150102017</v>
      </c>
      <c r="L1900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14.694322</v>
      </c>
      <c r="M1900" s="228">
        <f>IF(Tableau14[[#This Row],[Prix_Unit_HT]]=0,0,Tableau14[[#This Row],[Prix_Unit_HT]]+(Tableau14[[#This Row],[Prix_Unit_HT]]*VLOOKUP(Tableau14[[#This Row],[EAN]],[1]Grille_Tarifs_Modulable!$B$10:$Q$204,16,FALSE)))</f>
        <v>17.6331864</v>
      </c>
      <c r="N1900" s="224">
        <v>6</v>
      </c>
      <c r="O1900" s="228">
        <f>ROUND(Tableau14[[#This Row],[Prix_Unit_HT]],2)*Tableau14[[#This Row],[Qte_commande]]</f>
        <v>88.14</v>
      </c>
      <c r="P1900" s="228">
        <f>ROUND(Tableau14[[#This Row],[Prix_Unit_TTC]],2)*Tableau14[[#This Row],[Qte_commande]]</f>
        <v>105.78</v>
      </c>
      <c r="Q1900" s="224">
        <v>6</v>
      </c>
      <c r="R1900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6.0000000000000009</v>
      </c>
      <c r="U1900" s="224"/>
      <c r="V1900" s="224"/>
    </row>
    <row r="1901" spans="1:22" ht="14.65" customHeight="1" x14ac:dyDescent="0.2">
      <c r="A1901" s="225">
        <v>43815</v>
      </c>
      <c r="B1901" s="224" t="s">
        <v>914</v>
      </c>
      <c r="C1901" s="224" t="s">
        <v>440</v>
      </c>
      <c r="D1901" s="224" t="s">
        <v>209</v>
      </c>
      <c r="E1901" s="226"/>
      <c r="G1901" s="224" t="s">
        <v>14</v>
      </c>
      <c r="H1901" s="224" t="s">
        <v>289</v>
      </c>
      <c r="I1901" s="224" t="s">
        <v>44</v>
      </c>
      <c r="J1901" s="224">
        <v>50</v>
      </c>
      <c r="K1901" s="227">
        <f t="array" ref="K1901">IFERROR(INDEX([1]Grille_Tarifs_Modulable!$B$2:$B$204,MATCH(Tableau14[[#This Row],[Designation]]&amp;Tableau14[[#This Row],[CL]],[1]Grille_Tarifs_Modulable!$C$2:$C$204&amp;[1]Grille_Tarifs_Modulable!$F$2:$F$204,0)),0)</f>
        <v>4260270192645</v>
      </c>
      <c r="L1901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25.192506000000002</v>
      </c>
      <c r="M1901" s="228">
        <f>IF(Tableau14[[#This Row],[Prix_Unit_HT]]=0,0,Tableau14[[#This Row],[Prix_Unit_HT]]+(Tableau14[[#This Row],[Prix_Unit_HT]]*VLOOKUP(Tableau14[[#This Row],[EAN]],[1]Grille_Tarifs_Modulable!$B$10:$Q$204,16,FALSE)))</f>
        <v>30.231007200000001</v>
      </c>
      <c r="N1901" s="224">
        <v>1</v>
      </c>
      <c r="O1901" s="228">
        <f>ROUND(Tableau14[[#This Row],[Prix_Unit_HT]],2)*Tableau14[[#This Row],[Qte_commande]]</f>
        <v>25.19</v>
      </c>
      <c r="P1901" s="228">
        <f>ROUND(Tableau14[[#This Row],[Prix_Unit_TTC]],2)*Tableau14[[#This Row],[Qte_commande]]</f>
        <v>30.23</v>
      </c>
      <c r="Q1901" s="224">
        <v>0.71</v>
      </c>
      <c r="R1901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0.7142857142857143</v>
      </c>
      <c r="U1901" s="224"/>
      <c r="V1901" s="224"/>
    </row>
    <row r="1902" spans="1:22" ht="14.65" customHeight="1" x14ac:dyDescent="0.2">
      <c r="A1902" s="225">
        <v>43815</v>
      </c>
      <c r="B1902" s="224" t="s">
        <v>915</v>
      </c>
      <c r="C1902" s="224" t="s">
        <v>864</v>
      </c>
      <c r="D1902" s="224" t="s">
        <v>180</v>
      </c>
      <c r="E1902" s="226"/>
      <c r="G1902" s="224" t="s">
        <v>13</v>
      </c>
      <c r="H1902" s="224" t="s">
        <v>289</v>
      </c>
      <c r="I1902" s="224" t="s">
        <v>44</v>
      </c>
      <c r="J1902" s="224">
        <v>50</v>
      </c>
      <c r="K1902" s="227">
        <f t="array" ref="K1902">IFERROR(INDEX([1]Grille_Tarifs_Modulable!$B$2:$B$204,MATCH(Tableau14[[#This Row],[Designation]]&amp;Tableau14[[#This Row],[CL]],[1]Grille_Tarifs_Modulable!$C$2:$C$204&amp;[1]Grille_Tarifs_Modulable!$F$2:$F$204,0)),0)</f>
        <v>4260270192645</v>
      </c>
      <c r="L1902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28.052506000000001</v>
      </c>
      <c r="M1902" s="228">
        <f>IF(Tableau14[[#This Row],[Prix_Unit_HT]]=0,0,Tableau14[[#This Row],[Prix_Unit_HT]]+(Tableau14[[#This Row],[Prix_Unit_HT]]*VLOOKUP(Tableau14[[#This Row],[EAN]],[1]Grille_Tarifs_Modulable!$B$10:$Q$204,16,FALSE)))</f>
        <v>33.663007200000003</v>
      </c>
      <c r="N1902" s="224">
        <v>12</v>
      </c>
      <c r="O1902" s="228">
        <f>ROUND(Tableau14[[#This Row],[Prix_Unit_HT]],2)*Tableau14[[#This Row],[Qte_commande]]</f>
        <v>336.6</v>
      </c>
      <c r="P1902" s="228">
        <f>ROUND(Tableau14[[#This Row],[Prix_Unit_TTC]],2)*Tableau14[[#This Row],[Qte_commande]]</f>
        <v>403.91999999999996</v>
      </c>
      <c r="Q1902" s="224">
        <v>8.57</v>
      </c>
      <c r="R1902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8.5714285714285712</v>
      </c>
      <c r="U1902" s="224"/>
      <c r="V1902" s="224"/>
    </row>
    <row r="1903" spans="1:22" ht="14.65" customHeight="1" x14ac:dyDescent="0.2">
      <c r="A1903" s="225">
        <v>43815</v>
      </c>
      <c r="B1903" s="224" t="s">
        <v>795</v>
      </c>
      <c r="C1903" s="224" t="s">
        <v>211</v>
      </c>
      <c r="D1903" s="224" t="s">
        <v>212</v>
      </c>
      <c r="E1903" s="226"/>
      <c r="G1903" s="224" t="s">
        <v>1</v>
      </c>
      <c r="H1903" s="224" t="s">
        <v>289</v>
      </c>
      <c r="I1903" s="224" t="s">
        <v>42</v>
      </c>
      <c r="J1903" s="224">
        <v>70</v>
      </c>
      <c r="K1903" s="227">
        <f t="array" ref="K1903">IFERROR(INDEX([1]Grille_Tarifs_Modulable!$B$2:$B$204,MATCH(Tableau14[[#This Row],[Designation]]&amp;Tableau14[[#This Row],[CL]],[1]Grille_Tarifs_Modulable!$C$2:$C$204&amp;[1]Grille_Tarifs_Modulable!$F$2:$F$204,0)),0)</f>
        <v>3257150688009</v>
      </c>
      <c r="L1903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12.556915199999999</v>
      </c>
      <c r="M1903" s="228">
        <f>IF(Tableau14[[#This Row],[Prix_Unit_HT]]=0,0,Tableau14[[#This Row],[Prix_Unit_HT]]+(Tableau14[[#This Row],[Prix_Unit_HT]]*VLOOKUP(Tableau14[[#This Row],[EAN]],[1]Grille_Tarifs_Modulable!$B$10:$Q$204,16,FALSE)))</f>
        <v>15.068298239999999</v>
      </c>
      <c r="N1903" s="224">
        <v>36</v>
      </c>
      <c r="O1903" s="228">
        <f>ROUND(Tableau14[[#This Row],[Prix_Unit_HT]],2)*Tableau14[[#This Row],[Qte_commande]]</f>
        <v>452.16</v>
      </c>
      <c r="P1903" s="228">
        <f>ROUND(Tableau14[[#This Row],[Prix_Unit_TTC]],2)*Tableau14[[#This Row],[Qte_commande]]</f>
        <v>542.52</v>
      </c>
      <c r="Q1903" s="224">
        <v>36</v>
      </c>
      <c r="R1903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36</v>
      </c>
      <c r="U1903" s="224"/>
      <c r="V1903" s="224"/>
    </row>
    <row r="1904" spans="1:22" ht="14.65" customHeight="1" x14ac:dyDescent="0.2">
      <c r="A1904" s="225">
        <v>43816</v>
      </c>
      <c r="B1904" s="224" t="s">
        <v>875</v>
      </c>
      <c r="C1904" s="224" t="s">
        <v>876</v>
      </c>
      <c r="D1904" s="224" t="s">
        <v>523</v>
      </c>
      <c r="E1904" s="226"/>
      <c r="G1904" s="224" t="s">
        <v>13</v>
      </c>
      <c r="H1904" s="224" t="s">
        <v>289</v>
      </c>
      <c r="I1904" s="224" t="s">
        <v>32</v>
      </c>
      <c r="J1904" s="224">
        <v>70</v>
      </c>
      <c r="K1904" s="227">
        <f t="array" ref="K1904">IFERROR(INDEX([1]Grille_Tarifs_Modulable!$B$2:$B$204,MATCH(Tableau14[[#This Row],[Designation]]&amp;Tableau14[[#This Row],[CL]],[1]Grille_Tarifs_Modulable!$C$2:$C$204&amp;[1]Grille_Tarifs_Modulable!$F$2:$F$204,0)),0)</f>
        <v>3257150100228</v>
      </c>
      <c r="L1904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21.488644000000001</v>
      </c>
      <c r="M1904" s="228">
        <f>IF(Tableau14[[#This Row],[Prix_Unit_HT]]=0,0,Tableau14[[#This Row],[Prix_Unit_HT]]+(Tableau14[[#This Row],[Prix_Unit_HT]]*VLOOKUP(Tableau14[[#This Row],[EAN]],[1]Grille_Tarifs_Modulable!$B$10:$Q$204,16,FALSE)))</f>
        <v>25.786372800000002</v>
      </c>
      <c r="N1904" s="224">
        <v>3</v>
      </c>
      <c r="O1904" s="228">
        <f>ROUND(Tableau14[[#This Row],[Prix_Unit_HT]],2)*Tableau14[[#This Row],[Qte_commande]]</f>
        <v>64.47</v>
      </c>
      <c r="P1904" s="228">
        <f>ROUND(Tableau14[[#This Row],[Prix_Unit_TTC]],2)*Tableau14[[#This Row],[Qte_commande]]</f>
        <v>77.37</v>
      </c>
      <c r="Q1904" s="224">
        <v>3</v>
      </c>
      <c r="R1904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3.0000000000000004</v>
      </c>
      <c r="U1904" s="224"/>
      <c r="V1904" s="224"/>
    </row>
    <row r="1905" spans="1:22" ht="14.65" customHeight="1" x14ac:dyDescent="0.2">
      <c r="A1905" s="225">
        <v>43816</v>
      </c>
      <c r="B1905" s="224" t="s">
        <v>875</v>
      </c>
      <c r="C1905" s="224" t="s">
        <v>876</v>
      </c>
      <c r="D1905" s="224" t="s">
        <v>523</v>
      </c>
      <c r="E1905" s="226"/>
      <c r="G1905" s="224" t="s">
        <v>13</v>
      </c>
      <c r="H1905" s="224" t="s">
        <v>289</v>
      </c>
      <c r="I1905" s="224" t="s">
        <v>34</v>
      </c>
      <c r="J1905" s="224">
        <v>70</v>
      </c>
      <c r="K1905" s="227">
        <f t="array" ref="K1905">IFERROR(INDEX([1]Grille_Tarifs_Modulable!$B$2:$B$204,MATCH(Tableau14[[#This Row],[Designation]]&amp;Tableau14[[#This Row],[CL]],[1]Grille_Tarifs_Modulable!$C$2:$C$204&amp;[1]Grille_Tarifs_Modulable!$F$2:$F$204,0)),0)</f>
        <v>3257150100167</v>
      </c>
      <c r="L1905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29.948644000000002</v>
      </c>
      <c r="M1905" s="228">
        <f>IF(Tableau14[[#This Row],[Prix_Unit_HT]]=0,0,Tableau14[[#This Row],[Prix_Unit_HT]]+(Tableau14[[#This Row],[Prix_Unit_HT]]*VLOOKUP(Tableau14[[#This Row],[EAN]],[1]Grille_Tarifs_Modulable!$B$10:$Q$204,16,FALSE)))</f>
        <v>35.938372800000003</v>
      </c>
      <c r="N1905" s="224">
        <v>3</v>
      </c>
      <c r="O1905" s="228">
        <f>ROUND(Tableau14[[#This Row],[Prix_Unit_HT]],2)*Tableau14[[#This Row],[Qte_commande]]</f>
        <v>89.85</v>
      </c>
      <c r="P1905" s="228">
        <f>ROUND(Tableau14[[#This Row],[Prix_Unit_TTC]],2)*Tableau14[[#This Row],[Qte_commande]]</f>
        <v>107.82</v>
      </c>
      <c r="Q1905" s="224">
        <v>3</v>
      </c>
      <c r="R1905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3.0000000000000004</v>
      </c>
      <c r="U1905" s="224"/>
      <c r="V1905" s="224"/>
    </row>
    <row r="1906" spans="1:22" ht="14.65" customHeight="1" x14ac:dyDescent="0.2">
      <c r="A1906" s="225">
        <v>43819</v>
      </c>
      <c r="B1906" s="224" t="s">
        <v>786</v>
      </c>
      <c r="C1906" s="224" t="s">
        <v>530</v>
      </c>
      <c r="D1906" s="224" t="s">
        <v>531</v>
      </c>
      <c r="E1906" s="226"/>
      <c r="G1906" s="224" t="s">
        <v>1</v>
      </c>
      <c r="H1906" s="224" t="s">
        <v>289</v>
      </c>
      <c r="I1906" s="224" t="s">
        <v>15</v>
      </c>
      <c r="J1906" s="224">
        <v>70</v>
      </c>
      <c r="K1906" s="227">
        <f t="array" ref="K1906">IFERROR(INDEX([1]Grille_Tarifs_Modulable!$B$2:$B$204,MATCH(Tableau14[[#This Row],[Designation]]&amp;Tableau14[[#This Row],[CL]],[1]Grille_Tarifs_Modulable!$C$2:$C$204&amp;[1]Grille_Tarifs_Modulable!$F$2:$F$204,0)),0)</f>
        <v>4067700013859</v>
      </c>
      <c r="L1906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12.532563499999998</v>
      </c>
      <c r="M1906" s="228">
        <f>IF(Tableau14[[#This Row],[Prix_Unit_HT]]=0,0,Tableau14[[#This Row],[Prix_Unit_HT]]+(Tableau14[[#This Row],[Prix_Unit_HT]]*VLOOKUP(Tableau14[[#This Row],[EAN]],[1]Grille_Tarifs_Modulable!$B$10:$Q$204,16,FALSE)))</f>
        <v>15.039076199999998</v>
      </c>
      <c r="N1906" s="224">
        <v>102</v>
      </c>
      <c r="O1906" s="228">
        <f>ROUND(Tableau14[[#This Row],[Prix_Unit_HT]],2)*Tableau14[[#This Row],[Qte_commande]]</f>
        <v>1278.06</v>
      </c>
      <c r="P1906" s="228">
        <f>ROUND(Tableau14[[#This Row],[Prix_Unit_TTC]],2)*Tableau14[[#This Row],[Qte_commande]]</f>
        <v>1534.08</v>
      </c>
      <c r="Q1906" s="224">
        <v>102</v>
      </c>
      <c r="R1906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102.00000000000001</v>
      </c>
      <c r="U1906" s="224"/>
      <c r="V1906" s="224"/>
    </row>
    <row r="1907" spans="1:22" ht="14.65" customHeight="1" x14ac:dyDescent="0.2">
      <c r="A1907" s="225">
        <v>43819</v>
      </c>
      <c r="B1907" s="224" t="s">
        <v>786</v>
      </c>
      <c r="C1907" s="224" t="s">
        <v>530</v>
      </c>
      <c r="D1907" s="224" t="s">
        <v>531</v>
      </c>
      <c r="E1907" s="226"/>
      <c r="G1907" s="224" t="s">
        <v>1</v>
      </c>
      <c r="H1907" s="224" t="s">
        <v>289</v>
      </c>
      <c r="I1907" s="224" t="s">
        <v>15</v>
      </c>
      <c r="J1907" s="224">
        <v>70</v>
      </c>
      <c r="K1907" s="227">
        <f t="array" ref="K1907">IFERROR(INDEX([1]Grille_Tarifs_Modulable!$B$2:$B$204,MATCH(Tableau14[[#This Row],[Designation]]&amp;Tableau14[[#This Row],[CL]],[1]Grille_Tarifs_Modulable!$C$2:$C$204&amp;[1]Grille_Tarifs_Modulable!$F$2:$F$204,0)),0)</f>
        <v>4067700013859</v>
      </c>
      <c r="L1907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12.532563499999998</v>
      </c>
      <c r="M1907" s="228">
        <f>IF(Tableau14[[#This Row],[Prix_Unit_HT]]=0,0,Tableau14[[#This Row],[Prix_Unit_HT]]+(Tableau14[[#This Row],[Prix_Unit_HT]]*VLOOKUP(Tableau14[[#This Row],[EAN]],[1]Grille_Tarifs_Modulable!$B$10:$Q$204,16,FALSE)))</f>
        <v>15.039076199999998</v>
      </c>
      <c r="N1907" s="224">
        <v>138</v>
      </c>
      <c r="O1907" s="228">
        <f>ROUND(Tableau14[[#This Row],[Prix_Unit_HT]],2)*Tableau14[[#This Row],[Qte_commande]]</f>
        <v>1729.1399999999999</v>
      </c>
      <c r="P1907" s="228">
        <f>ROUND(Tableau14[[#This Row],[Prix_Unit_TTC]],2)*Tableau14[[#This Row],[Qte_commande]]</f>
        <v>2075.52</v>
      </c>
      <c r="Q1907" s="224">
        <v>138</v>
      </c>
      <c r="R1907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138</v>
      </c>
      <c r="U1907" s="224"/>
      <c r="V1907" s="224"/>
    </row>
    <row r="1908" spans="1:22" ht="14.65" customHeight="1" x14ac:dyDescent="0.2">
      <c r="A1908" s="225">
        <v>43819</v>
      </c>
      <c r="B1908" s="224" t="s">
        <v>877</v>
      </c>
      <c r="C1908" s="224" t="s">
        <v>789</v>
      </c>
      <c r="D1908" s="224" t="s">
        <v>209</v>
      </c>
      <c r="E1908" s="226"/>
      <c r="G1908" s="224" t="s">
        <v>14</v>
      </c>
      <c r="H1908" s="224" t="s">
        <v>289</v>
      </c>
      <c r="I1908" s="224" t="s">
        <v>32</v>
      </c>
      <c r="J1908" s="224">
        <v>70</v>
      </c>
      <c r="K1908" s="227">
        <f t="array" ref="K1908">IFERROR(INDEX([1]Grille_Tarifs_Modulable!$B$2:$B$204,MATCH(Tableau14[[#This Row],[Designation]]&amp;Tableau14[[#This Row],[CL]],[1]Grille_Tarifs_Modulable!$C$2:$C$204&amp;[1]Grille_Tarifs_Modulable!$F$2:$F$204,0)),0)</f>
        <v>3257150100228</v>
      </c>
      <c r="L1908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19.008644</v>
      </c>
      <c r="M1908" s="228">
        <f>IF(Tableau14[[#This Row],[Prix_Unit_HT]]=0,0,Tableau14[[#This Row],[Prix_Unit_HT]]+(Tableau14[[#This Row],[Prix_Unit_HT]]*VLOOKUP(Tableau14[[#This Row],[EAN]],[1]Grille_Tarifs_Modulable!$B$10:$Q$204,16,FALSE)))</f>
        <v>22.8103728</v>
      </c>
      <c r="N1908" s="224">
        <v>78</v>
      </c>
      <c r="O1908" s="228">
        <f>ROUND(Tableau14[[#This Row],[Prix_Unit_HT]],2)*Tableau14[[#This Row],[Qte_commande]]</f>
        <v>1482.7800000000002</v>
      </c>
      <c r="P1908" s="228">
        <f>ROUND(Tableau14[[#This Row],[Prix_Unit_TTC]],2)*Tableau14[[#This Row],[Qte_commande]]</f>
        <v>1779.1799999999998</v>
      </c>
      <c r="Q1908" s="224">
        <v>78</v>
      </c>
      <c r="R1908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78</v>
      </c>
      <c r="U1908" s="224"/>
      <c r="V1908" s="224"/>
    </row>
    <row r="1909" spans="1:22" ht="14.65" customHeight="1" x14ac:dyDescent="0.2">
      <c r="A1909" s="225">
        <v>43819</v>
      </c>
      <c r="B1909" s="224" t="s">
        <v>877</v>
      </c>
      <c r="C1909" s="224" t="s">
        <v>789</v>
      </c>
      <c r="D1909" s="224" t="s">
        <v>209</v>
      </c>
      <c r="E1909" s="226"/>
      <c r="G1909" s="224" t="s">
        <v>14</v>
      </c>
      <c r="H1909" s="224" t="s">
        <v>289</v>
      </c>
      <c r="I1909" s="224" t="s">
        <v>44</v>
      </c>
      <c r="J1909" s="224">
        <v>50</v>
      </c>
      <c r="K1909" s="227">
        <f t="array" ref="K1909">IFERROR(INDEX([1]Grille_Tarifs_Modulable!$B$2:$B$204,MATCH(Tableau14[[#This Row],[Designation]]&amp;Tableau14[[#This Row],[CL]],[1]Grille_Tarifs_Modulable!$C$2:$C$204&amp;[1]Grille_Tarifs_Modulable!$F$2:$F$204,0)),0)</f>
        <v>4260270192645</v>
      </c>
      <c r="L1909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25.192506000000002</v>
      </c>
      <c r="M1909" s="228">
        <f>IF(Tableau14[[#This Row],[Prix_Unit_HT]]=0,0,Tableau14[[#This Row],[Prix_Unit_HT]]+(Tableau14[[#This Row],[Prix_Unit_HT]]*VLOOKUP(Tableau14[[#This Row],[EAN]],[1]Grille_Tarifs_Modulable!$B$10:$Q$204,16,FALSE)))</f>
        <v>30.231007200000001</v>
      </c>
      <c r="N1909" s="224">
        <v>43</v>
      </c>
      <c r="O1909" s="228">
        <f>ROUND(Tableau14[[#This Row],[Prix_Unit_HT]],2)*Tableau14[[#This Row],[Qte_commande]]</f>
        <v>1083.17</v>
      </c>
      <c r="P1909" s="228">
        <f>ROUND(Tableau14[[#This Row],[Prix_Unit_TTC]],2)*Tableau14[[#This Row],[Qte_commande]]</f>
        <v>1299.8900000000001</v>
      </c>
      <c r="Q1909" s="227">
        <f>30.71</f>
        <v>30.71</v>
      </c>
      <c r="R1909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30.714285714285715</v>
      </c>
      <c r="U1909" s="224"/>
      <c r="V1909" s="224"/>
    </row>
    <row r="1910" spans="1:22" ht="14.65" customHeight="1" x14ac:dyDescent="0.2">
      <c r="A1910" s="225">
        <v>43819</v>
      </c>
      <c r="B1910" s="224" t="s">
        <v>1236</v>
      </c>
      <c r="C1910" s="224" t="s">
        <v>161</v>
      </c>
      <c r="D1910" s="224" t="s">
        <v>666</v>
      </c>
      <c r="E1910" s="226"/>
      <c r="G1910" s="224" t="s">
        <v>13</v>
      </c>
      <c r="H1910" s="224" t="s">
        <v>451</v>
      </c>
      <c r="I1910" s="224" t="s">
        <v>69</v>
      </c>
      <c r="J1910" s="227">
        <v>3</v>
      </c>
      <c r="K1910" s="227">
        <f t="array" ref="K1910">IFERROR(INDEX([1]Grille_Tarifs_Modulable!$B$2:$B$204,MATCH(Tableau14[[#This Row],[Designation]]&amp;Tableau14[[#This Row],[CL]],[1]Grille_Tarifs_Modulable!$C$2:$C$204&amp;[1]Grille_Tarifs_Modulable!$F$2:$F$204,0)),0)</f>
        <v>121</v>
      </c>
      <c r="L1910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299</v>
      </c>
      <c r="M1910" s="228">
        <f>IF(Tableau14[[#This Row],[Prix_Unit_HT]]=0,0,Tableau14[[#This Row],[Prix_Unit_HT]]+(Tableau14[[#This Row],[Prix_Unit_HT]]*VLOOKUP(Tableau14[[#This Row],[EAN]],[1]Grille_Tarifs_Modulable!$B$10:$Q$204,16,FALSE)))</f>
        <v>358.8</v>
      </c>
      <c r="N1910" s="224">
        <v>1</v>
      </c>
      <c r="O1910" s="228">
        <f>ROUND(Tableau14[[#This Row],[Prix_Unit_HT]],2)*Tableau14[[#This Row],[Qte_commande]]</f>
        <v>299</v>
      </c>
      <c r="P1910" s="228">
        <f>ROUND(Tableau14[[#This Row],[Prix_Unit_TTC]],2)*Tableau14[[#This Row],[Qte_commande]]</f>
        <v>358.8</v>
      </c>
      <c r="Q1910" s="224">
        <v>1</v>
      </c>
      <c r="R1910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</v>
      </c>
      <c r="U1910" s="224"/>
      <c r="V1910" s="224"/>
    </row>
    <row r="1911" spans="1:22" ht="14.65" customHeight="1" x14ac:dyDescent="0.2">
      <c r="A1911" s="225">
        <v>43819</v>
      </c>
      <c r="B1911" s="224" t="s">
        <v>1237</v>
      </c>
      <c r="C1911" s="224" t="s">
        <v>308</v>
      </c>
      <c r="D1911" s="224" t="s">
        <v>309</v>
      </c>
      <c r="E1911" s="226"/>
      <c r="G1911" s="224" t="s">
        <v>13</v>
      </c>
      <c r="H1911" s="224" t="s">
        <v>451</v>
      </c>
      <c r="I1911" s="224" t="s">
        <v>69</v>
      </c>
      <c r="J1911" s="227">
        <v>3</v>
      </c>
      <c r="K1911" s="227">
        <f t="array" ref="K1911">IFERROR(INDEX([1]Grille_Tarifs_Modulable!$B$2:$B$204,MATCH(Tableau14[[#This Row],[Designation]]&amp;Tableau14[[#This Row],[CL]],[1]Grille_Tarifs_Modulable!$C$2:$C$204&amp;[1]Grille_Tarifs_Modulable!$F$2:$F$204,0)),0)</f>
        <v>121</v>
      </c>
      <c r="L1911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299</v>
      </c>
      <c r="M1911" s="228">
        <f>IF(Tableau14[[#This Row],[Prix_Unit_HT]]=0,0,Tableau14[[#This Row],[Prix_Unit_HT]]+(Tableau14[[#This Row],[Prix_Unit_HT]]*VLOOKUP(Tableau14[[#This Row],[EAN]],[1]Grille_Tarifs_Modulable!$B$10:$Q$204,16,FALSE)))</f>
        <v>358.8</v>
      </c>
      <c r="N1911" s="224">
        <v>1</v>
      </c>
      <c r="O1911" s="228">
        <f>ROUND(Tableau14[[#This Row],[Prix_Unit_HT]],2)*Tableau14[[#This Row],[Qte_commande]]</f>
        <v>299</v>
      </c>
      <c r="P1911" s="228">
        <f>ROUND(Tableau14[[#This Row],[Prix_Unit_TTC]],2)*Tableau14[[#This Row],[Qte_commande]]</f>
        <v>358.8</v>
      </c>
      <c r="Q1911" s="224">
        <v>1</v>
      </c>
      <c r="R1911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</v>
      </c>
      <c r="U1911" s="224"/>
      <c r="V1911" s="224"/>
    </row>
    <row r="1912" spans="1:22" ht="14.65" customHeight="1" x14ac:dyDescent="0.2">
      <c r="A1912" s="225">
        <v>43819</v>
      </c>
      <c r="B1912" s="224" t="s">
        <v>1238</v>
      </c>
      <c r="C1912" s="224" t="s">
        <v>1239</v>
      </c>
      <c r="D1912" s="224" t="s">
        <v>1240</v>
      </c>
      <c r="E1912" s="226"/>
      <c r="G1912" s="224" t="s">
        <v>13</v>
      </c>
      <c r="H1912" s="224" t="s">
        <v>451</v>
      </c>
      <c r="I1912" s="224" t="s">
        <v>69</v>
      </c>
      <c r="J1912" s="227">
        <v>3</v>
      </c>
      <c r="K1912" s="227">
        <f t="array" ref="K1912">IFERROR(INDEX([1]Grille_Tarifs_Modulable!$B$2:$B$204,MATCH(Tableau14[[#This Row],[Designation]]&amp;Tableau14[[#This Row],[CL]],[1]Grille_Tarifs_Modulable!$C$2:$C$204&amp;[1]Grille_Tarifs_Modulable!$F$2:$F$204,0)),0)</f>
        <v>121</v>
      </c>
      <c r="L1912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299</v>
      </c>
      <c r="M1912" s="228">
        <f>IF(Tableau14[[#This Row],[Prix_Unit_HT]]=0,0,Tableau14[[#This Row],[Prix_Unit_HT]]+(Tableau14[[#This Row],[Prix_Unit_HT]]*VLOOKUP(Tableau14[[#This Row],[EAN]],[1]Grille_Tarifs_Modulable!$B$10:$Q$204,16,FALSE)))</f>
        <v>358.8</v>
      </c>
      <c r="N1912" s="224">
        <v>1</v>
      </c>
      <c r="O1912" s="228">
        <f>ROUND(Tableau14[[#This Row],[Prix_Unit_HT]],2)*Tableau14[[#This Row],[Qte_commande]]</f>
        <v>299</v>
      </c>
      <c r="P1912" s="228">
        <f>ROUND(Tableau14[[#This Row],[Prix_Unit_TTC]],2)*Tableau14[[#This Row],[Qte_commande]]</f>
        <v>358.8</v>
      </c>
      <c r="Q1912" s="224">
        <v>1</v>
      </c>
      <c r="R1912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</v>
      </c>
      <c r="U1912" s="224"/>
      <c r="V1912" s="224"/>
    </row>
    <row r="1913" spans="1:22" ht="14.65" customHeight="1" x14ac:dyDescent="0.2">
      <c r="A1913" s="225">
        <v>43819</v>
      </c>
      <c r="B1913" s="224" t="s">
        <v>1345</v>
      </c>
      <c r="C1913" s="224" t="s">
        <v>1080</v>
      </c>
      <c r="D1913" s="224" t="s">
        <v>180</v>
      </c>
      <c r="E1913" s="226"/>
      <c r="G1913" s="224" t="s">
        <v>13</v>
      </c>
      <c r="H1913" s="224" t="s">
        <v>451</v>
      </c>
      <c r="I1913" s="224" t="s">
        <v>71</v>
      </c>
      <c r="J1913" s="227">
        <v>1</v>
      </c>
      <c r="K1913" s="227">
        <f t="array" ref="K1913">IFERROR(INDEX([1]Grille_Tarifs_Modulable!$B$2:$B$204,MATCH(Tableau14[[#This Row],[Designation]]&amp;Tableau14[[#This Row],[CL]],[1]Grille_Tarifs_Modulable!$C$2:$C$204&amp;[1]Grille_Tarifs_Modulable!$F$2:$F$204,0)),0)</f>
        <v>122</v>
      </c>
      <c r="L1913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299</v>
      </c>
      <c r="M1913" s="228">
        <f>IF(Tableau14[[#This Row],[Prix_Unit_HT]]=0,0,Tableau14[[#This Row],[Prix_Unit_HT]]+(Tableau14[[#This Row],[Prix_Unit_HT]]*VLOOKUP(Tableau14[[#This Row],[EAN]],[1]Grille_Tarifs_Modulable!$B$10:$Q$204,16,FALSE)))</f>
        <v>358.8</v>
      </c>
      <c r="N1913" s="224">
        <v>1</v>
      </c>
      <c r="O1913" s="228">
        <f>ROUND(Tableau14[[#This Row],[Prix_Unit_HT]],2)*Tableau14[[#This Row],[Qte_commande]]</f>
        <v>299</v>
      </c>
      <c r="P1913" s="228">
        <f>ROUND(Tableau14[[#This Row],[Prix_Unit_TTC]],2)*Tableau14[[#This Row],[Qte_commande]]</f>
        <v>358.8</v>
      </c>
      <c r="Q1913" s="224">
        <v>1</v>
      </c>
      <c r="R1913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</v>
      </c>
      <c r="S1913" s="166"/>
      <c r="U1913" s="224"/>
      <c r="V1913" s="224"/>
    </row>
    <row r="1914" spans="1:22" ht="14.65" customHeight="1" x14ac:dyDescent="0.2">
      <c r="A1914" s="225">
        <v>43819</v>
      </c>
      <c r="B1914" s="224" t="s">
        <v>1237</v>
      </c>
      <c r="C1914" s="224" t="s">
        <v>308</v>
      </c>
      <c r="D1914" s="224" t="s">
        <v>309</v>
      </c>
      <c r="E1914" s="226"/>
      <c r="G1914" s="224" t="s">
        <v>13</v>
      </c>
      <c r="H1914" s="224" t="s">
        <v>451</v>
      </c>
      <c r="I1914" s="224" t="s">
        <v>71</v>
      </c>
      <c r="J1914" s="227">
        <v>1</v>
      </c>
      <c r="K1914" s="227">
        <f t="array" ref="K1914">IFERROR(INDEX([1]Grille_Tarifs_Modulable!$B$2:$B$204,MATCH(Tableau14[[#This Row],[Designation]]&amp;Tableau14[[#This Row],[CL]],[1]Grille_Tarifs_Modulable!$C$2:$C$204&amp;[1]Grille_Tarifs_Modulable!$F$2:$F$204,0)),0)</f>
        <v>122</v>
      </c>
      <c r="L1914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299</v>
      </c>
      <c r="M1914" s="228">
        <f>IF(Tableau14[[#This Row],[Prix_Unit_HT]]=0,0,Tableau14[[#This Row],[Prix_Unit_HT]]+(Tableau14[[#This Row],[Prix_Unit_HT]]*VLOOKUP(Tableau14[[#This Row],[EAN]],[1]Grille_Tarifs_Modulable!$B$10:$Q$204,16,FALSE)))</f>
        <v>358.8</v>
      </c>
      <c r="N1914" s="224">
        <v>1</v>
      </c>
      <c r="O1914" s="228">
        <f>ROUND(Tableau14[[#This Row],[Prix_Unit_HT]],2)*Tableau14[[#This Row],[Qte_commande]]</f>
        <v>299</v>
      </c>
      <c r="P1914" s="228">
        <f>ROUND(Tableau14[[#This Row],[Prix_Unit_TTC]],2)*Tableau14[[#This Row],[Qte_commande]]</f>
        <v>358.8</v>
      </c>
      <c r="Q1914" s="224">
        <v>1</v>
      </c>
      <c r="R1914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</v>
      </c>
      <c r="S1914" s="166"/>
      <c r="U1914" s="224"/>
      <c r="V1914" s="224"/>
    </row>
    <row r="1915" spans="1:22" ht="14.65" customHeight="1" x14ac:dyDescent="0.2">
      <c r="A1915" s="225">
        <v>43831</v>
      </c>
      <c r="B1915" s="224" t="s">
        <v>788</v>
      </c>
      <c r="C1915" s="224" t="s">
        <v>789</v>
      </c>
      <c r="D1915" s="224" t="s">
        <v>233</v>
      </c>
      <c r="E1915" s="226"/>
      <c r="F1915" s="224" t="s">
        <v>790</v>
      </c>
      <c r="G1915" s="224" t="s">
        <v>1</v>
      </c>
      <c r="H1915" s="224" t="s">
        <v>289</v>
      </c>
      <c r="I1915" s="224" t="s">
        <v>15</v>
      </c>
      <c r="J1915" s="224">
        <v>70</v>
      </c>
      <c r="K1915" s="227" cm="1">
        <f t="array" ref="K1915">IFERROR(INDEX([1]Grille_Tarifs_Modulable!$B$2:$B$204,MATCH(Tableau14[[#This Row],[Designation]]&amp;Tableau14[[#This Row],[CL]],[1]Grille_Tarifs_Modulable!$C$2:$C$204&amp;[1]Grille_Tarifs_Modulable!$F$2:$F$204,0)),0)</f>
        <v>4067700013859</v>
      </c>
      <c r="L1915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12.532563499999998</v>
      </c>
      <c r="M1915" s="228">
        <f>IF(Tableau14[[#This Row],[Prix_Unit_HT]]=0,0,Tableau14[[#This Row],[Prix_Unit_HT]]+(Tableau14[[#This Row],[Prix_Unit_HT]]*VLOOKUP(Tableau14[[#This Row],[EAN]],[1]Grille_Tarifs_Modulable!$B$10:$Q$204,16,FALSE)))</f>
        <v>15.039076199999998</v>
      </c>
      <c r="N1915" s="224">
        <v>480</v>
      </c>
      <c r="O1915" s="224">
        <f>ROUND(Tableau14[[#This Row],[Prix_Unit_HT]],2)*Tableau14[[#This Row],[Qte_commande]]</f>
        <v>6014.4</v>
      </c>
      <c r="P1915" s="224">
        <f>ROUND(Tableau14[[#This Row],[Prix_Unit_TTC]],2)*Tableau14[[#This Row],[Qte_commande]]</f>
        <v>7219.2</v>
      </c>
      <c r="R1915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480.00000000000006</v>
      </c>
      <c r="S1915" s="166"/>
      <c r="U1915" s="224"/>
      <c r="V1915" s="224"/>
    </row>
    <row r="1916" spans="1:22" ht="14.65" customHeight="1" x14ac:dyDescent="0.2">
      <c r="A1916" s="225">
        <v>43831</v>
      </c>
      <c r="B1916" s="224" t="s">
        <v>788</v>
      </c>
      <c r="C1916" s="224" t="s">
        <v>789</v>
      </c>
      <c r="D1916" s="224" t="s">
        <v>233</v>
      </c>
      <c r="E1916" s="226"/>
      <c r="F1916" s="224" t="s">
        <v>790</v>
      </c>
      <c r="G1916" s="224" t="s">
        <v>1</v>
      </c>
      <c r="H1916" s="224" t="s">
        <v>289</v>
      </c>
      <c r="I1916" s="224" t="s">
        <v>15</v>
      </c>
      <c r="J1916" s="224">
        <v>35</v>
      </c>
      <c r="K1916" s="227" cm="1">
        <f t="array" ref="K1916">IFERROR(INDEX([1]Grille_Tarifs_Modulable!$B$2:$B$204,MATCH(Tableau14[[#This Row],[Designation]]&amp;Tableau14[[#This Row],[CL]],[1]Grille_Tarifs_Modulable!$C$2:$C$204&amp;[1]Grille_Tarifs_Modulable!$F$2:$F$204,0)),0)</f>
        <v>4067700013866</v>
      </c>
      <c r="L1916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6.27128175</v>
      </c>
      <c r="M1916" s="228">
        <f>IF(Tableau14[[#This Row],[Prix_Unit_HT]]=0,0,Tableau14[[#This Row],[Prix_Unit_HT]]+(Tableau14[[#This Row],[Prix_Unit_HT]]*VLOOKUP(Tableau14[[#This Row],[EAN]],[1]Grille_Tarifs_Modulable!$B$10:$Q$204,16,FALSE)))</f>
        <v>7.5255381000000003</v>
      </c>
      <c r="N1916" s="224">
        <v>18</v>
      </c>
      <c r="O1916" s="224">
        <f>ROUND(Tableau14[[#This Row],[Prix_Unit_HT]],2)*Tableau14[[#This Row],[Qte_commande]]</f>
        <v>112.85999999999999</v>
      </c>
      <c r="P1916" s="224">
        <f>ROUND(Tableau14[[#This Row],[Prix_Unit_TTC]],2)*Tableau14[[#This Row],[Qte_commande]]</f>
        <v>135.54</v>
      </c>
      <c r="R1916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9</v>
      </c>
    </row>
    <row r="1917" spans="1:22" ht="14.65" customHeight="1" x14ac:dyDescent="0.2">
      <c r="A1917" s="225">
        <v>43831</v>
      </c>
      <c r="B1917" s="224" t="s">
        <v>788</v>
      </c>
      <c r="C1917" s="224" t="s">
        <v>789</v>
      </c>
      <c r="D1917" s="224" t="s">
        <v>233</v>
      </c>
      <c r="E1917" s="226"/>
      <c r="F1917" s="224" t="s">
        <v>790</v>
      </c>
      <c r="G1917" s="224" t="s">
        <v>1</v>
      </c>
      <c r="H1917" s="224" t="s">
        <v>289</v>
      </c>
      <c r="I1917" s="224" t="s">
        <v>15</v>
      </c>
      <c r="J1917" s="224">
        <v>100</v>
      </c>
      <c r="K1917" s="227" cm="1">
        <f t="array" ref="K1917">IFERROR(INDEX([1]Grille_Tarifs_Modulable!$B$2:$B$204,MATCH(Tableau14[[#This Row],[Designation]]&amp;Tableau14[[#This Row],[CL]],[1]Grille_Tarifs_Modulable!$C$2:$C$204&amp;[1]Grille_Tarifs_Modulable!$F$2:$F$204,0)),0)</f>
        <v>4067700013842</v>
      </c>
      <c r="L1917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17.100804999999998</v>
      </c>
      <c r="M1917" s="228">
        <f>IF(Tableau14[[#This Row],[Prix_Unit_HT]]=0,0,Tableau14[[#This Row],[Prix_Unit_HT]]+(Tableau14[[#This Row],[Prix_Unit_HT]]*VLOOKUP(Tableau14[[#This Row],[EAN]],[1]Grille_Tarifs_Modulable!$B$10:$Q$204,16,FALSE)))</f>
        <v>20.520965999999998</v>
      </c>
      <c r="N1917" s="224">
        <v>306</v>
      </c>
      <c r="O1917" s="224">
        <f>ROUND(Tableau14[[#This Row],[Prix_Unit_HT]],2)*Tableau14[[#This Row],[Qte_commande]]</f>
        <v>5232.6000000000004</v>
      </c>
      <c r="P1917" s="224">
        <f>ROUND(Tableau14[[#This Row],[Prix_Unit_TTC]],2)*Tableau14[[#This Row],[Qte_commande]]</f>
        <v>6279.12</v>
      </c>
      <c r="R1917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437.14285714285717</v>
      </c>
    </row>
    <row r="1918" spans="1:22" ht="14.65" customHeight="1" x14ac:dyDescent="0.2">
      <c r="A1918" s="225">
        <v>43831</v>
      </c>
      <c r="B1918" s="224" t="s">
        <v>788</v>
      </c>
      <c r="C1918" s="224" t="s">
        <v>789</v>
      </c>
      <c r="D1918" s="224" t="s">
        <v>233</v>
      </c>
      <c r="E1918" s="226"/>
      <c r="F1918" s="224" t="s">
        <v>790</v>
      </c>
      <c r="G1918" s="224" t="s">
        <v>1</v>
      </c>
      <c r="H1918" s="224" t="s">
        <v>289</v>
      </c>
      <c r="I1918" s="224" t="s">
        <v>32</v>
      </c>
      <c r="J1918" s="224">
        <v>70</v>
      </c>
      <c r="K1918" s="227" cm="1">
        <f t="array" ref="K1918">IFERROR(INDEX([1]Grille_Tarifs_Modulable!$B$2:$B$204,MATCH(Tableau14[[#This Row],[Designation]]&amp;Tableau14[[#This Row],[CL]],[1]Grille_Tarifs_Modulable!$C$2:$C$204&amp;[1]Grille_Tarifs_Modulable!$F$2:$F$204,0)),0)</f>
        <v>3257150100228</v>
      </c>
      <c r="L1918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19.998643999999999</v>
      </c>
      <c r="M1918" s="228">
        <f>IF(Tableau14[[#This Row],[Prix_Unit_HT]]=0,0,Tableau14[[#This Row],[Prix_Unit_HT]]+(Tableau14[[#This Row],[Prix_Unit_HT]]*VLOOKUP(Tableau14[[#This Row],[EAN]],[1]Grille_Tarifs_Modulable!$B$10:$Q$204,16,FALSE)))</f>
        <v>23.998372799999999</v>
      </c>
      <c r="N1918" s="224">
        <v>60</v>
      </c>
      <c r="O1918" s="224">
        <f>ROUND(Tableau14[[#This Row],[Prix_Unit_HT]],2)*Tableau14[[#This Row],[Qte_commande]]</f>
        <v>1200</v>
      </c>
      <c r="P1918" s="224">
        <f>ROUND(Tableau14[[#This Row],[Prix_Unit_TTC]],2)*Tableau14[[#This Row],[Qte_commande]]</f>
        <v>1440</v>
      </c>
      <c r="R1918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60.000000000000007</v>
      </c>
    </row>
    <row r="1919" spans="1:22" ht="14.65" customHeight="1" x14ac:dyDescent="0.2">
      <c r="A1919" s="225">
        <v>43838</v>
      </c>
      <c r="B1919" s="224" t="s">
        <v>791</v>
      </c>
      <c r="C1919" s="224" t="s">
        <v>378</v>
      </c>
      <c r="D1919" s="224" t="s">
        <v>540</v>
      </c>
      <c r="E1919" s="226"/>
      <c r="F1919" s="224" t="s">
        <v>792</v>
      </c>
      <c r="G1919" s="224" t="s">
        <v>1</v>
      </c>
      <c r="H1919" s="224" t="s">
        <v>289</v>
      </c>
      <c r="I1919" s="224" t="s">
        <v>15</v>
      </c>
      <c r="J1919" s="224">
        <v>35</v>
      </c>
      <c r="K1919" s="227" cm="1">
        <f t="array" ref="K1919">IFERROR(INDEX([1]Grille_Tarifs_Modulable!$B$2:$B$204,MATCH(Tableau14[[#This Row],[Designation]]&amp;Tableau14[[#This Row],[CL]],[1]Grille_Tarifs_Modulable!$C$2:$C$204&amp;[1]Grille_Tarifs_Modulable!$F$2:$F$204,0)),0)</f>
        <v>4067700013866</v>
      </c>
      <c r="L1919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6.27128175</v>
      </c>
      <c r="M1919" s="228">
        <f>IF(Tableau14[[#This Row],[Prix_Unit_HT]]=0,0,Tableau14[[#This Row],[Prix_Unit_HT]]+(Tableau14[[#This Row],[Prix_Unit_HT]]*VLOOKUP(Tableau14[[#This Row],[EAN]],[1]Grille_Tarifs_Modulable!$B$10:$Q$204,16,FALSE)))</f>
        <v>7.5255381000000003</v>
      </c>
      <c r="N1919" s="224">
        <v>216</v>
      </c>
      <c r="O1919" s="224">
        <f>ROUND(Tableau14[[#This Row],[Prix_Unit_HT]],2)*Tableau14[[#This Row],[Qte_commande]]</f>
        <v>1354.32</v>
      </c>
      <c r="P1919" s="224">
        <f>ROUND(Tableau14[[#This Row],[Prix_Unit_TTC]],2)*Tableau14[[#This Row],[Qte_commande]]</f>
        <v>1626.48</v>
      </c>
      <c r="R1919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108</v>
      </c>
    </row>
    <row r="1920" spans="1:22" ht="14.65" customHeight="1" x14ac:dyDescent="0.2">
      <c r="A1920" s="225">
        <v>43838</v>
      </c>
      <c r="B1920" s="224" t="s">
        <v>791</v>
      </c>
      <c r="C1920" s="224" t="s">
        <v>378</v>
      </c>
      <c r="D1920" s="224" t="s">
        <v>540</v>
      </c>
      <c r="E1920" s="226"/>
      <c r="F1920" s="224" t="s">
        <v>792</v>
      </c>
      <c r="G1920" s="224" t="s">
        <v>1</v>
      </c>
      <c r="H1920" s="224" t="s">
        <v>289</v>
      </c>
      <c r="I1920" s="224" t="s">
        <v>796</v>
      </c>
      <c r="J1920" s="224">
        <v>70</v>
      </c>
      <c r="K1920" s="227" cm="1">
        <f t="array" ref="K1920">IFERROR(INDEX([1]Grille_Tarifs_Modulable!$B$2:$B$204,MATCH(Tableau14[[#This Row],[Designation]]&amp;Tableau14[[#This Row],[CL]],[1]Grille_Tarifs_Modulable!$C$2:$C$204&amp;[1]Grille_Tarifs_Modulable!$F$2:$F$204,0)),0)</f>
        <v>4067700012085</v>
      </c>
      <c r="L1920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12.2021313</v>
      </c>
      <c r="M1920" s="228">
        <f>IF(Tableau14[[#This Row],[Prix_Unit_HT]]=0,0,Tableau14[[#This Row],[Prix_Unit_HT]]+(Tableau14[[#This Row],[Prix_Unit_HT]]*VLOOKUP(Tableau14[[#This Row],[EAN]],[1]Grille_Tarifs_Modulable!$B$10:$Q$204,16,FALSE)))</f>
        <v>14.64255756</v>
      </c>
      <c r="N1920" s="224">
        <v>30</v>
      </c>
      <c r="O1920" s="224">
        <f>ROUND(Tableau14[[#This Row],[Prix_Unit_HT]],2)*Tableau14[[#This Row],[Qte_commande]]</f>
        <v>366</v>
      </c>
      <c r="P1920" s="224">
        <f>ROUND(Tableau14[[#This Row],[Prix_Unit_TTC]],2)*Tableau14[[#This Row],[Qte_commande]]</f>
        <v>439.20000000000005</v>
      </c>
      <c r="R1920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30.000000000000004</v>
      </c>
    </row>
    <row r="1921" spans="1:18" ht="14.65" customHeight="1" x14ac:dyDescent="0.2">
      <c r="A1921" s="225">
        <v>43838</v>
      </c>
      <c r="B1921" s="224" t="s">
        <v>791</v>
      </c>
      <c r="C1921" s="224" t="s">
        <v>378</v>
      </c>
      <c r="D1921" s="224" t="s">
        <v>540</v>
      </c>
      <c r="E1921" s="226"/>
      <c r="F1921" s="224" t="s">
        <v>792</v>
      </c>
      <c r="G1921" s="224" t="s">
        <v>1</v>
      </c>
      <c r="H1921" s="224" t="s">
        <v>289</v>
      </c>
      <c r="I1921" s="224" t="s">
        <v>32</v>
      </c>
      <c r="J1921" s="224">
        <v>70</v>
      </c>
      <c r="K1921" s="227" cm="1">
        <f t="array" ref="K1921">IFERROR(INDEX([1]Grille_Tarifs_Modulable!$B$2:$B$204,MATCH(Tableau14[[#This Row],[Designation]]&amp;Tableau14[[#This Row],[CL]],[1]Grille_Tarifs_Modulable!$C$2:$C$204&amp;[1]Grille_Tarifs_Modulable!$F$2:$F$204,0)),0)</f>
        <v>3257150100228</v>
      </c>
      <c r="L1921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19.998643999999999</v>
      </c>
      <c r="M1921" s="228">
        <f>IF(Tableau14[[#This Row],[Prix_Unit_HT]]=0,0,Tableau14[[#This Row],[Prix_Unit_HT]]+(Tableau14[[#This Row],[Prix_Unit_HT]]*VLOOKUP(Tableau14[[#This Row],[EAN]],[1]Grille_Tarifs_Modulable!$B$10:$Q$204,16,FALSE)))</f>
        <v>23.998372799999999</v>
      </c>
      <c r="N1921" s="224">
        <v>78</v>
      </c>
      <c r="O1921" s="224">
        <f>ROUND(Tableau14[[#This Row],[Prix_Unit_HT]],2)*Tableau14[[#This Row],[Qte_commande]]</f>
        <v>1560</v>
      </c>
      <c r="P1921" s="224">
        <f>ROUND(Tableau14[[#This Row],[Prix_Unit_TTC]],2)*Tableau14[[#This Row],[Qte_commande]]</f>
        <v>1872</v>
      </c>
      <c r="R1921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78</v>
      </c>
    </row>
    <row r="1922" spans="1:18" ht="14.65" customHeight="1" x14ac:dyDescent="0.2">
      <c r="A1922" s="225">
        <v>43839</v>
      </c>
      <c r="B1922" s="224" t="s">
        <v>901</v>
      </c>
      <c r="C1922" s="224" t="s">
        <v>431</v>
      </c>
      <c r="D1922" s="224" t="s">
        <v>432</v>
      </c>
      <c r="E1922" s="226"/>
      <c r="F1922" s="224" t="s">
        <v>902</v>
      </c>
      <c r="G1922" s="224" t="s">
        <v>1</v>
      </c>
      <c r="H1922" s="224" t="s">
        <v>289</v>
      </c>
      <c r="I1922" s="224" t="s">
        <v>49</v>
      </c>
      <c r="J1922" s="224">
        <v>70</v>
      </c>
      <c r="K1922" s="227" cm="1">
        <f t="array" ref="K1922">IFERROR(INDEX([1]Grille_Tarifs_Modulable!$B$2:$B$204,MATCH(Tableau14[[#This Row],[Designation]]&amp;Tableau14[[#This Row],[CL]],[1]Grille_Tarifs_Modulable!$C$2:$C$204&amp;[1]Grille_Tarifs_Modulable!$F$2:$F$204,0)),0)</f>
        <v>3257150673043</v>
      </c>
      <c r="L1922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19.934724499999998</v>
      </c>
      <c r="M1922" s="228">
        <f>IF(Tableau14[[#This Row],[Prix_Unit_HT]]=0,0,Tableau14[[#This Row],[Prix_Unit_HT]]+(Tableau14[[#This Row],[Prix_Unit_HT]]*VLOOKUP(Tableau14[[#This Row],[EAN]],[1]Grille_Tarifs_Modulable!$B$10:$Q$204,16,FALSE)))</f>
        <v>23.921669399999999</v>
      </c>
      <c r="N1922" s="224">
        <v>6</v>
      </c>
      <c r="O1922" s="224">
        <f>ROUNDUP(Tableau14[[#This Row],[Prix_Unit_HT]],2)*Tableau14[[#This Row],[Qte_commande]]</f>
        <v>119.64000000000001</v>
      </c>
      <c r="P1922" s="224">
        <f>ROUND(Tableau14[[#This Row],[Prix_Unit_TTC]],2)*Tableau14[[#This Row],[Qte_commande]]</f>
        <v>143.52000000000001</v>
      </c>
      <c r="R1922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6.0000000000000009</v>
      </c>
    </row>
    <row r="1923" spans="1:18" ht="14.65" customHeight="1" x14ac:dyDescent="0.2">
      <c r="A1923" s="225">
        <v>43839</v>
      </c>
      <c r="B1923" s="224" t="s">
        <v>901</v>
      </c>
      <c r="C1923" s="224" t="s">
        <v>431</v>
      </c>
      <c r="D1923" s="224" t="s">
        <v>432</v>
      </c>
      <c r="E1923" s="226"/>
      <c r="F1923" s="224" t="s">
        <v>902</v>
      </c>
      <c r="G1923" s="224" t="s">
        <v>1</v>
      </c>
      <c r="H1923" s="224" t="s">
        <v>196</v>
      </c>
      <c r="I1923" s="224" t="s">
        <v>64</v>
      </c>
      <c r="J1923" s="224">
        <v>20</v>
      </c>
      <c r="K1923" s="227" cm="1">
        <f t="array" ref="K1923">IFERROR(INDEX([1]Grille_Tarifs_Modulable!$B$2:$B$204,MATCH(Tableau14[[#This Row],[Designation]]&amp;Tableau14[[#This Row],[CL]],[1]Grille_Tarifs_Modulable!$C$2:$C$204&amp;[1]Grille_Tarifs_Modulable!$F$2:$F$204,0)),0)</f>
        <v>4260310553849</v>
      </c>
      <c r="L1923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0.81</v>
      </c>
      <c r="M1923" s="228">
        <f>IF(Tableau14[[#This Row],[Prix_Unit_HT]]=0,0,Tableau14[[#This Row],[Prix_Unit_HT]]+(Tableau14[[#This Row],[Prix_Unit_HT]]*VLOOKUP(Tableau14[[#This Row],[EAN]],[1]Grille_Tarifs_Modulable!$B$10:$Q$204,16,FALSE)))</f>
        <v>0.85455000000000003</v>
      </c>
      <c r="N1923" s="224">
        <v>24</v>
      </c>
      <c r="O1923" s="224">
        <f>ROUND(Tableau14[[#This Row],[Prix_Unit_HT]],2)*Tableau14[[#This Row],[Qte_commande]]</f>
        <v>19.440000000000001</v>
      </c>
      <c r="P1923" s="224">
        <f>ROUND(Tableau14[[#This Row],[Prix_Unit_TTC]],2)*Tableau14[[#This Row],[Qte_commande]]</f>
        <v>20.399999999999999</v>
      </c>
      <c r="R1923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6.8571428571428577</v>
      </c>
    </row>
    <row r="1924" spans="1:18" ht="14.65" customHeight="1" x14ac:dyDescent="0.2">
      <c r="A1924" s="225">
        <v>43844</v>
      </c>
      <c r="B1924" s="224" t="s">
        <v>787</v>
      </c>
      <c r="C1924" s="224" t="s">
        <v>211</v>
      </c>
      <c r="D1924" s="224" t="s">
        <v>212</v>
      </c>
      <c r="E1924" s="226"/>
      <c r="F1924" s="224" t="s">
        <v>351</v>
      </c>
      <c r="G1924" s="224" t="s">
        <v>1</v>
      </c>
      <c r="H1924" s="224" t="s">
        <v>289</v>
      </c>
      <c r="I1924" s="224" t="s">
        <v>15</v>
      </c>
      <c r="J1924" s="224">
        <v>100</v>
      </c>
      <c r="K1924" s="227" cm="1">
        <f t="array" ref="K1924">IFERROR(INDEX([1]Grille_Tarifs_Modulable!$B$2:$B$204,MATCH(Tableau14[[#This Row],[Designation]]&amp;Tableau14[[#This Row],[CL]],[1]Grille_Tarifs_Modulable!$C$2:$C$204&amp;[1]Grille_Tarifs_Modulable!$F$2:$F$204,0)),0)</f>
        <v>4067700013842</v>
      </c>
      <c r="L1924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17.100804999999998</v>
      </c>
      <c r="M1924" s="228">
        <f>IF(Tableau14[[#This Row],[Prix_Unit_HT]]=0,0,Tableau14[[#This Row],[Prix_Unit_HT]]+(Tableau14[[#This Row],[Prix_Unit_HT]]*VLOOKUP(Tableau14[[#This Row],[EAN]],[1]Grille_Tarifs_Modulable!$B$10:$Q$204,16,FALSE)))</f>
        <v>20.520965999999998</v>
      </c>
      <c r="N1924" s="224">
        <v>120</v>
      </c>
      <c r="O1924" s="228">
        <f>ROUND(Tableau14[[#This Row],[Prix_Unit_HT]],2)*Tableau14[[#This Row],[Qte_commande]]</f>
        <v>2052</v>
      </c>
      <c r="P1924" s="228">
        <f>ROUND(Tableau14[[#This Row],[Prix_Unit_TTC]],2)*Tableau14[[#This Row],[Qte_commande]]</f>
        <v>2462.4</v>
      </c>
      <c r="R1924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171.42857142857144</v>
      </c>
    </row>
    <row r="1925" spans="1:18" ht="14.65" customHeight="1" x14ac:dyDescent="0.2">
      <c r="A1925" s="225">
        <v>43844</v>
      </c>
      <c r="B1925" s="224" t="s">
        <v>787</v>
      </c>
      <c r="C1925" s="224" t="s">
        <v>211</v>
      </c>
      <c r="D1925" s="224" t="s">
        <v>212</v>
      </c>
      <c r="E1925" s="226"/>
      <c r="F1925" s="224" t="s">
        <v>351</v>
      </c>
      <c r="G1925" s="224" t="s">
        <v>1</v>
      </c>
      <c r="H1925" s="224" t="s">
        <v>289</v>
      </c>
      <c r="I1925" s="224" t="s">
        <v>794</v>
      </c>
      <c r="J1925" s="224">
        <v>2</v>
      </c>
      <c r="K1925" s="227" cm="1">
        <f t="array" ref="K1925">IFERROR(INDEX([1]Grille_Tarifs_Modulable!$B$2:$B$204,MATCH(Tableau14[[#This Row],[Designation]]&amp;Tableau14[[#This Row],[CL]],[1]Grille_Tarifs_Modulable!$C$2:$C$204&amp;[1]Grille_Tarifs_Modulable!$F$2:$F$204,0)),0)</f>
        <v>4067700015884</v>
      </c>
      <c r="L1925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0.63521610000000006</v>
      </c>
      <c r="M1925" s="228">
        <f>IF(Tableau14[[#This Row],[Prix_Unit_HT]]=0,0,Tableau14[[#This Row],[Prix_Unit_HT]]+(Tableau14[[#This Row],[Prix_Unit_HT]]*VLOOKUP(Tableau14[[#This Row],[EAN]],[1]Grille_Tarifs_Modulable!$B$10:$Q$204,16,FALSE)))</f>
        <v>0.76225932000000007</v>
      </c>
      <c r="N1925" s="224">
        <v>2400</v>
      </c>
      <c r="O1925" s="228">
        <f>ROUND(Tableau14[[#This Row],[Prix_Unit_HT]],2)*Tableau14[[#This Row],[Qte_commande]]</f>
        <v>1536</v>
      </c>
      <c r="P1925" s="228">
        <f>ROUND(Tableau14[[#This Row],[Prix_Unit_TTC]],2)*Tableau14[[#This Row],[Qte_commande]]</f>
        <v>1824</v>
      </c>
      <c r="R1925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68.571428571428569</v>
      </c>
    </row>
    <row r="1926" spans="1:18" ht="14.65" customHeight="1" x14ac:dyDescent="0.2">
      <c r="A1926" s="225">
        <v>43844</v>
      </c>
      <c r="B1926" s="224" t="s">
        <v>787</v>
      </c>
      <c r="C1926" s="224" t="s">
        <v>211</v>
      </c>
      <c r="D1926" s="224" t="s">
        <v>212</v>
      </c>
      <c r="E1926" s="226"/>
      <c r="F1926" s="224" t="s">
        <v>351</v>
      </c>
      <c r="G1926" s="224" t="s">
        <v>1</v>
      </c>
      <c r="H1926" s="224" t="s">
        <v>289</v>
      </c>
      <c r="I1926" s="224" t="s">
        <v>796</v>
      </c>
      <c r="J1926" s="224">
        <v>70</v>
      </c>
      <c r="K1926" s="227" cm="1">
        <f t="array" ref="K1926">IFERROR(INDEX([1]Grille_Tarifs_Modulable!$B$2:$B$204,MATCH(Tableau14[[#This Row],[Designation]]&amp;Tableau14[[#This Row],[CL]],[1]Grille_Tarifs_Modulable!$C$2:$C$204&amp;[1]Grille_Tarifs_Modulable!$F$2:$F$204,0)),0)</f>
        <v>4067700012085</v>
      </c>
      <c r="L1926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12.2021313</v>
      </c>
      <c r="M1926" s="228">
        <f>IF(Tableau14[[#This Row],[Prix_Unit_HT]]=0,0,Tableau14[[#This Row],[Prix_Unit_HT]]+(Tableau14[[#This Row],[Prix_Unit_HT]]*VLOOKUP(Tableau14[[#This Row],[EAN]],[1]Grille_Tarifs_Modulable!$B$10:$Q$204,16,FALSE)))</f>
        <v>14.64255756</v>
      </c>
      <c r="N1926" s="224">
        <v>18</v>
      </c>
      <c r="O1926" s="228">
        <f>ROUND(Tableau14[[#This Row],[Prix_Unit_HT]],2)*Tableau14[[#This Row],[Qte_commande]]</f>
        <v>219.6</v>
      </c>
      <c r="P1926" s="228">
        <f>ROUND(Tableau14[[#This Row],[Prix_Unit_TTC]],2)*Tableau14[[#This Row],[Qte_commande]]</f>
        <v>263.52</v>
      </c>
      <c r="R1926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18</v>
      </c>
    </row>
    <row r="1927" spans="1:18" ht="14.65" customHeight="1" x14ac:dyDescent="0.2">
      <c r="A1927" s="225">
        <v>43844</v>
      </c>
      <c r="B1927" s="224" t="s">
        <v>787</v>
      </c>
      <c r="C1927" s="224" t="s">
        <v>211</v>
      </c>
      <c r="D1927" s="224" t="s">
        <v>212</v>
      </c>
      <c r="E1927" s="226"/>
      <c r="F1927" s="224" t="s">
        <v>351</v>
      </c>
      <c r="G1927" s="224" t="s">
        <v>1</v>
      </c>
      <c r="H1927" s="224" t="s">
        <v>289</v>
      </c>
      <c r="I1927" s="224" t="s">
        <v>32</v>
      </c>
      <c r="J1927" s="224">
        <v>70</v>
      </c>
      <c r="K1927" s="227" cm="1">
        <f t="array" ref="K1927">IFERROR(INDEX([1]Grille_Tarifs_Modulable!$B$2:$B$204,MATCH(Tableau14[[#This Row],[Designation]]&amp;Tableau14[[#This Row],[CL]],[1]Grille_Tarifs_Modulable!$C$2:$C$204&amp;[1]Grille_Tarifs_Modulable!$F$2:$F$204,0)),0)</f>
        <v>3257150100228</v>
      </c>
      <c r="L1927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19.998643999999999</v>
      </c>
      <c r="M1927" s="228">
        <f>IF(Tableau14[[#This Row],[Prix_Unit_HT]]=0,0,Tableau14[[#This Row],[Prix_Unit_HT]]+(Tableau14[[#This Row],[Prix_Unit_HT]]*VLOOKUP(Tableau14[[#This Row],[EAN]],[1]Grille_Tarifs_Modulable!$B$10:$Q$204,16,FALSE)))</f>
        <v>23.998372799999999</v>
      </c>
      <c r="N1927" s="224">
        <v>12</v>
      </c>
      <c r="O1927" s="228">
        <f>ROUND(Tableau14[[#This Row],[Prix_Unit_HT]],2)*Tableau14[[#This Row],[Qte_commande]]</f>
        <v>240</v>
      </c>
      <c r="P1927" s="228">
        <f>ROUND(Tableau14[[#This Row],[Prix_Unit_TTC]],2)*Tableau14[[#This Row],[Qte_commande]]</f>
        <v>288</v>
      </c>
      <c r="R1927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12.000000000000002</v>
      </c>
    </row>
    <row r="1928" spans="1:18" ht="14.65" customHeight="1" x14ac:dyDescent="0.2">
      <c r="A1928" s="225">
        <v>43844</v>
      </c>
      <c r="B1928" s="224" t="s">
        <v>787</v>
      </c>
      <c r="C1928" s="224" t="s">
        <v>211</v>
      </c>
      <c r="D1928" s="224" t="s">
        <v>212</v>
      </c>
      <c r="E1928" s="226"/>
      <c r="F1928" s="224" t="s">
        <v>351</v>
      </c>
      <c r="G1928" s="224" t="s">
        <v>1</v>
      </c>
      <c r="H1928" s="224" t="s">
        <v>289</v>
      </c>
      <c r="I1928" s="224" t="s">
        <v>44</v>
      </c>
      <c r="J1928" s="224">
        <v>50</v>
      </c>
      <c r="K1928" s="227" cm="1">
        <f t="array" ref="K1928">IFERROR(INDEX([1]Grille_Tarifs_Modulable!$B$2:$B$204,MATCH(Tableau14[[#This Row],[Designation]]&amp;Tableau14[[#This Row],[CL]],[1]Grille_Tarifs_Modulable!$C$2:$C$204&amp;[1]Grille_Tarifs_Modulable!$F$2:$F$204,0)),0)</f>
        <v>4260270192645</v>
      </c>
      <c r="L1928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25.192506000000002</v>
      </c>
      <c r="M1928" s="228">
        <f>IF(Tableau14[[#This Row],[Prix_Unit_HT]]=0,0,Tableau14[[#This Row],[Prix_Unit_HT]]+(Tableau14[[#This Row],[Prix_Unit_HT]]*VLOOKUP(Tableau14[[#This Row],[EAN]],[1]Grille_Tarifs_Modulable!$B$10:$Q$204,16,FALSE)))</f>
        <v>30.231007200000001</v>
      </c>
      <c r="N1928" s="224">
        <v>18</v>
      </c>
      <c r="O1928" s="228">
        <f>ROUND(Tableau14[[#This Row],[Prix_Unit_HT]],2)*Tableau14[[#This Row],[Qte_commande]]</f>
        <v>453.42</v>
      </c>
      <c r="P1928" s="228">
        <f>ROUND(Tableau14[[#This Row],[Prix_Unit_TTC]],2)*Tableau14[[#This Row],[Qte_commande]]</f>
        <v>544.14</v>
      </c>
      <c r="R1928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12.857142857142858</v>
      </c>
    </row>
    <row r="1929" spans="1:18" ht="14.65" customHeight="1" x14ac:dyDescent="0.2">
      <c r="A1929" s="225">
        <v>43844</v>
      </c>
      <c r="B1929" s="224" t="s">
        <v>787</v>
      </c>
      <c r="C1929" s="224" t="s">
        <v>211</v>
      </c>
      <c r="D1929" s="224" t="s">
        <v>212</v>
      </c>
      <c r="E1929" s="226"/>
      <c r="F1929" s="224" t="s">
        <v>351</v>
      </c>
      <c r="G1929" s="224" t="s">
        <v>1</v>
      </c>
      <c r="H1929" s="224" t="s">
        <v>289</v>
      </c>
      <c r="I1929" s="224" t="s">
        <v>42</v>
      </c>
      <c r="J1929" s="224">
        <v>70</v>
      </c>
      <c r="K1929" s="227" cm="1">
        <f t="array" ref="K1929">IFERROR(INDEX([1]Grille_Tarifs_Modulable!$B$2:$B$204,MATCH(Tableau14[[#This Row],[Designation]]&amp;Tableau14[[#This Row],[CL]],[1]Grille_Tarifs_Modulable!$C$2:$C$204&amp;[1]Grille_Tarifs_Modulable!$F$2:$F$204,0)),0)</f>
        <v>3257150688009</v>
      </c>
      <c r="L1929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12.556915199999999</v>
      </c>
      <c r="M1929" s="228">
        <f>IF(Tableau14[[#This Row],[Prix_Unit_HT]]=0,0,Tableau14[[#This Row],[Prix_Unit_HT]]+(Tableau14[[#This Row],[Prix_Unit_HT]]*VLOOKUP(Tableau14[[#This Row],[EAN]],[1]Grille_Tarifs_Modulable!$B$10:$Q$204,16,FALSE)))</f>
        <v>15.068298239999999</v>
      </c>
      <c r="N1929" s="224">
        <v>48</v>
      </c>
      <c r="O1929" s="228">
        <f>ROUND(Tableau14[[#This Row],[Prix_Unit_HT]],2)*Tableau14[[#This Row],[Qte_commande]]</f>
        <v>602.88</v>
      </c>
      <c r="P1929" s="228">
        <f>ROUND(Tableau14[[#This Row],[Prix_Unit_TTC]],2)*Tableau14[[#This Row],[Qte_commande]]</f>
        <v>723.36</v>
      </c>
      <c r="R1929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48.000000000000007</v>
      </c>
    </row>
    <row r="1930" spans="1:18" ht="14.65" customHeight="1" x14ac:dyDescent="0.2">
      <c r="A1930" s="225">
        <v>43844</v>
      </c>
      <c r="B1930" s="224" t="s">
        <v>787</v>
      </c>
      <c r="C1930" s="224" t="s">
        <v>211</v>
      </c>
      <c r="D1930" s="224" t="s">
        <v>212</v>
      </c>
      <c r="E1930" s="226"/>
      <c r="F1930" s="224" t="s">
        <v>351</v>
      </c>
      <c r="G1930" s="224" t="s">
        <v>1</v>
      </c>
      <c r="H1930" s="224" t="s">
        <v>196</v>
      </c>
      <c r="I1930" s="224" t="s">
        <v>64</v>
      </c>
      <c r="J1930" s="224">
        <v>20</v>
      </c>
      <c r="K1930" s="227" cm="1">
        <f t="array" ref="K1930">IFERROR(INDEX([1]Grille_Tarifs_Modulable!$B$2:$B$204,MATCH(Tableau14[[#This Row],[Designation]]&amp;Tableau14[[#This Row],[CL]],[1]Grille_Tarifs_Modulable!$C$2:$C$204&amp;[1]Grille_Tarifs_Modulable!$F$2:$F$204,0)),0)</f>
        <v>4260310553849</v>
      </c>
      <c r="L1930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0.81</v>
      </c>
      <c r="M1930" s="228">
        <f>IF(Tableau14[[#This Row],[Prix_Unit_HT]]=0,0,Tableau14[[#This Row],[Prix_Unit_HT]]+(Tableau14[[#This Row],[Prix_Unit_HT]]*VLOOKUP(Tableau14[[#This Row],[EAN]],[1]Grille_Tarifs_Modulable!$B$10:$Q$204,16,FALSE)))</f>
        <v>0.85455000000000003</v>
      </c>
      <c r="N1930" s="224">
        <v>240</v>
      </c>
      <c r="O1930" s="224">
        <f>ROUND(Tableau14[[#This Row],[Prix_Unit_HT]],2)*Tableau14[[#This Row],[Qte_commande]]</f>
        <v>194.4</v>
      </c>
      <c r="P1930" s="224">
        <f>ROUND(Tableau14[[#This Row],[Prix_Unit_TTC]],2)*Tableau14[[#This Row],[Qte_commande]]</f>
        <v>204</v>
      </c>
      <c r="R1930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68.571428571428569</v>
      </c>
    </row>
    <row r="1931" spans="1:18" ht="14.65" customHeight="1" x14ac:dyDescent="0.2">
      <c r="A1931" s="225">
        <v>43844</v>
      </c>
      <c r="B1931" s="224" t="s">
        <v>787</v>
      </c>
      <c r="C1931" s="224" t="s">
        <v>211</v>
      </c>
      <c r="D1931" s="224" t="s">
        <v>212</v>
      </c>
      <c r="E1931" s="226"/>
      <c r="F1931" s="224" t="s">
        <v>351</v>
      </c>
      <c r="G1931" s="224" t="s">
        <v>1</v>
      </c>
      <c r="H1931" s="224" t="s">
        <v>196</v>
      </c>
      <c r="I1931" s="224" t="s">
        <v>59</v>
      </c>
      <c r="J1931" s="224">
        <v>20</v>
      </c>
      <c r="K1931" s="227" cm="1">
        <f t="array" ref="K1931">IFERROR(INDEX([1]Grille_Tarifs_Modulable!$B$2:$B$204,MATCH(Tableau14[[#This Row],[Designation]]&amp;Tableau14[[#This Row],[CL]],[1]Grille_Tarifs_Modulable!$C$2:$C$204&amp;[1]Grille_Tarifs_Modulable!$F$2:$F$204,0)),0)</f>
        <v>4260310553818</v>
      </c>
      <c r="L1931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0.81</v>
      </c>
      <c r="M1931" s="228">
        <f>IF(Tableau14[[#This Row],[Prix_Unit_HT]]=0,0,Tableau14[[#This Row],[Prix_Unit_HT]]+(Tableau14[[#This Row],[Prix_Unit_HT]]*VLOOKUP(Tableau14[[#This Row],[EAN]],[1]Grille_Tarifs_Modulable!$B$10:$Q$204,16,FALSE)))</f>
        <v>0.85455000000000003</v>
      </c>
      <c r="N1931" s="224">
        <v>240</v>
      </c>
      <c r="O1931" s="224">
        <f>ROUND(Tableau14[[#This Row],[Prix_Unit_HT]],2)*Tableau14[[#This Row],[Qte_commande]]</f>
        <v>194.4</v>
      </c>
      <c r="P1931" s="224">
        <f>ROUND(Tableau14[[#This Row],[Prix_Unit_TTC]],2)*Tableau14[[#This Row],[Qte_commande]]</f>
        <v>204</v>
      </c>
      <c r="R1931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68.571428571428569</v>
      </c>
    </row>
    <row r="1932" spans="1:18" ht="14.65" customHeight="1" x14ac:dyDescent="0.2">
      <c r="A1932" s="225">
        <v>43845</v>
      </c>
      <c r="B1932" s="224" t="s">
        <v>808</v>
      </c>
      <c r="C1932" s="224" t="s">
        <v>422</v>
      </c>
      <c r="D1932" s="224" t="s">
        <v>209</v>
      </c>
      <c r="E1932" s="226"/>
      <c r="F1932" s="224" t="s">
        <v>809</v>
      </c>
      <c r="G1932" s="224" t="s">
        <v>1</v>
      </c>
      <c r="H1932" s="224" t="s">
        <v>289</v>
      </c>
      <c r="I1932" s="224" t="s">
        <v>48</v>
      </c>
      <c r="J1932" s="224">
        <v>70</v>
      </c>
      <c r="K1932" s="227" cm="1">
        <f t="array" ref="K1932">IFERROR(INDEX([1]Grille_Tarifs_Modulable!$B$2:$B$204,MATCH(Tableau14[[#This Row],[Designation]]&amp;Tableau14[[#This Row],[CL]],[1]Grille_Tarifs_Modulable!$C$2:$C$204&amp;[1]Grille_Tarifs_Modulable!$F$2:$F$204,0)),0)</f>
        <v>3257150673029</v>
      </c>
      <c r="L1932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17.769508399999999</v>
      </c>
      <c r="M1932" s="228">
        <f>IF(Tableau14[[#This Row],[Prix_Unit_HT]]=0,0,Tableau14[[#This Row],[Prix_Unit_HT]]+(Tableau14[[#This Row],[Prix_Unit_HT]]*VLOOKUP(Tableau14[[#This Row],[EAN]],[1]Grille_Tarifs_Modulable!$B$10:$Q$204,16,FALSE)))</f>
        <v>21.323410079999999</v>
      </c>
      <c r="N1932" s="224">
        <v>12</v>
      </c>
      <c r="O1932" s="224">
        <f>ROUND(Tableau14[[#This Row],[Prix_Unit_HT]],2)*Tableau14[[#This Row],[Qte_commande]]</f>
        <v>213.24</v>
      </c>
      <c r="P1932" s="224">
        <f>ROUND(Tableau14[[#This Row],[Prix_Unit_TTC]],2)*Tableau14[[#This Row],[Qte_commande]]</f>
        <v>255.84</v>
      </c>
      <c r="R1932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12.000000000000002</v>
      </c>
    </row>
    <row r="1933" spans="1:18" ht="14.65" customHeight="1" x14ac:dyDescent="0.2">
      <c r="A1933" s="225">
        <v>43845</v>
      </c>
      <c r="B1933" s="224" t="s">
        <v>808</v>
      </c>
      <c r="C1933" s="224" t="s">
        <v>422</v>
      </c>
      <c r="D1933" s="224" t="s">
        <v>209</v>
      </c>
      <c r="E1933" s="226"/>
      <c r="F1933" s="224" t="s">
        <v>809</v>
      </c>
      <c r="G1933" s="224" t="s">
        <v>1</v>
      </c>
      <c r="H1933" s="224" t="s">
        <v>289</v>
      </c>
      <c r="I1933" s="224" t="s">
        <v>32</v>
      </c>
      <c r="J1933" s="224">
        <v>70</v>
      </c>
      <c r="K1933" s="227" cm="1">
        <f t="array" ref="K1933">IFERROR(INDEX([1]Grille_Tarifs_Modulable!$B$2:$B$204,MATCH(Tableau14[[#This Row],[Designation]]&amp;Tableau14[[#This Row],[CL]],[1]Grille_Tarifs_Modulable!$C$2:$C$204&amp;[1]Grille_Tarifs_Modulable!$F$2:$F$204,0)),0)</f>
        <v>3257150100228</v>
      </c>
      <c r="L1933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19.998643999999999</v>
      </c>
      <c r="M1933" s="228">
        <f>IF(Tableau14[[#This Row],[Prix_Unit_HT]]=0,0,Tableau14[[#This Row],[Prix_Unit_HT]]+(Tableau14[[#This Row],[Prix_Unit_HT]]*VLOOKUP(Tableau14[[#This Row],[EAN]],[1]Grille_Tarifs_Modulable!$B$10:$Q$204,16,FALSE)))</f>
        <v>23.998372799999999</v>
      </c>
      <c r="N1933" s="224">
        <v>6</v>
      </c>
      <c r="O1933" s="224">
        <f>ROUND(Tableau14[[#This Row],[Prix_Unit_HT]],2)*Tableau14[[#This Row],[Qte_commande]]</f>
        <v>120</v>
      </c>
      <c r="P1933" s="224">
        <f>ROUND(Tableau14[[#This Row],[Prix_Unit_TTC]],2)*Tableau14[[#This Row],[Qte_commande]]</f>
        <v>144</v>
      </c>
      <c r="R1933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6.0000000000000009</v>
      </c>
    </row>
    <row r="1934" spans="1:18" ht="14.65" customHeight="1" x14ac:dyDescent="0.2">
      <c r="A1934" s="225">
        <v>43845</v>
      </c>
      <c r="B1934" s="224" t="s">
        <v>808</v>
      </c>
      <c r="C1934" s="224" t="s">
        <v>422</v>
      </c>
      <c r="D1934" s="224" t="s">
        <v>209</v>
      </c>
      <c r="E1934" s="226"/>
      <c r="F1934" s="224" t="s">
        <v>809</v>
      </c>
      <c r="G1934" s="224" t="s">
        <v>1</v>
      </c>
      <c r="H1934" s="224" t="s">
        <v>289</v>
      </c>
      <c r="I1934" s="224" t="s">
        <v>49</v>
      </c>
      <c r="J1934" s="224">
        <v>70</v>
      </c>
      <c r="K1934" s="227" cm="1">
        <f t="array" ref="K1934">IFERROR(INDEX([1]Grille_Tarifs_Modulable!$B$2:$B$204,MATCH(Tableau14[[#This Row],[Designation]]&amp;Tableau14[[#This Row],[CL]],[1]Grille_Tarifs_Modulable!$C$2:$C$204&amp;[1]Grille_Tarifs_Modulable!$F$2:$F$204,0)),0)</f>
        <v>3257150673043</v>
      </c>
      <c r="L1934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19.934724499999998</v>
      </c>
      <c r="M1934" s="228">
        <f>IF(Tableau14[[#This Row],[Prix_Unit_HT]]=0,0,Tableau14[[#This Row],[Prix_Unit_HT]]+(Tableau14[[#This Row],[Prix_Unit_HT]]*VLOOKUP(Tableau14[[#This Row],[EAN]],[1]Grille_Tarifs_Modulable!$B$10:$Q$204,16,FALSE)))</f>
        <v>23.921669399999999</v>
      </c>
      <c r="N1934" s="224">
        <v>12</v>
      </c>
      <c r="O1934" s="224">
        <f>ROUND(Tableau14[[#This Row],[Prix_Unit_HT]],2)*Tableau14[[#This Row],[Qte_commande]]</f>
        <v>239.16</v>
      </c>
      <c r="P1934" s="224">
        <f>ROUND(Tableau14[[#This Row],[Prix_Unit_TTC]],2)*Tableau14[[#This Row],[Qte_commande]]</f>
        <v>287.04000000000002</v>
      </c>
      <c r="R1934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12.000000000000002</v>
      </c>
    </row>
    <row r="1935" spans="1:18" ht="14.65" customHeight="1" x14ac:dyDescent="0.2">
      <c r="A1935" s="225">
        <v>43845</v>
      </c>
      <c r="B1935" s="224" t="s">
        <v>808</v>
      </c>
      <c r="C1935" s="224" t="s">
        <v>422</v>
      </c>
      <c r="D1935" s="224" t="s">
        <v>209</v>
      </c>
      <c r="E1935" s="226"/>
      <c r="F1935" s="224" t="s">
        <v>809</v>
      </c>
      <c r="G1935" s="224" t="s">
        <v>1</v>
      </c>
      <c r="H1935" s="224" t="s">
        <v>289</v>
      </c>
      <c r="I1935" s="224" t="s">
        <v>44</v>
      </c>
      <c r="J1935" s="224">
        <v>50</v>
      </c>
      <c r="K1935" s="227" cm="1">
        <f t="array" ref="K1935">IFERROR(INDEX([1]Grille_Tarifs_Modulable!$B$2:$B$204,MATCH(Tableau14[[#This Row],[Designation]]&amp;Tableau14[[#This Row],[CL]],[1]Grille_Tarifs_Modulable!$C$2:$C$204&amp;[1]Grille_Tarifs_Modulable!$F$2:$F$204,0)),0)</f>
        <v>4260270192645</v>
      </c>
      <c r="L1935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25.192506000000002</v>
      </c>
      <c r="M1935" s="228">
        <f>IF(Tableau14[[#This Row],[Prix_Unit_HT]]=0,0,Tableau14[[#This Row],[Prix_Unit_HT]]+(Tableau14[[#This Row],[Prix_Unit_HT]]*VLOOKUP(Tableau14[[#This Row],[EAN]],[1]Grille_Tarifs_Modulable!$B$10:$Q$204,16,FALSE)))</f>
        <v>30.231007200000001</v>
      </c>
      <c r="N1935" s="224">
        <v>6</v>
      </c>
      <c r="O1935" s="224">
        <f>ROUND(Tableau14[[#This Row],[Prix_Unit_HT]],2)*Tableau14[[#This Row],[Qte_commande]]</f>
        <v>151.14000000000001</v>
      </c>
      <c r="P1935" s="224">
        <f>ROUND(Tableau14[[#This Row],[Prix_Unit_TTC]],2)*Tableau14[[#This Row],[Qte_commande]]</f>
        <v>181.38</v>
      </c>
      <c r="R1935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4.2857142857142856</v>
      </c>
    </row>
    <row r="1936" spans="1:18" ht="14.65" customHeight="1" x14ac:dyDescent="0.2">
      <c r="A1936" s="225">
        <v>43845</v>
      </c>
      <c r="B1936" s="224" t="s">
        <v>808</v>
      </c>
      <c r="C1936" s="224" t="s">
        <v>422</v>
      </c>
      <c r="D1936" s="224" t="s">
        <v>209</v>
      </c>
      <c r="E1936" s="226"/>
      <c r="F1936" s="224" t="s">
        <v>809</v>
      </c>
      <c r="G1936" s="224" t="s">
        <v>1</v>
      </c>
      <c r="H1936" s="224" t="s">
        <v>289</v>
      </c>
      <c r="I1936" s="224" t="s">
        <v>24</v>
      </c>
      <c r="J1936" s="224">
        <v>100</v>
      </c>
      <c r="K1936" s="227" cm="1">
        <f t="array" ref="K1936">IFERROR(INDEX([1]Grille_Tarifs_Modulable!$B$2:$B$204,MATCH(Tableau14[[#This Row],[Designation]]&amp;Tableau14[[#This Row],[CL]],[1]Grille_Tarifs_Modulable!$C$2:$C$204&amp;[1]Grille_Tarifs_Modulable!$F$2:$F$204,0)),0)</f>
        <v>3257150410068</v>
      </c>
      <c r="L1936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14.188874</v>
      </c>
      <c r="M1936" s="228">
        <f>IF(Tableau14[[#This Row],[Prix_Unit_HT]]=0,0,Tableau14[[#This Row],[Prix_Unit_HT]]+(Tableau14[[#This Row],[Prix_Unit_HT]]*VLOOKUP(Tableau14[[#This Row],[EAN]],[1]Grille_Tarifs_Modulable!$B$10:$Q$204,16,FALSE)))</f>
        <v>17.0266488</v>
      </c>
      <c r="N1936" s="224">
        <v>18</v>
      </c>
      <c r="O1936" s="224">
        <f>ROUND(Tableau14[[#This Row],[Prix_Unit_HT]],2)*Tableau14[[#This Row],[Qte_commande]]</f>
        <v>255.42</v>
      </c>
      <c r="P1936" s="224">
        <f>ROUND(Tableau14[[#This Row],[Prix_Unit_TTC]],2)*Tableau14[[#This Row],[Qte_commande]]</f>
        <v>306.54000000000002</v>
      </c>
      <c r="R1936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25.714285714285715</v>
      </c>
    </row>
    <row r="1937" spans="1:18" ht="14.65" customHeight="1" x14ac:dyDescent="0.2">
      <c r="A1937" s="225">
        <v>43845</v>
      </c>
      <c r="B1937" s="224" t="s">
        <v>808</v>
      </c>
      <c r="C1937" s="224" t="s">
        <v>422</v>
      </c>
      <c r="D1937" s="224" t="s">
        <v>209</v>
      </c>
      <c r="E1937" s="226"/>
      <c r="F1937" s="224" t="s">
        <v>809</v>
      </c>
      <c r="G1937" s="224" t="s">
        <v>1</v>
      </c>
      <c r="H1937" s="224" t="s">
        <v>289</v>
      </c>
      <c r="I1937" s="224" t="s">
        <v>54</v>
      </c>
      <c r="J1937" s="224">
        <v>100</v>
      </c>
      <c r="K1937" s="227" cm="1">
        <f t="array" ref="K1937">IFERROR(INDEX([1]Grille_Tarifs_Modulable!$B$2:$B$204,MATCH(Tableau14[[#This Row],[Designation]]&amp;Tableau14[[#This Row],[CL]],[1]Grille_Tarifs_Modulable!$C$2:$C$204&amp;[1]Grille_Tarifs_Modulable!$F$2:$F$204,0)),0)</f>
        <v>4603514006849</v>
      </c>
      <c r="L1937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17.370920000000002</v>
      </c>
      <c r="M1937" s="228">
        <f>IF(Tableau14[[#This Row],[Prix_Unit_HT]]=0,0,Tableau14[[#This Row],[Prix_Unit_HT]]+(Tableau14[[#This Row],[Prix_Unit_HT]]*VLOOKUP(Tableau14[[#This Row],[EAN]],[1]Grille_Tarifs_Modulable!$B$10:$Q$204,16,FALSE)))</f>
        <v>20.845104000000003</v>
      </c>
      <c r="N1937" s="224">
        <v>6</v>
      </c>
      <c r="O1937" s="224">
        <f>ROUND(Tableau14[[#This Row],[Prix_Unit_HT]],2)*Tableau14[[#This Row],[Qte_commande]]</f>
        <v>104.22</v>
      </c>
      <c r="P1937" s="224">
        <f>ROUND(Tableau14[[#This Row],[Prix_Unit_TTC]],2)*Tableau14[[#This Row],[Qte_commande]]</f>
        <v>125.10000000000001</v>
      </c>
      <c r="R1937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8.5714285714285712</v>
      </c>
    </row>
    <row r="1938" spans="1:18" ht="14.65" customHeight="1" x14ac:dyDescent="0.2">
      <c r="A1938" s="225">
        <v>43854</v>
      </c>
      <c r="B1938" s="224" t="s">
        <v>259</v>
      </c>
      <c r="C1938" s="224" t="s">
        <v>232</v>
      </c>
      <c r="D1938" s="224" t="s">
        <v>233</v>
      </c>
      <c r="E1938" s="226"/>
      <c r="F1938" s="224" t="s">
        <v>260</v>
      </c>
      <c r="G1938" s="224" t="s">
        <v>1</v>
      </c>
      <c r="H1938" s="224" t="s">
        <v>196</v>
      </c>
      <c r="I1938" s="224" t="s">
        <v>62</v>
      </c>
      <c r="J1938" s="224">
        <v>20</v>
      </c>
      <c r="K1938" s="227" cm="1">
        <f t="array" ref="K1938">IFERROR(INDEX([1]Grille_Tarifs_Modulable!$B$2:$B$204,MATCH(Tableau14[[#This Row],[Designation]]&amp;Tableau14[[#This Row],[CL]],[1]Grille_Tarifs_Modulable!$C$2:$C$204&amp;[1]Grille_Tarifs_Modulable!$F$2:$F$204,0)),0)</f>
        <v>4260310550305</v>
      </c>
      <c r="L1938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0.81</v>
      </c>
      <c r="M1938" s="228">
        <f>IF(Tableau14[[#This Row],[Prix_Unit_HT]]=0,0,Tableau14[[#This Row],[Prix_Unit_HT]]+(Tableau14[[#This Row],[Prix_Unit_HT]]*VLOOKUP(Tableau14[[#This Row],[EAN]],[1]Grille_Tarifs_Modulable!$B$10:$Q$204,16,FALSE)))</f>
        <v>0.85455000000000003</v>
      </c>
      <c r="N1938" s="224">
        <v>72</v>
      </c>
      <c r="O1938" s="224">
        <f>ROUND(Tableau14[[#This Row],[Prix_Unit_HT]],2)*Tableau14[[#This Row],[Qte_commande]]</f>
        <v>58.320000000000007</v>
      </c>
      <c r="P1938" s="224">
        <f>ROUND(Tableau14[[#This Row],[Prix_Unit_TTC]],2)*Tableau14[[#This Row],[Qte_commande]]</f>
        <v>61.199999999999996</v>
      </c>
      <c r="R1938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20.571428571428573</v>
      </c>
    </row>
    <row r="1939" spans="1:18" ht="14.65" customHeight="1" x14ac:dyDescent="0.2">
      <c r="A1939" s="225">
        <v>43854</v>
      </c>
      <c r="B1939" s="224" t="s">
        <v>259</v>
      </c>
      <c r="C1939" s="224" t="s">
        <v>232</v>
      </c>
      <c r="D1939" s="224" t="s">
        <v>233</v>
      </c>
      <c r="E1939" s="226"/>
      <c r="F1939" s="224" t="s">
        <v>260</v>
      </c>
      <c r="G1939" s="224" t="s">
        <v>1</v>
      </c>
      <c r="H1939" s="224" t="s">
        <v>289</v>
      </c>
      <c r="I1939" s="224" t="s">
        <v>22</v>
      </c>
      <c r="J1939" s="224">
        <v>70</v>
      </c>
      <c r="K1939" s="227" cm="1">
        <f t="array" ref="K1939">IFERROR(INDEX([1]Grille_Tarifs_Modulable!$B$2:$B$204,MATCH(Tableau14[[#This Row],[Designation]]&amp;Tableau14[[#This Row],[CL]],[1]Grille_Tarifs_Modulable!$C$2:$C$204&amp;[1]Grille_Tarifs_Modulable!$F$2:$F$204,0)),0)</f>
        <v>4055800060200</v>
      </c>
      <c r="L1939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17.408644000000002</v>
      </c>
      <c r="M1939" s="228">
        <f>IF(Tableau14[[#This Row],[Prix_Unit_HT]]=0,0,Tableau14[[#This Row],[Prix_Unit_HT]]+(Tableau14[[#This Row],[Prix_Unit_HT]]*VLOOKUP(Tableau14[[#This Row],[EAN]],[1]Grille_Tarifs_Modulable!$B$10:$Q$204,16,FALSE)))</f>
        <v>20.890372800000002</v>
      </c>
      <c r="N1939" s="224">
        <v>3</v>
      </c>
      <c r="O1939" s="224">
        <f>ROUND(Tableau14[[#This Row],[Prix_Unit_HT]],2)*Tableau14[[#This Row],[Qte_commande]]</f>
        <v>52.230000000000004</v>
      </c>
      <c r="P1939" s="224">
        <f>ROUND(Tableau14[[#This Row],[Prix_Unit_TTC]],2)*Tableau14[[#This Row],[Qte_commande]]</f>
        <v>62.67</v>
      </c>
      <c r="R1939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3.0000000000000004</v>
      </c>
    </row>
    <row r="1940" spans="1:18" ht="14.65" customHeight="1" x14ac:dyDescent="0.2">
      <c r="A1940" s="225">
        <v>43854</v>
      </c>
      <c r="B1940" s="224" t="s">
        <v>259</v>
      </c>
      <c r="C1940" s="224" t="s">
        <v>232</v>
      </c>
      <c r="D1940" s="224" t="s">
        <v>233</v>
      </c>
      <c r="E1940" s="226"/>
      <c r="F1940" s="224" t="s">
        <v>260</v>
      </c>
      <c r="G1940" s="224" t="s">
        <v>1</v>
      </c>
      <c r="H1940" s="224" t="s">
        <v>289</v>
      </c>
      <c r="I1940" s="224" t="s">
        <v>15</v>
      </c>
      <c r="J1940" s="224">
        <v>175</v>
      </c>
      <c r="K1940" s="227" cm="1">
        <f t="array" ref="K1940">IFERROR(INDEX([1]Grille_Tarifs_Modulable!$B$2:$B$204,MATCH(Tableau14[[#This Row],[Designation]]&amp;Tableau14[[#This Row],[CL]],[1]Grille_Tarifs_Modulable!$C$2:$C$204&amp;[1]Grille_Tarifs_Modulable!$F$2:$F$204,0)),0)</f>
        <v>4067700013835</v>
      </c>
      <c r="L1940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28.916408750000002</v>
      </c>
      <c r="M1940" s="228">
        <f>IF(Tableau14[[#This Row],[Prix_Unit_HT]]=0,0,Tableau14[[#This Row],[Prix_Unit_HT]]+(Tableau14[[#This Row],[Prix_Unit_HT]]*VLOOKUP(Tableau14[[#This Row],[EAN]],[1]Grille_Tarifs_Modulable!$B$10:$Q$204,16,FALSE)))</f>
        <v>34.699690500000003</v>
      </c>
      <c r="N1940" s="224">
        <v>48</v>
      </c>
      <c r="O1940" s="224">
        <f>ROUND(Tableau14[[#This Row],[Prix_Unit_HT]],2)*Tableau14[[#This Row],[Qte_commande]]</f>
        <v>1388.16</v>
      </c>
      <c r="P1940" s="224">
        <f>ROUND(Tableau14[[#This Row],[Prix_Unit_TTC]],2)*Tableau14[[#This Row],[Qte_commande]]</f>
        <v>1665.6000000000001</v>
      </c>
      <c r="R1940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120.00000000000001</v>
      </c>
    </row>
    <row r="1941" spans="1:18" ht="14.65" customHeight="1" x14ac:dyDescent="0.2">
      <c r="A1941" s="225">
        <v>43854</v>
      </c>
      <c r="B1941" s="224" t="s">
        <v>259</v>
      </c>
      <c r="C1941" s="224" t="s">
        <v>232</v>
      </c>
      <c r="D1941" s="224" t="s">
        <v>233</v>
      </c>
      <c r="E1941" s="226"/>
      <c r="F1941" s="224" t="s">
        <v>260</v>
      </c>
      <c r="G1941" s="224" t="s">
        <v>1</v>
      </c>
      <c r="H1941" s="224" t="s">
        <v>289</v>
      </c>
      <c r="I1941" s="224" t="s">
        <v>48</v>
      </c>
      <c r="J1941" s="224">
        <v>70</v>
      </c>
      <c r="K1941" s="227" cm="1">
        <f t="array" ref="K1941">IFERROR(INDEX([1]Grille_Tarifs_Modulable!$B$2:$B$204,MATCH(Tableau14[[#This Row],[Designation]]&amp;Tableau14[[#This Row],[CL]],[1]Grille_Tarifs_Modulable!$C$2:$C$204&amp;[1]Grille_Tarifs_Modulable!$F$2:$F$204,0)),0)</f>
        <v>3257150673029</v>
      </c>
      <c r="L1941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17.769508399999999</v>
      </c>
      <c r="M1941" s="228">
        <f>IF(Tableau14[[#This Row],[Prix_Unit_HT]]=0,0,Tableau14[[#This Row],[Prix_Unit_HT]]+(Tableau14[[#This Row],[Prix_Unit_HT]]*VLOOKUP(Tableau14[[#This Row],[EAN]],[1]Grille_Tarifs_Modulable!$B$10:$Q$204,16,FALSE)))</f>
        <v>21.323410079999999</v>
      </c>
      <c r="N1941" s="224">
        <v>48</v>
      </c>
      <c r="O1941" s="224">
        <f>ROUND(Tableau14[[#This Row],[Prix_Unit_HT]],2)*Tableau14[[#This Row],[Qte_commande]]</f>
        <v>852.96</v>
      </c>
      <c r="P1941" s="224">
        <f>ROUND(Tableau14[[#This Row],[Prix_Unit_TTC]],2)*Tableau14[[#This Row],[Qte_commande]]</f>
        <v>1023.36</v>
      </c>
      <c r="R1941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48.000000000000007</v>
      </c>
    </row>
    <row r="1942" spans="1:18" ht="14.65" customHeight="1" x14ac:dyDescent="0.2">
      <c r="A1942" s="225">
        <v>43854</v>
      </c>
      <c r="B1942" s="224" t="s">
        <v>259</v>
      </c>
      <c r="C1942" s="224" t="s">
        <v>232</v>
      </c>
      <c r="D1942" s="224" t="s">
        <v>233</v>
      </c>
      <c r="E1942" s="226"/>
      <c r="F1942" s="224" t="s">
        <v>260</v>
      </c>
      <c r="G1942" s="224" t="s">
        <v>1</v>
      </c>
      <c r="H1942" s="224" t="s">
        <v>289</v>
      </c>
      <c r="I1942" s="224" t="s">
        <v>25</v>
      </c>
      <c r="J1942" s="224">
        <v>70</v>
      </c>
      <c r="K1942" s="227" cm="1">
        <f t="array" ref="K1942">IFERROR(INDEX([1]Grille_Tarifs_Modulable!$B$2:$B$204,MATCH(Tableau14[[#This Row],[Designation]]&amp;Tableau14[[#This Row],[CL]],[1]Grille_Tarifs_Modulable!$C$2:$C$204&amp;[1]Grille_Tarifs_Modulable!$F$2:$F$204,0)),0)</f>
        <v>8500000917015</v>
      </c>
      <c r="L1942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11.8982118</v>
      </c>
      <c r="M1942" s="228">
        <f>IF(Tableau14[[#This Row],[Prix_Unit_HT]]=0,0,Tableau14[[#This Row],[Prix_Unit_HT]]+(Tableau14[[#This Row],[Prix_Unit_HT]]*VLOOKUP(Tableau14[[#This Row],[EAN]],[1]Grille_Tarifs_Modulable!$B$10:$Q$204,16,FALSE)))</f>
        <v>14.27785416</v>
      </c>
      <c r="N1942" s="224">
        <v>36</v>
      </c>
      <c r="O1942" s="224">
        <f>ROUND(Tableau14[[#This Row],[Prix_Unit_HT]],2)*Tableau14[[#This Row],[Qte_commande]]</f>
        <v>428.40000000000003</v>
      </c>
      <c r="P1942" s="224">
        <f>ROUND(Tableau14[[#This Row],[Prix_Unit_TTC]],2)*Tableau14[[#This Row],[Qte_commande]]</f>
        <v>514.07999999999993</v>
      </c>
      <c r="R1942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36</v>
      </c>
    </row>
    <row r="1943" spans="1:18" ht="14.65" customHeight="1" x14ac:dyDescent="0.2">
      <c r="A1943" s="225">
        <v>43854</v>
      </c>
      <c r="B1943" s="224" t="s">
        <v>259</v>
      </c>
      <c r="C1943" s="224" t="s">
        <v>232</v>
      </c>
      <c r="D1943" s="224" t="s">
        <v>233</v>
      </c>
      <c r="E1943" s="226"/>
      <c r="F1943" s="224" t="s">
        <v>260</v>
      </c>
      <c r="G1943" s="224" t="s">
        <v>1</v>
      </c>
      <c r="H1943" s="224" t="s">
        <v>196</v>
      </c>
      <c r="I1943" s="224" t="s">
        <v>64</v>
      </c>
      <c r="J1943" s="224">
        <v>20</v>
      </c>
      <c r="K1943" s="227" cm="1">
        <f t="array" ref="K1943">IFERROR(INDEX([1]Grille_Tarifs_Modulable!$B$2:$B$204,MATCH(Tableau14[[#This Row],[Designation]]&amp;Tableau14[[#This Row],[CL]],[1]Grille_Tarifs_Modulable!$C$2:$C$204&amp;[1]Grille_Tarifs_Modulable!$F$2:$F$204,0)),0)</f>
        <v>4260310553849</v>
      </c>
      <c r="L1943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0.81</v>
      </c>
      <c r="M1943" s="228">
        <f>IF(Tableau14[[#This Row],[Prix_Unit_HT]]=0,0,Tableau14[[#This Row],[Prix_Unit_HT]]+(Tableau14[[#This Row],[Prix_Unit_HT]]*VLOOKUP(Tableau14[[#This Row],[EAN]],[1]Grille_Tarifs_Modulable!$B$10:$Q$204,16,FALSE)))</f>
        <v>0.85455000000000003</v>
      </c>
      <c r="N1943" s="224">
        <v>72</v>
      </c>
      <c r="O1943" s="224">
        <f>ROUND(Tableau14[[#This Row],[Prix_Unit_HT]],2)*Tableau14[[#This Row],[Qte_commande]]</f>
        <v>58.320000000000007</v>
      </c>
      <c r="P1943" s="224">
        <f>ROUND(Tableau14[[#This Row],[Prix_Unit_TTC]],2)*Tableau14[[#This Row],[Qte_commande]]</f>
        <v>61.199999999999996</v>
      </c>
      <c r="R1943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20.571428571428573</v>
      </c>
    </row>
    <row r="1944" spans="1:18" ht="14.65" customHeight="1" x14ac:dyDescent="0.2">
      <c r="A1944" s="225">
        <v>43854</v>
      </c>
      <c r="B1944" s="224" t="s">
        <v>259</v>
      </c>
      <c r="C1944" s="224" t="s">
        <v>232</v>
      </c>
      <c r="D1944" s="224" t="s">
        <v>233</v>
      </c>
      <c r="E1944" s="226"/>
      <c r="F1944" s="224" t="s">
        <v>260</v>
      </c>
      <c r="G1944" s="224" t="s">
        <v>1</v>
      </c>
      <c r="H1944" s="224" t="s">
        <v>196</v>
      </c>
      <c r="I1944" s="224" t="s">
        <v>59</v>
      </c>
      <c r="J1944" s="224">
        <v>20</v>
      </c>
      <c r="K1944" s="227" cm="1">
        <f t="array" ref="K1944">IFERROR(INDEX([1]Grille_Tarifs_Modulable!$B$2:$B$204,MATCH(Tableau14[[#This Row],[Designation]]&amp;Tableau14[[#This Row],[CL]],[1]Grille_Tarifs_Modulable!$C$2:$C$204&amp;[1]Grille_Tarifs_Modulable!$F$2:$F$204,0)),0)</f>
        <v>4260310553818</v>
      </c>
      <c r="L1944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0.81</v>
      </c>
      <c r="M1944" s="228">
        <f>IF(Tableau14[[#This Row],[Prix_Unit_HT]]=0,0,Tableau14[[#This Row],[Prix_Unit_HT]]+(Tableau14[[#This Row],[Prix_Unit_HT]]*VLOOKUP(Tableau14[[#This Row],[EAN]],[1]Grille_Tarifs_Modulable!$B$10:$Q$204,16,FALSE)))</f>
        <v>0.85455000000000003</v>
      </c>
      <c r="N1944" s="224">
        <v>48</v>
      </c>
      <c r="O1944" s="224">
        <f>ROUND(Tableau14[[#This Row],[Prix_Unit_HT]],2)*Tableau14[[#This Row],[Qte_commande]]</f>
        <v>38.880000000000003</v>
      </c>
      <c r="P1944" s="224">
        <f>ROUND(Tableau14[[#This Row],[Prix_Unit_TTC]],2)*Tableau14[[#This Row],[Qte_commande]]</f>
        <v>40.799999999999997</v>
      </c>
      <c r="R1944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13.714285714285715</v>
      </c>
    </row>
    <row r="1945" spans="1:18" ht="14.65" customHeight="1" x14ac:dyDescent="0.2">
      <c r="A1945" s="225">
        <v>43860</v>
      </c>
      <c r="B1945" s="224">
        <v>79858</v>
      </c>
      <c r="C1945" s="224" t="s">
        <v>1241</v>
      </c>
      <c r="D1945" s="224" t="s">
        <v>443</v>
      </c>
      <c r="E1945" s="226">
        <v>89920</v>
      </c>
      <c r="F1945" s="224" t="s">
        <v>260</v>
      </c>
      <c r="G1945" s="224" t="s">
        <v>13</v>
      </c>
      <c r="H1945" s="224" t="s">
        <v>451</v>
      </c>
      <c r="I1945" s="224" t="s">
        <v>69</v>
      </c>
      <c r="J1945" s="224">
        <v>3</v>
      </c>
      <c r="K1945" s="227" cm="1">
        <f t="array" ref="K1945">IFERROR(INDEX([1]Grille_Tarifs_Modulable!$B$2:$B$204,MATCH(Tableau14[[#This Row],[Designation]]&amp;Tableau14[[#This Row],[CL]],[1]Grille_Tarifs_Modulable!$C$2:$C$204&amp;[1]Grille_Tarifs_Modulable!$F$2:$F$204,0)),0)</f>
        <v>121</v>
      </c>
      <c r="L1945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299</v>
      </c>
      <c r="M1945" s="228">
        <f>IF(Tableau14[[#This Row],[Prix_Unit_HT]]=0,0,Tableau14[[#This Row],[Prix_Unit_HT]]+(Tableau14[[#This Row],[Prix_Unit_HT]]*VLOOKUP(Tableau14[[#This Row],[EAN]],[1]Grille_Tarifs_Modulable!$B$10:$Q$204,16,FALSE)))</f>
        <v>358.8</v>
      </c>
      <c r="N1945" s="224">
        <v>1</v>
      </c>
      <c r="O1945" s="224">
        <f>ROUND(Tableau14[[#This Row],[Prix_Unit_HT]],2)*Tableau14[[#This Row],[Qte_commande]]</f>
        <v>299</v>
      </c>
      <c r="P1945" s="224">
        <f>ROUND(Tableau14[[#This Row],[Prix_Unit_TTC]],2)*Tableau14[[#This Row],[Qte_commande]]</f>
        <v>358.8</v>
      </c>
      <c r="R1945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</v>
      </c>
    </row>
    <row r="1946" spans="1:18" ht="14.65" customHeight="1" x14ac:dyDescent="0.2">
      <c r="A1946" s="225">
        <v>43866</v>
      </c>
      <c r="B1946" s="224" t="s">
        <v>350</v>
      </c>
      <c r="C1946" s="224" t="s">
        <v>198</v>
      </c>
      <c r="D1946" s="224" t="s">
        <v>199</v>
      </c>
      <c r="E1946" s="226"/>
      <c r="F1946" s="224" t="s">
        <v>351</v>
      </c>
      <c r="G1946" s="224" t="s">
        <v>1</v>
      </c>
      <c r="H1946" s="224" t="s">
        <v>289</v>
      </c>
      <c r="I1946" s="224" t="s">
        <v>22</v>
      </c>
      <c r="J1946" s="224">
        <v>70</v>
      </c>
      <c r="K1946" s="227" cm="1">
        <f t="array" ref="K1946">IFERROR(INDEX([1]Grille_Tarifs_Modulable!$B$2:$B$204,MATCH(Tableau14[[#This Row],[Designation]]&amp;Tableau14[[#This Row],[CL]],[1]Grille_Tarifs_Modulable!$C$2:$C$204&amp;[1]Grille_Tarifs_Modulable!$F$2:$F$204,0)),0)</f>
        <v>4055800060200</v>
      </c>
      <c r="L1946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17.408644000000002</v>
      </c>
      <c r="M1946" s="228">
        <f>IF(Tableau14[[#This Row],[Prix_Unit_HT]]=0,0,Tableau14[[#This Row],[Prix_Unit_HT]]+(Tableau14[[#This Row],[Prix_Unit_HT]]*VLOOKUP(Tableau14[[#This Row],[EAN]],[1]Grille_Tarifs_Modulable!$B$10:$Q$204,16,FALSE)))</f>
        <v>20.890372800000002</v>
      </c>
      <c r="N1946" s="224">
        <v>48</v>
      </c>
      <c r="O1946" s="224">
        <f>ROUND(Tableau14[[#This Row],[Prix_Unit_HT]],2)*Tableau14[[#This Row],[Qte_commande]]</f>
        <v>835.68000000000006</v>
      </c>
      <c r="P1946" s="224">
        <f>ROUND(Tableau14[[#This Row],[Prix_Unit_TTC]],2)*Tableau14[[#This Row],[Qte_commande]]</f>
        <v>1002.72</v>
      </c>
      <c r="R1946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48.000000000000007</v>
      </c>
    </row>
    <row r="1947" spans="1:18" ht="14.65" customHeight="1" x14ac:dyDescent="0.2">
      <c r="A1947" s="225">
        <v>43866</v>
      </c>
      <c r="B1947" s="224" t="s">
        <v>350</v>
      </c>
      <c r="C1947" s="224" t="s">
        <v>198</v>
      </c>
      <c r="D1947" s="224" t="s">
        <v>199</v>
      </c>
      <c r="E1947" s="226"/>
      <c r="F1947" s="224" t="s">
        <v>351</v>
      </c>
      <c r="G1947" s="224" t="s">
        <v>1</v>
      </c>
      <c r="H1947" s="224" t="s">
        <v>196</v>
      </c>
      <c r="I1947" s="224" t="s">
        <v>60</v>
      </c>
      <c r="J1947" s="224">
        <v>20</v>
      </c>
      <c r="K1947" s="227" cm="1">
        <f t="array" ref="K1947">IFERROR(INDEX([1]Grille_Tarifs_Modulable!$B$2:$B$204,MATCH(Tableau14[[#This Row],[Designation]]&amp;Tableau14[[#This Row],[CL]],[1]Grille_Tarifs_Modulable!$C$2:$C$204&amp;[1]Grille_Tarifs_Modulable!$F$2:$F$204,0)),0)</f>
        <v>4260310553832</v>
      </c>
      <c r="L1947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0.81</v>
      </c>
      <c r="M1947" s="228">
        <f>IF(Tableau14[[#This Row],[Prix_Unit_HT]]=0,0,Tableau14[[#This Row],[Prix_Unit_HT]]+(Tableau14[[#This Row],[Prix_Unit_HT]]*VLOOKUP(Tableau14[[#This Row],[EAN]],[1]Grille_Tarifs_Modulable!$B$10:$Q$204,16,FALSE)))</f>
        <v>0.85455000000000003</v>
      </c>
      <c r="N1947" s="224">
        <v>96</v>
      </c>
      <c r="O1947" s="224">
        <f>ROUND(Tableau14[[#This Row],[Prix_Unit_HT]],2)*Tableau14[[#This Row],[Qte_commande]]</f>
        <v>77.760000000000005</v>
      </c>
      <c r="P1947" s="224">
        <f>ROUND(Tableau14[[#This Row],[Prix_Unit_TTC]],2)*Tableau14[[#This Row],[Qte_commande]]</f>
        <v>81.599999999999994</v>
      </c>
      <c r="R1947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27.428571428571431</v>
      </c>
    </row>
    <row r="1948" spans="1:18" ht="14.65" customHeight="1" x14ac:dyDescent="0.2">
      <c r="A1948" s="225">
        <v>43866</v>
      </c>
      <c r="B1948" s="224" t="s">
        <v>350</v>
      </c>
      <c r="C1948" s="224" t="s">
        <v>198</v>
      </c>
      <c r="D1948" s="224" t="s">
        <v>199</v>
      </c>
      <c r="E1948" s="226"/>
      <c r="F1948" s="224" t="s">
        <v>351</v>
      </c>
      <c r="G1948" s="224" t="s">
        <v>1</v>
      </c>
      <c r="H1948" s="224" t="s">
        <v>289</v>
      </c>
      <c r="I1948" s="224" t="s">
        <v>30</v>
      </c>
      <c r="J1948" s="224">
        <v>70</v>
      </c>
      <c r="K1948" s="227" cm="1">
        <f t="array" ref="K1948">IFERROR(INDEX([1]Grille_Tarifs_Modulable!$B$2:$B$204,MATCH(Tableau14[[#This Row],[Designation]]&amp;Tableau14[[#This Row],[CL]],[1]Grille_Tarifs_Modulable!$C$2:$C$204&amp;[1]Grille_Tarifs_Modulable!$F$2:$F$204,0)),0)</f>
        <v>3257150101904</v>
      </c>
      <c r="L1948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16.346482999999999</v>
      </c>
      <c r="M1948" s="228">
        <f>IF(Tableau14[[#This Row],[Prix_Unit_HT]]=0,0,Tableau14[[#This Row],[Prix_Unit_HT]]+(Tableau14[[#This Row],[Prix_Unit_HT]]*VLOOKUP(Tableau14[[#This Row],[EAN]],[1]Grille_Tarifs_Modulable!$B$10:$Q$204,16,FALSE)))</f>
        <v>19.6157796</v>
      </c>
      <c r="N1948" s="224">
        <v>12</v>
      </c>
      <c r="O1948" s="224">
        <f>ROUND(Tableau14[[#This Row],[Prix_Unit_HT]],2)*Tableau14[[#This Row],[Qte_commande]]</f>
        <v>196.20000000000002</v>
      </c>
      <c r="P1948" s="224">
        <f>ROUND(Tableau14[[#This Row],[Prix_Unit_TTC]],2)*Tableau14[[#This Row],[Qte_commande]]</f>
        <v>235.44</v>
      </c>
      <c r="R1948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12.000000000000002</v>
      </c>
    </row>
    <row r="1949" spans="1:18" ht="14.65" customHeight="1" x14ac:dyDescent="0.2">
      <c r="A1949" s="225">
        <v>43866</v>
      </c>
      <c r="B1949" s="224" t="s">
        <v>350</v>
      </c>
      <c r="C1949" s="224" t="s">
        <v>198</v>
      </c>
      <c r="D1949" s="224" t="s">
        <v>199</v>
      </c>
      <c r="E1949" s="226"/>
      <c r="F1949" s="224" t="s">
        <v>351</v>
      </c>
      <c r="G1949" s="224" t="s">
        <v>1</v>
      </c>
      <c r="H1949" s="224" t="s">
        <v>196</v>
      </c>
      <c r="I1949" s="224" t="s">
        <v>64</v>
      </c>
      <c r="J1949" s="224">
        <v>20</v>
      </c>
      <c r="K1949" s="227" cm="1">
        <f t="array" ref="K1949">IFERROR(INDEX([1]Grille_Tarifs_Modulable!$B$2:$B$204,MATCH(Tableau14[[#This Row],[Designation]]&amp;Tableau14[[#This Row],[CL]],[1]Grille_Tarifs_Modulable!$C$2:$C$204&amp;[1]Grille_Tarifs_Modulable!$F$2:$F$204,0)),0)</f>
        <v>4260310553849</v>
      </c>
      <c r="L1949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0.81</v>
      </c>
      <c r="M1949" s="228">
        <f>IF(Tableau14[[#This Row],[Prix_Unit_HT]]=0,0,Tableau14[[#This Row],[Prix_Unit_HT]]+(Tableau14[[#This Row],[Prix_Unit_HT]]*VLOOKUP(Tableau14[[#This Row],[EAN]],[1]Grille_Tarifs_Modulable!$B$10:$Q$204,16,FALSE)))</f>
        <v>0.85455000000000003</v>
      </c>
      <c r="N1949" s="224">
        <v>96</v>
      </c>
      <c r="O1949" s="224">
        <f>ROUND(Tableau14[[#This Row],[Prix_Unit_HT]],2)*Tableau14[[#This Row],[Qte_commande]]</f>
        <v>77.760000000000005</v>
      </c>
      <c r="P1949" s="224">
        <f>ROUND(Tableau14[[#This Row],[Prix_Unit_TTC]],2)*Tableau14[[#This Row],[Qte_commande]]</f>
        <v>81.599999999999994</v>
      </c>
      <c r="R1949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27.428571428571431</v>
      </c>
    </row>
    <row r="1950" spans="1:18" ht="14.65" customHeight="1" x14ac:dyDescent="0.2">
      <c r="A1950" s="225">
        <v>43866</v>
      </c>
      <c r="B1950" s="224">
        <v>79851</v>
      </c>
      <c r="C1950" s="224" t="s">
        <v>1242</v>
      </c>
      <c r="D1950" s="224" t="s">
        <v>1243</v>
      </c>
      <c r="E1950" s="226">
        <v>89962</v>
      </c>
      <c r="F1950" s="224" t="s">
        <v>547</v>
      </c>
      <c r="G1950" s="224" t="s">
        <v>13</v>
      </c>
      <c r="H1950" s="224" t="s">
        <v>451</v>
      </c>
      <c r="I1950" s="224" t="s">
        <v>69</v>
      </c>
      <c r="J1950" s="224">
        <v>3</v>
      </c>
      <c r="K1950" s="227" cm="1">
        <f t="array" ref="K1950">IFERROR(INDEX([1]Grille_Tarifs_Modulable!$B$2:$B$204,MATCH(Tableau14[[#This Row],[Designation]]&amp;Tableau14[[#This Row],[CL]],[1]Grille_Tarifs_Modulable!$C$2:$C$204&amp;[1]Grille_Tarifs_Modulable!$F$2:$F$204,0)),0)</f>
        <v>121</v>
      </c>
      <c r="L1950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299</v>
      </c>
      <c r="M1950" s="228">
        <f>IF(Tableau14[[#This Row],[Prix_Unit_HT]]=0,0,Tableau14[[#This Row],[Prix_Unit_HT]]+(Tableau14[[#This Row],[Prix_Unit_HT]]*VLOOKUP(Tableau14[[#This Row],[EAN]],[1]Grille_Tarifs_Modulable!$B$10:$Q$204,16,FALSE)))</f>
        <v>358.8</v>
      </c>
      <c r="N1950" s="224">
        <v>1</v>
      </c>
      <c r="O1950" s="224">
        <f>ROUND(Tableau14[[#This Row],[Prix_Unit_HT]],2)*Tableau14[[#This Row],[Qte_commande]]</f>
        <v>299</v>
      </c>
      <c r="P1950" s="224">
        <f>ROUND(Tableau14[[#This Row],[Prix_Unit_TTC]],2)*Tableau14[[#This Row],[Qte_commande]]</f>
        <v>358.8</v>
      </c>
      <c r="R1950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</v>
      </c>
    </row>
    <row r="1951" spans="1:18" ht="14.65" customHeight="1" x14ac:dyDescent="0.2">
      <c r="A1951" s="225">
        <v>43866</v>
      </c>
      <c r="B1951" s="224" t="s">
        <v>350</v>
      </c>
      <c r="C1951" s="224" t="s">
        <v>198</v>
      </c>
      <c r="D1951" s="224" t="s">
        <v>199</v>
      </c>
      <c r="E1951" s="226"/>
      <c r="F1951" s="224" t="s">
        <v>351</v>
      </c>
      <c r="G1951" s="224" t="s">
        <v>1</v>
      </c>
      <c r="H1951" s="224" t="s">
        <v>196</v>
      </c>
      <c r="I1951" s="224" t="s">
        <v>59</v>
      </c>
      <c r="J1951" s="224">
        <v>20</v>
      </c>
      <c r="K1951" s="227" cm="1">
        <f t="array" ref="K1951">IFERROR(INDEX([1]Grille_Tarifs_Modulable!$B$2:$B$204,MATCH(Tableau14[[#This Row],[Designation]]&amp;Tableau14[[#This Row],[CL]],[1]Grille_Tarifs_Modulable!$C$2:$C$204&amp;[1]Grille_Tarifs_Modulable!$F$2:$F$204,0)),0)</f>
        <v>4260310553818</v>
      </c>
      <c r="L1951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0.81</v>
      </c>
      <c r="M1951" s="228">
        <f>IF(Tableau14[[#This Row],[Prix_Unit_HT]]=0,0,Tableau14[[#This Row],[Prix_Unit_HT]]+(Tableau14[[#This Row],[Prix_Unit_HT]]*VLOOKUP(Tableau14[[#This Row],[EAN]],[1]Grille_Tarifs_Modulable!$B$10:$Q$204,16,FALSE)))</f>
        <v>0.85455000000000003</v>
      </c>
      <c r="N1951" s="224">
        <v>96</v>
      </c>
      <c r="O1951" s="224">
        <f>ROUND(Tableau14[[#This Row],[Prix_Unit_HT]],2)*Tableau14[[#This Row],[Qte_commande]]</f>
        <v>77.760000000000005</v>
      </c>
      <c r="P1951" s="224">
        <f>ROUND(Tableau14[[#This Row],[Prix_Unit_TTC]],2)*Tableau14[[#This Row],[Qte_commande]]</f>
        <v>81.599999999999994</v>
      </c>
      <c r="R1951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27.428571428571431</v>
      </c>
    </row>
    <row r="1952" spans="1:18" ht="14.65" customHeight="1" x14ac:dyDescent="0.2">
      <c r="A1952" s="225">
        <v>43868</v>
      </c>
      <c r="B1952" s="224" t="s">
        <v>441</v>
      </c>
      <c r="C1952" s="224" t="s">
        <v>442</v>
      </c>
      <c r="D1952" s="224" t="s">
        <v>443</v>
      </c>
      <c r="E1952" s="226"/>
      <c r="F1952" s="224" t="s">
        <v>260</v>
      </c>
      <c r="G1952" s="224" t="s">
        <v>13</v>
      </c>
      <c r="H1952" s="224" t="s">
        <v>289</v>
      </c>
      <c r="I1952" s="224" t="s">
        <v>35</v>
      </c>
      <c r="J1952" s="224">
        <v>70</v>
      </c>
      <c r="K1952" s="227" cm="1">
        <f t="array" ref="K1952">IFERROR(INDEX([1]Grille_Tarifs_Modulable!$B$2:$B$204,MATCH(Tableau14[[#This Row],[Designation]]&amp;Tableau14[[#This Row],[CL]],[1]Grille_Tarifs_Modulable!$C$2:$C$204&amp;[1]Grille_Tarifs_Modulable!$F$2:$F$204,0)),0)</f>
        <v>3257150107012</v>
      </c>
      <c r="L1952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32.408644000000002</v>
      </c>
      <c r="M1952" s="228">
        <f>IF(Tableau14[[#This Row],[Prix_Unit_HT]]=0,0,Tableau14[[#This Row],[Prix_Unit_HT]]+(Tableau14[[#This Row],[Prix_Unit_HT]]*VLOOKUP(Tableau14[[#This Row],[EAN]],[1]Grille_Tarifs_Modulable!$B$10:$Q$204,16,FALSE)))</f>
        <v>38.890372800000002</v>
      </c>
      <c r="N1952" s="224">
        <v>2</v>
      </c>
      <c r="O1952" s="224">
        <f>ROUND(Tableau14[[#This Row],[Prix_Unit_HT]],2)*Tableau14[[#This Row],[Qte_commande]]</f>
        <v>64.819999999999993</v>
      </c>
      <c r="P1952" s="224">
        <f>ROUND(Tableau14[[#This Row],[Prix_Unit_TTC]],2)*Tableau14[[#This Row],[Qte_commande]]</f>
        <v>77.78</v>
      </c>
      <c r="R1952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2</v>
      </c>
    </row>
    <row r="1953" spans="1:18" ht="14.65" customHeight="1" x14ac:dyDescent="0.2">
      <c r="A1953" s="225">
        <v>43868</v>
      </c>
      <c r="B1953" s="224" t="s">
        <v>444</v>
      </c>
      <c r="C1953" s="224" t="s">
        <v>445</v>
      </c>
      <c r="D1953" s="224" t="s">
        <v>233</v>
      </c>
      <c r="E1953" s="226">
        <v>82145</v>
      </c>
      <c r="F1953" s="224" t="s">
        <v>260</v>
      </c>
      <c r="G1953" s="224" t="s">
        <v>13</v>
      </c>
      <c r="H1953" s="224" t="s">
        <v>289</v>
      </c>
      <c r="I1953" s="224" t="s">
        <v>35</v>
      </c>
      <c r="J1953" s="224">
        <v>70</v>
      </c>
      <c r="K1953" s="227" cm="1">
        <f t="array" ref="K1953">IFERROR(INDEX([1]Grille_Tarifs_Modulable!$B$2:$B$204,MATCH(Tableau14[[#This Row],[Designation]]&amp;Tableau14[[#This Row],[CL]],[1]Grille_Tarifs_Modulable!$C$2:$C$204&amp;[1]Grille_Tarifs_Modulable!$F$2:$F$204,0)),0)</f>
        <v>3257150107012</v>
      </c>
      <c r="L1953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32.408644000000002</v>
      </c>
      <c r="M1953" s="228">
        <f>IF(Tableau14[[#This Row],[Prix_Unit_HT]]=0,0,Tableau14[[#This Row],[Prix_Unit_HT]]+(Tableau14[[#This Row],[Prix_Unit_HT]]*VLOOKUP(Tableau14[[#This Row],[EAN]],[1]Grille_Tarifs_Modulable!$B$10:$Q$204,16,FALSE)))</f>
        <v>38.890372800000002</v>
      </c>
      <c r="N1953" s="224">
        <v>3</v>
      </c>
      <c r="O1953" s="224">
        <f>ROUND(Tableau14[[#This Row],[Prix_Unit_HT]],2)*Tableau14[[#This Row],[Qte_commande]]</f>
        <v>97.22999999999999</v>
      </c>
      <c r="P1953" s="224">
        <f>ROUND(Tableau14[[#This Row],[Prix_Unit_TTC]],2)*Tableau14[[#This Row],[Qte_commande]]</f>
        <v>116.67</v>
      </c>
      <c r="R1953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3.0000000000000004</v>
      </c>
    </row>
    <row r="1954" spans="1:18" ht="14.65" customHeight="1" x14ac:dyDescent="0.2">
      <c r="A1954" s="225">
        <v>43868</v>
      </c>
      <c r="B1954" s="224" t="s">
        <v>501</v>
      </c>
      <c r="C1954" s="224" t="s">
        <v>502</v>
      </c>
      <c r="D1954" s="224" t="s">
        <v>503</v>
      </c>
      <c r="E1954" s="226"/>
      <c r="F1954" s="224" t="s">
        <v>504</v>
      </c>
      <c r="G1954" s="224" t="s">
        <v>1</v>
      </c>
      <c r="H1954" s="224" t="s">
        <v>289</v>
      </c>
      <c r="I1954" s="224" t="s">
        <v>57</v>
      </c>
      <c r="J1954" s="224">
        <v>75</v>
      </c>
      <c r="K1954" s="227" cm="1">
        <f t="array" ref="K1954">IFERROR(INDEX([1]Grille_Tarifs_Modulable!$B$2:$B$204,MATCH(Tableau14[[#This Row],[Designation]]&amp;Tableau14[[#This Row],[CL]],[1]Grille_Tarifs_Modulable!$C$2:$C$204&amp;[1]Grille_Tarifs_Modulable!$F$2:$F$204,0)),0)</f>
        <v>3242890008026</v>
      </c>
      <c r="L1954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9.1929750000000006</v>
      </c>
      <c r="M1954" s="228">
        <f>IF(Tableau14[[#This Row],[Prix_Unit_HT]]=0,0,Tableau14[[#This Row],[Prix_Unit_HT]]+(Tableau14[[#This Row],[Prix_Unit_HT]]*VLOOKUP(Tableau14[[#This Row],[EAN]],[1]Grille_Tarifs_Modulable!$B$10:$Q$204,16,FALSE)))</f>
        <v>11.03157</v>
      </c>
      <c r="N1954" s="224">
        <v>6</v>
      </c>
      <c r="O1954" s="224">
        <f>ROUND(Tableau14[[#This Row],[Prix_Unit_HT]],2)*Tableau14[[#This Row],[Qte_commande]]</f>
        <v>55.14</v>
      </c>
      <c r="P1954" s="224">
        <f>ROUND(Tableau14[[#This Row],[Prix_Unit_TTC]],2)*Tableau14[[#This Row],[Qte_commande]]</f>
        <v>66.179999999999993</v>
      </c>
      <c r="R1954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6.4285714285714288</v>
      </c>
    </row>
    <row r="1955" spans="1:18" ht="14.65" customHeight="1" x14ac:dyDescent="0.2">
      <c r="A1955" s="225">
        <v>43868</v>
      </c>
      <c r="B1955" s="224" t="s">
        <v>444</v>
      </c>
      <c r="C1955" s="224" t="s">
        <v>445</v>
      </c>
      <c r="D1955" s="224" t="s">
        <v>233</v>
      </c>
      <c r="E1955" s="226">
        <v>82145</v>
      </c>
      <c r="F1955" s="224" t="s">
        <v>260</v>
      </c>
      <c r="G1955" s="224" t="s">
        <v>13</v>
      </c>
      <c r="H1955" s="224" t="s">
        <v>289</v>
      </c>
      <c r="I1955" s="224" t="s">
        <v>57</v>
      </c>
      <c r="J1955" s="224">
        <v>75</v>
      </c>
      <c r="K1955" s="227" cm="1">
        <f t="array" ref="K1955">IFERROR(INDEX([1]Grille_Tarifs_Modulable!$B$2:$B$204,MATCH(Tableau14[[#This Row],[Designation]]&amp;Tableau14[[#This Row],[CL]],[1]Grille_Tarifs_Modulable!$C$2:$C$204&amp;[1]Grille_Tarifs_Modulable!$F$2:$F$204,0)),0)</f>
        <v>3242890008026</v>
      </c>
      <c r="L1955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11.342975000000001</v>
      </c>
      <c r="M1955" s="228">
        <f>IF(Tableau14[[#This Row],[Prix_Unit_HT]]=0,0,Tableau14[[#This Row],[Prix_Unit_HT]]+(Tableau14[[#This Row],[Prix_Unit_HT]]*VLOOKUP(Tableau14[[#This Row],[EAN]],[1]Grille_Tarifs_Modulable!$B$10:$Q$204,16,FALSE)))</f>
        <v>13.61157</v>
      </c>
      <c r="N1955" s="224">
        <v>3</v>
      </c>
      <c r="O1955" s="224">
        <f>ROUND(Tableau14[[#This Row],[Prix_Unit_HT]],2)*Tableau14[[#This Row],[Qte_commande]]</f>
        <v>34.019999999999996</v>
      </c>
      <c r="P1955" s="224">
        <f>ROUND(Tableau14[[#This Row],[Prix_Unit_TTC]],2)*Tableau14[[#This Row],[Qte_commande]]</f>
        <v>40.83</v>
      </c>
      <c r="R1955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3.2142857142857144</v>
      </c>
    </row>
    <row r="1956" spans="1:18" ht="14.65" customHeight="1" x14ac:dyDescent="0.2">
      <c r="A1956" s="225">
        <v>43868</v>
      </c>
      <c r="B1956" s="224" t="s">
        <v>441</v>
      </c>
      <c r="C1956" s="224" t="s">
        <v>442</v>
      </c>
      <c r="D1956" s="224" t="s">
        <v>443</v>
      </c>
      <c r="E1956" s="226"/>
      <c r="F1956" s="224" t="s">
        <v>260</v>
      </c>
      <c r="G1956" s="224" t="s">
        <v>13</v>
      </c>
      <c r="H1956" s="224" t="s">
        <v>289</v>
      </c>
      <c r="I1956" s="224" t="s">
        <v>47</v>
      </c>
      <c r="J1956" s="224">
        <v>70</v>
      </c>
      <c r="K1956" s="227" cm="1">
        <f t="array" ref="K1956">IFERROR(INDEX([1]Grille_Tarifs_Modulable!$B$2:$B$204,MATCH(Tableau14[[#This Row],[Designation]]&amp;Tableau14[[#This Row],[CL]],[1]Grille_Tarifs_Modulable!$C$2:$C$204&amp;[1]Grille_Tarifs_Modulable!$F$2:$F$204,0)),0)</f>
        <v>3257150673005</v>
      </c>
      <c r="L1956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26.848644</v>
      </c>
      <c r="M1956" s="228">
        <f>IF(Tableau14[[#This Row],[Prix_Unit_HT]]=0,0,Tableau14[[#This Row],[Prix_Unit_HT]]+(Tableau14[[#This Row],[Prix_Unit_HT]]*VLOOKUP(Tableau14[[#This Row],[EAN]],[1]Grille_Tarifs_Modulable!$B$10:$Q$204,16,FALSE)))</f>
        <v>32.218372799999997</v>
      </c>
      <c r="N1956" s="224">
        <v>6</v>
      </c>
      <c r="O1956" s="224">
        <f>ROUND(Tableau14[[#This Row],[Prix_Unit_HT]],2)*Tableau14[[#This Row],[Qte_commande]]</f>
        <v>161.10000000000002</v>
      </c>
      <c r="P1956" s="224">
        <f>ROUND(Tableau14[[#This Row],[Prix_Unit_TTC]],2)*Tableau14[[#This Row],[Qte_commande]]</f>
        <v>193.32</v>
      </c>
      <c r="R1956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6.0000000000000009</v>
      </c>
    </row>
    <row r="1957" spans="1:18" ht="14.65" customHeight="1" x14ac:dyDescent="0.2">
      <c r="A1957" s="225">
        <v>43868</v>
      </c>
      <c r="B1957" s="224" t="s">
        <v>501</v>
      </c>
      <c r="C1957" s="224" t="s">
        <v>502</v>
      </c>
      <c r="D1957" s="224" t="s">
        <v>503</v>
      </c>
      <c r="E1957" s="226"/>
      <c r="F1957" s="224" t="s">
        <v>504</v>
      </c>
      <c r="G1957" s="224" t="s">
        <v>1</v>
      </c>
      <c r="H1957" s="224" t="s">
        <v>289</v>
      </c>
      <c r="I1957" s="224" t="s">
        <v>47</v>
      </c>
      <c r="J1957" s="224">
        <v>70</v>
      </c>
      <c r="K1957" s="227" cm="1">
        <f t="array" ref="K1957">IFERROR(INDEX([1]Grille_Tarifs_Modulable!$B$2:$B$204,MATCH(Tableau14[[#This Row],[Designation]]&amp;Tableau14[[#This Row],[CL]],[1]Grille_Tarifs_Modulable!$C$2:$C$204&amp;[1]Grille_Tarifs_Modulable!$F$2:$F$204,0)),0)</f>
        <v>3257150673005</v>
      </c>
      <c r="L1957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20.158644000000002</v>
      </c>
      <c r="M1957" s="228">
        <f>IF(Tableau14[[#This Row],[Prix_Unit_HT]]=0,0,Tableau14[[#This Row],[Prix_Unit_HT]]+(Tableau14[[#This Row],[Prix_Unit_HT]]*VLOOKUP(Tableau14[[#This Row],[EAN]],[1]Grille_Tarifs_Modulable!$B$10:$Q$204,16,FALSE)))</f>
        <v>24.190372800000002</v>
      </c>
      <c r="N1957" s="224">
        <v>12</v>
      </c>
      <c r="O1957" s="224">
        <f>ROUND(Tableau14[[#This Row],[Prix_Unit_HT]],2)*Tableau14[[#This Row],[Qte_commande]]</f>
        <v>241.92000000000002</v>
      </c>
      <c r="P1957" s="224">
        <f>ROUND(Tableau14[[#This Row],[Prix_Unit_TTC]],2)*Tableau14[[#This Row],[Qte_commande]]</f>
        <v>290.28000000000003</v>
      </c>
      <c r="R1957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12.000000000000002</v>
      </c>
    </row>
    <row r="1958" spans="1:18" ht="14.65" customHeight="1" x14ac:dyDescent="0.2">
      <c r="A1958" s="225">
        <v>43868</v>
      </c>
      <c r="B1958" s="224" t="s">
        <v>501</v>
      </c>
      <c r="C1958" s="224" t="s">
        <v>502</v>
      </c>
      <c r="D1958" s="224" t="s">
        <v>503</v>
      </c>
      <c r="E1958" s="226"/>
      <c r="F1958" s="224" t="s">
        <v>504</v>
      </c>
      <c r="G1958" s="224" t="s">
        <v>1</v>
      </c>
      <c r="H1958" s="224" t="s">
        <v>289</v>
      </c>
      <c r="I1958" s="224" t="s">
        <v>56</v>
      </c>
      <c r="J1958" s="224">
        <v>75</v>
      </c>
      <c r="K1958" s="227" cm="1">
        <f t="array" ref="K1958">IFERROR(INDEX([1]Grille_Tarifs_Modulable!$B$2:$B$204,MATCH(Tableau14[[#This Row],[Designation]]&amp;Tableau14[[#This Row],[CL]],[1]Grille_Tarifs_Modulable!$C$2:$C$204&amp;[1]Grille_Tarifs_Modulable!$F$2:$F$204,0)),0)</f>
        <v>3242890008019</v>
      </c>
      <c r="L1958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9.1929750000000006</v>
      </c>
      <c r="M1958" s="228">
        <f>IF(Tableau14[[#This Row],[Prix_Unit_HT]]=0,0,Tableau14[[#This Row],[Prix_Unit_HT]]+(Tableau14[[#This Row],[Prix_Unit_HT]]*VLOOKUP(Tableau14[[#This Row],[EAN]],[1]Grille_Tarifs_Modulable!$B$10:$Q$204,16,FALSE)))</f>
        <v>11.03157</v>
      </c>
      <c r="N1958" s="224">
        <v>6</v>
      </c>
      <c r="O1958" s="224">
        <f>ROUND(Tableau14[[#This Row],[Prix_Unit_HT]],2)*Tableau14[[#This Row],[Qte_commande]]</f>
        <v>55.14</v>
      </c>
      <c r="P1958" s="224">
        <f>ROUND(Tableau14[[#This Row],[Prix_Unit_TTC]],2)*Tableau14[[#This Row],[Qte_commande]]</f>
        <v>66.179999999999993</v>
      </c>
      <c r="R1958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6.4285714285714288</v>
      </c>
    </row>
    <row r="1959" spans="1:18" ht="14.65" customHeight="1" x14ac:dyDescent="0.2">
      <c r="A1959" s="225">
        <v>43868</v>
      </c>
      <c r="B1959" s="224" t="s">
        <v>444</v>
      </c>
      <c r="C1959" s="224" t="s">
        <v>445</v>
      </c>
      <c r="D1959" s="224" t="s">
        <v>233</v>
      </c>
      <c r="E1959" s="226">
        <v>82145</v>
      </c>
      <c r="F1959" s="224" t="s">
        <v>260</v>
      </c>
      <c r="G1959" s="224" t="s">
        <v>13</v>
      </c>
      <c r="H1959" s="224" t="s">
        <v>289</v>
      </c>
      <c r="I1959" s="224" t="s">
        <v>56</v>
      </c>
      <c r="J1959" s="224">
        <v>75</v>
      </c>
      <c r="K1959" s="227" cm="1">
        <f t="array" ref="K1959">IFERROR(INDEX([1]Grille_Tarifs_Modulable!$B$2:$B$204,MATCH(Tableau14[[#This Row],[Designation]]&amp;Tableau14[[#This Row],[CL]],[1]Grille_Tarifs_Modulable!$C$2:$C$204&amp;[1]Grille_Tarifs_Modulable!$F$2:$F$204,0)),0)</f>
        <v>3242890008019</v>
      </c>
      <c r="L1959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11.342975000000001</v>
      </c>
      <c r="M1959" s="228">
        <f>IF(Tableau14[[#This Row],[Prix_Unit_HT]]=0,0,Tableau14[[#This Row],[Prix_Unit_HT]]+(Tableau14[[#This Row],[Prix_Unit_HT]]*VLOOKUP(Tableau14[[#This Row],[EAN]],[1]Grille_Tarifs_Modulable!$B$10:$Q$204,16,FALSE)))</f>
        <v>13.61157</v>
      </c>
      <c r="N1959" s="224">
        <v>3</v>
      </c>
      <c r="O1959" s="224">
        <f>ROUND(Tableau14[[#This Row],[Prix_Unit_HT]],2)*Tableau14[[#This Row],[Qte_commande]]</f>
        <v>34.019999999999996</v>
      </c>
      <c r="P1959" s="224">
        <f>ROUND(Tableau14[[#This Row],[Prix_Unit_TTC]],2)*Tableau14[[#This Row],[Qte_commande]]</f>
        <v>40.83</v>
      </c>
      <c r="R1959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3.2142857142857144</v>
      </c>
    </row>
    <row r="1960" spans="1:18" ht="14.65" customHeight="1" x14ac:dyDescent="0.2">
      <c r="A1960" s="225">
        <v>43868</v>
      </c>
      <c r="B1960" s="224" t="s">
        <v>793</v>
      </c>
      <c r="C1960" s="224" t="s">
        <v>542</v>
      </c>
      <c r="D1960" s="224" t="s">
        <v>209</v>
      </c>
      <c r="E1960" s="226"/>
      <c r="F1960" s="224" t="s">
        <v>260</v>
      </c>
      <c r="G1960" s="224" t="s">
        <v>13</v>
      </c>
      <c r="H1960" s="224" t="s">
        <v>289</v>
      </c>
      <c r="I1960" s="224" t="s">
        <v>15</v>
      </c>
      <c r="J1960" s="224">
        <v>175</v>
      </c>
      <c r="K1960" s="227" cm="1">
        <f t="array" ref="K1960">IFERROR(INDEX([1]Grille_Tarifs_Modulable!$B$2:$B$204,MATCH(Tableau14[[#This Row],[Designation]]&amp;Tableau14[[#This Row],[CL]],[1]Grille_Tarifs_Modulable!$C$2:$C$204&amp;[1]Grille_Tarifs_Modulable!$F$2:$F$204,0)),0)</f>
        <v>4067700013835</v>
      </c>
      <c r="L1960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32.266408749999997</v>
      </c>
      <c r="M1960" s="228">
        <f>IF(Tableau14[[#This Row],[Prix_Unit_HT]]=0,0,Tableau14[[#This Row],[Prix_Unit_HT]]+(Tableau14[[#This Row],[Prix_Unit_HT]]*VLOOKUP(Tableau14[[#This Row],[EAN]],[1]Grille_Tarifs_Modulable!$B$10:$Q$204,16,FALSE)))</f>
        <v>38.719690499999999</v>
      </c>
      <c r="N1960" s="224">
        <v>18</v>
      </c>
      <c r="O1960" s="224">
        <f>ROUND(Tableau14[[#This Row],[Prix_Unit_HT]],2)*Tableau14[[#This Row],[Qte_commande]]</f>
        <v>580.86</v>
      </c>
      <c r="P1960" s="224">
        <f>ROUND(Tableau14[[#This Row],[Prix_Unit_TTC]],2)*Tableau14[[#This Row],[Qte_commande]]</f>
        <v>696.96</v>
      </c>
      <c r="R1960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45</v>
      </c>
    </row>
    <row r="1961" spans="1:18" ht="14.65" customHeight="1" x14ac:dyDescent="0.2">
      <c r="A1961" s="225">
        <v>43868</v>
      </c>
      <c r="B1961" s="224" t="s">
        <v>501</v>
      </c>
      <c r="C1961" s="224" t="s">
        <v>502</v>
      </c>
      <c r="D1961" s="224" t="s">
        <v>503</v>
      </c>
      <c r="E1961" s="226"/>
      <c r="F1961" s="224" t="s">
        <v>504</v>
      </c>
      <c r="G1961" s="224" t="s">
        <v>1</v>
      </c>
      <c r="H1961" s="224" t="s">
        <v>289</v>
      </c>
      <c r="I1961" s="224" t="s">
        <v>48</v>
      </c>
      <c r="J1961" s="224">
        <v>70</v>
      </c>
      <c r="K1961" s="227" cm="1">
        <f t="array" ref="K1961">IFERROR(INDEX([1]Grille_Tarifs_Modulable!$B$2:$B$204,MATCH(Tableau14[[#This Row],[Designation]]&amp;Tableau14[[#This Row],[CL]],[1]Grille_Tarifs_Modulable!$C$2:$C$204&amp;[1]Grille_Tarifs_Modulable!$F$2:$F$204,0)),0)</f>
        <v>3257150673029</v>
      </c>
      <c r="L1961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17.769508399999999</v>
      </c>
      <c r="M1961" s="228">
        <f>IF(Tableau14[[#This Row],[Prix_Unit_HT]]=0,0,Tableau14[[#This Row],[Prix_Unit_HT]]+(Tableau14[[#This Row],[Prix_Unit_HT]]*VLOOKUP(Tableau14[[#This Row],[EAN]],[1]Grille_Tarifs_Modulable!$B$10:$Q$204,16,FALSE)))</f>
        <v>21.323410079999999</v>
      </c>
      <c r="N1961" s="224">
        <v>12</v>
      </c>
      <c r="O1961" s="224">
        <f>ROUND(Tableau14[[#This Row],[Prix_Unit_HT]],2)*Tableau14[[#This Row],[Qte_commande]]</f>
        <v>213.24</v>
      </c>
      <c r="P1961" s="224">
        <f>ROUND(Tableau14[[#This Row],[Prix_Unit_TTC]],2)*Tableau14[[#This Row],[Qte_commande]]</f>
        <v>255.84</v>
      </c>
      <c r="R1961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12.000000000000002</v>
      </c>
    </row>
    <row r="1962" spans="1:18" ht="14.65" customHeight="1" x14ac:dyDescent="0.2">
      <c r="A1962" s="225">
        <v>43868</v>
      </c>
      <c r="B1962" s="224" t="s">
        <v>501</v>
      </c>
      <c r="C1962" s="224" t="s">
        <v>502</v>
      </c>
      <c r="D1962" s="224" t="s">
        <v>503</v>
      </c>
      <c r="E1962" s="226"/>
      <c r="F1962" s="224" t="s">
        <v>504</v>
      </c>
      <c r="G1962" s="224" t="s">
        <v>1</v>
      </c>
      <c r="H1962" s="224" t="s">
        <v>289</v>
      </c>
      <c r="I1962" s="224" t="s">
        <v>39</v>
      </c>
      <c r="J1962" s="224">
        <v>70</v>
      </c>
      <c r="K1962" s="227" cm="1">
        <f t="array" ref="K1962">IFERROR(INDEX([1]Grille_Tarifs_Modulable!$B$2:$B$204,MATCH(Tableau14[[#This Row],[Designation]]&amp;Tableau14[[#This Row],[CL]],[1]Grille_Tarifs_Modulable!$C$2:$C$204&amp;[1]Grille_Tarifs_Modulable!$F$2:$F$204,0)),0)</f>
        <v>3257150100945</v>
      </c>
      <c r="L1962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123.608644</v>
      </c>
      <c r="M1962" s="228">
        <f>IF(Tableau14[[#This Row],[Prix_Unit_HT]]=0,0,Tableau14[[#This Row],[Prix_Unit_HT]]+(Tableau14[[#This Row],[Prix_Unit_HT]]*VLOOKUP(Tableau14[[#This Row],[EAN]],[1]Grille_Tarifs_Modulable!$B$10:$Q$204,16,FALSE)))</f>
        <v>148.33037279999999</v>
      </c>
      <c r="N1962" s="224">
        <v>2</v>
      </c>
      <c r="O1962" s="224">
        <f>ROUND(Tableau14[[#This Row],[Prix_Unit_HT]],2)*Tableau14[[#This Row],[Qte_commande]]</f>
        <v>247.22</v>
      </c>
      <c r="P1962" s="224">
        <f>ROUND(Tableau14[[#This Row],[Prix_Unit_TTC]],2)*Tableau14[[#This Row],[Qte_commande]]</f>
        <v>296.66000000000003</v>
      </c>
      <c r="R1962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2</v>
      </c>
    </row>
    <row r="1963" spans="1:18" ht="14.65" customHeight="1" x14ac:dyDescent="0.2">
      <c r="A1963" s="225">
        <v>43868</v>
      </c>
      <c r="B1963" s="224" t="s">
        <v>441</v>
      </c>
      <c r="C1963" s="224" t="s">
        <v>442</v>
      </c>
      <c r="D1963" s="224" t="s">
        <v>443</v>
      </c>
      <c r="E1963" s="226"/>
      <c r="F1963" s="224" t="s">
        <v>260</v>
      </c>
      <c r="G1963" s="224" t="s">
        <v>13</v>
      </c>
      <c r="H1963" s="224" t="s">
        <v>289</v>
      </c>
      <c r="I1963" s="224" t="s">
        <v>32</v>
      </c>
      <c r="J1963" s="224">
        <v>70</v>
      </c>
      <c r="K1963" s="227" cm="1">
        <f t="array" ref="K1963">IFERROR(INDEX([1]Grille_Tarifs_Modulable!$B$2:$B$204,MATCH(Tableau14[[#This Row],[Designation]]&amp;Tableau14[[#This Row],[CL]],[1]Grille_Tarifs_Modulable!$C$2:$C$204&amp;[1]Grille_Tarifs_Modulable!$F$2:$F$204,0)),0)</f>
        <v>3257150100228</v>
      </c>
      <c r="L1963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21.488644000000001</v>
      </c>
      <c r="M1963" s="228">
        <f>IF(Tableau14[[#This Row],[Prix_Unit_HT]]=0,0,Tableau14[[#This Row],[Prix_Unit_HT]]+(Tableau14[[#This Row],[Prix_Unit_HT]]*VLOOKUP(Tableau14[[#This Row],[EAN]],[1]Grille_Tarifs_Modulable!$B$10:$Q$204,16,FALSE)))</f>
        <v>25.786372800000002</v>
      </c>
      <c r="N1963" s="224">
        <v>6</v>
      </c>
      <c r="O1963" s="224">
        <f>ROUND(Tableau14[[#This Row],[Prix_Unit_HT]],2)*Tableau14[[#This Row],[Qte_commande]]</f>
        <v>128.94</v>
      </c>
      <c r="P1963" s="224">
        <f>ROUND(Tableau14[[#This Row],[Prix_Unit_TTC]],2)*Tableau14[[#This Row],[Qte_commande]]</f>
        <v>154.74</v>
      </c>
      <c r="R1963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6.0000000000000009</v>
      </c>
    </row>
    <row r="1964" spans="1:18" ht="14.65" customHeight="1" x14ac:dyDescent="0.2">
      <c r="A1964" s="225">
        <v>43868</v>
      </c>
      <c r="B1964" s="224" t="s">
        <v>501</v>
      </c>
      <c r="C1964" s="224" t="s">
        <v>502</v>
      </c>
      <c r="D1964" s="224" t="s">
        <v>503</v>
      </c>
      <c r="E1964" s="226"/>
      <c r="F1964" s="224" t="s">
        <v>504</v>
      </c>
      <c r="G1964" s="224" t="s">
        <v>1</v>
      </c>
      <c r="H1964" s="224" t="s">
        <v>289</v>
      </c>
      <c r="I1964" s="224" t="s">
        <v>32</v>
      </c>
      <c r="J1964" s="224">
        <v>70</v>
      </c>
      <c r="K1964" s="227" cm="1">
        <f t="array" ref="K1964">IFERROR(INDEX([1]Grille_Tarifs_Modulable!$B$2:$B$204,MATCH(Tableau14[[#This Row],[Designation]]&amp;Tableau14[[#This Row],[CL]],[1]Grille_Tarifs_Modulable!$C$2:$C$204&amp;[1]Grille_Tarifs_Modulable!$F$2:$F$204,0)),0)</f>
        <v>3257150100228</v>
      </c>
      <c r="L1964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19.998643999999999</v>
      </c>
      <c r="M1964" s="228">
        <f>IF(Tableau14[[#This Row],[Prix_Unit_HT]]=0,0,Tableau14[[#This Row],[Prix_Unit_HT]]+(Tableau14[[#This Row],[Prix_Unit_HT]]*VLOOKUP(Tableau14[[#This Row],[EAN]],[1]Grille_Tarifs_Modulable!$B$10:$Q$204,16,FALSE)))</f>
        <v>23.998372799999999</v>
      </c>
      <c r="N1964" s="224">
        <v>12</v>
      </c>
      <c r="O1964" s="224">
        <f>ROUND(Tableau14[[#This Row],[Prix_Unit_HT]],2)*Tableau14[[#This Row],[Qte_commande]]</f>
        <v>240</v>
      </c>
      <c r="P1964" s="224">
        <f>ROUND(Tableau14[[#This Row],[Prix_Unit_TTC]],2)*Tableau14[[#This Row],[Qte_commande]]</f>
        <v>288</v>
      </c>
      <c r="R1964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12.000000000000002</v>
      </c>
    </row>
    <row r="1965" spans="1:18" ht="14.65" customHeight="1" x14ac:dyDescent="0.2">
      <c r="A1965" s="225">
        <v>43868</v>
      </c>
      <c r="B1965" s="224" t="s">
        <v>444</v>
      </c>
      <c r="C1965" s="224" t="s">
        <v>445</v>
      </c>
      <c r="D1965" s="224" t="s">
        <v>233</v>
      </c>
      <c r="E1965" s="226">
        <v>82145</v>
      </c>
      <c r="F1965" s="224" t="s">
        <v>260</v>
      </c>
      <c r="G1965" s="224" t="s">
        <v>13</v>
      </c>
      <c r="H1965" s="224" t="s">
        <v>289</v>
      </c>
      <c r="I1965" s="224" t="s">
        <v>32</v>
      </c>
      <c r="J1965" s="224">
        <v>70</v>
      </c>
      <c r="K1965" s="227" cm="1">
        <f t="array" ref="K1965">IFERROR(INDEX([1]Grille_Tarifs_Modulable!$B$2:$B$204,MATCH(Tableau14[[#This Row],[Designation]]&amp;Tableau14[[#This Row],[CL]],[1]Grille_Tarifs_Modulable!$C$2:$C$204&amp;[1]Grille_Tarifs_Modulable!$F$2:$F$204,0)),0)</f>
        <v>3257150100228</v>
      </c>
      <c r="L1965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21.488644000000001</v>
      </c>
      <c r="M1965" s="228">
        <f>IF(Tableau14[[#This Row],[Prix_Unit_HT]]=0,0,Tableau14[[#This Row],[Prix_Unit_HT]]+(Tableau14[[#This Row],[Prix_Unit_HT]]*VLOOKUP(Tableau14[[#This Row],[EAN]],[1]Grille_Tarifs_Modulable!$B$10:$Q$204,16,FALSE)))</f>
        <v>25.786372800000002</v>
      </c>
      <c r="N1965" s="224">
        <v>3</v>
      </c>
      <c r="O1965" s="224">
        <f>ROUND(Tableau14[[#This Row],[Prix_Unit_HT]],2)*Tableau14[[#This Row],[Qte_commande]]</f>
        <v>64.47</v>
      </c>
      <c r="P1965" s="224">
        <f>ROUND(Tableau14[[#This Row],[Prix_Unit_TTC]],2)*Tableau14[[#This Row],[Qte_commande]]</f>
        <v>77.37</v>
      </c>
      <c r="R1965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3.0000000000000004</v>
      </c>
    </row>
    <row r="1966" spans="1:18" ht="14.65" customHeight="1" x14ac:dyDescent="0.2">
      <c r="A1966" s="225">
        <v>43868</v>
      </c>
      <c r="B1966" s="224" t="s">
        <v>501</v>
      </c>
      <c r="C1966" s="224" t="s">
        <v>502</v>
      </c>
      <c r="D1966" s="224" t="s">
        <v>503</v>
      </c>
      <c r="E1966" s="226"/>
      <c r="F1966" s="224" t="s">
        <v>504</v>
      </c>
      <c r="G1966" s="224" t="s">
        <v>1</v>
      </c>
      <c r="H1966" s="224" t="s">
        <v>289</v>
      </c>
      <c r="I1966" s="224" t="s">
        <v>34</v>
      </c>
      <c r="J1966" s="224">
        <v>70</v>
      </c>
      <c r="K1966" s="227" cm="1">
        <f t="array" ref="K1966">IFERROR(INDEX([1]Grille_Tarifs_Modulable!$B$2:$B$204,MATCH(Tableau14[[#This Row],[Designation]]&amp;Tableau14[[#This Row],[CL]],[1]Grille_Tarifs_Modulable!$C$2:$C$204&amp;[1]Grille_Tarifs_Modulable!$F$2:$F$204,0)),0)</f>
        <v>3257150100167</v>
      </c>
      <c r="L1966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27.618644000000003</v>
      </c>
      <c r="M1966" s="228">
        <f>IF(Tableau14[[#This Row],[Prix_Unit_HT]]=0,0,Tableau14[[#This Row],[Prix_Unit_HT]]+(Tableau14[[#This Row],[Prix_Unit_HT]]*VLOOKUP(Tableau14[[#This Row],[EAN]],[1]Grille_Tarifs_Modulable!$B$10:$Q$204,16,FALSE)))</f>
        <v>33.142372800000004</v>
      </c>
      <c r="N1966" s="224">
        <v>12</v>
      </c>
      <c r="O1966" s="224">
        <f>ROUND(Tableau14[[#This Row],[Prix_Unit_HT]],2)*Tableau14[[#This Row],[Qte_commande]]</f>
        <v>331.44</v>
      </c>
      <c r="P1966" s="224">
        <f>ROUND(Tableau14[[#This Row],[Prix_Unit_TTC]],2)*Tableau14[[#This Row],[Qte_commande]]</f>
        <v>397.68</v>
      </c>
      <c r="R1966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12.000000000000002</v>
      </c>
    </row>
    <row r="1967" spans="1:18" ht="14.65" customHeight="1" x14ac:dyDescent="0.2">
      <c r="A1967" s="225">
        <v>43868</v>
      </c>
      <c r="B1967" s="224" t="s">
        <v>501</v>
      </c>
      <c r="C1967" s="224" t="s">
        <v>502</v>
      </c>
      <c r="D1967" s="224" t="s">
        <v>503</v>
      </c>
      <c r="E1967" s="226"/>
      <c r="F1967" s="224" t="s">
        <v>504</v>
      </c>
      <c r="G1967" s="224" t="s">
        <v>1</v>
      </c>
      <c r="H1967" s="224" t="s">
        <v>289</v>
      </c>
      <c r="I1967" s="224" t="s">
        <v>38</v>
      </c>
      <c r="J1967" s="224">
        <v>70</v>
      </c>
      <c r="K1967" s="227" cm="1">
        <f t="array" ref="K1967">IFERROR(INDEX([1]Grille_Tarifs_Modulable!$B$2:$B$204,MATCH(Tableau14[[#This Row],[Designation]]&amp;Tableau14[[#This Row],[CL]],[1]Grille_Tarifs_Modulable!$C$2:$C$204&amp;[1]Grille_Tarifs_Modulable!$F$2:$F$204,0)),0)</f>
        <v>3257150101300</v>
      </c>
      <c r="L1967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82.208643999999993</v>
      </c>
      <c r="M1967" s="228">
        <f>IF(Tableau14[[#This Row],[Prix_Unit_HT]]=0,0,Tableau14[[#This Row],[Prix_Unit_HT]]+(Tableau14[[#This Row],[Prix_Unit_HT]]*VLOOKUP(Tableau14[[#This Row],[EAN]],[1]Grille_Tarifs_Modulable!$B$10:$Q$204,16,FALSE)))</f>
        <v>98.650372799999985</v>
      </c>
      <c r="N1967" s="224">
        <v>3</v>
      </c>
      <c r="O1967" s="224">
        <f>ROUND(Tableau14[[#This Row],[Prix_Unit_HT]],2)*Tableau14[[#This Row],[Qte_commande]]</f>
        <v>246.63</v>
      </c>
      <c r="P1967" s="224">
        <f>ROUND(Tableau14[[#This Row],[Prix_Unit_TTC]],2)*Tableau14[[#This Row],[Qte_commande]]</f>
        <v>295.95000000000005</v>
      </c>
      <c r="R1967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3.0000000000000004</v>
      </c>
    </row>
    <row r="1968" spans="1:18" ht="14.65" customHeight="1" x14ac:dyDescent="0.2">
      <c r="A1968" s="225">
        <v>43868</v>
      </c>
      <c r="B1968" s="224" t="s">
        <v>501</v>
      </c>
      <c r="C1968" s="224" t="s">
        <v>502</v>
      </c>
      <c r="D1968" s="224" t="s">
        <v>503</v>
      </c>
      <c r="E1968" s="226"/>
      <c r="F1968" s="224" t="s">
        <v>504</v>
      </c>
      <c r="G1968" s="224" t="s">
        <v>1</v>
      </c>
      <c r="H1968" s="224" t="s">
        <v>289</v>
      </c>
      <c r="I1968" s="224" t="s">
        <v>49</v>
      </c>
      <c r="J1968" s="224">
        <v>70</v>
      </c>
      <c r="K1968" s="227" cm="1">
        <f t="array" ref="K1968">IFERROR(INDEX([1]Grille_Tarifs_Modulable!$B$2:$B$204,MATCH(Tableau14[[#This Row],[Designation]]&amp;Tableau14[[#This Row],[CL]],[1]Grille_Tarifs_Modulable!$C$2:$C$204&amp;[1]Grille_Tarifs_Modulable!$F$2:$F$204,0)),0)</f>
        <v>3257150673043</v>
      </c>
      <c r="L1968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19.934724499999998</v>
      </c>
      <c r="M1968" s="228">
        <f>IF(Tableau14[[#This Row],[Prix_Unit_HT]]=0,0,Tableau14[[#This Row],[Prix_Unit_HT]]+(Tableau14[[#This Row],[Prix_Unit_HT]]*VLOOKUP(Tableau14[[#This Row],[EAN]],[1]Grille_Tarifs_Modulable!$B$10:$Q$204,16,FALSE)))</f>
        <v>23.921669399999999</v>
      </c>
      <c r="N1968" s="224">
        <v>24</v>
      </c>
      <c r="O1968" s="224">
        <f>ROUND(Tableau14[[#This Row],[Prix_Unit_HT]],2)*Tableau14[[#This Row],[Qte_commande]]</f>
        <v>478.32</v>
      </c>
      <c r="P1968" s="224">
        <f>ROUND(Tableau14[[#This Row],[Prix_Unit_TTC]],2)*Tableau14[[#This Row],[Qte_commande]]</f>
        <v>574.08000000000004</v>
      </c>
      <c r="R1968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24.000000000000004</v>
      </c>
    </row>
    <row r="1969" spans="1:18" ht="14.65" customHeight="1" x14ac:dyDescent="0.2">
      <c r="A1969" s="225">
        <v>43868</v>
      </c>
      <c r="B1969" s="224" t="s">
        <v>501</v>
      </c>
      <c r="C1969" s="224" t="s">
        <v>502</v>
      </c>
      <c r="D1969" s="224" t="s">
        <v>503</v>
      </c>
      <c r="E1969" s="226"/>
      <c r="F1969" s="224" t="s">
        <v>504</v>
      </c>
      <c r="G1969" s="224" t="s">
        <v>1</v>
      </c>
      <c r="H1969" s="224" t="s">
        <v>289</v>
      </c>
      <c r="I1969" s="224" t="s">
        <v>44</v>
      </c>
      <c r="J1969" s="224">
        <v>50</v>
      </c>
      <c r="K1969" s="227" cm="1">
        <f t="array" ref="K1969">IFERROR(INDEX([1]Grille_Tarifs_Modulable!$B$2:$B$204,MATCH(Tableau14[[#This Row],[Designation]]&amp;Tableau14[[#This Row],[CL]],[1]Grille_Tarifs_Modulable!$C$2:$C$204&amp;[1]Grille_Tarifs_Modulable!$F$2:$F$204,0)),0)</f>
        <v>4260270192645</v>
      </c>
      <c r="L1969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25.192506000000002</v>
      </c>
      <c r="M1969" s="228">
        <f>IF(Tableau14[[#This Row],[Prix_Unit_HT]]=0,0,Tableau14[[#This Row],[Prix_Unit_HT]]+(Tableau14[[#This Row],[Prix_Unit_HT]]*VLOOKUP(Tableau14[[#This Row],[EAN]],[1]Grille_Tarifs_Modulable!$B$10:$Q$204,16,FALSE)))</f>
        <v>30.231007200000001</v>
      </c>
      <c r="N1969" s="224">
        <v>12</v>
      </c>
      <c r="O1969" s="224">
        <f>ROUND(Tableau14[[#This Row],[Prix_Unit_HT]],2)*Tableau14[[#This Row],[Qte_commande]]</f>
        <v>302.28000000000003</v>
      </c>
      <c r="P1969" s="224">
        <f>ROUND(Tableau14[[#This Row],[Prix_Unit_TTC]],2)*Tableau14[[#This Row],[Qte_commande]]</f>
        <v>362.76</v>
      </c>
      <c r="R1969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8.5714285714285712</v>
      </c>
    </row>
    <row r="1970" spans="1:18" ht="14.65" customHeight="1" x14ac:dyDescent="0.2">
      <c r="A1970" s="225">
        <v>43868</v>
      </c>
      <c r="B1970" s="224" t="s">
        <v>444</v>
      </c>
      <c r="C1970" s="224" t="s">
        <v>445</v>
      </c>
      <c r="D1970" s="224" t="s">
        <v>233</v>
      </c>
      <c r="E1970" s="226">
        <v>82145</v>
      </c>
      <c r="F1970" s="224" t="s">
        <v>260</v>
      </c>
      <c r="G1970" s="224" t="s">
        <v>13</v>
      </c>
      <c r="H1970" s="224" t="s">
        <v>289</v>
      </c>
      <c r="I1970" s="224" t="s">
        <v>44</v>
      </c>
      <c r="J1970" s="224">
        <v>50</v>
      </c>
      <c r="K1970" s="227" cm="1">
        <f t="array" ref="K1970">IFERROR(INDEX([1]Grille_Tarifs_Modulable!$B$2:$B$204,MATCH(Tableau14[[#This Row],[Designation]]&amp;Tableau14[[#This Row],[CL]],[1]Grille_Tarifs_Modulable!$C$2:$C$204&amp;[1]Grille_Tarifs_Modulable!$F$2:$F$204,0)),0)</f>
        <v>4260270192645</v>
      </c>
      <c r="L1970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28.052506000000001</v>
      </c>
      <c r="M1970" s="228">
        <f>IF(Tableau14[[#This Row],[Prix_Unit_HT]]=0,0,Tableau14[[#This Row],[Prix_Unit_HT]]+(Tableau14[[#This Row],[Prix_Unit_HT]]*VLOOKUP(Tableau14[[#This Row],[EAN]],[1]Grille_Tarifs_Modulable!$B$10:$Q$204,16,FALSE)))</f>
        <v>33.663007200000003</v>
      </c>
      <c r="N1970" s="224">
        <v>6</v>
      </c>
      <c r="O1970" s="224">
        <f>ROUND(Tableau14[[#This Row],[Prix_Unit_HT]],2)*Tableau14[[#This Row],[Qte_commande]]</f>
        <v>168.3</v>
      </c>
      <c r="P1970" s="224">
        <f>ROUND(Tableau14[[#This Row],[Prix_Unit_TTC]],2)*Tableau14[[#This Row],[Qte_commande]]</f>
        <v>201.95999999999998</v>
      </c>
      <c r="R1970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4.2857142857142856</v>
      </c>
    </row>
    <row r="1971" spans="1:18" ht="14.65" customHeight="1" x14ac:dyDescent="0.2">
      <c r="A1971" s="225">
        <v>43868</v>
      </c>
      <c r="B1971" s="224" t="s">
        <v>793</v>
      </c>
      <c r="C1971" s="224" t="s">
        <v>542</v>
      </c>
      <c r="D1971" s="224" t="s">
        <v>209</v>
      </c>
      <c r="E1971" s="226"/>
      <c r="F1971" s="224" t="s">
        <v>260</v>
      </c>
      <c r="G1971" s="224" t="s">
        <v>13</v>
      </c>
      <c r="H1971" s="224" t="s">
        <v>289</v>
      </c>
      <c r="I1971" s="224" t="s">
        <v>24</v>
      </c>
      <c r="J1971" s="224">
        <v>100</v>
      </c>
      <c r="K1971" s="227" cm="1">
        <f t="array" ref="K1971">IFERROR(INDEX([1]Grille_Tarifs_Modulable!$B$2:$B$204,MATCH(Tableau14[[#This Row],[Designation]]&amp;Tableau14[[#This Row],[CL]],[1]Grille_Tarifs_Modulable!$C$2:$C$204&amp;[1]Grille_Tarifs_Modulable!$F$2:$F$204,0)),0)</f>
        <v>3257150410068</v>
      </c>
      <c r="L1971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14.738873999999999</v>
      </c>
      <c r="M1971" s="228">
        <f>IF(Tableau14[[#This Row],[Prix_Unit_HT]]=0,0,Tableau14[[#This Row],[Prix_Unit_HT]]+(Tableau14[[#This Row],[Prix_Unit_HT]]*VLOOKUP(Tableau14[[#This Row],[EAN]],[1]Grille_Tarifs_Modulable!$B$10:$Q$204,16,FALSE)))</f>
        <v>17.6866488</v>
      </c>
      <c r="N1971" s="224">
        <v>36</v>
      </c>
      <c r="O1971" s="224">
        <f>ROUND(Tableau14[[#This Row],[Prix_Unit_HT]],2)*Tableau14[[#This Row],[Qte_commande]]</f>
        <v>530.64</v>
      </c>
      <c r="P1971" s="224">
        <f>ROUND(Tableau14[[#This Row],[Prix_Unit_TTC]],2)*Tableau14[[#This Row],[Qte_commande]]</f>
        <v>636.84</v>
      </c>
      <c r="R1971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51.428571428571431</v>
      </c>
    </row>
    <row r="1972" spans="1:18" ht="14.65" customHeight="1" x14ac:dyDescent="0.2">
      <c r="A1972" s="225">
        <v>43868</v>
      </c>
      <c r="B1972" s="224" t="s">
        <v>444</v>
      </c>
      <c r="C1972" s="224" t="s">
        <v>445</v>
      </c>
      <c r="D1972" s="224" t="s">
        <v>233</v>
      </c>
      <c r="E1972" s="226">
        <v>82145</v>
      </c>
      <c r="F1972" s="224" t="s">
        <v>260</v>
      </c>
      <c r="G1972" s="224" t="s">
        <v>13</v>
      </c>
      <c r="H1972" s="224" t="s">
        <v>196</v>
      </c>
      <c r="I1972" s="224" t="s">
        <v>64</v>
      </c>
      <c r="J1972" s="224">
        <v>20</v>
      </c>
      <c r="K1972" s="227" cm="1">
        <f t="array" ref="K1972">IFERROR(INDEX([1]Grille_Tarifs_Modulable!$B$2:$B$204,MATCH(Tableau14[[#This Row],[Designation]]&amp;Tableau14[[#This Row],[CL]],[1]Grille_Tarifs_Modulable!$C$2:$C$204&amp;[1]Grille_Tarifs_Modulable!$F$2:$F$204,0)),0)</f>
        <v>4260310553849</v>
      </c>
      <c r="L1972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0.89</v>
      </c>
      <c r="M1972" s="228">
        <f>IF(Tableau14[[#This Row],[Prix_Unit_HT]]=0,0,Tableau14[[#This Row],[Prix_Unit_HT]]+(Tableau14[[#This Row],[Prix_Unit_HT]]*VLOOKUP(Tableau14[[#This Row],[EAN]],[1]Grille_Tarifs_Modulable!$B$10:$Q$204,16,FALSE)))</f>
        <v>0.93895000000000006</v>
      </c>
      <c r="N1972" s="224">
        <v>24</v>
      </c>
      <c r="O1972" s="224">
        <f>ROUND(Tableau14[[#This Row],[Prix_Unit_HT]],2)*Tableau14[[#This Row],[Qte_commande]]</f>
        <v>21.36</v>
      </c>
      <c r="P1972" s="224">
        <f>ROUND(Tableau14[[#This Row],[Prix_Unit_TTC]],2)*Tableau14[[#This Row],[Qte_commande]]</f>
        <v>22.56</v>
      </c>
      <c r="R1972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6.8571428571428577</v>
      </c>
    </row>
    <row r="1973" spans="1:18" ht="14.65" customHeight="1" x14ac:dyDescent="0.2">
      <c r="A1973" s="225">
        <v>43868</v>
      </c>
      <c r="B1973" s="224" t="s">
        <v>444</v>
      </c>
      <c r="C1973" s="224" t="s">
        <v>445</v>
      </c>
      <c r="D1973" s="224" t="s">
        <v>233</v>
      </c>
      <c r="E1973" s="226">
        <v>82145</v>
      </c>
      <c r="F1973" s="224" t="s">
        <v>260</v>
      </c>
      <c r="G1973" s="224" t="s">
        <v>13</v>
      </c>
      <c r="H1973" s="224" t="s">
        <v>196</v>
      </c>
      <c r="I1973" s="224" t="s">
        <v>59</v>
      </c>
      <c r="J1973" s="224">
        <v>20</v>
      </c>
      <c r="K1973" s="227" cm="1">
        <f t="array" ref="K1973">IFERROR(INDEX([1]Grille_Tarifs_Modulable!$B$2:$B$204,MATCH(Tableau14[[#This Row],[Designation]]&amp;Tableau14[[#This Row],[CL]],[1]Grille_Tarifs_Modulable!$C$2:$C$204&amp;[1]Grille_Tarifs_Modulable!$F$2:$F$204,0)),0)</f>
        <v>4260310553818</v>
      </c>
      <c r="L1973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0.89</v>
      </c>
      <c r="M1973" s="228">
        <f>IF(Tableau14[[#This Row],[Prix_Unit_HT]]=0,0,Tableau14[[#This Row],[Prix_Unit_HT]]+(Tableau14[[#This Row],[Prix_Unit_HT]]*VLOOKUP(Tableau14[[#This Row],[EAN]],[1]Grille_Tarifs_Modulable!$B$10:$Q$204,16,FALSE)))</f>
        <v>0.93895000000000006</v>
      </c>
      <c r="N1973" s="224">
        <v>24</v>
      </c>
      <c r="O1973" s="224">
        <f>ROUND(Tableau14[[#This Row],[Prix_Unit_HT]],2)*Tableau14[[#This Row],[Qte_commande]]</f>
        <v>21.36</v>
      </c>
      <c r="P1973" s="224">
        <f>ROUND(Tableau14[[#This Row],[Prix_Unit_TTC]],2)*Tableau14[[#This Row],[Qte_commande]]</f>
        <v>22.56</v>
      </c>
      <c r="R1973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6.8571428571428577</v>
      </c>
    </row>
    <row r="1974" spans="1:18" ht="14.65" customHeight="1" x14ac:dyDescent="0.2">
      <c r="A1974" s="225">
        <v>43871</v>
      </c>
      <c r="B1974" s="224">
        <v>79855</v>
      </c>
      <c r="C1974" s="224" t="s">
        <v>1244</v>
      </c>
      <c r="D1974" s="224" t="s">
        <v>1245</v>
      </c>
      <c r="E1974" s="226">
        <v>89998</v>
      </c>
      <c r="F1974" s="224" t="s">
        <v>992</v>
      </c>
      <c r="G1974" s="224" t="s">
        <v>13</v>
      </c>
      <c r="H1974" s="224" t="s">
        <v>451</v>
      </c>
      <c r="I1974" s="224" t="s">
        <v>69</v>
      </c>
      <c r="J1974" s="224">
        <v>3</v>
      </c>
      <c r="K1974" s="227" cm="1">
        <f t="array" ref="K1974">IFERROR(INDEX([1]Grille_Tarifs_Modulable!$B$2:$B$204,MATCH(Tableau14[[#This Row],[Designation]]&amp;Tableau14[[#This Row],[CL]],[1]Grille_Tarifs_Modulable!$C$2:$C$204&amp;[1]Grille_Tarifs_Modulable!$F$2:$F$204,0)),0)</f>
        <v>121</v>
      </c>
      <c r="L1974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299</v>
      </c>
      <c r="M1974" s="228">
        <f>IF(Tableau14[[#This Row],[Prix_Unit_HT]]=0,0,Tableau14[[#This Row],[Prix_Unit_HT]]+(Tableau14[[#This Row],[Prix_Unit_HT]]*VLOOKUP(Tableau14[[#This Row],[EAN]],[1]Grille_Tarifs_Modulable!$B$10:$Q$204,16,FALSE)))</f>
        <v>358.8</v>
      </c>
      <c r="N1974" s="224">
        <v>1</v>
      </c>
      <c r="O1974" s="224">
        <f>ROUND(Tableau14[[#This Row],[Prix_Unit_HT]],2)*Tableau14[[#This Row],[Qte_commande]]</f>
        <v>299</v>
      </c>
      <c r="P1974" s="224">
        <f>ROUND(Tableau14[[#This Row],[Prix_Unit_TTC]],2)*Tableau14[[#This Row],[Qte_commande]]</f>
        <v>358.8</v>
      </c>
      <c r="R1974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</v>
      </c>
    </row>
    <row r="1975" spans="1:18" ht="14.65" customHeight="1" x14ac:dyDescent="0.2">
      <c r="A1975" s="225">
        <v>43871</v>
      </c>
      <c r="B1975" s="224">
        <v>79850</v>
      </c>
      <c r="C1975" s="224" t="s">
        <v>1246</v>
      </c>
      <c r="D1975" s="224" t="s">
        <v>343</v>
      </c>
      <c r="E1975" s="226">
        <v>90001</v>
      </c>
      <c r="F1975" s="224" t="s">
        <v>992</v>
      </c>
      <c r="G1975" s="224" t="s">
        <v>13</v>
      </c>
      <c r="H1975" s="224" t="s">
        <v>451</v>
      </c>
      <c r="I1975" s="224" t="s">
        <v>69</v>
      </c>
      <c r="J1975" s="224">
        <v>3</v>
      </c>
      <c r="K1975" s="227" cm="1">
        <f t="array" ref="K1975">IFERROR(INDEX([1]Grille_Tarifs_Modulable!$B$2:$B$204,MATCH(Tableau14[[#This Row],[Designation]]&amp;Tableau14[[#This Row],[CL]],[1]Grille_Tarifs_Modulable!$C$2:$C$204&amp;[1]Grille_Tarifs_Modulable!$F$2:$F$204,0)),0)</f>
        <v>121</v>
      </c>
      <c r="L1975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299</v>
      </c>
      <c r="M1975" s="228">
        <f>IF(Tableau14[[#This Row],[Prix_Unit_HT]]=0,0,Tableau14[[#This Row],[Prix_Unit_HT]]+(Tableau14[[#This Row],[Prix_Unit_HT]]*VLOOKUP(Tableau14[[#This Row],[EAN]],[1]Grille_Tarifs_Modulable!$B$10:$Q$204,16,FALSE)))</f>
        <v>358.8</v>
      </c>
      <c r="N1975" s="224">
        <v>1</v>
      </c>
      <c r="O1975" s="224">
        <f>ROUND(Tableau14[[#This Row],[Prix_Unit_HT]],2)*Tableau14[[#This Row],[Qte_commande]]</f>
        <v>299</v>
      </c>
      <c r="P1975" s="224">
        <f>ROUND(Tableau14[[#This Row],[Prix_Unit_TTC]],2)*Tableau14[[#This Row],[Qte_commande]]</f>
        <v>358.8</v>
      </c>
      <c r="R1975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</v>
      </c>
    </row>
    <row r="1976" spans="1:18" ht="14.65" customHeight="1" x14ac:dyDescent="0.2">
      <c r="A1976" s="225">
        <v>43871</v>
      </c>
      <c r="B1976" s="224">
        <v>79857</v>
      </c>
      <c r="C1976" s="224" t="s">
        <v>1247</v>
      </c>
      <c r="D1976" s="224" t="s">
        <v>1248</v>
      </c>
      <c r="E1976" s="226">
        <v>89177</v>
      </c>
      <c r="F1976" s="224" t="s">
        <v>260</v>
      </c>
      <c r="G1976" s="224" t="s">
        <v>13</v>
      </c>
      <c r="H1976" s="224" t="s">
        <v>451</v>
      </c>
      <c r="I1976" s="224" t="s">
        <v>69</v>
      </c>
      <c r="J1976" s="224">
        <v>3</v>
      </c>
      <c r="K1976" s="227" cm="1">
        <f t="array" ref="K1976">IFERROR(INDEX([1]Grille_Tarifs_Modulable!$B$2:$B$204,MATCH(Tableau14[[#This Row],[Designation]]&amp;Tableau14[[#This Row],[CL]],[1]Grille_Tarifs_Modulable!$C$2:$C$204&amp;[1]Grille_Tarifs_Modulable!$F$2:$F$204,0)),0)</f>
        <v>121</v>
      </c>
      <c r="L1976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299</v>
      </c>
      <c r="M1976" s="228">
        <f>IF(Tableau14[[#This Row],[Prix_Unit_HT]]=0,0,Tableau14[[#This Row],[Prix_Unit_HT]]+(Tableau14[[#This Row],[Prix_Unit_HT]]*VLOOKUP(Tableau14[[#This Row],[EAN]],[1]Grille_Tarifs_Modulable!$B$10:$Q$204,16,FALSE)))</f>
        <v>358.8</v>
      </c>
      <c r="N1976" s="224">
        <v>1</v>
      </c>
      <c r="O1976" s="224">
        <f>ROUND(Tableau14[[#This Row],[Prix_Unit_HT]],2)*Tableau14[[#This Row],[Qte_commande]]</f>
        <v>299</v>
      </c>
      <c r="P1976" s="224">
        <f>ROUND(Tableau14[[#This Row],[Prix_Unit_TTC]],2)*Tableau14[[#This Row],[Qte_commande]]</f>
        <v>358.8</v>
      </c>
      <c r="R1976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1</v>
      </c>
    </row>
    <row r="1977" spans="1:18" ht="14.65" customHeight="1" x14ac:dyDescent="0.2">
      <c r="A1977" s="225">
        <v>43876</v>
      </c>
      <c r="B1977" s="224" t="s">
        <v>878</v>
      </c>
      <c r="C1977" s="224" t="s">
        <v>770</v>
      </c>
      <c r="D1977" s="224" t="s">
        <v>437</v>
      </c>
      <c r="E1977" s="226">
        <v>88069</v>
      </c>
      <c r="F1977" s="224" t="s">
        <v>260</v>
      </c>
      <c r="G1977" s="224" t="s">
        <v>13</v>
      </c>
      <c r="H1977" s="224" t="s">
        <v>289</v>
      </c>
      <c r="I1977" s="224" t="s">
        <v>32</v>
      </c>
      <c r="J1977" s="224">
        <v>70</v>
      </c>
      <c r="K1977" s="227" cm="1">
        <f t="array" ref="K1977">IFERROR(INDEX([1]Grille_Tarifs_Modulable!$B$2:$B$204,MATCH(Tableau14[[#This Row],[Designation]]&amp;Tableau14[[#This Row],[CL]],[1]Grille_Tarifs_Modulable!$C$2:$C$204&amp;[1]Grille_Tarifs_Modulable!$F$2:$F$204,0)),0)</f>
        <v>3257150100228</v>
      </c>
      <c r="L1977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21.488644000000001</v>
      </c>
      <c r="M1977" s="228">
        <f>IF(Tableau14[[#This Row],[Prix_Unit_HT]]=0,0,Tableau14[[#This Row],[Prix_Unit_HT]]+(Tableau14[[#This Row],[Prix_Unit_HT]]*VLOOKUP(Tableau14[[#This Row],[EAN]],[1]Grille_Tarifs_Modulable!$B$10:$Q$204,16,FALSE)))</f>
        <v>25.786372800000002</v>
      </c>
      <c r="N1977" s="224">
        <v>6</v>
      </c>
      <c r="O1977" s="224">
        <f>ROUND(Tableau14[[#This Row],[Prix_Unit_HT]],2)*Tableau14[[#This Row],[Qte_commande]]</f>
        <v>128.94</v>
      </c>
      <c r="P1977" s="224">
        <f>ROUND(Tableau14[[#This Row],[Prix_Unit_TTC]],2)*Tableau14[[#This Row],[Qte_commande]]</f>
        <v>154.74</v>
      </c>
      <c r="R1977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6.0000000000000009</v>
      </c>
    </row>
    <row r="1978" spans="1:18" ht="14.65" customHeight="1" x14ac:dyDescent="0.2">
      <c r="A1978" s="225">
        <v>43876</v>
      </c>
      <c r="B1978" s="224" t="s">
        <v>878</v>
      </c>
      <c r="C1978" s="224" t="s">
        <v>770</v>
      </c>
      <c r="D1978" s="224" t="s">
        <v>437</v>
      </c>
      <c r="E1978" s="226">
        <v>88069</v>
      </c>
      <c r="F1978" s="224" t="s">
        <v>260</v>
      </c>
      <c r="G1978" s="224" t="s">
        <v>13</v>
      </c>
      <c r="H1978" s="224" t="s">
        <v>289</v>
      </c>
      <c r="I1978" s="224" t="s">
        <v>44</v>
      </c>
      <c r="J1978" s="224">
        <v>50</v>
      </c>
      <c r="K1978" s="227" cm="1">
        <f t="array" ref="K1978">IFERROR(INDEX([1]Grille_Tarifs_Modulable!$B$2:$B$204,MATCH(Tableau14[[#This Row],[Designation]]&amp;Tableau14[[#This Row],[CL]],[1]Grille_Tarifs_Modulable!$C$2:$C$204&amp;[1]Grille_Tarifs_Modulable!$F$2:$F$204,0)),0)</f>
        <v>4260270192645</v>
      </c>
      <c r="L1978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28.052506000000001</v>
      </c>
      <c r="M1978" s="228">
        <f>IF(Tableau14[[#This Row],[Prix_Unit_HT]]=0,0,Tableau14[[#This Row],[Prix_Unit_HT]]+(Tableau14[[#This Row],[Prix_Unit_HT]]*VLOOKUP(Tableau14[[#This Row],[EAN]],[1]Grille_Tarifs_Modulable!$B$10:$Q$204,16,FALSE)))</f>
        <v>33.663007200000003</v>
      </c>
      <c r="N1978" s="224">
        <v>6</v>
      </c>
      <c r="O1978" s="224">
        <f>ROUND(Tableau14[[#This Row],[Prix_Unit_HT]],2)*Tableau14[[#This Row],[Qte_commande]]</f>
        <v>168.3</v>
      </c>
      <c r="P1978" s="224">
        <f>ROUND(Tableau14[[#This Row],[Prix_Unit_TTC]],2)*Tableau14[[#This Row],[Qte_commande]]</f>
        <v>201.95999999999998</v>
      </c>
      <c r="R1978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4.2857142857142856</v>
      </c>
    </row>
    <row r="1979" spans="1:18" ht="14.65" customHeight="1" x14ac:dyDescent="0.2">
      <c r="A1979" s="225"/>
      <c r="B1979" s="230"/>
      <c r="C1979" s="224" t="s">
        <v>502</v>
      </c>
      <c r="E1979" s="226"/>
      <c r="G1979" s="224"/>
      <c r="H1979" s="224"/>
      <c r="J1979" s="224"/>
      <c r="K1979" s="227" cm="1">
        <f t="array" ref="K1979">IFERROR(INDEX([1]Grille_Tarifs_Modulable!$B$2:$B$204,MATCH(Tableau14[[#This Row],[Designation]]&amp;Tableau14[[#This Row],[CL]],[1]Grille_Tarifs_Modulable!$C$2:$C$204&amp;[1]Grille_Tarifs_Modulable!$F$2:$F$204,0)),0)</f>
        <v>0</v>
      </c>
      <c r="L1979" s="228">
        <f>IF(Tableau14[[#This Row],[EAN]]=0,0,INDEX([1]Grille_Tarifs_Modulable!$B$7:$N$114,MATCH(Tableau14[[#This Row],[EAN]],[1]Grille_Tarifs_Modulable!$B$7:$B$114,0),MATCH(Tableau14[[#This Row],[Tarificat° client]],[1]Grille_Tarifs_Modulable!$7:$7,0)-1)+INDEX([1]Grille_Tarifs_Modulable!$M$7:$N$114,MATCH(Tableau14[[#This Row],[EAN]],[1]Grille_Tarifs_Modulable!$B$7:$B$114,0),1)+INDEX([1]Grille_Tarifs_Modulable!$M$7:$N$114,MATCH(Tableau14[[#This Row],[EAN]],[1]Grille_Tarifs_Modulable!$B$7:$B$114,0),2))</f>
        <v>0</v>
      </c>
      <c r="M1979" s="228">
        <f>IF(Tableau14[[#This Row],[Prix_Unit_HT]]=0,0,Tableau14[[#This Row],[Prix_Unit_HT]]+(Tableau14[[#This Row],[Prix_Unit_HT]]*VLOOKUP(Tableau14[[#This Row],[EAN]],[1]Grille_Tarifs_Modulable!$B$10:$Q$204,16,FALSE)))</f>
        <v>0</v>
      </c>
      <c r="O1979" s="230">
        <f>ROUND(Tableau14[[#This Row],[Prix_Unit_HT]],2)*Tableau14[[#This Row],[Qte_commande]]</f>
        <v>0</v>
      </c>
      <c r="P1979" s="230">
        <f>ROUND(Tableau14[[#This Row],[Prix_Unit_TTC]],2)*Tableau14[[#This Row],[Qte_commande]]</f>
        <v>0</v>
      </c>
      <c r="R1979" s="228">
        <f>VALUE(IF(COUNTIF(Tableau14[[#This Row],[Type_Produit]],"*Boisson*"),PRODUCT(Tableau14[[#This Row],[CL]],Tableau14[[#This Row],[Qte_commande]])/100/0.7,IF(COUNTIF(Tableau14[[#This Row],[Type_Produit]],"*JGR*"),Tableau14[[#This Row],[Qte_commande]],0)))</f>
        <v>0</v>
      </c>
    </row>
    <row r="1980" spans="1:18" ht="14.65" customHeight="1" x14ac:dyDescent="0.2">
      <c r="B1980" s="225"/>
    </row>
    <row r="1981" spans="1:18" ht="14.65" customHeight="1" x14ac:dyDescent="0.2">
      <c r="B1981" s="225"/>
    </row>
    <row r="1982" spans="1:18" ht="14.65" customHeight="1" x14ac:dyDescent="0.2">
      <c r="B1982" s="225"/>
    </row>
    <row r="1983" spans="1:18" ht="14.65" customHeight="1" x14ac:dyDescent="0.2">
      <c r="B1983" s="225"/>
    </row>
    <row r="1984" spans="1:18" ht="14.65" customHeight="1" x14ac:dyDescent="0.2">
      <c r="B1984" s="225"/>
    </row>
    <row r="1985" spans="2:2" ht="14.65" customHeight="1" x14ac:dyDescent="0.2">
      <c r="B1985" s="225"/>
    </row>
    <row r="1986" spans="2:2" ht="14.65" customHeight="1" x14ac:dyDescent="0.2">
      <c r="B1986" s="225"/>
    </row>
    <row r="1987" spans="2:2" ht="14.65" customHeight="1" x14ac:dyDescent="0.2">
      <c r="B1987" s="225"/>
    </row>
    <row r="1988" spans="2:2" ht="14.65" customHeight="1" x14ac:dyDescent="0.2">
      <c r="B1988" s="225"/>
    </row>
    <row r="1989" spans="2:2" ht="14.65" customHeight="1" x14ac:dyDescent="0.2">
      <c r="B1989" s="225"/>
    </row>
    <row r="1990" spans="2:2" ht="14.65" customHeight="1" x14ac:dyDescent="0.2">
      <c r="B1990" s="225"/>
    </row>
    <row r="1991" spans="2:2" ht="14.65" customHeight="1" x14ac:dyDescent="0.2">
      <c r="B1991" s="225"/>
    </row>
    <row r="1992" spans="2:2" ht="14.65" customHeight="1" x14ac:dyDescent="0.2">
      <c r="B1992" s="225"/>
    </row>
    <row r="1993" spans="2:2" ht="14.65" customHeight="1" x14ac:dyDescent="0.2">
      <c r="B1993" s="225"/>
    </row>
    <row r="1994" spans="2:2" ht="14.65" customHeight="1" x14ac:dyDescent="0.2">
      <c r="B1994" s="225"/>
    </row>
    <row r="1995" spans="2:2" ht="14.65" customHeight="1" x14ac:dyDescent="0.2">
      <c r="B1995" s="225"/>
    </row>
    <row r="1996" spans="2:2" ht="14.65" customHeight="1" x14ac:dyDescent="0.2">
      <c r="B1996" s="225"/>
    </row>
    <row r="1997" spans="2:2" ht="14.65" customHeight="1" x14ac:dyDescent="0.2">
      <c r="B1997" s="225"/>
    </row>
    <row r="1998" spans="2:2" ht="14.65" customHeight="1" x14ac:dyDescent="0.2">
      <c r="B1998" s="225"/>
    </row>
    <row r="1999" spans="2:2" ht="14.65" customHeight="1" x14ac:dyDescent="0.2">
      <c r="B1999" s="225"/>
    </row>
    <row r="2000" spans="2:2" ht="14.65" customHeight="1" x14ac:dyDescent="0.2">
      <c r="B2000" s="225"/>
    </row>
    <row r="2001" spans="2:2" ht="14.65" customHeight="1" x14ac:dyDescent="0.2">
      <c r="B2001" s="225"/>
    </row>
    <row r="2002" spans="2:2" ht="14.65" customHeight="1" x14ac:dyDescent="0.2">
      <c r="B2002" s="225"/>
    </row>
    <row r="2003" spans="2:2" ht="14.65" customHeight="1" x14ac:dyDescent="0.2">
      <c r="B2003" s="225"/>
    </row>
    <row r="2004" spans="2:2" ht="14.65" customHeight="1" x14ac:dyDescent="0.2">
      <c r="B2004" s="225"/>
    </row>
    <row r="2005" spans="2:2" ht="14.65" customHeight="1" x14ac:dyDescent="0.2">
      <c r="B2005" s="225"/>
    </row>
    <row r="2006" spans="2:2" ht="14.65" customHeight="1" x14ac:dyDescent="0.2">
      <c r="B2006" s="225"/>
    </row>
    <row r="2007" spans="2:2" ht="14.65" customHeight="1" x14ac:dyDescent="0.2">
      <c r="B2007" s="225"/>
    </row>
    <row r="2008" spans="2:2" ht="14.65" customHeight="1" x14ac:dyDescent="0.2">
      <c r="B2008" s="225"/>
    </row>
    <row r="2009" spans="2:2" ht="14.65" customHeight="1" x14ac:dyDescent="0.2">
      <c r="B2009" s="225"/>
    </row>
    <row r="2010" spans="2:2" ht="14.65" customHeight="1" x14ac:dyDescent="0.2">
      <c r="B2010" s="225"/>
    </row>
    <row r="2011" spans="2:2" ht="14.65" customHeight="1" x14ac:dyDescent="0.2">
      <c r="B2011" s="225"/>
    </row>
    <row r="2012" spans="2:2" ht="14.65" customHeight="1" x14ac:dyDescent="0.2">
      <c r="B2012" s="225"/>
    </row>
    <row r="2013" spans="2:2" ht="14.65" customHeight="1" x14ac:dyDescent="0.2">
      <c r="B2013" s="225"/>
    </row>
    <row r="2014" spans="2:2" ht="14.65" customHeight="1" x14ac:dyDescent="0.2">
      <c r="B2014" s="225"/>
    </row>
    <row r="2015" spans="2:2" ht="14.65" customHeight="1" x14ac:dyDescent="0.2">
      <c r="B2015" s="225"/>
    </row>
    <row r="2016" spans="2:2" ht="14.65" customHeight="1" x14ac:dyDescent="0.2">
      <c r="B2016" s="225"/>
    </row>
    <row r="2017" spans="2:2" ht="14.65" customHeight="1" x14ac:dyDescent="0.2">
      <c r="B2017" s="225"/>
    </row>
    <row r="2018" spans="2:2" ht="14.65" customHeight="1" x14ac:dyDescent="0.2">
      <c r="B2018" s="225"/>
    </row>
    <row r="2019" spans="2:2" ht="14.65" customHeight="1" x14ac:dyDescent="0.2">
      <c r="B2019" s="225"/>
    </row>
    <row r="2020" spans="2:2" ht="14.65" customHeight="1" x14ac:dyDescent="0.2">
      <c r="B2020" s="225"/>
    </row>
    <row r="2021" spans="2:2" ht="14.65" customHeight="1" x14ac:dyDescent="0.2">
      <c r="B2021" s="225"/>
    </row>
    <row r="2022" spans="2:2" ht="14.65" customHeight="1" x14ac:dyDescent="0.2">
      <c r="B2022" s="225"/>
    </row>
    <row r="2023" spans="2:2" ht="14.65" customHeight="1" x14ac:dyDescent="0.2">
      <c r="B2023" s="225"/>
    </row>
    <row r="2024" spans="2:2" ht="14.65" customHeight="1" x14ac:dyDescent="0.2">
      <c r="B2024" s="225"/>
    </row>
    <row r="2025" spans="2:2" ht="14.65" customHeight="1" x14ac:dyDescent="0.2">
      <c r="B2025" s="225"/>
    </row>
    <row r="2026" spans="2:2" ht="14.65" customHeight="1" x14ac:dyDescent="0.2">
      <c r="B2026" s="225"/>
    </row>
    <row r="2027" spans="2:2" ht="14.65" customHeight="1" x14ac:dyDescent="0.2">
      <c r="B2027" s="225"/>
    </row>
    <row r="2028" spans="2:2" ht="14.65" customHeight="1" x14ac:dyDescent="0.2">
      <c r="B2028" s="225"/>
    </row>
    <row r="2029" spans="2:2" ht="14.65" customHeight="1" x14ac:dyDescent="0.2">
      <c r="B2029" s="225"/>
    </row>
    <row r="2030" spans="2:2" ht="14.65" customHeight="1" x14ac:dyDescent="0.2">
      <c r="B2030" s="225"/>
    </row>
    <row r="2031" spans="2:2" ht="14.65" customHeight="1" x14ac:dyDescent="0.2">
      <c r="B2031" s="225"/>
    </row>
    <row r="2032" spans="2:2" ht="14.65" customHeight="1" x14ac:dyDescent="0.2">
      <c r="B2032" s="225"/>
    </row>
    <row r="2033" spans="2:2" ht="14.65" customHeight="1" x14ac:dyDescent="0.2">
      <c r="B2033" s="225"/>
    </row>
    <row r="2034" spans="2:2" ht="14.65" customHeight="1" x14ac:dyDescent="0.2">
      <c r="B2034" s="225"/>
    </row>
    <row r="2035" spans="2:2" ht="14.65" customHeight="1" x14ac:dyDescent="0.2">
      <c r="B2035" s="225"/>
    </row>
    <row r="2036" spans="2:2" ht="14.65" customHeight="1" x14ac:dyDescent="0.2">
      <c r="B2036" s="225"/>
    </row>
    <row r="2037" spans="2:2" ht="14.65" customHeight="1" x14ac:dyDescent="0.2">
      <c r="B2037" s="225"/>
    </row>
    <row r="2038" spans="2:2" ht="14.65" customHeight="1" x14ac:dyDescent="0.2">
      <c r="B2038" s="225"/>
    </row>
    <row r="2039" spans="2:2" ht="14.65" customHeight="1" x14ac:dyDescent="0.2">
      <c r="B2039" s="225"/>
    </row>
    <row r="2040" spans="2:2" ht="14.65" customHeight="1" x14ac:dyDescent="0.2">
      <c r="B2040" s="225"/>
    </row>
    <row r="2041" spans="2:2" ht="14.65" customHeight="1" x14ac:dyDescent="0.2">
      <c r="B2041" s="225"/>
    </row>
    <row r="2042" spans="2:2" ht="14.65" customHeight="1" x14ac:dyDescent="0.2">
      <c r="B2042" s="225"/>
    </row>
    <row r="2043" spans="2:2" ht="14.65" customHeight="1" x14ac:dyDescent="0.2">
      <c r="B2043" s="225"/>
    </row>
    <row r="2044" spans="2:2" ht="14.65" customHeight="1" x14ac:dyDescent="0.2">
      <c r="B2044" s="225"/>
    </row>
    <row r="2045" spans="2:2" ht="14.65" customHeight="1" x14ac:dyDescent="0.2">
      <c r="B2045" s="225"/>
    </row>
    <row r="2046" spans="2:2" ht="14.65" customHeight="1" x14ac:dyDescent="0.2">
      <c r="B2046" s="225"/>
    </row>
    <row r="2047" spans="2:2" ht="14.65" customHeight="1" x14ac:dyDescent="0.2">
      <c r="B2047" s="225"/>
    </row>
    <row r="2048" spans="2:2" ht="14.65" customHeight="1" x14ac:dyDescent="0.2">
      <c r="B2048" s="225"/>
    </row>
    <row r="2049" spans="2:2" ht="14.65" customHeight="1" x14ac:dyDescent="0.2">
      <c r="B2049" s="225"/>
    </row>
    <row r="2050" spans="2:2" ht="14.65" customHeight="1" x14ac:dyDescent="0.2">
      <c r="B2050" s="225"/>
    </row>
    <row r="2051" spans="2:2" ht="14.65" customHeight="1" x14ac:dyDescent="0.2">
      <c r="B2051" s="225"/>
    </row>
    <row r="2052" spans="2:2" ht="14.65" customHeight="1" x14ac:dyDescent="0.2">
      <c r="B2052" s="225"/>
    </row>
    <row r="2053" spans="2:2" ht="14.65" customHeight="1" x14ac:dyDescent="0.2">
      <c r="B2053" s="225"/>
    </row>
    <row r="2054" spans="2:2" ht="14.65" customHeight="1" x14ac:dyDescent="0.2">
      <c r="B2054" s="225"/>
    </row>
    <row r="2055" spans="2:2" ht="14.65" customHeight="1" x14ac:dyDescent="0.2">
      <c r="B2055" s="225"/>
    </row>
    <row r="2056" spans="2:2" ht="14.65" customHeight="1" x14ac:dyDescent="0.2">
      <c r="B2056" s="225"/>
    </row>
    <row r="2057" spans="2:2" ht="14.65" customHeight="1" x14ac:dyDescent="0.2">
      <c r="B2057" s="225"/>
    </row>
    <row r="2058" spans="2:2" ht="14.65" customHeight="1" x14ac:dyDescent="0.2">
      <c r="B2058" s="225"/>
    </row>
    <row r="2059" spans="2:2" ht="14.65" customHeight="1" x14ac:dyDescent="0.2">
      <c r="B2059" s="225"/>
    </row>
    <row r="2060" spans="2:2" ht="14.65" customHeight="1" x14ac:dyDescent="0.2">
      <c r="B2060" s="225"/>
    </row>
    <row r="2061" spans="2:2" ht="14.65" customHeight="1" x14ac:dyDescent="0.2">
      <c r="B2061" s="225"/>
    </row>
    <row r="2062" spans="2:2" ht="14.65" customHeight="1" x14ac:dyDescent="0.2">
      <c r="B2062" s="225"/>
    </row>
    <row r="2063" spans="2:2" ht="14.65" customHeight="1" x14ac:dyDescent="0.2">
      <c r="B2063" s="225"/>
    </row>
    <row r="2064" spans="2:2" ht="14.65" customHeight="1" x14ac:dyDescent="0.2">
      <c r="B2064" s="225"/>
    </row>
    <row r="2065" spans="2:2" ht="14.65" customHeight="1" x14ac:dyDescent="0.2">
      <c r="B2065" s="225"/>
    </row>
    <row r="2066" spans="2:2" ht="14.65" customHeight="1" x14ac:dyDescent="0.2">
      <c r="B2066" s="225"/>
    </row>
    <row r="2067" spans="2:2" ht="14.65" customHeight="1" x14ac:dyDescent="0.2">
      <c r="B2067" s="225"/>
    </row>
    <row r="2068" spans="2:2" ht="14.65" customHeight="1" x14ac:dyDescent="0.2">
      <c r="B2068" s="225"/>
    </row>
    <row r="2069" spans="2:2" ht="14.65" customHeight="1" x14ac:dyDescent="0.2">
      <c r="B2069" s="225"/>
    </row>
    <row r="2070" spans="2:2" ht="14.65" customHeight="1" x14ac:dyDescent="0.2">
      <c r="B2070" s="225"/>
    </row>
    <row r="2071" spans="2:2" ht="14.65" customHeight="1" x14ac:dyDescent="0.2">
      <c r="B2071" s="225"/>
    </row>
    <row r="2072" spans="2:2" ht="14.65" customHeight="1" x14ac:dyDescent="0.2">
      <c r="B2072" s="225"/>
    </row>
    <row r="2073" spans="2:2" ht="14.65" customHeight="1" x14ac:dyDescent="0.2">
      <c r="B2073" s="225"/>
    </row>
    <row r="2074" spans="2:2" ht="14.65" customHeight="1" x14ac:dyDescent="0.2">
      <c r="B2074" s="225"/>
    </row>
    <row r="2075" spans="2:2" ht="14.65" customHeight="1" x14ac:dyDescent="0.2">
      <c r="B2075" s="225"/>
    </row>
    <row r="2076" spans="2:2" ht="14.65" customHeight="1" x14ac:dyDescent="0.2">
      <c r="B2076" s="225"/>
    </row>
    <row r="2077" spans="2:2" ht="14.65" customHeight="1" x14ac:dyDescent="0.2">
      <c r="B2077" s="225"/>
    </row>
    <row r="2078" spans="2:2" ht="14.65" customHeight="1" x14ac:dyDescent="0.2">
      <c r="B2078" s="225"/>
    </row>
    <row r="2079" spans="2:2" ht="14.65" customHeight="1" x14ac:dyDescent="0.2">
      <c r="B2079" s="225"/>
    </row>
    <row r="2080" spans="2:2" ht="14.65" customHeight="1" x14ac:dyDescent="0.2">
      <c r="B2080" s="225"/>
    </row>
    <row r="2081" spans="2:2" ht="14.65" customHeight="1" x14ac:dyDescent="0.2">
      <c r="B2081" s="225"/>
    </row>
    <row r="2082" spans="2:2" ht="14.65" customHeight="1" x14ac:dyDescent="0.2">
      <c r="B2082" s="225"/>
    </row>
    <row r="2083" spans="2:2" ht="14.65" customHeight="1" x14ac:dyDescent="0.2">
      <c r="B2083" s="225"/>
    </row>
    <row r="2084" spans="2:2" ht="14.65" customHeight="1" x14ac:dyDescent="0.2">
      <c r="B2084" s="225"/>
    </row>
    <row r="2085" spans="2:2" ht="14.65" customHeight="1" x14ac:dyDescent="0.2">
      <c r="B2085" s="225"/>
    </row>
    <row r="2086" spans="2:2" ht="14.65" customHeight="1" x14ac:dyDescent="0.2">
      <c r="B2086" s="225"/>
    </row>
    <row r="2087" spans="2:2" ht="14.65" customHeight="1" x14ac:dyDescent="0.2">
      <c r="B2087" s="225"/>
    </row>
    <row r="2088" spans="2:2" ht="14.65" customHeight="1" x14ac:dyDescent="0.2">
      <c r="B2088" s="225"/>
    </row>
    <row r="2089" spans="2:2" ht="14.65" customHeight="1" x14ac:dyDescent="0.2">
      <c r="B2089" s="225"/>
    </row>
    <row r="2090" spans="2:2" ht="14.65" customHeight="1" x14ac:dyDescent="0.2">
      <c r="B2090" s="225"/>
    </row>
    <row r="2091" spans="2:2" ht="14.65" customHeight="1" x14ac:dyDescent="0.2">
      <c r="B2091" s="225"/>
    </row>
    <row r="2092" spans="2:2" ht="14.65" customHeight="1" x14ac:dyDescent="0.2">
      <c r="B2092" s="225"/>
    </row>
    <row r="2093" spans="2:2" ht="14.65" customHeight="1" x14ac:dyDescent="0.2">
      <c r="B2093" s="225"/>
    </row>
    <row r="2094" spans="2:2" ht="14.65" customHeight="1" x14ac:dyDescent="0.2">
      <c r="B2094" s="225"/>
    </row>
    <row r="2095" spans="2:2" ht="14.65" customHeight="1" x14ac:dyDescent="0.2">
      <c r="B2095" s="225"/>
    </row>
    <row r="2096" spans="2:2" ht="14.65" customHeight="1" x14ac:dyDescent="0.2">
      <c r="B2096" s="225"/>
    </row>
    <row r="2097" spans="2:2" ht="14.65" customHeight="1" x14ac:dyDescent="0.2">
      <c r="B2097" s="225"/>
    </row>
    <row r="2098" spans="2:2" ht="14.65" customHeight="1" x14ac:dyDescent="0.2">
      <c r="B2098" s="225"/>
    </row>
    <row r="2099" spans="2:2" ht="14.65" customHeight="1" x14ac:dyDescent="0.2">
      <c r="B2099" s="225"/>
    </row>
    <row r="2100" spans="2:2" ht="14.65" customHeight="1" x14ac:dyDescent="0.2">
      <c r="B2100" s="225"/>
    </row>
    <row r="2101" spans="2:2" ht="14.65" customHeight="1" x14ac:dyDescent="0.2">
      <c r="B2101" s="225"/>
    </row>
    <row r="2102" spans="2:2" ht="14.65" customHeight="1" x14ac:dyDescent="0.2">
      <c r="B2102" s="225"/>
    </row>
    <row r="2103" spans="2:2" ht="14.65" customHeight="1" x14ac:dyDescent="0.2">
      <c r="B2103" s="225"/>
    </row>
    <row r="2104" spans="2:2" ht="14.65" customHeight="1" x14ac:dyDescent="0.2">
      <c r="B2104" s="225"/>
    </row>
    <row r="2105" spans="2:2" ht="14.65" customHeight="1" x14ac:dyDescent="0.2">
      <c r="B2105" s="225"/>
    </row>
    <row r="2106" spans="2:2" ht="14.65" customHeight="1" x14ac:dyDescent="0.2">
      <c r="B2106" s="225"/>
    </row>
    <row r="2107" spans="2:2" ht="14.65" customHeight="1" x14ac:dyDescent="0.2">
      <c r="B2107" s="225"/>
    </row>
    <row r="2108" spans="2:2" ht="14.65" customHeight="1" x14ac:dyDescent="0.2">
      <c r="B2108" s="225"/>
    </row>
    <row r="2109" spans="2:2" ht="14.65" customHeight="1" x14ac:dyDescent="0.2">
      <c r="B2109" s="225"/>
    </row>
    <row r="2110" spans="2:2" ht="14.65" customHeight="1" x14ac:dyDescent="0.2">
      <c r="B2110" s="225"/>
    </row>
    <row r="2111" spans="2:2" ht="14.65" customHeight="1" x14ac:dyDescent="0.2">
      <c r="B2111" s="225"/>
    </row>
    <row r="2112" spans="2:2" ht="14.65" customHeight="1" x14ac:dyDescent="0.2">
      <c r="B2112" s="225"/>
    </row>
    <row r="2113" spans="2:2" ht="14.65" customHeight="1" x14ac:dyDescent="0.2">
      <c r="B2113" s="225"/>
    </row>
    <row r="2114" spans="2:2" ht="14.65" customHeight="1" x14ac:dyDescent="0.2">
      <c r="B2114" s="225"/>
    </row>
    <row r="2115" spans="2:2" ht="14.65" customHeight="1" x14ac:dyDescent="0.2">
      <c r="B2115" s="225"/>
    </row>
    <row r="2116" spans="2:2" ht="14.65" customHeight="1" x14ac:dyDescent="0.2">
      <c r="B2116" s="225"/>
    </row>
    <row r="2117" spans="2:2" ht="14.65" customHeight="1" x14ac:dyDescent="0.2">
      <c r="B2117" s="225"/>
    </row>
    <row r="2118" spans="2:2" ht="14.65" customHeight="1" x14ac:dyDescent="0.2">
      <c r="B2118" s="225"/>
    </row>
    <row r="2119" spans="2:2" ht="14.65" customHeight="1" x14ac:dyDescent="0.2">
      <c r="B2119" s="225"/>
    </row>
    <row r="2120" spans="2:2" ht="14.65" customHeight="1" x14ac:dyDescent="0.2">
      <c r="B2120" s="225"/>
    </row>
    <row r="2121" spans="2:2" ht="14.65" customHeight="1" x14ac:dyDescent="0.2">
      <c r="B2121" s="225"/>
    </row>
    <row r="2122" spans="2:2" ht="14.65" customHeight="1" x14ac:dyDescent="0.2">
      <c r="B2122" s="225"/>
    </row>
    <row r="2123" spans="2:2" ht="14.65" customHeight="1" x14ac:dyDescent="0.2">
      <c r="B2123" s="225"/>
    </row>
    <row r="2124" spans="2:2" ht="14.65" customHeight="1" x14ac:dyDescent="0.2">
      <c r="B2124" s="225"/>
    </row>
    <row r="2125" spans="2:2" ht="14.65" customHeight="1" x14ac:dyDescent="0.2">
      <c r="B2125" s="225"/>
    </row>
    <row r="2126" spans="2:2" ht="14.65" customHeight="1" x14ac:dyDescent="0.2">
      <c r="B2126" s="225"/>
    </row>
    <row r="2127" spans="2:2" ht="14.65" customHeight="1" x14ac:dyDescent="0.2">
      <c r="B2127" s="225"/>
    </row>
    <row r="2128" spans="2:2" ht="14.65" customHeight="1" x14ac:dyDescent="0.2">
      <c r="B2128" s="225"/>
    </row>
    <row r="2129" spans="2:2" ht="14.65" customHeight="1" x14ac:dyDescent="0.2">
      <c r="B2129" s="225"/>
    </row>
    <row r="2130" spans="2:2" ht="14.65" customHeight="1" x14ac:dyDescent="0.2">
      <c r="B2130" s="225"/>
    </row>
    <row r="2131" spans="2:2" ht="14.65" customHeight="1" x14ac:dyDescent="0.2">
      <c r="B2131" s="225"/>
    </row>
    <row r="2132" spans="2:2" ht="14.65" customHeight="1" x14ac:dyDescent="0.2">
      <c r="B2132" s="225"/>
    </row>
    <row r="2133" spans="2:2" ht="14.65" customHeight="1" x14ac:dyDescent="0.2">
      <c r="B2133" s="225"/>
    </row>
    <row r="2134" spans="2:2" ht="14.65" customHeight="1" x14ac:dyDescent="0.2">
      <c r="B2134" s="225"/>
    </row>
    <row r="2135" spans="2:2" ht="14.65" customHeight="1" x14ac:dyDescent="0.2">
      <c r="B2135" s="225"/>
    </row>
    <row r="2136" spans="2:2" ht="14.65" customHeight="1" x14ac:dyDescent="0.2">
      <c r="B2136" s="225"/>
    </row>
    <row r="2137" spans="2:2" ht="14.65" customHeight="1" x14ac:dyDescent="0.2">
      <c r="B2137" s="225"/>
    </row>
    <row r="2138" spans="2:2" ht="14.65" customHeight="1" x14ac:dyDescent="0.2">
      <c r="B2138" s="225"/>
    </row>
    <row r="2139" spans="2:2" ht="14.65" customHeight="1" x14ac:dyDescent="0.2">
      <c r="B2139" s="225"/>
    </row>
    <row r="2140" spans="2:2" ht="14.65" customHeight="1" x14ac:dyDescent="0.2">
      <c r="B2140" s="225"/>
    </row>
    <row r="2141" spans="2:2" ht="14.65" customHeight="1" x14ac:dyDescent="0.2">
      <c r="B2141" s="225"/>
    </row>
    <row r="2142" spans="2:2" ht="14.65" customHeight="1" x14ac:dyDescent="0.2">
      <c r="B2142" s="225"/>
    </row>
    <row r="2143" spans="2:2" ht="14.65" customHeight="1" x14ac:dyDescent="0.2">
      <c r="B2143" s="225"/>
    </row>
    <row r="2144" spans="2:2" ht="14.65" customHeight="1" x14ac:dyDescent="0.2">
      <c r="B2144" s="225"/>
    </row>
    <row r="2145" spans="2:2" ht="14.65" customHeight="1" x14ac:dyDescent="0.2">
      <c r="B2145" s="225"/>
    </row>
    <row r="2146" spans="2:2" ht="14.65" customHeight="1" x14ac:dyDescent="0.2">
      <c r="B2146" s="225"/>
    </row>
    <row r="2147" spans="2:2" ht="14.65" customHeight="1" x14ac:dyDescent="0.2">
      <c r="B2147" s="225"/>
    </row>
    <row r="2148" spans="2:2" ht="14.65" customHeight="1" x14ac:dyDescent="0.2">
      <c r="B2148" s="225"/>
    </row>
    <row r="2149" spans="2:2" ht="14.65" customHeight="1" x14ac:dyDescent="0.2">
      <c r="B2149" s="225"/>
    </row>
    <row r="2150" spans="2:2" ht="14.65" customHeight="1" x14ac:dyDescent="0.2">
      <c r="B2150" s="225"/>
    </row>
    <row r="2151" spans="2:2" ht="14.65" customHeight="1" x14ac:dyDescent="0.2">
      <c r="B2151" s="225"/>
    </row>
    <row r="2152" spans="2:2" ht="14.65" customHeight="1" x14ac:dyDescent="0.2">
      <c r="B2152" s="225"/>
    </row>
    <row r="2153" spans="2:2" ht="14.65" customHeight="1" x14ac:dyDescent="0.2">
      <c r="B2153" s="225"/>
    </row>
    <row r="2154" spans="2:2" ht="14.65" customHeight="1" x14ac:dyDescent="0.2">
      <c r="B2154" s="225"/>
    </row>
    <row r="2155" spans="2:2" ht="14.65" customHeight="1" x14ac:dyDescent="0.2">
      <c r="B2155" s="225"/>
    </row>
    <row r="2156" spans="2:2" ht="14.65" customHeight="1" x14ac:dyDescent="0.2">
      <c r="B2156" s="225"/>
    </row>
    <row r="2157" spans="2:2" ht="14.65" customHeight="1" x14ac:dyDescent="0.2">
      <c r="B2157" s="225"/>
    </row>
    <row r="2158" spans="2:2" ht="14.65" customHeight="1" x14ac:dyDescent="0.2">
      <c r="B2158" s="225"/>
    </row>
    <row r="2159" spans="2:2" ht="14.65" customHeight="1" x14ac:dyDescent="0.2">
      <c r="B2159" s="225"/>
    </row>
    <row r="2160" spans="2:2" ht="14.65" customHeight="1" x14ac:dyDescent="0.2">
      <c r="B2160" s="225"/>
    </row>
    <row r="2161" spans="2:2" ht="14.65" customHeight="1" x14ac:dyDescent="0.2">
      <c r="B2161" s="225"/>
    </row>
    <row r="2162" spans="2:2" ht="14.65" customHeight="1" x14ac:dyDescent="0.2">
      <c r="B2162" s="225"/>
    </row>
    <row r="2163" spans="2:2" ht="14.65" customHeight="1" x14ac:dyDescent="0.2">
      <c r="B2163" s="225"/>
    </row>
    <row r="2164" spans="2:2" ht="14.65" customHeight="1" x14ac:dyDescent="0.2">
      <c r="B2164" s="225"/>
    </row>
    <row r="2165" spans="2:2" ht="14.65" customHeight="1" x14ac:dyDescent="0.2">
      <c r="B2165" s="225"/>
    </row>
    <row r="2166" spans="2:2" ht="14.65" customHeight="1" x14ac:dyDescent="0.2">
      <c r="B2166" s="225"/>
    </row>
    <row r="2167" spans="2:2" ht="14.65" customHeight="1" x14ac:dyDescent="0.2">
      <c r="B2167" s="225"/>
    </row>
    <row r="2168" spans="2:2" ht="14.65" customHeight="1" x14ac:dyDescent="0.2">
      <c r="B2168" s="225"/>
    </row>
    <row r="2169" spans="2:2" ht="14.65" customHeight="1" x14ac:dyDescent="0.2">
      <c r="B2169" s="225"/>
    </row>
    <row r="2170" spans="2:2" ht="14.65" customHeight="1" x14ac:dyDescent="0.2">
      <c r="B2170" s="225"/>
    </row>
    <row r="2171" spans="2:2" ht="14.65" customHeight="1" x14ac:dyDescent="0.2">
      <c r="B2171" s="225"/>
    </row>
    <row r="2172" spans="2:2" ht="14.65" customHeight="1" x14ac:dyDescent="0.2">
      <c r="B2172" s="225"/>
    </row>
    <row r="2173" spans="2:2" ht="14.65" customHeight="1" x14ac:dyDescent="0.2">
      <c r="B2173" s="225"/>
    </row>
    <row r="2174" spans="2:2" ht="14.65" customHeight="1" x14ac:dyDescent="0.2">
      <c r="B2174" s="225"/>
    </row>
    <row r="2175" spans="2:2" ht="14.65" customHeight="1" x14ac:dyDescent="0.2">
      <c r="B2175" s="225"/>
    </row>
    <row r="2176" spans="2:2" ht="14.65" customHeight="1" x14ac:dyDescent="0.2">
      <c r="B2176" s="225"/>
    </row>
    <row r="2177" spans="2:2" ht="14.65" customHeight="1" x14ac:dyDescent="0.2">
      <c r="B2177" s="225"/>
    </row>
    <row r="2178" spans="2:2" ht="14.65" customHeight="1" x14ac:dyDescent="0.2">
      <c r="B2178" s="225"/>
    </row>
    <row r="2179" spans="2:2" ht="14.65" customHeight="1" x14ac:dyDescent="0.2">
      <c r="B2179" s="225"/>
    </row>
    <row r="2180" spans="2:2" ht="14.65" customHeight="1" x14ac:dyDescent="0.2">
      <c r="B2180" s="225"/>
    </row>
    <row r="2181" spans="2:2" ht="14.65" customHeight="1" x14ac:dyDescent="0.2">
      <c r="B2181" s="225"/>
    </row>
    <row r="2182" spans="2:2" ht="14.65" customHeight="1" x14ac:dyDescent="0.2">
      <c r="B2182" s="225"/>
    </row>
    <row r="2183" spans="2:2" ht="14.65" customHeight="1" x14ac:dyDescent="0.2">
      <c r="B2183" s="225"/>
    </row>
    <row r="2184" spans="2:2" ht="14.65" customHeight="1" x14ac:dyDescent="0.2">
      <c r="B2184" s="225"/>
    </row>
    <row r="2185" spans="2:2" ht="14.65" customHeight="1" x14ac:dyDescent="0.2">
      <c r="B2185" s="225"/>
    </row>
    <row r="2186" spans="2:2" ht="14.65" customHeight="1" x14ac:dyDescent="0.2">
      <c r="B2186" s="225"/>
    </row>
    <row r="2187" spans="2:2" ht="14.65" customHeight="1" x14ac:dyDescent="0.2">
      <c r="B2187" s="225"/>
    </row>
    <row r="2188" spans="2:2" ht="14.65" customHeight="1" x14ac:dyDescent="0.2">
      <c r="B2188" s="225"/>
    </row>
    <row r="2189" spans="2:2" ht="14.65" customHeight="1" x14ac:dyDescent="0.2">
      <c r="B2189" s="225"/>
    </row>
    <row r="2190" spans="2:2" ht="14.65" customHeight="1" x14ac:dyDescent="0.2">
      <c r="B2190" s="225"/>
    </row>
    <row r="2191" spans="2:2" ht="14.65" customHeight="1" x14ac:dyDescent="0.2">
      <c r="B2191" s="225"/>
    </row>
    <row r="2192" spans="2:2" ht="14.65" customHeight="1" x14ac:dyDescent="0.2">
      <c r="B2192" s="225"/>
    </row>
    <row r="2193" spans="2:2" ht="14.65" customHeight="1" x14ac:dyDescent="0.2">
      <c r="B2193" s="225"/>
    </row>
    <row r="2194" spans="2:2" ht="14.65" customHeight="1" x14ac:dyDescent="0.2">
      <c r="B2194" s="225"/>
    </row>
    <row r="2195" spans="2:2" ht="14.65" customHeight="1" x14ac:dyDescent="0.2">
      <c r="B2195" s="225"/>
    </row>
    <row r="2196" spans="2:2" ht="14.65" customHeight="1" x14ac:dyDescent="0.2">
      <c r="B2196" s="225"/>
    </row>
    <row r="2197" spans="2:2" ht="14.65" customHeight="1" x14ac:dyDescent="0.2">
      <c r="B2197" s="225"/>
    </row>
    <row r="2198" spans="2:2" ht="14.65" customHeight="1" x14ac:dyDescent="0.2">
      <c r="B2198" s="225"/>
    </row>
    <row r="2199" spans="2:2" ht="14.65" customHeight="1" x14ac:dyDescent="0.2">
      <c r="B2199" s="225"/>
    </row>
    <row r="2200" spans="2:2" ht="14.65" customHeight="1" x14ac:dyDescent="0.2">
      <c r="B2200" s="225"/>
    </row>
    <row r="2201" spans="2:2" ht="14.65" customHeight="1" x14ac:dyDescent="0.2">
      <c r="B2201" s="225"/>
    </row>
    <row r="2202" spans="2:2" ht="14.65" customHeight="1" x14ac:dyDescent="0.2">
      <c r="B2202" s="225"/>
    </row>
    <row r="2203" spans="2:2" ht="14.65" customHeight="1" x14ac:dyDescent="0.2">
      <c r="B2203" s="225"/>
    </row>
    <row r="2204" spans="2:2" ht="14.65" customHeight="1" x14ac:dyDescent="0.2">
      <c r="B2204" s="225"/>
    </row>
    <row r="2205" spans="2:2" ht="14.65" customHeight="1" x14ac:dyDescent="0.2">
      <c r="B2205" s="225"/>
    </row>
    <row r="2206" spans="2:2" ht="14.65" customHeight="1" x14ac:dyDescent="0.2">
      <c r="B2206" s="225"/>
    </row>
    <row r="2207" spans="2:2" ht="14.65" customHeight="1" x14ac:dyDescent="0.2">
      <c r="B2207" s="225"/>
    </row>
    <row r="2208" spans="2:2" ht="14.65" customHeight="1" x14ac:dyDescent="0.2">
      <c r="B2208" s="225"/>
    </row>
    <row r="2209" spans="2:2" ht="14.65" customHeight="1" x14ac:dyDescent="0.2">
      <c r="B2209" s="225"/>
    </row>
    <row r="2210" spans="2:2" ht="14.65" customHeight="1" x14ac:dyDescent="0.2">
      <c r="B2210" s="225"/>
    </row>
    <row r="2211" spans="2:2" ht="14.65" customHeight="1" x14ac:dyDescent="0.2">
      <c r="B2211" s="225"/>
    </row>
    <row r="2212" spans="2:2" ht="14.65" customHeight="1" x14ac:dyDescent="0.2">
      <c r="B2212" s="225"/>
    </row>
    <row r="2213" spans="2:2" ht="14.65" customHeight="1" x14ac:dyDescent="0.2">
      <c r="B2213" s="225"/>
    </row>
    <row r="2214" spans="2:2" ht="14.65" customHeight="1" x14ac:dyDescent="0.2">
      <c r="B2214" s="225"/>
    </row>
    <row r="2215" spans="2:2" ht="14.65" customHeight="1" x14ac:dyDescent="0.2">
      <c r="B2215" s="225"/>
    </row>
    <row r="2216" spans="2:2" ht="14.65" customHeight="1" x14ac:dyDescent="0.2">
      <c r="B2216" s="225"/>
    </row>
    <row r="2217" spans="2:2" ht="14.65" customHeight="1" x14ac:dyDescent="0.2">
      <c r="B2217" s="225"/>
    </row>
    <row r="2218" spans="2:2" ht="14.65" customHeight="1" x14ac:dyDescent="0.2">
      <c r="B2218" s="225"/>
    </row>
    <row r="2219" spans="2:2" ht="14.65" customHeight="1" x14ac:dyDescent="0.2">
      <c r="B2219" s="225"/>
    </row>
    <row r="2220" spans="2:2" ht="14.65" customHeight="1" x14ac:dyDescent="0.2">
      <c r="B2220" s="225"/>
    </row>
    <row r="2221" spans="2:2" ht="14.65" customHeight="1" x14ac:dyDescent="0.2">
      <c r="B2221" s="225"/>
    </row>
    <row r="2222" spans="2:2" ht="14.65" customHeight="1" x14ac:dyDescent="0.2">
      <c r="B2222" s="225"/>
    </row>
    <row r="2223" spans="2:2" ht="14.65" customHeight="1" x14ac:dyDescent="0.2">
      <c r="B2223" s="225"/>
    </row>
    <row r="2224" spans="2:2" ht="14.65" customHeight="1" x14ac:dyDescent="0.2">
      <c r="B2224" s="225"/>
    </row>
    <row r="2225" spans="2:2" ht="14.65" customHeight="1" x14ac:dyDescent="0.2">
      <c r="B2225" s="225"/>
    </row>
    <row r="2226" spans="2:2" ht="14.65" customHeight="1" x14ac:dyDescent="0.2">
      <c r="B2226" s="225"/>
    </row>
    <row r="2227" spans="2:2" ht="14.65" customHeight="1" x14ac:dyDescent="0.2">
      <c r="B2227" s="225"/>
    </row>
    <row r="2228" spans="2:2" ht="14.65" customHeight="1" x14ac:dyDescent="0.2">
      <c r="B2228" s="225"/>
    </row>
    <row r="2229" spans="2:2" ht="14.65" customHeight="1" x14ac:dyDescent="0.2">
      <c r="B2229" s="225"/>
    </row>
    <row r="2230" spans="2:2" ht="14.65" customHeight="1" x14ac:dyDescent="0.2">
      <c r="B2230" s="225"/>
    </row>
    <row r="2231" spans="2:2" ht="14.65" customHeight="1" x14ac:dyDescent="0.2">
      <c r="B2231" s="225"/>
    </row>
    <row r="2232" spans="2:2" ht="14.65" customHeight="1" x14ac:dyDescent="0.2">
      <c r="B2232" s="225"/>
    </row>
    <row r="2233" spans="2:2" ht="14.65" customHeight="1" x14ac:dyDescent="0.2">
      <c r="B2233" s="225"/>
    </row>
    <row r="2234" spans="2:2" ht="14.65" customHeight="1" x14ac:dyDescent="0.2">
      <c r="B2234" s="225"/>
    </row>
    <row r="2235" spans="2:2" ht="14.65" customHeight="1" x14ac:dyDescent="0.2">
      <c r="B2235" s="225"/>
    </row>
    <row r="2236" spans="2:2" ht="14.65" customHeight="1" x14ac:dyDescent="0.2">
      <c r="B2236" s="225"/>
    </row>
    <row r="2237" spans="2:2" ht="14.65" customHeight="1" x14ac:dyDescent="0.2">
      <c r="B2237" s="225"/>
    </row>
    <row r="2238" spans="2:2" ht="14.65" customHeight="1" x14ac:dyDescent="0.2">
      <c r="B2238" s="225"/>
    </row>
    <row r="2239" spans="2:2" ht="14.65" customHeight="1" x14ac:dyDescent="0.2">
      <c r="B2239" s="225"/>
    </row>
    <row r="2240" spans="2:2" ht="14.65" customHeight="1" x14ac:dyDescent="0.2">
      <c r="B2240" s="225"/>
    </row>
    <row r="2241" spans="2:2" ht="14.65" customHeight="1" x14ac:dyDescent="0.2">
      <c r="B2241" s="225"/>
    </row>
    <row r="2242" spans="2:2" ht="14.65" customHeight="1" x14ac:dyDescent="0.2">
      <c r="B2242" s="225"/>
    </row>
    <row r="2243" spans="2:2" ht="14.65" customHeight="1" x14ac:dyDescent="0.2">
      <c r="B2243" s="225"/>
    </row>
    <row r="2244" spans="2:2" ht="14.65" customHeight="1" x14ac:dyDescent="0.2">
      <c r="B2244" s="225"/>
    </row>
    <row r="2245" spans="2:2" ht="14.65" customHeight="1" x14ac:dyDescent="0.2">
      <c r="B2245" s="225"/>
    </row>
    <row r="2246" spans="2:2" ht="14.65" customHeight="1" x14ac:dyDescent="0.2">
      <c r="B2246" s="225"/>
    </row>
    <row r="2247" spans="2:2" ht="14.65" customHeight="1" x14ac:dyDescent="0.2">
      <c r="B2247" s="225"/>
    </row>
    <row r="2248" spans="2:2" ht="14.65" customHeight="1" x14ac:dyDescent="0.2">
      <c r="B2248" s="225"/>
    </row>
    <row r="2249" spans="2:2" ht="14.65" customHeight="1" x14ac:dyDescent="0.2">
      <c r="B2249" s="225"/>
    </row>
    <row r="2250" spans="2:2" ht="14.65" customHeight="1" x14ac:dyDescent="0.2">
      <c r="B2250" s="225"/>
    </row>
    <row r="2251" spans="2:2" ht="14.65" customHeight="1" x14ac:dyDescent="0.2">
      <c r="B2251" s="225"/>
    </row>
    <row r="2252" spans="2:2" ht="14.65" customHeight="1" x14ac:dyDescent="0.2">
      <c r="B2252" s="225"/>
    </row>
    <row r="2253" spans="2:2" ht="14.65" customHeight="1" x14ac:dyDescent="0.2">
      <c r="B2253" s="225"/>
    </row>
    <row r="2254" spans="2:2" ht="14.65" customHeight="1" x14ac:dyDescent="0.2">
      <c r="B2254" s="225"/>
    </row>
    <row r="2255" spans="2:2" ht="14.65" customHeight="1" x14ac:dyDescent="0.2">
      <c r="B2255" s="225"/>
    </row>
    <row r="2256" spans="2:2" ht="14.65" customHeight="1" x14ac:dyDescent="0.2">
      <c r="B2256" s="225"/>
    </row>
    <row r="2257" spans="2:2" ht="14.65" customHeight="1" x14ac:dyDescent="0.2">
      <c r="B2257" s="225"/>
    </row>
    <row r="2258" spans="2:2" ht="14.65" customHeight="1" x14ac:dyDescent="0.2">
      <c r="B2258" s="225"/>
    </row>
    <row r="2259" spans="2:2" ht="14.65" customHeight="1" x14ac:dyDescent="0.2">
      <c r="B2259" s="225"/>
    </row>
    <row r="2260" spans="2:2" ht="14.65" customHeight="1" x14ac:dyDescent="0.2">
      <c r="B2260" s="225"/>
    </row>
    <row r="2261" spans="2:2" ht="14.65" customHeight="1" x14ac:dyDescent="0.2">
      <c r="B2261" s="225"/>
    </row>
    <row r="2262" spans="2:2" ht="14.65" customHeight="1" x14ac:dyDescent="0.2">
      <c r="B2262" s="225"/>
    </row>
    <row r="2263" spans="2:2" ht="14.65" customHeight="1" x14ac:dyDescent="0.2">
      <c r="B2263" s="225"/>
    </row>
    <row r="2264" spans="2:2" ht="14.65" customHeight="1" x14ac:dyDescent="0.2">
      <c r="B2264" s="225"/>
    </row>
    <row r="2265" spans="2:2" ht="14.65" customHeight="1" x14ac:dyDescent="0.2">
      <c r="B2265" s="225"/>
    </row>
    <row r="2266" spans="2:2" ht="14.65" customHeight="1" x14ac:dyDescent="0.2">
      <c r="B2266" s="225"/>
    </row>
    <row r="2267" spans="2:2" ht="14.65" customHeight="1" x14ac:dyDescent="0.2">
      <c r="B2267" s="225"/>
    </row>
    <row r="2268" spans="2:2" ht="14.65" customHeight="1" x14ac:dyDescent="0.2">
      <c r="B2268" s="225"/>
    </row>
    <row r="2269" spans="2:2" ht="14.65" customHeight="1" x14ac:dyDescent="0.2">
      <c r="B2269" s="225"/>
    </row>
    <row r="2270" spans="2:2" ht="14.65" customHeight="1" x14ac:dyDescent="0.2">
      <c r="B2270" s="225"/>
    </row>
    <row r="2271" spans="2:2" ht="14.65" customHeight="1" x14ac:dyDescent="0.2">
      <c r="B2271" s="225"/>
    </row>
    <row r="2272" spans="2:2" ht="14.65" customHeight="1" x14ac:dyDescent="0.2">
      <c r="B2272" s="225"/>
    </row>
    <row r="2273" spans="2:2" ht="14.65" customHeight="1" x14ac:dyDescent="0.2">
      <c r="B2273" s="225"/>
    </row>
    <row r="2274" spans="2:2" ht="14.65" customHeight="1" x14ac:dyDescent="0.2">
      <c r="B2274" s="225"/>
    </row>
    <row r="2275" spans="2:2" ht="14.65" customHeight="1" x14ac:dyDescent="0.2">
      <c r="B2275" s="225"/>
    </row>
    <row r="2276" spans="2:2" ht="14.65" customHeight="1" x14ac:dyDescent="0.2">
      <c r="B2276" s="225"/>
    </row>
    <row r="2277" spans="2:2" ht="14.65" customHeight="1" x14ac:dyDescent="0.2">
      <c r="B2277" s="225"/>
    </row>
    <row r="2278" spans="2:2" ht="14.65" customHeight="1" x14ac:dyDescent="0.2">
      <c r="B2278" s="225"/>
    </row>
    <row r="2279" spans="2:2" ht="14.65" customHeight="1" x14ac:dyDescent="0.2">
      <c r="B2279" s="225"/>
    </row>
    <row r="2280" spans="2:2" ht="14.65" customHeight="1" x14ac:dyDescent="0.2">
      <c r="B2280" s="225"/>
    </row>
    <row r="2281" spans="2:2" ht="14.65" customHeight="1" x14ac:dyDescent="0.2">
      <c r="B2281" s="225"/>
    </row>
    <row r="2282" spans="2:2" ht="14.65" customHeight="1" x14ac:dyDescent="0.2">
      <c r="B2282" s="225"/>
    </row>
    <row r="2283" spans="2:2" ht="14.65" customHeight="1" x14ac:dyDescent="0.2">
      <c r="B2283" s="225"/>
    </row>
    <row r="2284" spans="2:2" ht="14.65" customHeight="1" x14ac:dyDescent="0.2">
      <c r="B2284" s="225"/>
    </row>
    <row r="2285" spans="2:2" ht="14.65" customHeight="1" x14ac:dyDescent="0.2">
      <c r="B2285" s="225"/>
    </row>
    <row r="2286" spans="2:2" ht="14.65" customHeight="1" x14ac:dyDescent="0.2">
      <c r="B2286" s="225"/>
    </row>
    <row r="2287" spans="2:2" ht="14.65" customHeight="1" x14ac:dyDescent="0.2">
      <c r="B2287" s="225"/>
    </row>
    <row r="2288" spans="2:2" ht="14.65" customHeight="1" x14ac:dyDescent="0.2">
      <c r="B2288" s="225"/>
    </row>
    <row r="2289" spans="2:2" ht="14.65" customHeight="1" x14ac:dyDescent="0.2">
      <c r="B2289" s="225"/>
    </row>
    <row r="2290" spans="2:2" ht="14.65" customHeight="1" x14ac:dyDescent="0.2">
      <c r="B2290" s="225"/>
    </row>
    <row r="2291" spans="2:2" ht="14.65" customHeight="1" x14ac:dyDescent="0.2">
      <c r="B2291" s="225"/>
    </row>
    <row r="2292" spans="2:2" ht="14.65" customHeight="1" x14ac:dyDescent="0.2">
      <c r="B2292" s="225"/>
    </row>
    <row r="2293" spans="2:2" ht="14.65" customHeight="1" x14ac:dyDescent="0.2">
      <c r="B2293" s="225"/>
    </row>
    <row r="2294" spans="2:2" ht="14.65" customHeight="1" x14ac:dyDescent="0.2">
      <c r="B2294" s="225"/>
    </row>
    <row r="2295" spans="2:2" ht="14.65" customHeight="1" x14ac:dyDescent="0.2">
      <c r="B2295" s="225"/>
    </row>
    <row r="2296" spans="2:2" ht="14.65" customHeight="1" x14ac:dyDescent="0.2">
      <c r="B2296" s="225"/>
    </row>
    <row r="2297" spans="2:2" ht="14.65" customHeight="1" x14ac:dyDescent="0.2">
      <c r="B2297" s="225"/>
    </row>
    <row r="2298" spans="2:2" ht="14.65" customHeight="1" x14ac:dyDescent="0.2">
      <c r="B2298" s="225"/>
    </row>
    <row r="2299" spans="2:2" ht="14.65" customHeight="1" x14ac:dyDescent="0.2">
      <c r="B2299" s="225"/>
    </row>
    <row r="2300" spans="2:2" ht="14.65" customHeight="1" x14ac:dyDescent="0.2">
      <c r="B2300" s="225"/>
    </row>
    <row r="2301" spans="2:2" ht="14.65" customHeight="1" x14ac:dyDescent="0.2">
      <c r="B2301" s="225"/>
    </row>
    <row r="2302" spans="2:2" ht="14.65" customHeight="1" x14ac:dyDescent="0.2">
      <c r="B2302" s="225"/>
    </row>
    <row r="2303" spans="2:2" ht="14.65" customHeight="1" x14ac:dyDescent="0.2">
      <c r="B2303" s="225"/>
    </row>
    <row r="2304" spans="2:2" ht="14.65" customHeight="1" x14ac:dyDescent="0.2">
      <c r="B2304" s="225"/>
    </row>
    <row r="2305" spans="2:2" ht="14.65" customHeight="1" x14ac:dyDescent="0.2">
      <c r="B2305" s="225"/>
    </row>
    <row r="2306" spans="2:2" ht="14.65" customHeight="1" x14ac:dyDescent="0.2">
      <c r="B2306" s="225"/>
    </row>
    <row r="2307" spans="2:2" ht="14.65" customHeight="1" x14ac:dyDescent="0.2">
      <c r="B2307" s="225"/>
    </row>
    <row r="2308" spans="2:2" ht="14.65" customHeight="1" x14ac:dyDescent="0.2">
      <c r="B2308" s="225"/>
    </row>
    <row r="2309" spans="2:2" ht="14.65" customHeight="1" x14ac:dyDescent="0.2">
      <c r="B2309" s="225"/>
    </row>
    <row r="2310" spans="2:2" ht="14.65" customHeight="1" x14ac:dyDescent="0.2">
      <c r="B2310" s="225"/>
    </row>
    <row r="2311" spans="2:2" ht="14.65" customHeight="1" x14ac:dyDescent="0.2">
      <c r="B2311" s="225"/>
    </row>
    <row r="2312" spans="2:2" ht="14.65" customHeight="1" x14ac:dyDescent="0.2">
      <c r="B2312" s="225"/>
    </row>
    <row r="2313" spans="2:2" ht="14.65" customHeight="1" x14ac:dyDescent="0.2">
      <c r="B2313" s="225"/>
    </row>
    <row r="2314" spans="2:2" ht="14.65" customHeight="1" x14ac:dyDescent="0.2">
      <c r="B2314" s="225"/>
    </row>
    <row r="2315" spans="2:2" ht="14.65" customHeight="1" x14ac:dyDescent="0.2">
      <c r="B2315" s="225"/>
    </row>
    <row r="2316" spans="2:2" ht="14.65" customHeight="1" x14ac:dyDescent="0.2">
      <c r="B2316" s="225"/>
    </row>
    <row r="2317" spans="2:2" ht="14.65" customHeight="1" x14ac:dyDescent="0.2">
      <c r="B2317" s="225"/>
    </row>
    <row r="2318" spans="2:2" ht="14.65" customHeight="1" x14ac:dyDescent="0.2">
      <c r="B2318" s="225"/>
    </row>
    <row r="2319" spans="2:2" ht="14.65" customHeight="1" x14ac:dyDescent="0.2">
      <c r="B2319" s="225"/>
    </row>
    <row r="2320" spans="2:2" ht="14.65" customHeight="1" x14ac:dyDescent="0.2">
      <c r="B2320" s="225"/>
    </row>
    <row r="2321" spans="2:2" ht="14.65" customHeight="1" x14ac:dyDescent="0.2">
      <c r="B2321" s="225"/>
    </row>
    <row r="2322" spans="2:2" ht="14.65" customHeight="1" x14ac:dyDescent="0.2">
      <c r="B2322" s="225"/>
    </row>
    <row r="2323" spans="2:2" ht="14.65" customHeight="1" x14ac:dyDescent="0.2">
      <c r="B2323" s="225"/>
    </row>
    <row r="2324" spans="2:2" ht="14.65" customHeight="1" x14ac:dyDescent="0.2">
      <c r="B2324" s="225"/>
    </row>
    <row r="2325" spans="2:2" ht="14.65" customHeight="1" x14ac:dyDescent="0.2">
      <c r="B2325" s="225"/>
    </row>
    <row r="2326" spans="2:2" ht="14.65" customHeight="1" x14ac:dyDescent="0.2">
      <c r="B2326" s="225"/>
    </row>
    <row r="2327" spans="2:2" ht="14.65" customHeight="1" x14ac:dyDescent="0.2">
      <c r="B2327" s="225"/>
    </row>
    <row r="2328" spans="2:2" ht="14.65" customHeight="1" x14ac:dyDescent="0.2">
      <c r="B2328" s="225"/>
    </row>
    <row r="2329" spans="2:2" ht="14.65" customHeight="1" x14ac:dyDescent="0.2">
      <c r="B2329" s="225"/>
    </row>
    <row r="2330" spans="2:2" ht="14.65" customHeight="1" x14ac:dyDescent="0.2">
      <c r="B2330" s="225"/>
    </row>
    <row r="2331" spans="2:2" ht="14.65" customHeight="1" x14ac:dyDescent="0.2">
      <c r="B2331" s="225"/>
    </row>
    <row r="2332" spans="2:2" ht="14.65" customHeight="1" x14ac:dyDescent="0.2">
      <c r="B2332" s="225"/>
    </row>
    <row r="2333" spans="2:2" ht="14.65" customHeight="1" x14ac:dyDescent="0.2">
      <c r="B2333" s="225"/>
    </row>
    <row r="2334" spans="2:2" ht="14.65" customHeight="1" x14ac:dyDescent="0.2">
      <c r="B2334" s="225"/>
    </row>
    <row r="2335" spans="2:2" ht="14.65" customHeight="1" x14ac:dyDescent="0.2">
      <c r="B2335" s="225"/>
    </row>
    <row r="2336" spans="2:2" ht="14.65" customHeight="1" x14ac:dyDescent="0.2">
      <c r="B2336" s="225"/>
    </row>
    <row r="2337" spans="2:2" ht="14.65" customHeight="1" x14ac:dyDescent="0.2">
      <c r="B2337" s="225"/>
    </row>
    <row r="2338" spans="2:2" ht="14.65" customHeight="1" x14ac:dyDescent="0.2">
      <c r="B2338" s="225"/>
    </row>
    <row r="2339" spans="2:2" ht="14.65" customHeight="1" x14ac:dyDescent="0.2">
      <c r="B2339" s="225"/>
    </row>
    <row r="2340" spans="2:2" ht="14.65" customHeight="1" x14ac:dyDescent="0.2">
      <c r="B2340" s="225"/>
    </row>
    <row r="2341" spans="2:2" ht="14.65" customHeight="1" x14ac:dyDescent="0.2">
      <c r="B2341" s="225"/>
    </row>
    <row r="2342" spans="2:2" ht="14.65" customHeight="1" x14ac:dyDescent="0.2">
      <c r="B2342" s="225"/>
    </row>
    <row r="2343" spans="2:2" ht="14.65" customHeight="1" x14ac:dyDescent="0.2">
      <c r="B2343" s="225"/>
    </row>
    <row r="2344" spans="2:2" ht="14.65" customHeight="1" x14ac:dyDescent="0.2">
      <c r="B2344" s="225"/>
    </row>
    <row r="2345" spans="2:2" ht="14.65" customHeight="1" x14ac:dyDescent="0.2">
      <c r="B2345" s="225"/>
    </row>
    <row r="2346" spans="2:2" ht="14.65" customHeight="1" x14ac:dyDescent="0.2">
      <c r="B2346" s="225"/>
    </row>
    <row r="2347" spans="2:2" ht="14.65" customHeight="1" x14ac:dyDescent="0.2">
      <c r="B2347" s="225"/>
    </row>
    <row r="2348" spans="2:2" ht="14.65" customHeight="1" x14ac:dyDescent="0.2">
      <c r="B2348" s="225"/>
    </row>
    <row r="2349" spans="2:2" ht="14.65" customHeight="1" x14ac:dyDescent="0.2">
      <c r="B2349" s="225"/>
    </row>
    <row r="2350" spans="2:2" ht="14.65" customHeight="1" x14ac:dyDescent="0.2">
      <c r="B2350" s="225"/>
    </row>
    <row r="2351" spans="2:2" ht="14.65" customHeight="1" x14ac:dyDescent="0.2">
      <c r="B2351" s="225"/>
    </row>
    <row r="2352" spans="2:2" ht="14.65" customHeight="1" x14ac:dyDescent="0.2">
      <c r="B2352" s="225"/>
    </row>
    <row r="2353" spans="2:2" ht="14.65" customHeight="1" x14ac:dyDescent="0.2">
      <c r="B2353" s="225"/>
    </row>
    <row r="2354" spans="2:2" ht="14.65" customHeight="1" x14ac:dyDescent="0.2">
      <c r="B2354" s="225"/>
    </row>
    <row r="2355" spans="2:2" ht="14.65" customHeight="1" x14ac:dyDescent="0.2">
      <c r="B2355" s="225"/>
    </row>
    <row r="2356" spans="2:2" ht="14.65" customHeight="1" x14ac:dyDescent="0.2">
      <c r="B2356" s="225"/>
    </row>
    <row r="2357" spans="2:2" ht="14.65" customHeight="1" x14ac:dyDescent="0.2">
      <c r="B2357" s="225"/>
    </row>
    <row r="2358" spans="2:2" ht="14.65" customHeight="1" x14ac:dyDescent="0.2">
      <c r="B2358" s="225"/>
    </row>
    <row r="2359" spans="2:2" ht="14.65" customHeight="1" x14ac:dyDescent="0.2">
      <c r="B2359" s="225"/>
    </row>
    <row r="2360" spans="2:2" ht="14.65" customHeight="1" x14ac:dyDescent="0.2">
      <c r="B2360" s="225"/>
    </row>
    <row r="2361" spans="2:2" ht="14.65" customHeight="1" x14ac:dyDescent="0.2">
      <c r="B2361" s="225"/>
    </row>
    <row r="2362" spans="2:2" ht="14.65" customHeight="1" x14ac:dyDescent="0.2">
      <c r="B2362" s="225"/>
    </row>
    <row r="2363" spans="2:2" ht="14.65" customHeight="1" x14ac:dyDescent="0.2">
      <c r="B2363" s="225"/>
    </row>
    <row r="2364" spans="2:2" ht="14.65" customHeight="1" x14ac:dyDescent="0.2">
      <c r="B2364" s="225"/>
    </row>
    <row r="2365" spans="2:2" ht="14.65" customHeight="1" x14ac:dyDescent="0.2">
      <c r="B2365" s="225"/>
    </row>
    <row r="2366" spans="2:2" ht="14.65" customHeight="1" x14ac:dyDescent="0.2">
      <c r="B2366" s="225"/>
    </row>
    <row r="2367" spans="2:2" ht="14.65" customHeight="1" x14ac:dyDescent="0.2">
      <c r="B2367" s="225"/>
    </row>
    <row r="2368" spans="2:2" ht="14.65" customHeight="1" x14ac:dyDescent="0.2">
      <c r="B2368" s="225"/>
    </row>
    <row r="2369" spans="2:2" ht="14.65" customHeight="1" x14ac:dyDescent="0.2">
      <c r="B2369" s="225"/>
    </row>
    <row r="2370" spans="2:2" ht="14.65" customHeight="1" x14ac:dyDescent="0.2">
      <c r="B2370" s="225"/>
    </row>
    <row r="2371" spans="2:2" ht="14.65" customHeight="1" x14ac:dyDescent="0.2">
      <c r="B2371" s="225"/>
    </row>
    <row r="2372" spans="2:2" ht="14.65" customHeight="1" x14ac:dyDescent="0.2">
      <c r="B2372" s="225"/>
    </row>
    <row r="2373" spans="2:2" ht="14.65" customHeight="1" x14ac:dyDescent="0.2">
      <c r="B2373" s="225"/>
    </row>
    <row r="2374" spans="2:2" ht="14.65" customHeight="1" x14ac:dyDescent="0.2">
      <c r="B2374" s="225"/>
    </row>
    <row r="2375" spans="2:2" ht="14.65" customHeight="1" x14ac:dyDescent="0.2">
      <c r="B2375" s="225"/>
    </row>
    <row r="2376" spans="2:2" ht="14.65" customHeight="1" x14ac:dyDescent="0.2">
      <c r="B2376" s="225"/>
    </row>
    <row r="2377" spans="2:2" ht="14.65" customHeight="1" x14ac:dyDescent="0.2">
      <c r="B2377" s="225"/>
    </row>
    <row r="2378" spans="2:2" ht="14.65" customHeight="1" x14ac:dyDescent="0.2">
      <c r="B2378" s="225"/>
    </row>
    <row r="2379" spans="2:2" ht="14.65" customHeight="1" x14ac:dyDescent="0.2">
      <c r="B2379" s="225"/>
    </row>
    <row r="2380" spans="2:2" ht="14.65" customHeight="1" x14ac:dyDescent="0.2">
      <c r="B2380" s="225"/>
    </row>
    <row r="2381" spans="2:2" ht="14.65" customHeight="1" x14ac:dyDescent="0.2">
      <c r="B2381" s="225"/>
    </row>
    <row r="2382" spans="2:2" ht="14.65" customHeight="1" x14ac:dyDescent="0.2">
      <c r="B2382" s="225"/>
    </row>
    <row r="2383" spans="2:2" ht="14.65" customHeight="1" x14ac:dyDescent="0.2">
      <c r="B2383" s="225"/>
    </row>
    <row r="2384" spans="2:2" ht="14.65" customHeight="1" x14ac:dyDescent="0.2">
      <c r="B2384" s="225"/>
    </row>
    <row r="2385" spans="2:2" ht="14.65" customHeight="1" x14ac:dyDescent="0.2">
      <c r="B2385" s="225"/>
    </row>
    <row r="2386" spans="2:2" ht="14.65" customHeight="1" x14ac:dyDescent="0.2">
      <c r="B2386" s="225"/>
    </row>
    <row r="2387" spans="2:2" ht="14.65" customHeight="1" x14ac:dyDescent="0.2">
      <c r="B2387" s="225"/>
    </row>
    <row r="2388" spans="2:2" ht="14.65" customHeight="1" x14ac:dyDescent="0.2">
      <c r="B2388" s="225"/>
    </row>
    <row r="2389" spans="2:2" ht="14.65" customHeight="1" x14ac:dyDescent="0.2">
      <c r="B2389" s="225"/>
    </row>
    <row r="2390" spans="2:2" ht="14.65" customHeight="1" x14ac:dyDescent="0.2">
      <c r="B2390" s="225"/>
    </row>
    <row r="2391" spans="2:2" ht="14.65" customHeight="1" x14ac:dyDescent="0.2">
      <c r="B2391" s="225"/>
    </row>
    <row r="2392" spans="2:2" ht="14.65" customHeight="1" x14ac:dyDescent="0.2">
      <c r="B2392" s="225"/>
    </row>
    <row r="2393" spans="2:2" ht="14.65" customHeight="1" x14ac:dyDescent="0.2">
      <c r="B2393" s="225"/>
    </row>
    <row r="2394" spans="2:2" ht="14.65" customHeight="1" x14ac:dyDescent="0.2">
      <c r="B2394" s="225"/>
    </row>
    <row r="2395" spans="2:2" ht="14.65" customHeight="1" x14ac:dyDescent="0.2">
      <c r="B2395" s="225"/>
    </row>
    <row r="2396" spans="2:2" ht="14.65" customHeight="1" x14ac:dyDescent="0.2">
      <c r="B2396" s="225"/>
    </row>
    <row r="2397" spans="2:2" ht="14.65" customHeight="1" x14ac:dyDescent="0.2">
      <c r="B2397" s="225"/>
    </row>
    <row r="2398" spans="2:2" ht="14.65" customHeight="1" x14ac:dyDescent="0.2">
      <c r="B2398" s="225"/>
    </row>
    <row r="2399" spans="2:2" ht="14.65" customHeight="1" x14ac:dyDescent="0.2">
      <c r="B2399" s="225"/>
    </row>
    <row r="2400" spans="2:2" ht="14.65" customHeight="1" x14ac:dyDescent="0.2">
      <c r="B2400" s="225"/>
    </row>
    <row r="2401" spans="2:2" ht="14.65" customHeight="1" x14ac:dyDescent="0.2">
      <c r="B2401" s="225"/>
    </row>
    <row r="2402" spans="2:2" ht="14.65" customHeight="1" x14ac:dyDescent="0.2">
      <c r="B2402" s="225"/>
    </row>
    <row r="2403" spans="2:2" ht="14.65" customHeight="1" x14ac:dyDescent="0.2">
      <c r="B2403" s="225"/>
    </row>
    <row r="2404" spans="2:2" ht="14.65" customHeight="1" x14ac:dyDescent="0.2">
      <c r="B2404" s="225"/>
    </row>
    <row r="2405" spans="2:2" ht="14.65" customHeight="1" x14ac:dyDescent="0.2">
      <c r="B2405" s="225"/>
    </row>
    <row r="2406" spans="2:2" ht="14.65" customHeight="1" x14ac:dyDescent="0.2">
      <c r="B2406" s="225"/>
    </row>
    <row r="2407" spans="2:2" ht="14.65" customHeight="1" x14ac:dyDescent="0.2">
      <c r="B2407" s="225"/>
    </row>
    <row r="2408" spans="2:2" ht="14.65" customHeight="1" x14ac:dyDescent="0.2">
      <c r="B2408" s="225"/>
    </row>
    <row r="2409" spans="2:2" ht="14.65" customHeight="1" x14ac:dyDescent="0.2">
      <c r="B2409" s="225"/>
    </row>
    <row r="2410" spans="2:2" ht="14.65" customHeight="1" x14ac:dyDescent="0.2">
      <c r="B2410" s="225"/>
    </row>
    <row r="2411" spans="2:2" ht="14.65" customHeight="1" x14ac:dyDescent="0.2">
      <c r="B2411" s="225"/>
    </row>
    <row r="2412" spans="2:2" ht="14.65" customHeight="1" x14ac:dyDescent="0.2">
      <c r="B2412" s="225"/>
    </row>
    <row r="2413" spans="2:2" ht="14.65" customHeight="1" x14ac:dyDescent="0.2">
      <c r="B2413" s="225"/>
    </row>
    <row r="2414" spans="2:2" ht="14.65" customHeight="1" x14ac:dyDescent="0.2">
      <c r="B2414" s="225"/>
    </row>
    <row r="2415" spans="2:2" ht="14.65" customHeight="1" x14ac:dyDescent="0.2">
      <c r="B2415" s="225"/>
    </row>
    <row r="2416" spans="2:2" ht="14.65" customHeight="1" x14ac:dyDescent="0.2">
      <c r="B2416" s="225"/>
    </row>
    <row r="2417" spans="2:2" ht="14.65" customHeight="1" x14ac:dyDescent="0.2">
      <c r="B2417" s="225"/>
    </row>
    <row r="2418" spans="2:2" ht="14.65" customHeight="1" x14ac:dyDescent="0.2">
      <c r="B2418" s="225"/>
    </row>
    <row r="2419" spans="2:2" ht="14.65" customHeight="1" x14ac:dyDescent="0.2">
      <c r="B2419" s="225"/>
    </row>
    <row r="2420" spans="2:2" ht="14.65" customHeight="1" x14ac:dyDescent="0.2">
      <c r="B2420" s="225"/>
    </row>
    <row r="2421" spans="2:2" ht="14.65" customHeight="1" x14ac:dyDescent="0.2">
      <c r="B2421" s="225"/>
    </row>
    <row r="2422" spans="2:2" ht="14.65" customHeight="1" x14ac:dyDescent="0.2">
      <c r="B2422" s="225"/>
    </row>
    <row r="2423" spans="2:2" ht="14.65" customHeight="1" x14ac:dyDescent="0.2">
      <c r="B2423" s="225"/>
    </row>
    <row r="2424" spans="2:2" ht="14.65" customHeight="1" x14ac:dyDescent="0.2">
      <c r="B2424" s="225"/>
    </row>
    <row r="2425" spans="2:2" ht="14.65" customHeight="1" x14ac:dyDescent="0.2">
      <c r="B2425" s="225"/>
    </row>
    <row r="2426" spans="2:2" ht="14.65" customHeight="1" x14ac:dyDescent="0.2">
      <c r="B2426" s="225"/>
    </row>
    <row r="2427" spans="2:2" ht="14.65" customHeight="1" x14ac:dyDescent="0.2">
      <c r="B2427" s="225"/>
    </row>
    <row r="2428" spans="2:2" ht="14.65" customHeight="1" x14ac:dyDescent="0.2">
      <c r="B2428" s="225"/>
    </row>
    <row r="2429" spans="2:2" ht="14.65" customHeight="1" x14ac:dyDescent="0.2">
      <c r="B2429" s="225"/>
    </row>
    <row r="2430" spans="2:2" ht="14.65" customHeight="1" x14ac:dyDescent="0.2">
      <c r="B2430" s="225"/>
    </row>
    <row r="2431" spans="2:2" ht="14.65" customHeight="1" x14ac:dyDescent="0.2">
      <c r="B2431" s="225"/>
    </row>
    <row r="2432" spans="2:2" ht="14.65" customHeight="1" x14ac:dyDescent="0.2">
      <c r="B2432" s="225"/>
    </row>
    <row r="2433" spans="2:2" ht="14.65" customHeight="1" x14ac:dyDescent="0.2">
      <c r="B2433" s="225"/>
    </row>
    <row r="2434" spans="2:2" ht="14.65" customHeight="1" x14ac:dyDescent="0.2">
      <c r="B2434" s="225"/>
    </row>
    <row r="2435" spans="2:2" ht="14.65" customHeight="1" x14ac:dyDescent="0.2">
      <c r="B2435" s="225"/>
    </row>
    <row r="2436" spans="2:2" ht="14.65" customHeight="1" x14ac:dyDescent="0.2">
      <c r="B2436" s="225"/>
    </row>
    <row r="2437" spans="2:2" ht="14.65" customHeight="1" x14ac:dyDescent="0.2">
      <c r="B2437" s="225"/>
    </row>
    <row r="2438" spans="2:2" ht="14.65" customHeight="1" x14ac:dyDescent="0.2">
      <c r="B2438" s="225"/>
    </row>
    <row r="2439" spans="2:2" ht="14.65" customHeight="1" x14ac:dyDescent="0.2">
      <c r="B2439" s="225"/>
    </row>
    <row r="2440" spans="2:2" ht="14.65" customHeight="1" x14ac:dyDescent="0.2">
      <c r="B2440" s="225"/>
    </row>
    <row r="2441" spans="2:2" ht="14.65" customHeight="1" x14ac:dyDescent="0.2">
      <c r="B2441" s="225"/>
    </row>
    <row r="2442" spans="2:2" ht="14.65" customHeight="1" x14ac:dyDescent="0.2">
      <c r="B2442" s="225"/>
    </row>
    <row r="2443" spans="2:2" ht="14.65" customHeight="1" x14ac:dyDescent="0.2">
      <c r="B2443" s="225"/>
    </row>
    <row r="2444" spans="2:2" ht="14.65" customHeight="1" x14ac:dyDescent="0.2">
      <c r="B2444" s="225"/>
    </row>
    <row r="2445" spans="2:2" ht="14.65" customHeight="1" x14ac:dyDescent="0.2">
      <c r="B2445" s="225"/>
    </row>
    <row r="2446" spans="2:2" ht="14.65" customHeight="1" x14ac:dyDescent="0.2">
      <c r="B2446" s="225"/>
    </row>
    <row r="2447" spans="2:2" ht="14.65" customHeight="1" x14ac:dyDescent="0.2">
      <c r="B2447" s="225"/>
    </row>
    <row r="2448" spans="2:2" ht="14.65" customHeight="1" x14ac:dyDescent="0.2">
      <c r="B2448" s="225"/>
    </row>
    <row r="2449" spans="2:2" ht="14.65" customHeight="1" x14ac:dyDescent="0.2">
      <c r="B2449" s="225"/>
    </row>
    <row r="2450" spans="2:2" ht="14.65" customHeight="1" x14ac:dyDescent="0.2">
      <c r="B2450" s="225"/>
    </row>
    <row r="2451" spans="2:2" ht="14.65" customHeight="1" x14ac:dyDescent="0.2">
      <c r="B2451" s="225"/>
    </row>
    <row r="2452" spans="2:2" ht="14.65" customHeight="1" x14ac:dyDescent="0.2">
      <c r="B2452" s="225"/>
    </row>
    <row r="2453" spans="2:2" ht="14.65" customHeight="1" x14ac:dyDescent="0.2">
      <c r="B2453" s="225"/>
    </row>
    <row r="2454" spans="2:2" ht="14.65" customHeight="1" x14ac:dyDescent="0.2">
      <c r="B2454" s="225"/>
    </row>
    <row r="2455" spans="2:2" ht="14.65" customHeight="1" x14ac:dyDescent="0.2">
      <c r="B2455" s="225"/>
    </row>
    <row r="2456" spans="2:2" ht="14.65" customHeight="1" x14ac:dyDescent="0.2">
      <c r="B2456" s="225"/>
    </row>
    <row r="2457" spans="2:2" ht="14.65" customHeight="1" x14ac:dyDescent="0.2">
      <c r="B2457" s="225"/>
    </row>
    <row r="2458" spans="2:2" ht="14.65" customHeight="1" x14ac:dyDescent="0.2">
      <c r="B2458" s="225"/>
    </row>
    <row r="2459" spans="2:2" ht="14.65" customHeight="1" x14ac:dyDescent="0.2">
      <c r="B2459" s="225"/>
    </row>
    <row r="2460" spans="2:2" ht="14.65" customHeight="1" x14ac:dyDescent="0.2">
      <c r="B2460" s="225"/>
    </row>
    <row r="2461" spans="2:2" ht="14.65" customHeight="1" x14ac:dyDescent="0.2">
      <c r="B2461" s="225"/>
    </row>
    <row r="2462" spans="2:2" ht="14.65" customHeight="1" x14ac:dyDescent="0.2">
      <c r="B2462" s="225"/>
    </row>
    <row r="2463" spans="2:2" ht="14.65" customHeight="1" x14ac:dyDescent="0.2">
      <c r="B2463" s="225"/>
    </row>
    <row r="2464" spans="2:2" ht="14.65" customHeight="1" x14ac:dyDescent="0.2">
      <c r="B2464" s="225"/>
    </row>
    <row r="2465" spans="2:2" ht="14.65" customHeight="1" x14ac:dyDescent="0.2">
      <c r="B2465" s="225"/>
    </row>
    <row r="2466" spans="2:2" ht="14.65" customHeight="1" x14ac:dyDescent="0.2">
      <c r="B2466" s="225"/>
    </row>
    <row r="2467" spans="2:2" ht="14.65" customHeight="1" x14ac:dyDescent="0.2">
      <c r="B2467" s="225"/>
    </row>
    <row r="2468" spans="2:2" ht="14.65" customHeight="1" x14ac:dyDescent="0.2">
      <c r="B2468" s="225"/>
    </row>
    <row r="2469" spans="2:2" ht="14.65" customHeight="1" x14ac:dyDescent="0.2">
      <c r="B2469" s="225"/>
    </row>
    <row r="2470" spans="2:2" ht="14.65" customHeight="1" x14ac:dyDescent="0.2">
      <c r="B2470" s="225"/>
    </row>
    <row r="2471" spans="2:2" ht="14.65" customHeight="1" x14ac:dyDescent="0.2">
      <c r="B2471" s="225"/>
    </row>
    <row r="2472" spans="2:2" ht="14.65" customHeight="1" x14ac:dyDescent="0.2">
      <c r="B2472" s="225"/>
    </row>
    <row r="2473" spans="2:2" ht="14.65" customHeight="1" x14ac:dyDescent="0.2">
      <c r="B2473" s="225"/>
    </row>
    <row r="2474" spans="2:2" ht="14.65" customHeight="1" x14ac:dyDescent="0.2">
      <c r="B2474" s="225"/>
    </row>
    <row r="2475" spans="2:2" ht="14.65" customHeight="1" x14ac:dyDescent="0.2">
      <c r="B2475" s="225"/>
    </row>
    <row r="2476" spans="2:2" ht="14.65" customHeight="1" x14ac:dyDescent="0.2">
      <c r="B2476" s="225"/>
    </row>
    <row r="2477" spans="2:2" ht="14.65" customHeight="1" x14ac:dyDescent="0.2">
      <c r="B2477" s="225"/>
    </row>
    <row r="2478" spans="2:2" ht="14.65" customHeight="1" x14ac:dyDescent="0.2">
      <c r="B2478" s="225"/>
    </row>
    <row r="2479" spans="2:2" ht="14.65" customHeight="1" x14ac:dyDescent="0.2">
      <c r="B2479" s="225"/>
    </row>
    <row r="2480" spans="2:2" ht="14.65" customHeight="1" x14ac:dyDescent="0.2">
      <c r="B2480" s="225"/>
    </row>
    <row r="2481" spans="2:2" ht="14.65" customHeight="1" x14ac:dyDescent="0.2">
      <c r="B2481" s="225"/>
    </row>
    <row r="2482" spans="2:2" ht="14.65" customHeight="1" x14ac:dyDescent="0.2">
      <c r="B2482" s="225"/>
    </row>
    <row r="2483" spans="2:2" ht="14.65" customHeight="1" x14ac:dyDescent="0.2">
      <c r="B2483" s="225"/>
    </row>
    <row r="2484" spans="2:2" ht="14.65" customHeight="1" x14ac:dyDescent="0.2">
      <c r="B2484" s="225"/>
    </row>
    <row r="2485" spans="2:2" ht="14.65" customHeight="1" x14ac:dyDescent="0.2">
      <c r="B2485" s="225"/>
    </row>
    <row r="2486" spans="2:2" ht="14.65" customHeight="1" x14ac:dyDescent="0.2">
      <c r="B2486" s="225"/>
    </row>
    <row r="2487" spans="2:2" ht="14.65" customHeight="1" x14ac:dyDescent="0.2">
      <c r="B2487" s="225"/>
    </row>
    <row r="2488" spans="2:2" ht="14.65" customHeight="1" x14ac:dyDescent="0.2">
      <c r="B2488" s="225"/>
    </row>
    <row r="2489" spans="2:2" ht="14.65" customHeight="1" x14ac:dyDescent="0.2">
      <c r="B2489" s="225"/>
    </row>
    <row r="2490" spans="2:2" ht="14.65" customHeight="1" x14ac:dyDescent="0.2">
      <c r="B2490" s="225"/>
    </row>
    <row r="2491" spans="2:2" ht="14.65" customHeight="1" x14ac:dyDescent="0.2">
      <c r="B2491" s="225"/>
    </row>
    <row r="2492" spans="2:2" ht="14.65" customHeight="1" x14ac:dyDescent="0.2">
      <c r="B2492" s="225"/>
    </row>
    <row r="2493" spans="2:2" ht="14.65" customHeight="1" x14ac:dyDescent="0.2">
      <c r="B2493" s="225"/>
    </row>
    <row r="2494" spans="2:2" ht="14.65" customHeight="1" x14ac:dyDescent="0.2">
      <c r="B2494" s="225"/>
    </row>
    <row r="2495" spans="2:2" ht="14.65" customHeight="1" x14ac:dyDescent="0.2">
      <c r="B2495" s="225"/>
    </row>
    <row r="2496" spans="2:2" ht="14.65" customHeight="1" x14ac:dyDescent="0.2">
      <c r="B2496" s="225"/>
    </row>
    <row r="2497" spans="2:2" ht="14.65" customHeight="1" x14ac:dyDescent="0.2">
      <c r="B2497" s="225"/>
    </row>
    <row r="2498" spans="2:2" ht="14.65" customHeight="1" x14ac:dyDescent="0.2">
      <c r="B2498" s="225"/>
    </row>
    <row r="2499" spans="2:2" ht="14.65" customHeight="1" x14ac:dyDescent="0.2">
      <c r="B2499" s="225"/>
    </row>
    <row r="2500" spans="2:2" ht="14.65" customHeight="1" x14ac:dyDescent="0.2">
      <c r="B2500" s="225"/>
    </row>
    <row r="2501" spans="2:2" ht="14.65" customHeight="1" x14ac:dyDescent="0.2">
      <c r="B2501" s="225"/>
    </row>
    <row r="2502" spans="2:2" ht="14.65" customHeight="1" x14ac:dyDescent="0.2">
      <c r="B2502" s="225"/>
    </row>
    <row r="2503" spans="2:2" ht="14.65" customHeight="1" x14ac:dyDescent="0.2">
      <c r="B2503" s="225"/>
    </row>
    <row r="2504" spans="2:2" ht="14.65" customHeight="1" x14ac:dyDescent="0.2">
      <c r="B2504" s="225"/>
    </row>
    <row r="2505" spans="2:2" ht="14.65" customHeight="1" x14ac:dyDescent="0.2">
      <c r="B2505" s="225"/>
    </row>
    <row r="2506" spans="2:2" ht="14.65" customHeight="1" x14ac:dyDescent="0.2">
      <c r="B2506" s="225"/>
    </row>
    <row r="2507" spans="2:2" ht="14.65" customHeight="1" x14ac:dyDescent="0.2">
      <c r="B2507" s="225"/>
    </row>
    <row r="2508" spans="2:2" ht="14.65" customHeight="1" x14ac:dyDescent="0.2">
      <c r="B2508" s="225"/>
    </row>
    <row r="2509" spans="2:2" ht="14.65" customHeight="1" x14ac:dyDescent="0.2">
      <c r="B2509" s="225"/>
    </row>
    <row r="2510" spans="2:2" ht="14.65" customHeight="1" x14ac:dyDescent="0.2">
      <c r="B2510" s="225"/>
    </row>
    <row r="2511" spans="2:2" ht="14.65" customHeight="1" x14ac:dyDescent="0.2">
      <c r="B2511" s="225"/>
    </row>
    <row r="2512" spans="2:2" ht="14.65" customHeight="1" x14ac:dyDescent="0.2">
      <c r="B2512" s="225"/>
    </row>
    <row r="2513" spans="2:2" ht="14.65" customHeight="1" x14ac:dyDescent="0.2">
      <c r="B2513" s="225"/>
    </row>
    <row r="2514" spans="2:2" ht="14.65" customHeight="1" x14ac:dyDescent="0.2">
      <c r="B2514" s="225"/>
    </row>
    <row r="2515" spans="2:2" ht="14.65" customHeight="1" x14ac:dyDescent="0.2">
      <c r="B2515" s="225"/>
    </row>
    <row r="2516" spans="2:2" ht="14.65" customHeight="1" x14ac:dyDescent="0.2">
      <c r="B2516" s="225"/>
    </row>
    <row r="2517" spans="2:2" ht="14.65" customHeight="1" x14ac:dyDescent="0.2">
      <c r="B2517" s="225"/>
    </row>
    <row r="2518" spans="2:2" ht="14.65" customHeight="1" x14ac:dyDescent="0.2">
      <c r="B2518" s="225"/>
    </row>
    <row r="2519" spans="2:2" ht="14.65" customHeight="1" x14ac:dyDescent="0.2">
      <c r="B2519" s="225"/>
    </row>
    <row r="2520" spans="2:2" ht="14.65" customHeight="1" x14ac:dyDescent="0.2">
      <c r="B2520" s="225"/>
    </row>
    <row r="2521" spans="2:2" ht="14.65" customHeight="1" x14ac:dyDescent="0.2">
      <c r="B2521" s="225"/>
    </row>
    <row r="2522" spans="2:2" ht="14.65" customHeight="1" x14ac:dyDescent="0.2">
      <c r="B2522" s="225"/>
    </row>
    <row r="2523" spans="2:2" ht="14.65" customHeight="1" x14ac:dyDescent="0.2">
      <c r="B2523" s="225"/>
    </row>
    <row r="2524" spans="2:2" ht="14.65" customHeight="1" x14ac:dyDescent="0.2">
      <c r="B2524" s="225"/>
    </row>
    <row r="2525" spans="2:2" ht="14.65" customHeight="1" x14ac:dyDescent="0.2">
      <c r="B2525" s="225"/>
    </row>
    <row r="2526" spans="2:2" ht="14.65" customHeight="1" x14ac:dyDescent="0.2">
      <c r="B2526" s="225"/>
    </row>
    <row r="2527" spans="2:2" ht="14.65" customHeight="1" x14ac:dyDescent="0.2">
      <c r="B2527" s="225"/>
    </row>
    <row r="2528" spans="2:2" ht="14.65" customHeight="1" x14ac:dyDescent="0.2">
      <c r="B2528" s="225"/>
    </row>
    <row r="2529" spans="2:2" ht="14.65" customHeight="1" x14ac:dyDescent="0.2">
      <c r="B2529" s="225"/>
    </row>
    <row r="2530" spans="2:2" ht="14.65" customHeight="1" x14ac:dyDescent="0.2">
      <c r="B2530" s="225"/>
    </row>
    <row r="2531" spans="2:2" ht="14.65" customHeight="1" x14ac:dyDescent="0.2">
      <c r="B2531" s="225"/>
    </row>
    <row r="2532" spans="2:2" ht="14.65" customHeight="1" x14ac:dyDescent="0.2">
      <c r="B2532" s="225"/>
    </row>
    <row r="2533" spans="2:2" ht="14.65" customHeight="1" x14ac:dyDescent="0.2">
      <c r="B2533" s="225"/>
    </row>
    <row r="2534" spans="2:2" ht="14.65" customHeight="1" x14ac:dyDescent="0.2">
      <c r="B2534" s="225"/>
    </row>
    <row r="2535" spans="2:2" ht="14.65" customHeight="1" x14ac:dyDescent="0.2">
      <c r="B2535" s="225"/>
    </row>
    <row r="2536" spans="2:2" ht="14.65" customHeight="1" x14ac:dyDescent="0.2">
      <c r="B2536" s="225"/>
    </row>
    <row r="2537" spans="2:2" ht="14.65" customHeight="1" x14ac:dyDescent="0.2">
      <c r="B2537" s="225"/>
    </row>
    <row r="2538" spans="2:2" ht="14.65" customHeight="1" x14ac:dyDescent="0.2">
      <c r="B2538" s="225"/>
    </row>
    <row r="2539" spans="2:2" ht="14.65" customHeight="1" x14ac:dyDescent="0.2">
      <c r="B2539" s="225"/>
    </row>
    <row r="2540" spans="2:2" ht="14.65" customHeight="1" x14ac:dyDescent="0.2">
      <c r="B2540" s="225"/>
    </row>
    <row r="2541" spans="2:2" ht="14.65" customHeight="1" x14ac:dyDescent="0.2">
      <c r="B2541" s="225"/>
    </row>
    <row r="2542" spans="2:2" ht="14.65" customHeight="1" x14ac:dyDescent="0.2">
      <c r="B2542" s="225"/>
    </row>
    <row r="2543" spans="2:2" ht="14.65" customHeight="1" x14ac:dyDescent="0.2">
      <c r="B2543" s="225"/>
    </row>
    <row r="2544" spans="2:2" ht="14.65" customHeight="1" x14ac:dyDescent="0.2">
      <c r="B2544" s="225"/>
    </row>
    <row r="2545" spans="2:2" ht="14.65" customHeight="1" x14ac:dyDescent="0.2">
      <c r="B2545" s="225"/>
    </row>
    <row r="2546" spans="2:2" ht="14.65" customHeight="1" x14ac:dyDescent="0.2">
      <c r="B2546" s="225"/>
    </row>
    <row r="2547" spans="2:2" ht="14.65" customHeight="1" x14ac:dyDescent="0.2">
      <c r="B2547" s="225"/>
    </row>
    <row r="2548" spans="2:2" ht="14.65" customHeight="1" x14ac:dyDescent="0.2">
      <c r="B2548" s="225"/>
    </row>
    <row r="2549" spans="2:2" ht="14.65" customHeight="1" x14ac:dyDescent="0.2">
      <c r="B2549" s="225"/>
    </row>
    <row r="2550" spans="2:2" ht="14.65" customHeight="1" x14ac:dyDescent="0.2">
      <c r="B2550" s="225"/>
    </row>
    <row r="2551" spans="2:2" ht="14.65" customHeight="1" x14ac:dyDescent="0.2">
      <c r="B2551" s="225"/>
    </row>
    <row r="2552" spans="2:2" ht="14.65" customHeight="1" x14ac:dyDescent="0.2">
      <c r="B2552" s="225"/>
    </row>
    <row r="2553" spans="2:2" ht="14.65" customHeight="1" x14ac:dyDescent="0.2">
      <c r="B2553" s="225"/>
    </row>
    <row r="2554" spans="2:2" ht="14.65" customHeight="1" x14ac:dyDescent="0.2">
      <c r="B2554" s="225"/>
    </row>
    <row r="2555" spans="2:2" ht="14.65" customHeight="1" x14ac:dyDescent="0.2">
      <c r="B2555" s="225"/>
    </row>
    <row r="2556" spans="2:2" ht="14.65" customHeight="1" x14ac:dyDescent="0.2">
      <c r="B2556" s="225"/>
    </row>
    <row r="2557" spans="2:2" ht="14.65" customHeight="1" x14ac:dyDescent="0.2">
      <c r="B2557" s="225"/>
    </row>
    <row r="2558" spans="2:2" ht="14.65" customHeight="1" x14ac:dyDescent="0.2">
      <c r="B2558" s="225"/>
    </row>
    <row r="2559" spans="2:2" ht="14.65" customHeight="1" x14ac:dyDescent="0.2">
      <c r="B2559" s="225"/>
    </row>
    <row r="2560" spans="2:2" ht="14.65" customHeight="1" x14ac:dyDescent="0.2">
      <c r="B2560" s="225"/>
    </row>
    <row r="2561" spans="2:2" ht="14.65" customHeight="1" x14ac:dyDescent="0.2">
      <c r="B2561" s="225"/>
    </row>
    <row r="2562" spans="2:2" ht="14.65" customHeight="1" x14ac:dyDescent="0.2">
      <c r="B2562" s="225"/>
    </row>
    <row r="2563" spans="2:2" ht="14.65" customHeight="1" x14ac:dyDescent="0.2">
      <c r="B2563" s="225"/>
    </row>
    <row r="2564" spans="2:2" ht="14.65" customHeight="1" x14ac:dyDescent="0.2">
      <c r="B2564" s="225"/>
    </row>
    <row r="2565" spans="2:2" ht="14.65" customHeight="1" x14ac:dyDescent="0.2">
      <c r="B2565" s="225"/>
    </row>
    <row r="2566" spans="2:2" ht="14.65" customHeight="1" x14ac:dyDescent="0.2">
      <c r="B2566" s="225"/>
    </row>
    <row r="2567" spans="2:2" ht="14.65" customHeight="1" x14ac:dyDescent="0.2">
      <c r="B2567" s="225"/>
    </row>
    <row r="2568" spans="2:2" ht="14.65" customHeight="1" x14ac:dyDescent="0.2">
      <c r="B2568" s="225"/>
    </row>
    <row r="2569" spans="2:2" ht="14.65" customHeight="1" x14ac:dyDescent="0.2">
      <c r="B2569" s="225"/>
    </row>
    <row r="2570" spans="2:2" ht="14.65" customHeight="1" x14ac:dyDescent="0.2">
      <c r="B2570" s="225"/>
    </row>
    <row r="2571" spans="2:2" ht="14.65" customHeight="1" x14ac:dyDescent="0.2">
      <c r="B2571" s="225"/>
    </row>
    <row r="2572" spans="2:2" ht="14.65" customHeight="1" x14ac:dyDescent="0.2">
      <c r="B2572" s="225"/>
    </row>
    <row r="2573" spans="2:2" ht="14.65" customHeight="1" x14ac:dyDescent="0.2">
      <c r="B2573" s="225"/>
    </row>
    <row r="2574" spans="2:2" ht="14.65" customHeight="1" x14ac:dyDescent="0.2">
      <c r="B2574" s="225"/>
    </row>
    <row r="2575" spans="2:2" ht="14.65" customHeight="1" x14ac:dyDescent="0.2">
      <c r="B2575" s="225"/>
    </row>
    <row r="2576" spans="2:2" ht="14.65" customHeight="1" x14ac:dyDescent="0.2">
      <c r="B2576" s="225"/>
    </row>
    <row r="2577" spans="2:2" ht="14.65" customHeight="1" x14ac:dyDescent="0.2">
      <c r="B2577" s="225"/>
    </row>
    <row r="2578" spans="2:2" ht="14.65" customHeight="1" x14ac:dyDescent="0.2">
      <c r="B2578" s="225"/>
    </row>
    <row r="2579" spans="2:2" ht="14.65" customHeight="1" x14ac:dyDescent="0.2">
      <c r="B2579" s="225"/>
    </row>
    <row r="2580" spans="2:2" ht="14.65" customHeight="1" x14ac:dyDescent="0.2">
      <c r="B2580" s="225"/>
    </row>
    <row r="2581" spans="2:2" ht="14.65" customHeight="1" x14ac:dyDescent="0.2">
      <c r="B2581" s="225"/>
    </row>
    <row r="2582" spans="2:2" ht="14.65" customHeight="1" x14ac:dyDescent="0.2">
      <c r="B2582" s="225"/>
    </row>
    <row r="2583" spans="2:2" ht="14.65" customHeight="1" x14ac:dyDescent="0.2">
      <c r="B2583" s="225"/>
    </row>
    <row r="2584" spans="2:2" ht="14.65" customHeight="1" x14ac:dyDescent="0.2">
      <c r="B2584" s="225"/>
    </row>
    <row r="2585" spans="2:2" ht="14.65" customHeight="1" x14ac:dyDescent="0.2">
      <c r="B2585" s="225"/>
    </row>
    <row r="2586" spans="2:2" ht="14.65" customHeight="1" x14ac:dyDescent="0.2">
      <c r="B2586" s="225"/>
    </row>
    <row r="2587" spans="2:2" ht="14.65" customHeight="1" x14ac:dyDescent="0.2">
      <c r="B2587" s="225"/>
    </row>
    <row r="2588" spans="2:2" ht="14.65" customHeight="1" x14ac:dyDescent="0.2">
      <c r="B2588" s="225"/>
    </row>
    <row r="2589" spans="2:2" ht="14.65" customHeight="1" x14ac:dyDescent="0.2">
      <c r="B2589" s="225"/>
    </row>
    <row r="2590" spans="2:2" ht="14.65" customHeight="1" x14ac:dyDescent="0.2">
      <c r="B2590" s="225"/>
    </row>
    <row r="2591" spans="2:2" ht="14.65" customHeight="1" x14ac:dyDescent="0.2">
      <c r="B2591" s="225"/>
    </row>
    <row r="2592" spans="2:2" ht="14.65" customHeight="1" x14ac:dyDescent="0.2">
      <c r="B2592" s="225"/>
    </row>
    <row r="2593" spans="2:2" ht="14.65" customHeight="1" x14ac:dyDescent="0.2">
      <c r="B2593" s="225"/>
    </row>
    <row r="2594" spans="2:2" ht="14.65" customHeight="1" x14ac:dyDescent="0.2">
      <c r="B2594" s="225"/>
    </row>
    <row r="2595" spans="2:2" ht="14.65" customHeight="1" x14ac:dyDescent="0.2">
      <c r="B2595" s="225"/>
    </row>
    <row r="2596" spans="2:2" ht="14.65" customHeight="1" x14ac:dyDescent="0.2">
      <c r="B2596" s="225"/>
    </row>
    <row r="2597" spans="2:2" ht="14.65" customHeight="1" x14ac:dyDescent="0.2">
      <c r="B2597" s="225"/>
    </row>
    <row r="2598" spans="2:2" ht="14.65" customHeight="1" x14ac:dyDescent="0.2">
      <c r="B2598" s="225"/>
    </row>
    <row r="2599" spans="2:2" ht="14.65" customHeight="1" x14ac:dyDescent="0.2">
      <c r="B2599" s="225"/>
    </row>
    <row r="2600" spans="2:2" ht="14.65" customHeight="1" x14ac:dyDescent="0.2">
      <c r="B2600" s="225"/>
    </row>
    <row r="2601" spans="2:2" ht="14.65" customHeight="1" x14ac:dyDescent="0.2">
      <c r="B2601" s="225"/>
    </row>
    <row r="2602" spans="2:2" ht="14.65" customHeight="1" x14ac:dyDescent="0.2">
      <c r="B2602" s="225"/>
    </row>
    <row r="2603" spans="2:2" ht="14.65" customHeight="1" x14ac:dyDescent="0.2">
      <c r="B2603" s="225"/>
    </row>
    <row r="2604" spans="2:2" ht="14.65" customHeight="1" x14ac:dyDescent="0.2">
      <c r="B2604" s="225"/>
    </row>
    <row r="2605" spans="2:2" ht="14.65" customHeight="1" x14ac:dyDescent="0.2">
      <c r="B2605" s="225"/>
    </row>
    <row r="2606" spans="2:2" ht="14.65" customHeight="1" x14ac:dyDescent="0.2">
      <c r="B2606" s="225"/>
    </row>
    <row r="2607" spans="2:2" ht="14.65" customHeight="1" x14ac:dyDescent="0.2">
      <c r="B2607" s="225"/>
    </row>
    <row r="2608" spans="2:2" ht="14.65" customHeight="1" x14ac:dyDescent="0.2">
      <c r="B2608" s="225"/>
    </row>
    <row r="2609" spans="2:2" ht="14.65" customHeight="1" x14ac:dyDescent="0.2">
      <c r="B2609" s="225"/>
    </row>
    <row r="2610" spans="2:2" ht="14.65" customHeight="1" x14ac:dyDescent="0.2">
      <c r="B2610" s="225"/>
    </row>
    <row r="2611" spans="2:2" ht="14.65" customHeight="1" x14ac:dyDescent="0.2">
      <c r="B2611" s="225"/>
    </row>
    <row r="2612" spans="2:2" ht="14.65" customHeight="1" x14ac:dyDescent="0.2">
      <c r="B2612" s="225"/>
    </row>
    <row r="2613" spans="2:2" ht="14.65" customHeight="1" x14ac:dyDescent="0.2">
      <c r="B2613" s="225"/>
    </row>
    <row r="2614" spans="2:2" ht="14.65" customHeight="1" x14ac:dyDescent="0.2">
      <c r="B2614" s="225"/>
    </row>
    <row r="2615" spans="2:2" ht="14.65" customHeight="1" x14ac:dyDescent="0.2">
      <c r="B2615" s="225"/>
    </row>
    <row r="2616" spans="2:2" ht="14.65" customHeight="1" x14ac:dyDescent="0.2">
      <c r="B2616" s="225"/>
    </row>
    <row r="2617" spans="2:2" ht="14.65" customHeight="1" x14ac:dyDescent="0.2">
      <c r="B2617" s="225"/>
    </row>
    <row r="2618" spans="2:2" ht="14.65" customHeight="1" x14ac:dyDescent="0.2">
      <c r="B2618" s="225"/>
    </row>
    <row r="2619" spans="2:2" ht="14.65" customHeight="1" x14ac:dyDescent="0.2">
      <c r="B2619" s="225"/>
    </row>
    <row r="2620" spans="2:2" ht="14.65" customHeight="1" x14ac:dyDescent="0.2">
      <c r="B2620" s="225"/>
    </row>
    <row r="2621" spans="2:2" ht="14.65" customHeight="1" x14ac:dyDescent="0.2">
      <c r="B2621" s="225"/>
    </row>
    <row r="2622" spans="2:2" ht="14.65" customHeight="1" x14ac:dyDescent="0.2">
      <c r="B2622" s="225"/>
    </row>
    <row r="2623" spans="2:2" ht="14.65" customHeight="1" x14ac:dyDescent="0.2">
      <c r="B2623" s="225"/>
    </row>
    <row r="2624" spans="2:2" ht="14.65" customHeight="1" x14ac:dyDescent="0.2">
      <c r="B2624" s="225"/>
    </row>
    <row r="2625" spans="2:2" ht="14.65" customHeight="1" x14ac:dyDescent="0.2">
      <c r="B2625" s="225"/>
    </row>
    <row r="2626" spans="2:2" ht="14.65" customHeight="1" x14ac:dyDescent="0.2">
      <c r="B2626" s="225"/>
    </row>
    <row r="2627" spans="2:2" ht="14.65" customHeight="1" x14ac:dyDescent="0.2">
      <c r="B2627" s="225"/>
    </row>
    <row r="2628" spans="2:2" ht="14.65" customHeight="1" x14ac:dyDescent="0.2">
      <c r="B2628" s="225"/>
    </row>
    <row r="2629" spans="2:2" ht="14.65" customHeight="1" x14ac:dyDescent="0.2">
      <c r="B2629" s="225"/>
    </row>
    <row r="2630" spans="2:2" ht="14.65" customHeight="1" x14ac:dyDescent="0.2">
      <c r="B2630" s="225"/>
    </row>
    <row r="2631" spans="2:2" ht="14.65" customHeight="1" x14ac:dyDescent="0.2">
      <c r="B2631" s="225"/>
    </row>
    <row r="2632" spans="2:2" ht="14.65" customHeight="1" x14ac:dyDescent="0.2">
      <c r="B2632" s="225"/>
    </row>
    <row r="2633" spans="2:2" ht="14.65" customHeight="1" x14ac:dyDescent="0.2">
      <c r="B2633" s="225"/>
    </row>
    <row r="2634" spans="2:2" ht="14.65" customHeight="1" x14ac:dyDescent="0.2">
      <c r="B2634" s="225"/>
    </row>
    <row r="2635" spans="2:2" ht="14.65" customHeight="1" x14ac:dyDescent="0.2">
      <c r="B2635" s="225"/>
    </row>
    <row r="2636" spans="2:2" ht="14.65" customHeight="1" x14ac:dyDescent="0.2">
      <c r="B2636" s="225"/>
    </row>
    <row r="2637" spans="2:2" ht="14.65" customHeight="1" x14ac:dyDescent="0.2">
      <c r="B2637" s="225"/>
    </row>
    <row r="2638" spans="2:2" ht="14.65" customHeight="1" x14ac:dyDescent="0.2">
      <c r="B2638" s="225"/>
    </row>
    <row r="2639" spans="2:2" ht="14.65" customHeight="1" x14ac:dyDescent="0.2">
      <c r="B2639" s="225"/>
    </row>
    <row r="2640" spans="2:2" ht="14.65" customHeight="1" x14ac:dyDescent="0.2">
      <c r="B2640" s="225"/>
    </row>
    <row r="2641" spans="2:2" ht="14.65" customHeight="1" x14ac:dyDescent="0.2">
      <c r="B2641" s="225"/>
    </row>
    <row r="2642" spans="2:2" ht="14.65" customHeight="1" x14ac:dyDescent="0.2">
      <c r="B2642" s="225"/>
    </row>
    <row r="2643" spans="2:2" ht="14.65" customHeight="1" x14ac:dyDescent="0.2">
      <c r="B2643" s="225"/>
    </row>
    <row r="2644" spans="2:2" ht="14.65" customHeight="1" x14ac:dyDescent="0.2">
      <c r="B2644" s="225"/>
    </row>
    <row r="2645" spans="2:2" ht="14.65" customHeight="1" x14ac:dyDescent="0.2">
      <c r="B2645" s="225"/>
    </row>
    <row r="2646" spans="2:2" ht="14.65" customHeight="1" x14ac:dyDescent="0.2">
      <c r="B2646" s="225"/>
    </row>
    <row r="2647" spans="2:2" ht="14.65" customHeight="1" x14ac:dyDescent="0.2">
      <c r="B2647" s="225"/>
    </row>
    <row r="2648" spans="2:2" ht="14.65" customHeight="1" x14ac:dyDescent="0.2">
      <c r="B2648" s="225"/>
    </row>
    <row r="2649" spans="2:2" ht="14.65" customHeight="1" x14ac:dyDescent="0.2">
      <c r="B2649" s="225"/>
    </row>
    <row r="2650" spans="2:2" ht="14.65" customHeight="1" x14ac:dyDescent="0.2">
      <c r="B2650" s="225"/>
    </row>
    <row r="2651" spans="2:2" ht="14.65" customHeight="1" x14ac:dyDescent="0.2">
      <c r="B2651" s="225"/>
    </row>
    <row r="2652" spans="2:2" ht="14.65" customHeight="1" x14ac:dyDescent="0.2">
      <c r="B2652" s="225"/>
    </row>
    <row r="2653" spans="2:2" ht="14.65" customHeight="1" x14ac:dyDescent="0.2">
      <c r="B2653" s="225"/>
    </row>
    <row r="2654" spans="2:2" ht="14.65" customHeight="1" x14ac:dyDescent="0.2">
      <c r="B2654" s="225"/>
    </row>
    <row r="2655" spans="2:2" ht="14.65" customHeight="1" x14ac:dyDescent="0.2">
      <c r="B2655" s="225"/>
    </row>
    <row r="2656" spans="2:2" ht="14.65" customHeight="1" x14ac:dyDescent="0.2">
      <c r="B2656" s="225"/>
    </row>
    <row r="2657" spans="2:2" ht="14.65" customHeight="1" x14ac:dyDescent="0.2">
      <c r="B2657" s="225"/>
    </row>
    <row r="2658" spans="2:2" ht="14.65" customHeight="1" x14ac:dyDescent="0.2">
      <c r="B2658" s="225"/>
    </row>
    <row r="2659" spans="2:2" ht="14.65" customHeight="1" x14ac:dyDescent="0.2">
      <c r="B2659" s="225"/>
    </row>
    <row r="2660" spans="2:2" ht="14.65" customHeight="1" x14ac:dyDescent="0.2">
      <c r="B2660" s="225"/>
    </row>
    <row r="2661" spans="2:2" ht="14.65" customHeight="1" x14ac:dyDescent="0.2">
      <c r="B2661" s="225"/>
    </row>
    <row r="2662" spans="2:2" ht="14.65" customHeight="1" x14ac:dyDescent="0.2">
      <c r="B2662" s="225"/>
    </row>
    <row r="2663" spans="2:2" ht="14.65" customHeight="1" x14ac:dyDescent="0.2">
      <c r="B2663" s="225"/>
    </row>
    <row r="2664" spans="2:2" ht="14.65" customHeight="1" x14ac:dyDescent="0.2">
      <c r="B2664" s="225"/>
    </row>
    <row r="2665" spans="2:2" ht="14.65" customHeight="1" x14ac:dyDescent="0.2">
      <c r="B2665" s="225"/>
    </row>
    <row r="2666" spans="2:2" ht="14.65" customHeight="1" x14ac:dyDescent="0.2">
      <c r="B2666" s="225"/>
    </row>
    <row r="2667" spans="2:2" ht="14.65" customHeight="1" x14ac:dyDescent="0.2">
      <c r="B2667" s="225"/>
    </row>
    <row r="2668" spans="2:2" ht="14.65" customHeight="1" x14ac:dyDescent="0.2">
      <c r="B2668" s="225"/>
    </row>
    <row r="2669" spans="2:2" ht="14.65" customHeight="1" x14ac:dyDescent="0.2">
      <c r="B2669" s="225"/>
    </row>
    <row r="2670" spans="2:2" ht="14.65" customHeight="1" x14ac:dyDescent="0.2">
      <c r="B2670" s="225"/>
    </row>
    <row r="2671" spans="2:2" ht="14.65" customHeight="1" x14ac:dyDescent="0.2">
      <c r="B2671" s="225"/>
    </row>
    <row r="2672" spans="2:2" ht="14.65" customHeight="1" x14ac:dyDescent="0.2">
      <c r="B2672" s="225"/>
    </row>
    <row r="2673" spans="2:2" ht="14.65" customHeight="1" x14ac:dyDescent="0.2">
      <c r="B2673" s="225"/>
    </row>
    <row r="2674" spans="2:2" ht="14.65" customHeight="1" x14ac:dyDescent="0.2">
      <c r="B2674" s="225"/>
    </row>
    <row r="2675" spans="2:2" ht="14.65" customHeight="1" x14ac:dyDescent="0.2">
      <c r="B2675" s="225"/>
    </row>
    <row r="2676" spans="2:2" ht="14.65" customHeight="1" x14ac:dyDescent="0.2">
      <c r="B2676" s="225"/>
    </row>
    <row r="2677" spans="2:2" ht="14.65" customHeight="1" x14ac:dyDescent="0.2">
      <c r="B2677" s="225"/>
    </row>
    <row r="2678" spans="2:2" ht="14.65" customHeight="1" x14ac:dyDescent="0.2">
      <c r="B2678" s="225"/>
    </row>
    <row r="2679" spans="2:2" ht="14.65" customHeight="1" x14ac:dyDescent="0.2">
      <c r="B2679" s="225"/>
    </row>
    <row r="2680" spans="2:2" ht="14.65" customHeight="1" x14ac:dyDescent="0.2">
      <c r="B2680" s="225"/>
    </row>
    <row r="2681" spans="2:2" ht="14.65" customHeight="1" x14ac:dyDescent="0.2">
      <c r="B2681" s="225"/>
    </row>
    <row r="2682" spans="2:2" ht="14.65" customHeight="1" x14ac:dyDescent="0.2">
      <c r="B2682" s="225"/>
    </row>
    <row r="2683" spans="2:2" ht="14.65" customHeight="1" x14ac:dyDescent="0.2">
      <c r="B2683" s="225"/>
    </row>
    <row r="2684" spans="2:2" ht="14.65" customHeight="1" x14ac:dyDescent="0.2">
      <c r="B2684" s="225"/>
    </row>
    <row r="2685" spans="2:2" ht="14.65" customHeight="1" x14ac:dyDescent="0.2">
      <c r="B2685" s="225"/>
    </row>
    <row r="2686" spans="2:2" ht="14.65" customHeight="1" x14ac:dyDescent="0.2">
      <c r="B2686" s="225"/>
    </row>
    <row r="2687" spans="2:2" ht="14.65" customHeight="1" x14ac:dyDescent="0.2">
      <c r="B2687" s="225"/>
    </row>
    <row r="2688" spans="2:2" ht="14.65" customHeight="1" x14ac:dyDescent="0.2">
      <c r="B2688" s="225"/>
    </row>
    <row r="2689" spans="2:2" ht="14.65" customHeight="1" x14ac:dyDescent="0.2">
      <c r="B2689" s="225"/>
    </row>
    <row r="2690" spans="2:2" ht="14.65" customHeight="1" x14ac:dyDescent="0.2">
      <c r="B2690" s="225"/>
    </row>
    <row r="2691" spans="2:2" ht="14.65" customHeight="1" x14ac:dyDescent="0.2">
      <c r="B2691" s="225"/>
    </row>
    <row r="2692" spans="2:2" ht="14.65" customHeight="1" x14ac:dyDescent="0.2">
      <c r="B2692" s="225"/>
    </row>
    <row r="2693" spans="2:2" ht="14.65" customHeight="1" x14ac:dyDescent="0.2">
      <c r="B2693" s="225"/>
    </row>
    <row r="2694" spans="2:2" ht="14.65" customHeight="1" x14ac:dyDescent="0.2">
      <c r="B2694" s="225"/>
    </row>
    <row r="2695" spans="2:2" ht="14.65" customHeight="1" x14ac:dyDescent="0.2">
      <c r="B2695" s="225"/>
    </row>
    <row r="2696" spans="2:2" ht="14.65" customHeight="1" x14ac:dyDescent="0.2">
      <c r="B2696" s="225"/>
    </row>
    <row r="2697" spans="2:2" ht="14.65" customHeight="1" x14ac:dyDescent="0.2">
      <c r="B2697" s="225"/>
    </row>
    <row r="2698" spans="2:2" ht="14.65" customHeight="1" x14ac:dyDescent="0.2">
      <c r="B2698" s="225"/>
    </row>
    <row r="2699" spans="2:2" ht="14.65" customHeight="1" x14ac:dyDescent="0.2">
      <c r="B2699" s="225"/>
    </row>
    <row r="2700" spans="2:2" ht="14.65" customHeight="1" x14ac:dyDescent="0.2">
      <c r="B2700" s="225"/>
    </row>
    <row r="2701" spans="2:2" ht="14.65" customHeight="1" x14ac:dyDescent="0.2">
      <c r="B2701" s="225"/>
    </row>
    <row r="2702" spans="2:2" ht="14.65" customHeight="1" x14ac:dyDescent="0.2">
      <c r="B2702" s="225"/>
    </row>
    <row r="2703" spans="2:2" ht="14.65" customHeight="1" x14ac:dyDescent="0.2">
      <c r="B2703" s="225"/>
    </row>
    <row r="2704" spans="2:2" ht="14.65" customHeight="1" x14ac:dyDescent="0.2">
      <c r="B2704" s="225"/>
    </row>
    <row r="2705" spans="2:2" ht="14.65" customHeight="1" x14ac:dyDescent="0.2">
      <c r="B2705" s="225"/>
    </row>
    <row r="2706" spans="2:2" ht="14.65" customHeight="1" x14ac:dyDescent="0.2">
      <c r="B2706" s="225"/>
    </row>
    <row r="2707" spans="2:2" ht="14.65" customHeight="1" x14ac:dyDescent="0.2">
      <c r="B2707" s="225"/>
    </row>
    <row r="2708" spans="2:2" ht="14.65" customHeight="1" x14ac:dyDescent="0.2">
      <c r="B2708" s="225"/>
    </row>
    <row r="2709" spans="2:2" ht="14.65" customHeight="1" x14ac:dyDescent="0.2">
      <c r="B2709" s="225"/>
    </row>
    <row r="2710" spans="2:2" ht="14.65" customHeight="1" x14ac:dyDescent="0.2">
      <c r="B2710" s="225"/>
    </row>
    <row r="2711" spans="2:2" ht="14.65" customHeight="1" x14ac:dyDescent="0.2">
      <c r="B2711" s="225"/>
    </row>
    <row r="2712" spans="2:2" ht="14.65" customHeight="1" x14ac:dyDescent="0.2">
      <c r="B2712" s="225"/>
    </row>
    <row r="2713" spans="2:2" ht="14.65" customHeight="1" x14ac:dyDescent="0.2">
      <c r="B2713" s="225"/>
    </row>
    <row r="2714" spans="2:2" ht="14.65" customHeight="1" x14ac:dyDescent="0.2">
      <c r="B2714" s="225"/>
    </row>
    <row r="2715" spans="2:2" ht="14.65" customHeight="1" x14ac:dyDescent="0.2">
      <c r="B2715" s="225"/>
    </row>
    <row r="2716" spans="2:2" ht="14.65" customHeight="1" x14ac:dyDescent="0.2">
      <c r="B2716" s="225"/>
    </row>
    <row r="2717" spans="2:2" ht="14.65" customHeight="1" x14ac:dyDescent="0.2">
      <c r="B2717" s="225"/>
    </row>
    <row r="2718" spans="2:2" ht="14.65" customHeight="1" x14ac:dyDescent="0.2">
      <c r="B2718" s="225"/>
    </row>
    <row r="2719" spans="2:2" ht="14.65" customHeight="1" x14ac:dyDescent="0.2">
      <c r="B2719" s="225"/>
    </row>
    <row r="2720" spans="2:2" ht="14.65" customHeight="1" x14ac:dyDescent="0.2">
      <c r="B2720" s="225"/>
    </row>
    <row r="2721" spans="2:2" ht="14.65" customHeight="1" x14ac:dyDescent="0.2">
      <c r="B2721" s="225"/>
    </row>
    <row r="2722" spans="2:2" ht="14.65" customHeight="1" x14ac:dyDescent="0.2">
      <c r="B2722" s="225"/>
    </row>
    <row r="2723" spans="2:2" ht="14.65" customHeight="1" x14ac:dyDescent="0.2">
      <c r="B2723" s="225"/>
    </row>
    <row r="2724" spans="2:2" ht="14.65" customHeight="1" x14ac:dyDescent="0.2">
      <c r="B2724" s="225"/>
    </row>
    <row r="2725" spans="2:2" ht="14.65" customHeight="1" x14ac:dyDescent="0.2">
      <c r="B2725" s="225"/>
    </row>
    <row r="2726" spans="2:2" ht="14.65" customHeight="1" x14ac:dyDescent="0.2">
      <c r="B2726" s="225"/>
    </row>
    <row r="2727" spans="2:2" ht="14.65" customHeight="1" x14ac:dyDescent="0.2">
      <c r="B2727" s="225"/>
    </row>
    <row r="2728" spans="2:2" ht="14.65" customHeight="1" x14ac:dyDescent="0.2">
      <c r="B2728" s="225"/>
    </row>
    <row r="2729" spans="2:2" ht="14.65" customHeight="1" x14ac:dyDescent="0.2">
      <c r="B2729" s="225"/>
    </row>
    <row r="2730" spans="2:2" ht="14.65" customHeight="1" x14ac:dyDescent="0.2">
      <c r="B2730" s="225"/>
    </row>
    <row r="2731" spans="2:2" ht="14.65" customHeight="1" x14ac:dyDescent="0.2">
      <c r="B2731" s="225"/>
    </row>
    <row r="2732" spans="2:2" ht="14.65" customHeight="1" x14ac:dyDescent="0.2">
      <c r="B2732" s="225"/>
    </row>
    <row r="2733" spans="2:2" ht="14.65" customHeight="1" x14ac:dyDescent="0.2">
      <c r="B2733" s="225"/>
    </row>
    <row r="2734" spans="2:2" ht="14.65" customHeight="1" x14ac:dyDescent="0.2">
      <c r="B2734" s="225"/>
    </row>
    <row r="2735" spans="2:2" ht="14.65" customHeight="1" x14ac:dyDescent="0.2">
      <c r="B2735" s="225"/>
    </row>
    <row r="2736" spans="2:2" ht="14.65" customHeight="1" x14ac:dyDescent="0.2">
      <c r="B2736" s="225"/>
    </row>
    <row r="2737" spans="2:2" ht="14.65" customHeight="1" x14ac:dyDescent="0.2">
      <c r="B2737" s="225"/>
    </row>
    <row r="2738" spans="2:2" ht="14.65" customHeight="1" x14ac:dyDescent="0.2">
      <c r="B2738" s="225"/>
    </row>
    <row r="2739" spans="2:2" ht="14.65" customHeight="1" x14ac:dyDescent="0.2">
      <c r="B2739" s="225"/>
    </row>
    <row r="2740" spans="2:2" ht="14.65" customHeight="1" x14ac:dyDescent="0.2">
      <c r="B2740" s="225"/>
    </row>
    <row r="2741" spans="2:2" ht="14.65" customHeight="1" x14ac:dyDescent="0.2">
      <c r="B2741" s="225"/>
    </row>
    <row r="2742" spans="2:2" ht="14.65" customHeight="1" x14ac:dyDescent="0.2">
      <c r="B2742" s="225"/>
    </row>
    <row r="2743" spans="2:2" ht="14.65" customHeight="1" x14ac:dyDescent="0.2">
      <c r="B2743" s="225"/>
    </row>
    <row r="2744" spans="2:2" ht="14.65" customHeight="1" x14ac:dyDescent="0.2">
      <c r="B2744" s="225"/>
    </row>
    <row r="2745" spans="2:2" ht="14.65" customHeight="1" x14ac:dyDescent="0.2">
      <c r="B2745" s="225"/>
    </row>
    <row r="2746" spans="2:2" ht="14.65" customHeight="1" x14ac:dyDescent="0.2">
      <c r="B2746" s="225"/>
    </row>
    <row r="2747" spans="2:2" ht="14.65" customHeight="1" x14ac:dyDescent="0.2">
      <c r="B2747" s="225"/>
    </row>
    <row r="2748" spans="2:2" ht="14.65" customHeight="1" x14ac:dyDescent="0.2">
      <c r="B2748" s="225"/>
    </row>
    <row r="2749" spans="2:2" ht="14.65" customHeight="1" x14ac:dyDescent="0.2">
      <c r="B2749" s="225"/>
    </row>
    <row r="2750" spans="2:2" ht="14.65" customHeight="1" x14ac:dyDescent="0.2">
      <c r="B2750" s="225"/>
    </row>
    <row r="2751" spans="2:2" ht="14.65" customHeight="1" x14ac:dyDescent="0.2">
      <c r="B2751" s="225"/>
    </row>
    <row r="2752" spans="2:2" ht="14.65" customHeight="1" x14ac:dyDescent="0.2">
      <c r="B2752" s="225"/>
    </row>
    <row r="2753" spans="2:2" ht="14.65" customHeight="1" x14ac:dyDescent="0.2">
      <c r="B2753" s="225"/>
    </row>
    <row r="2754" spans="2:2" ht="14.65" customHeight="1" x14ac:dyDescent="0.2">
      <c r="B2754" s="225"/>
    </row>
    <row r="2755" spans="2:2" ht="14.65" customHeight="1" x14ac:dyDescent="0.2">
      <c r="B2755" s="225"/>
    </row>
    <row r="2756" spans="2:2" ht="14.65" customHeight="1" x14ac:dyDescent="0.2">
      <c r="B2756" s="225"/>
    </row>
    <row r="2757" spans="2:2" ht="14.65" customHeight="1" x14ac:dyDescent="0.2">
      <c r="B2757" s="225"/>
    </row>
    <row r="2758" spans="2:2" ht="14.65" customHeight="1" x14ac:dyDescent="0.2">
      <c r="B2758" s="225"/>
    </row>
    <row r="2759" spans="2:2" ht="14.65" customHeight="1" x14ac:dyDescent="0.2">
      <c r="B2759" s="225"/>
    </row>
    <row r="2760" spans="2:2" ht="14.65" customHeight="1" x14ac:dyDescent="0.2">
      <c r="B2760" s="225"/>
    </row>
    <row r="2761" spans="2:2" ht="14.65" customHeight="1" x14ac:dyDescent="0.2">
      <c r="B2761" s="225"/>
    </row>
    <row r="2762" spans="2:2" ht="14.65" customHeight="1" x14ac:dyDescent="0.2">
      <c r="B2762" s="225"/>
    </row>
    <row r="2763" spans="2:2" ht="14.65" customHeight="1" x14ac:dyDescent="0.2">
      <c r="B2763" s="225"/>
    </row>
    <row r="2764" spans="2:2" ht="14.65" customHeight="1" x14ac:dyDescent="0.2">
      <c r="B2764" s="225"/>
    </row>
    <row r="2765" spans="2:2" ht="14.65" customHeight="1" x14ac:dyDescent="0.2">
      <c r="B2765" s="225"/>
    </row>
    <row r="2766" spans="2:2" ht="14.65" customHeight="1" x14ac:dyDescent="0.2">
      <c r="B2766" s="225"/>
    </row>
    <row r="2767" spans="2:2" ht="14.65" customHeight="1" x14ac:dyDescent="0.2">
      <c r="B2767" s="225"/>
    </row>
    <row r="2768" spans="2:2" ht="14.65" customHeight="1" x14ac:dyDescent="0.2">
      <c r="B2768" s="225"/>
    </row>
    <row r="2769" spans="2:2" ht="14.65" customHeight="1" x14ac:dyDescent="0.2">
      <c r="B2769" s="225"/>
    </row>
    <row r="2770" spans="2:2" ht="14.65" customHeight="1" x14ac:dyDescent="0.2">
      <c r="B2770" s="225"/>
    </row>
    <row r="2771" spans="2:2" ht="14.65" customHeight="1" x14ac:dyDescent="0.2">
      <c r="B2771" s="225"/>
    </row>
    <row r="2772" spans="2:2" ht="14.65" customHeight="1" x14ac:dyDescent="0.2">
      <c r="B2772" s="225"/>
    </row>
    <row r="2773" spans="2:2" ht="14.65" customHeight="1" x14ac:dyDescent="0.2">
      <c r="B2773" s="225"/>
    </row>
    <row r="2774" spans="2:2" ht="14.65" customHeight="1" x14ac:dyDescent="0.2">
      <c r="B2774" s="225"/>
    </row>
    <row r="2775" spans="2:2" ht="14.65" customHeight="1" x14ac:dyDescent="0.2">
      <c r="B2775" s="225"/>
    </row>
    <row r="2776" spans="2:2" ht="14.65" customHeight="1" x14ac:dyDescent="0.2">
      <c r="B2776" s="225"/>
    </row>
    <row r="2777" spans="2:2" ht="14.65" customHeight="1" x14ac:dyDescent="0.2">
      <c r="B2777" s="225"/>
    </row>
    <row r="2778" spans="2:2" ht="14.65" customHeight="1" x14ac:dyDescent="0.2">
      <c r="B2778" s="225"/>
    </row>
    <row r="2779" spans="2:2" ht="14.65" customHeight="1" x14ac:dyDescent="0.2">
      <c r="B2779" s="225"/>
    </row>
    <row r="2780" spans="2:2" ht="14.65" customHeight="1" x14ac:dyDescent="0.2">
      <c r="B2780" s="225"/>
    </row>
    <row r="2781" spans="2:2" ht="14.65" customHeight="1" x14ac:dyDescent="0.2">
      <c r="B2781" s="225"/>
    </row>
    <row r="2782" spans="2:2" ht="14.65" customHeight="1" x14ac:dyDescent="0.2">
      <c r="B2782" s="225"/>
    </row>
    <row r="2783" spans="2:2" ht="14.65" customHeight="1" x14ac:dyDescent="0.2">
      <c r="B2783" s="225"/>
    </row>
    <row r="2784" spans="2:2" ht="14.65" customHeight="1" x14ac:dyDescent="0.2">
      <c r="B2784" s="225"/>
    </row>
    <row r="2785" spans="2:2" ht="14.65" customHeight="1" x14ac:dyDescent="0.2">
      <c r="B2785" s="225"/>
    </row>
    <row r="2786" spans="2:2" ht="14.65" customHeight="1" x14ac:dyDescent="0.2">
      <c r="B2786" s="225"/>
    </row>
    <row r="2787" spans="2:2" ht="14.65" customHeight="1" x14ac:dyDescent="0.2">
      <c r="B2787" s="225"/>
    </row>
    <row r="2788" spans="2:2" ht="14.65" customHeight="1" x14ac:dyDescent="0.2">
      <c r="B2788" s="225"/>
    </row>
    <row r="2789" spans="2:2" ht="14.65" customHeight="1" x14ac:dyDescent="0.2">
      <c r="B2789" s="225"/>
    </row>
    <row r="2790" spans="2:2" ht="14.65" customHeight="1" x14ac:dyDescent="0.2">
      <c r="B2790" s="225"/>
    </row>
    <row r="2791" spans="2:2" ht="14.65" customHeight="1" x14ac:dyDescent="0.2">
      <c r="B2791" s="225"/>
    </row>
    <row r="2792" spans="2:2" ht="14.65" customHeight="1" x14ac:dyDescent="0.2">
      <c r="B2792" s="225"/>
    </row>
    <row r="2793" spans="2:2" ht="14.65" customHeight="1" x14ac:dyDescent="0.2">
      <c r="B2793" s="225"/>
    </row>
    <row r="2794" spans="2:2" ht="14.65" customHeight="1" x14ac:dyDescent="0.2">
      <c r="B2794" s="225"/>
    </row>
    <row r="2795" spans="2:2" ht="14.65" customHeight="1" x14ac:dyDescent="0.2">
      <c r="B2795" s="225"/>
    </row>
    <row r="2796" spans="2:2" ht="14.65" customHeight="1" x14ac:dyDescent="0.2">
      <c r="B2796" s="225"/>
    </row>
    <row r="2797" spans="2:2" ht="14.65" customHeight="1" x14ac:dyDescent="0.2">
      <c r="B2797" s="225"/>
    </row>
    <row r="2798" spans="2:2" ht="14.65" customHeight="1" x14ac:dyDescent="0.2">
      <c r="B2798" s="225"/>
    </row>
    <row r="2799" spans="2:2" ht="14.65" customHeight="1" x14ac:dyDescent="0.2">
      <c r="B2799" s="225"/>
    </row>
    <row r="2800" spans="2:2" ht="14.65" customHeight="1" x14ac:dyDescent="0.2">
      <c r="B2800" s="225"/>
    </row>
    <row r="2801" spans="2:2" ht="14.65" customHeight="1" x14ac:dyDescent="0.2">
      <c r="B2801" s="225"/>
    </row>
    <row r="2802" spans="2:2" ht="14.65" customHeight="1" x14ac:dyDescent="0.2">
      <c r="B2802" s="225"/>
    </row>
    <row r="2803" spans="2:2" ht="14.65" customHeight="1" x14ac:dyDescent="0.2">
      <c r="B2803" s="225"/>
    </row>
    <row r="2804" spans="2:2" ht="14.65" customHeight="1" x14ac:dyDescent="0.2">
      <c r="B2804" s="225"/>
    </row>
    <row r="2805" spans="2:2" ht="14.65" customHeight="1" x14ac:dyDescent="0.2">
      <c r="B2805" s="225"/>
    </row>
    <row r="2806" spans="2:2" ht="14.65" customHeight="1" x14ac:dyDescent="0.2">
      <c r="B2806" s="225"/>
    </row>
    <row r="2807" spans="2:2" ht="14.65" customHeight="1" x14ac:dyDescent="0.2">
      <c r="B2807" s="225"/>
    </row>
    <row r="2808" spans="2:2" ht="14.65" customHeight="1" x14ac:dyDescent="0.2">
      <c r="B2808" s="225"/>
    </row>
    <row r="2809" spans="2:2" ht="14.65" customHeight="1" x14ac:dyDescent="0.2">
      <c r="B2809" s="225"/>
    </row>
    <row r="2810" spans="2:2" ht="14.65" customHeight="1" x14ac:dyDescent="0.2">
      <c r="B2810" s="225"/>
    </row>
    <row r="2811" spans="2:2" ht="14.65" customHeight="1" x14ac:dyDescent="0.2">
      <c r="B2811" s="225"/>
    </row>
    <row r="2812" spans="2:2" ht="14.65" customHeight="1" x14ac:dyDescent="0.2">
      <c r="B2812" s="225"/>
    </row>
    <row r="2813" spans="2:2" ht="14.65" customHeight="1" x14ac:dyDescent="0.2">
      <c r="B2813" s="225"/>
    </row>
    <row r="2814" spans="2:2" ht="14.65" customHeight="1" x14ac:dyDescent="0.2">
      <c r="B2814" s="225"/>
    </row>
    <row r="2815" spans="2:2" ht="14.65" customHeight="1" x14ac:dyDescent="0.2">
      <c r="B2815" s="225"/>
    </row>
    <row r="2816" spans="2:2" ht="14.65" customHeight="1" x14ac:dyDescent="0.2">
      <c r="B2816" s="225"/>
    </row>
    <row r="2817" spans="2:2" ht="14.65" customHeight="1" x14ac:dyDescent="0.2">
      <c r="B2817" s="225"/>
    </row>
    <row r="2818" spans="2:2" ht="14.65" customHeight="1" x14ac:dyDescent="0.2">
      <c r="B2818" s="225"/>
    </row>
    <row r="2819" spans="2:2" ht="14.65" customHeight="1" x14ac:dyDescent="0.2">
      <c r="B2819" s="225"/>
    </row>
    <row r="2820" spans="2:2" ht="14.65" customHeight="1" x14ac:dyDescent="0.2">
      <c r="B2820" s="225"/>
    </row>
    <row r="2821" spans="2:2" ht="14.65" customHeight="1" x14ac:dyDescent="0.2">
      <c r="B2821" s="225"/>
    </row>
    <row r="2822" spans="2:2" ht="14.65" customHeight="1" x14ac:dyDescent="0.2">
      <c r="B2822" s="225"/>
    </row>
    <row r="2823" spans="2:2" ht="14.65" customHeight="1" x14ac:dyDescent="0.2">
      <c r="B2823" s="225"/>
    </row>
    <row r="2824" spans="2:2" ht="14.65" customHeight="1" x14ac:dyDescent="0.2">
      <c r="B2824" s="225"/>
    </row>
    <row r="2825" spans="2:2" ht="14.65" customHeight="1" x14ac:dyDescent="0.2">
      <c r="B2825" s="225"/>
    </row>
    <row r="2826" spans="2:2" ht="14.65" customHeight="1" x14ac:dyDescent="0.2">
      <c r="B2826" s="225"/>
    </row>
    <row r="2827" spans="2:2" ht="14.65" customHeight="1" x14ac:dyDescent="0.2">
      <c r="B2827" s="225"/>
    </row>
    <row r="2828" spans="2:2" ht="14.65" customHeight="1" x14ac:dyDescent="0.2">
      <c r="B2828" s="225"/>
    </row>
    <row r="2829" spans="2:2" ht="14.65" customHeight="1" x14ac:dyDescent="0.2">
      <c r="B2829" s="225"/>
    </row>
    <row r="2830" spans="2:2" ht="14.65" customHeight="1" x14ac:dyDescent="0.2">
      <c r="B2830" s="225"/>
    </row>
    <row r="2831" spans="2:2" ht="14.65" customHeight="1" x14ac:dyDescent="0.2">
      <c r="B2831" s="225"/>
    </row>
    <row r="2832" spans="2:2" ht="14.65" customHeight="1" x14ac:dyDescent="0.2">
      <c r="B2832" s="225"/>
    </row>
    <row r="2833" spans="2:2" ht="14.65" customHeight="1" x14ac:dyDescent="0.2">
      <c r="B2833" s="225"/>
    </row>
    <row r="2834" spans="2:2" ht="14.65" customHeight="1" x14ac:dyDescent="0.2">
      <c r="B2834" s="225"/>
    </row>
    <row r="2835" spans="2:2" ht="14.65" customHeight="1" x14ac:dyDescent="0.2">
      <c r="B2835" s="225"/>
    </row>
    <row r="2836" spans="2:2" ht="14.65" customHeight="1" x14ac:dyDescent="0.2">
      <c r="B2836" s="225"/>
    </row>
    <row r="2837" spans="2:2" ht="14.65" customHeight="1" x14ac:dyDescent="0.2">
      <c r="B2837" s="225"/>
    </row>
    <row r="2838" spans="2:2" ht="14.65" customHeight="1" x14ac:dyDescent="0.2">
      <c r="B2838" s="225"/>
    </row>
    <row r="2839" spans="2:2" ht="14.65" customHeight="1" x14ac:dyDescent="0.2">
      <c r="B2839" s="225"/>
    </row>
    <row r="2840" spans="2:2" ht="14.65" customHeight="1" x14ac:dyDescent="0.2">
      <c r="B2840" s="225"/>
    </row>
    <row r="2841" spans="2:2" ht="14.65" customHeight="1" x14ac:dyDescent="0.2">
      <c r="B2841" s="225"/>
    </row>
    <row r="2842" spans="2:2" ht="14.65" customHeight="1" x14ac:dyDescent="0.2">
      <c r="B2842" s="225"/>
    </row>
    <row r="2843" spans="2:2" ht="14.65" customHeight="1" x14ac:dyDescent="0.2">
      <c r="B2843" s="225"/>
    </row>
    <row r="2844" spans="2:2" ht="14.65" customHeight="1" x14ac:dyDescent="0.2">
      <c r="B2844" s="225"/>
    </row>
    <row r="2845" spans="2:2" ht="14.65" customHeight="1" x14ac:dyDescent="0.2">
      <c r="B2845" s="225"/>
    </row>
    <row r="2846" spans="2:2" ht="14.65" customHeight="1" x14ac:dyDescent="0.2">
      <c r="B2846" s="225"/>
    </row>
    <row r="2847" spans="2:2" ht="14.65" customHeight="1" x14ac:dyDescent="0.2">
      <c r="B2847" s="225"/>
    </row>
    <row r="2848" spans="2:2" ht="14.65" customHeight="1" x14ac:dyDescent="0.2">
      <c r="B2848" s="225"/>
    </row>
    <row r="2849" spans="2:2" ht="14.65" customHeight="1" x14ac:dyDescent="0.2">
      <c r="B2849" s="225"/>
    </row>
    <row r="2850" spans="2:2" ht="14.65" customHeight="1" x14ac:dyDescent="0.2">
      <c r="B2850" s="225"/>
    </row>
    <row r="2851" spans="2:2" ht="14.65" customHeight="1" x14ac:dyDescent="0.2">
      <c r="B2851" s="225"/>
    </row>
    <row r="2852" spans="2:2" ht="14.65" customHeight="1" x14ac:dyDescent="0.2">
      <c r="B2852" s="225"/>
    </row>
    <row r="2853" spans="2:2" ht="14.65" customHeight="1" x14ac:dyDescent="0.2">
      <c r="B2853" s="225"/>
    </row>
    <row r="2854" spans="2:2" ht="14.65" customHeight="1" x14ac:dyDescent="0.2">
      <c r="B2854" s="225"/>
    </row>
    <row r="2855" spans="2:2" ht="14.65" customHeight="1" x14ac:dyDescent="0.2">
      <c r="B2855" s="225"/>
    </row>
    <row r="2856" spans="2:2" ht="14.65" customHeight="1" x14ac:dyDescent="0.2">
      <c r="B2856" s="225"/>
    </row>
    <row r="2857" spans="2:2" ht="14.65" customHeight="1" x14ac:dyDescent="0.2">
      <c r="B2857" s="225"/>
    </row>
    <row r="2858" spans="2:2" ht="14.65" customHeight="1" x14ac:dyDescent="0.2">
      <c r="B2858" s="225"/>
    </row>
    <row r="2859" spans="2:2" ht="14.65" customHeight="1" x14ac:dyDescent="0.2">
      <c r="B2859" s="225"/>
    </row>
    <row r="2860" spans="2:2" ht="14.65" customHeight="1" x14ac:dyDescent="0.2">
      <c r="B2860" s="225"/>
    </row>
    <row r="2861" spans="2:2" ht="14.65" customHeight="1" x14ac:dyDescent="0.2">
      <c r="B2861" s="225"/>
    </row>
    <row r="2862" spans="2:2" ht="14.65" customHeight="1" x14ac:dyDescent="0.2">
      <c r="B2862" s="225"/>
    </row>
    <row r="2863" spans="2:2" ht="14.65" customHeight="1" x14ac:dyDescent="0.2">
      <c r="B2863" s="225"/>
    </row>
    <row r="2864" spans="2:2" ht="14.65" customHeight="1" x14ac:dyDescent="0.2">
      <c r="B2864" s="225"/>
    </row>
    <row r="2865" spans="2:2" ht="14.65" customHeight="1" x14ac:dyDescent="0.2">
      <c r="B2865" s="225"/>
    </row>
    <row r="2866" spans="2:2" ht="14.65" customHeight="1" x14ac:dyDescent="0.2">
      <c r="B2866" s="225"/>
    </row>
    <row r="2867" spans="2:2" ht="14.65" customHeight="1" x14ac:dyDescent="0.2">
      <c r="B2867" s="225"/>
    </row>
    <row r="2868" spans="2:2" ht="14.65" customHeight="1" x14ac:dyDescent="0.2">
      <c r="B2868" s="225"/>
    </row>
    <row r="2869" spans="2:2" ht="14.65" customHeight="1" x14ac:dyDescent="0.2">
      <c r="B2869" s="225"/>
    </row>
    <row r="2870" spans="2:2" ht="14.65" customHeight="1" x14ac:dyDescent="0.2">
      <c r="B2870" s="225"/>
    </row>
    <row r="2871" spans="2:2" ht="14.65" customHeight="1" x14ac:dyDescent="0.2">
      <c r="B2871" s="225"/>
    </row>
    <row r="2872" spans="2:2" ht="14.65" customHeight="1" x14ac:dyDescent="0.2">
      <c r="B2872" s="225"/>
    </row>
    <row r="2873" spans="2:2" ht="14.65" customHeight="1" x14ac:dyDescent="0.2">
      <c r="B2873" s="225"/>
    </row>
    <row r="2874" spans="2:2" ht="14.65" customHeight="1" x14ac:dyDescent="0.2">
      <c r="B2874" s="225"/>
    </row>
    <row r="2875" spans="2:2" ht="14.65" customHeight="1" x14ac:dyDescent="0.2">
      <c r="B2875" s="225"/>
    </row>
    <row r="2876" spans="2:2" ht="14.65" customHeight="1" x14ac:dyDescent="0.2">
      <c r="B2876" s="225"/>
    </row>
    <row r="2877" spans="2:2" ht="14.65" customHeight="1" x14ac:dyDescent="0.2">
      <c r="B2877" s="225"/>
    </row>
    <row r="2878" spans="2:2" ht="14.65" customHeight="1" x14ac:dyDescent="0.2">
      <c r="B2878" s="225"/>
    </row>
    <row r="2879" spans="2:2" ht="14.65" customHeight="1" x14ac:dyDescent="0.2">
      <c r="B2879" s="225"/>
    </row>
    <row r="2880" spans="2:2" ht="14.65" customHeight="1" x14ac:dyDescent="0.2">
      <c r="B2880" s="225"/>
    </row>
    <row r="2881" spans="2:2" ht="14.65" customHeight="1" x14ac:dyDescent="0.2">
      <c r="B2881" s="225"/>
    </row>
    <row r="2882" spans="2:2" ht="14.65" customHeight="1" x14ac:dyDescent="0.2">
      <c r="B2882" s="225"/>
    </row>
    <row r="2883" spans="2:2" ht="14.65" customHeight="1" x14ac:dyDescent="0.2">
      <c r="B2883" s="225"/>
    </row>
    <row r="2884" spans="2:2" ht="14.65" customHeight="1" x14ac:dyDescent="0.2">
      <c r="B2884" s="225"/>
    </row>
    <row r="2885" spans="2:2" ht="14.65" customHeight="1" x14ac:dyDescent="0.2">
      <c r="B2885" s="225"/>
    </row>
    <row r="2886" spans="2:2" ht="14.65" customHeight="1" x14ac:dyDescent="0.2">
      <c r="B2886" s="225"/>
    </row>
    <row r="2887" spans="2:2" ht="14.65" customHeight="1" x14ac:dyDescent="0.2">
      <c r="B2887" s="225"/>
    </row>
    <row r="2888" spans="2:2" ht="14.65" customHeight="1" x14ac:dyDescent="0.2">
      <c r="B2888" s="225"/>
    </row>
    <row r="2889" spans="2:2" ht="14.65" customHeight="1" x14ac:dyDescent="0.2">
      <c r="B2889" s="225"/>
    </row>
    <row r="2890" spans="2:2" ht="14.65" customHeight="1" x14ac:dyDescent="0.2">
      <c r="B2890" s="225"/>
    </row>
    <row r="2891" spans="2:2" ht="14.65" customHeight="1" x14ac:dyDescent="0.2">
      <c r="B2891" s="225"/>
    </row>
    <row r="2892" spans="2:2" ht="14.65" customHeight="1" x14ac:dyDescent="0.2">
      <c r="B2892" s="225"/>
    </row>
    <row r="2893" spans="2:2" ht="14.65" customHeight="1" x14ac:dyDescent="0.2">
      <c r="B2893" s="225"/>
    </row>
    <row r="2894" spans="2:2" ht="14.65" customHeight="1" x14ac:dyDescent="0.2">
      <c r="B2894" s="225"/>
    </row>
    <row r="2895" spans="2:2" ht="14.65" customHeight="1" x14ac:dyDescent="0.2">
      <c r="B2895" s="225"/>
    </row>
    <row r="2896" spans="2:2" ht="14.65" customHeight="1" x14ac:dyDescent="0.2">
      <c r="B2896" s="225"/>
    </row>
    <row r="2897" spans="2:2" ht="14.65" customHeight="1" x14ac:dyDescent="0.2">
      <c r="B2897" s="225"/>
    </row>
    <row r="2898" spans="2:2" ht="14.65" customHeight="1" x14ac:dyDescent="0.2">
      <c r="B2898" s="225"/>
    </row>
    <row r="2899" spans="2:2" ht="14.65" customHeight="1" x14ac:dyDescent="0.2">
      <c r="B2899" s="225"/>
    </row>
    <row r="2900" spans="2:2" ht="14.65" customHeight="1" x14ac:dyDescent="0.2">
      <c r="B2900" s="225"/>
    </row>
    <row r="2901" spans="2:2" ht="14.65" customHeight="1" x14ac:dyDescent="0.2">
      <c r="B2901" s="225"/>
    </row>
    <row r="2902" spans="2:2" ht="14.65" customHeight="1" x14ac:dyDescent="0.2">
      <c r="B2902" s="225"/>
    </row>
    <row r="2903" spans="2:2" ht="14.65" customHeight="1" x14ac:dyDescent="0.2">
      <c r="B2903" s="225"/>
    </row>
    <row r="2904" spans="2:2" ht="14.65" customHeight="1" x14ac:dyDescent="0.2">
      <c r="B2904" s="225"/>
    </row>
    <row r="2905" spans="2:2" ht="14.65" customHeight="1" x14ac:dyDescent="0.2">
      <c r="B2905" s="225"/>
    </row>
    <row r="2906" spans="2:2" ht="14.65" customHeight="1" x14ac:dyDescent="0.2">
      <c r="B2906" s="225"/>
    </row>
    <row r="2907" spans="2:2" ht="14.65" customHeight="1" x14ac:dyDescent="0.2">
      <c r="B2907" s="225"/>
    </row>
    <row r="2908" spans="2:2" ht="14.65" customHeight="1" x14ac:dyDescent="0.2">
      <c r="B2908" s="225"/>
    </row>
    <row r="2909" spans="2:2" ht="14.65" customHeight="1" x14ac:dyDescent="0.2">
      <c r="B2909" s="225"/>
    </row>
    <row r="2910" spans="2:2" ht="14.65" customHeight="1" x14ac:dyDescent="0.2">
      <c r="B2910" s="225"/>
    </row>
    <row r="2911" spans="2:2" ht="14.65" customHeight="1" x14ac:dyDescent="0.2">
      <c r="B2911" s="225"/>
    </row>
    <row r="2912" spans="2:2" ht="14.65" customHeight="1" x14ac:dyDescent="0.2">
      <c r="B2912" s="225"/>
    </row>
    <row r="2913" spans="2:2" ht="14.65" customHeight="1" x14ac:dyDescent="0.2">
      <c r="B2913" s="225"/>
    </row>
    <row r="2914" spans="2:2" ht="14.65" customHeight="1" x14ac:dyDescent="0.2">
      <c r="B2914" s="225"/>
    </row>
    <row r="2915" spans="2:2" ht="14.65" customHeight="1" x14ac:dyDescent="0.2">
      <c r="B2915" s="225"/>
    </row>
    <row r="2916" spans="2:2" ht="14.65" customHeight="1" x14ac:dyDescent="0.2">
      <c r="B2916" s="225"/>
    </row>
    <row r="2917" spans="2:2" ht="14.65" customHeight="1" x14ac:dyDescent="0.2">
      <c r="B2917" s="225"/>
    </row>
    <row r="2918" spans="2:2" ht="14.65" customHeight="1" x14ac:dyDescent="0.2">
      <c r="B2918" s="225"/>
    </row>
    <row r="2919" spans="2:2" ht="14.65" customHeight="1" x14ac:dyDescent="0.2">
      <c r="B2919" s="225"/>
    </row>
    <row r="2920" spans="2:2" ht="14.65" customHeight="1" x14ac:dyDescent="0.2">
      <c r="B2920" s="225"/>
    </row>
    <row r="2921" spans="2:2" ht="14.65" customHeight="1" x14ac:dyDescent="0.2">
      <c r="B2921" s="225"/>
    </row>
    <row r="2922" spans="2:2" ht="14.65" customHeight="1" x14ac:dyDescent="0.2">
      <c r="B2922" s="225"/>
    </row>
    <row r="2923" spans="2:2" ht="14.65" customHeight="1" x14ac:dyDescent="0.2">
      <c r="B2923" s="225"/>
    </row>
    <row r="2924" spans="2:2" ht="14.65" customHeight="1" x14ac:dyDescent="0.2">
      <c r="B2924" s="225"/>
    </row>
    <row r="2925" spans="2:2" ht="14.65" customHeight="1" x14ac:dyDescent="0.2">
      <c r="B2925" s="225"/>
    </row>
    <row r="2926" spans="2:2" ht="14.65" customHeight="1" x14ac:dyDescent="0.2">
      <c r="B2926" s="225"/>
    </row>
    <row r="2927" spans="2:2" ht="14.65" customHeight="1" x14ac:dyDescent="0.2">
      <c r="B2927" s="225"/>
    </row>
    <row r="2928" spans="2:2" ht="14.65" customHeight="1" x14ac:dyDescent="0.2">
      <c r="B2928" s="225"/>
    </row>
    <row r="2929" spans="2:2" ht="14.65" customHeight="1" x14ac:dyDescent="0.2">
      <c r="B2929" s="225"/>
    </row>
    <row r="2930" spans="2:2" ht="14.65" customHeight="1" x14ac:dyDescent="0.2">
      <c r="B2930" s="225"/>
    </row>
    <row r="2931" spans="2:2" ht="14.65" customHeight="1" x14ac:dyDescent="0.2">
      <c r="B2931" s="225"/>
    </row>
    <row r="2932" spans="2:2" ht="14.65" customHeight="1" x14ac:dyDescent="0.2">
      <c r="B2932" s="225"/>
    </row>
    <row r="2933" spans="2:2" ht="14.65" customHeight="1" x14ac:dyDescent="0.2">
      <c r="B2933" s="225"/>
    </row>
    <row r="2934" spans="2:2" ht="14.65" customHeight="1" x14ac:dyDescent="0.2">
      <c r="B2934" s="225"/>
    </row>
    <row r="2935" spans="2:2" ht="14.65" customHeight="1" x14ac:dyDescent="0.2">
      <c r="B2935" s="225"/>
    </row>
    <row r="2936" spans="2:2" ht="14.65" customHeight="1" x14ac:dyDescent="0.2">
      <c r="B2936" s="225"/>
    </row>
    <row r="2937" spans="2:2" ht="14.65" customHeight="1" x14ac:dyDescent="0.2">
      <c r="B2937" s="225"/>
    </row>
    <row r="2938" spans="2:2" ht="14.65" customHeight="1" x14ac:dyDescent="0.2">
      <c r="B2938" s="225"/>
    </row>
    <row r="2939" spans="2:2" ht="14.65" customHeight="1" x14ac:dyDescent="0.2">
      <c r="B2939" s="225"/>
    </row>
    <row r="2940" spans="2:2" ht="14.65" customHeight="1" x14ac:dyDescent="0.2">
      <c r="B2940" s="225"/>
    </row>
    <row r="2941" spans="2:2" ht="14.65" customHeight="1" x14ac:dyDescent="0.2">
      <c r="B2941" s="225"/>
    </row>
    <row r="2942" spans="2:2" ht="14.65" customHeight="1" x14ac:dyDescent="0.2">
      <c r="B2942" s="225"/>
    </row>
    <row r="2943" spans="2:2" ht="14.65" customHeight="1" x14ac:dyDescent="0.2">
      <c r="B2943" s="225"/>
    </row>
    <row r="2944" spans="2:2" ht="14.65" customHeight="1" x14ac:dyDescent="0.2">
      <c r="B2944" s="225"/>
    </row>
    <row r="2945" spans="2:2" ht="14.65" customHeight="1" x14ac:dyDescent="0.2">
      <c r="B2945" s="225"/>
    </row>
    <row r="2946" spans="2:2" ht="14.65" customHeight="1" x14ac:dyDescent="0.2">
      <c r="B2946" s="225"/>
    </row>
    <row r="2947" spans="2:2" ht="14.65" customHeight="1" x14ac:dyDescent="0.2">
      <c r="B2947" s="225"/>
    </row>
    <row r="2948" spans="2:2" ht="14.65" customHeight="1" x14ac:dyDescent="0.2">
      <c r="B2948" s="225"/>
    </row>
    <row r="2949" spans="2:2" ht="14.65" customHeight="1" x14ac:dyDescent="0.2">
      <c r="B2949" s="225"/>
    </row>
    <row r="2950" spans="2:2" ht="14.65" customHeight="1" x14ac:dyDescent="0.2">
      <c r="B2950" s="225"/>
    </row>
    <row r="2951" spans="2:2" ht="14.65" customHeight="1" x14ac:dyDescent="0.2">
      <c r="B2951" s="225"/>
    </row>
    <row r="2952" spans="2:2" ht="14.65" customHeight="1" x14ac:dyDescent="0.2">
      <c r="B2952" s="225"/>
    </row>
    <row r="2953" spans="2:2" ht="14.65" customHeight="1" x14ac:dyDescent="0.2">
      <c r="B2953" s="225"/>
    </row>
    <row r="2954" spans="2:2" ht="14.65" customHeight="1" x14ac:dyDescent="0.2">
      <c r="B2954" s="225"/>
    </row>
    <row r="2955" spans="2:2" ht="14.65" customHeight="1" x14ac:dyDescent="0.2">
      <c r="B2955" s="225"/>
    </row>
    <row r="2956" spans="2:2" ht="14.65" customHeight="1" x14ac:dyDescent="0.2">
      <c r="B2956" s="225"/>
    </row>
    <row r="2957" spans="2:2" ht="14.65" customHeight="1" x14ac:dyDescent="0.2">
      <c r="B2957" s="225"/>
    </row>
    <row r="2958" spans="2:2" ht="14.65" customHeight="1" x14ac:dyDescent="0.2">
      <c r="B2958" s="225"/>
    </row>
    <row r="2959" spans="2:2" ht="14.65" customHeight="1" x14ac:dyDescent="0.2">
      <c r="B2959" s="225"/>
    </row>
    <row r="2960" spans="2:2" ht="14.65" customHeight="1" x14ac:dyDescent="0.2">
      <c r="B2960" s="225"/>
    </row>
    <row r="2961" spans="2:2" ht="14.65" customHeight="1" x14ac:dyDescent="0.2">
      <c r="B2961" s="225"/>
    </row>
    <row r="2962" spans="2:2" ht="14.65" customHeight="1" x14ac:dyDescent="0.2">
      <c r="B2962" s="225"/>
    </row>
    <row r="2963" spans="2:2" ht="14.65" customHeight="1" x14ac:dyDescent="0.2">
      <c r="B2963" s="225"/>
    </row>
    <row r="2964" spans="2:2" ht="14.65" customHeight="1" x14ac:dyDescent="0.2">
      <c r="B2964" s="225"/>
    </row>
    <row r="2965" spans="2:2" ht="14.65" customHeight="1" x14ac:dyDescent="0.2">
      <c r="B2965" s="225"/>
    </row>
    <row r="2966" spans="2:2" ht="14.65" customHeight="1" x14ac:dyDescent="0.2">
      <c r="B2966" s="225"/>
    </row>
    <row r="2967" spans="2:2" ht="14.65" customHeight="1" x14ac:dyDescent="0.2">
      <c r="B2967" s="225"/>
    </row>
    <row r="2968" spans="2:2" ht="14.65" customHeight="1" x14ac:dyDescent="0.2">
      <c r="B2968" s="225"/>
    </row>
    <row r="2969" spans="2:2" ht="14.65" customHeight="1" x14ac:dyDescent="0.2">
      <c r="B2969" s="225"/>
    </row>
    <row r="2970" spans="2:2" ht="14.65" customHeight="1" x14ac:dyDescent="0.2">
      <c r="B2970" s="225"/>
    </row>
    <row r="2971" spans="2:2" ht="14.65" customHeight="1" x14ac:dyDescent="0.2">
      <c r="B2971" s="225"/>
    </row>
    <row r="2972" spans="2:2" ht="14.65" customHeight="1" x14ac:dyDescent="0.2">
      <c r="B2972" s="225"/>
    </row>
    <row r="2973" spans="2:2" ht="14.65" customHeight="1" x14ac:dyDescent="0.2">
      <c r="B2973" s="225"/>
    </row>
    <row r="2974" spans="2:2" ht="14.65" customHeight="1" x14ac:dyDescent="0.2">
      <c r="B2974" s="225"/>
    </row>
    <row r="2975" spans="2:2" ht="14.65" customHeight="1" x14ac:dyDescent="0.2">
      <c r="B2975" s="225"/>
    </row>
    <row r="2976" spans="2:2" ht="14.65" customHeight="1" x14ac:dyDescent="0.2">
      <c r="B2976" s="225"/>
    </row>
    <row r="2977" spans="2:2" ht="14.65" customHeight="1" x14ac:dyDescent="0.2">
      <c r="B2977" s="225"/>
    </row>
    <row r="2978" spans="2:2" ht="14.65" customHeight="1" x14ac:dyDescent="0.2">
      <c r="B2978" s="225"/>
    </row>
    <row r="2979" spans="2:2" ht="14.65" customHeight="1" x14ac:dyDescent="0.2">
      <c r="B2979" s="225"/>
    </row>
    <row r="2980" spans="2:2" ht="14.65" customHeight="1" x14ac:dyDescent="0.2">
      <c r="B2980" s="225"/>
    </row>
    <row r="2981" spans="2:2" ht="14.65" customHeight="1" x14ac:dyDescent="0.2">
      <c r="B2981" s="225"/>
    </row>
    <row r="2982" spans="2:2" ht="14.65" customHeight="1" x14ac:dyDescent="0.2">
      <c r="B2982" s="225"/>
    </row>
    <row r="2983" spans="2:2" ht="14.65" customHeight="1" x14ac:dyDescent="0.2">
      <c r="B2983" s="225"/>
    </row>
    <row r="2984" spans="2:2" ht="14.65" customHeight="1" x14ac:dyDescent="0.2">
      <c r="B2984" s="225"/>
    </row>
    <row r="2985" spans="2:2" ht="14.65" customHeight="1" x14ac:dyDescent="0.2">
      <c r="B2985" s="225"/>
    </row>
    <row r="2986" spans="2:2" ht="14.65" customHeight="1" x14ac:dyDescent="0.2">
      <c r="B2986" s="225"/>
    </row>
    <row r="2987" spans="2:2" ht="14.65" customHeight="1" x14ac:dyDescent="0.2">
      <c r="B2987" s="225"/>
    </row>
    <row r="2988" spans="2:2" ht="14.65" customHeight="1" x14ac:dyDescent="0.2">
      <c r="B2988" s="225"/>
    </row>
    <row r="2989" spans="2:2" ht="14.65" customHeight="1" x14ac:dyDescent="0.2">
      <c r="B2989" s="225"/>
    </row>
    <row r="2990" spans="2:2" ht="14.65" customHeight="1" x14ac:dyDescent="0.2">
      <c r="B2990" s="225"/>
    </row>
    <row r="2991" spans="2:2" ht="14.65" customHeight="1" x14ac:dyDescent="0.2">
      <c r="B2991" s="225"/>
    </row>
    <row r="2992" spans="2:2" ht="14.65" customHeight="1" x14ac:dyDescent="0.2">
      <c r="B2992" s="225"/>
    </row>
    <row r="2993" spans="2:2" ht="14.65" customHeight="1" x14ac:dyDescent="0.2">
      <c r="B2993" s="225"/>
    </row>
    <row r="2994" spans="2:2" ht="14.65" customHeight="1" x14ac:dyDescent="0.2">
      <c r="B2994" s="225"/>
    </row>
    <row r="2995" spans="2:2" ht="14.65" customHeight="1" x14ac:dyDescent="0.2">
      <c r="B2995" s="225"/>
    </row>
    <row r="2996" spans="2:2" ht="14.65" customHeight="1" x14ac:dyDescent="0.2">
      <c r="B2996" s="225"/>
    </row>
    <row r="2997" spans="2:2" ht="14.65" customHeight="1" x14ac:dyDescent="0.2">
      <c r="B2997" s="225"/>
    </row>
    <row r="2998" spans="2:2" ht="14.65" customHeight="1" x14ac:dyDescent="0.2">
      <c r="B2998" s="225"/>
    </row>
    <row r="2999" spans="2:2" ht="14.65" customHeight="1" x14ac:dyDescent="0.2">
      <c r="B2999" s="225"/>
    </row>
    <row r="3000" spans="2:2" ht="14.65" customHeight="1" x14ac:dyDescent="0.2">
      <c r="B3000" s="225"/>
    </row>
    <row r="3001" spans="2:2" ht="14.65" customHeight="1" x14ac:dyDescent="0.2">
      <c r="B3001" s="225"/>
    </row>
    <row r="3002" spans="2:2" ht="14.65" customHeight="1" x14ac:dyDescent="0.2">
      <c r="B3002" s="225"/>
    </row>
    <row r="3003" spans="2:2" ht="14.65" customHeight="1" x14ac:dyDescent="0.2">
      <c r="B3003" s="225"/>
    </row>
    <row r="3004" spans="2:2" ht="14.65" customHeight="1" x14ac:dyDescent="0.2">
      <c r="B3004" s="225"/>
    </row>
    <row r="3005" spans="2:2" ht="14.65" customHeight="1" x14ac:dyDescent="0.2">
      <c r="B3005" s="225"/>
    </row>
    <row r="3006" spans="2:2" ht="14.65" customHeight="1" x14ac:dyDescent="0.2">
      <c r="B3006" s="225"/>
    </row>
    <row r="3007" spans="2:2" ht="14.65" customHeight="1" x14ac:dyDescent="0.2">
      <c r="B3007" s="225"/>
    </row>
    <row r="3008" spans="2:2" ht="14.65" customHeight="1" x14ac:dyDescent="0.2">
      <c r="B3008" s="225"/>
    </row>
    <row r="3009" spans="2:2" ht="14.65" customHeight="1" x14ac:dyDescent="0.2">
      <c r="B3009" s="225"/>
    </row>
    <row r="3010" spans="2:2" ht="14.65" customHeight="1" x14ac:dyDescent="0.2">
      <c r="B3010" s="225"/>
    </row>
    <row r="3011" spans="2:2" ht="14.65" customHeight="1" x14ac:dyDescent="0.2">
      <c r="B3011" s="225"/>
    </row>
    <row r="3012" spans="2:2" ht="14.65" customHeight="1" x14ac:dyDescent="0.2">
      <c r="B3012" s="225"/>
    </row>
    <row r="3013" spans="2:2" ht="14.65" customHeight="1" x14ac:dyDescent="0.2">
      <c r="B3013" s="225"/>
    </row>
    <row r="3014" spans="2:2" ht="14.65" customHeight="1" x14ac:dyDescent="0.2">
      <c r="B3014" s="225"/>
    </row>
    <row r="3015" spans="2:2" ht="14.65" customHeight="1" x14ac:dyDescent="0.2">
      <c r="B3015" s="225"/>
    </row>
    <row r="3016" spans="2:2" ht="14.65" customHeight="1" x14ac:dyDescent="0.2">
      <c r="B3016" s="225"/>
    </row>
    <row r="3017" spans="2:2" ht="14.65" customHeight="1" x14ac:dyDescent="0.2">
      <c r="B3017" s="225"/>
    </row>
    <row r="3018" spans="2:2" ht="14.65" customHeight="1" x14ac:dyDescent="0.2">
      <c r="B3018" s="225"/>
    </row>
    <row r="3019" spans="2:2" ht="14.65" customHeight="1" x14ac:dyDescent="0.2">
      <c r="B3019" s="225"/>
    </row>
    <row r="3020" spans="2:2" ht="14.65" customHeight="1" x14ac:dyDescent="0.2">
      <c r="B3020" s="225"/>
    </row>
    <row r="3021" spans="2:2" ht="14.65" customHeight="1" x14ac:dyDescent="0.2">
      <c r="B3021" s="225"/>
    </row>
    <row r="3022" spans="2:2" ht="14.65" customHeight="1" x14ac:dyDescent="0.2">
      <c r="B3022" s="225"/>
    </row>
    <row r="3023" spans="2:2" ht="14.65" customHeight="1" x14ac:dyDescent="0.2">
      <c r="B3023" s="225"/>
    </row>
    <row r="3024" spans="2:2" ht="14.65" customHeight="1" x14ac:dyDescent="0.2">
      <c r="B3024" s="225"/>
    </row>
    <row r="3025" spans="2:2" ht="14.65" customHeight="1" x14ac:dyDescent="0.2">
      <c r="B3025" s="225"/>
    </row>
    <row r="3026" spans="2:2" ht="14.65" customHeight="1" x14ac:dyDescent="0.2">
      <c r="B3026" s="225"/>
    </row>
    <row r="3027" spans="2:2" ht="14.65" customHeight="1" x14ac:dyDescent="0.2">
      <c r="B3027" s="225"/>
    </row>
    <row r="3028" spans="2:2" ht="14.65" customHeight="1" x14ac:dyDescent="0.2">
      <c r="B3028" s="225"/>
    </row>
    <row r="3029" spans="2:2" ht="14.65" customHeight="1" x14ac:dyDescent="0.2">
      <c r="B3029" s="225"/>
    </row>
    <row r="3030" spans="2:2" ht="14.65" customHeight="1" x14ac:dyDescent="0.2">
      <c r="B3030" s="225"/>
    </row>
    <row r="3031" spans="2:2" ht="14.65" customHeight="1" x14ac:dyDescent="0.2">
      <c r="B3031" s="225"/>
    </row>
    <row r="3032" spans="2:2" ht="14.65" customHeight="1" x14ac:dyDescent="0.2">
      <c r="B3032" s="225"/>
    </row>
    <row r="3033" spans="2:2" ht="14.65" customHeight="1" x14ac:dyDescent="0.2">
      <c r="B3033" s="225"/>
    </row>
    <row r="3034" spans="2:2" ht="14.65" customHeight="1" x14ac:dyDescent="0.2">
      <c r="B3034" s="225"/>
    </row>
    <row r="3035" spans="2:2" ht="14.65" customHeight="1" x14ac:dyDescent="0.2">
      <c r="B3035" s="225"/>
    </row>
    <row r="3036" spans="2:2" ht="14.65" customHeight="1" x14ac:dyDescent="0.2">
      <c r="B3036" s="225"/>
    </row>
    <row r="3037" spans="2:2" ht="14.65" customHeight="1" x14ac:dyDescent="0.2">
      <c r="B3037" s="225"/>
    </row>
    <row r="3038" spans="2:2" ht="14.65" customHeight="1" x14ac:dyDescent="0.2">
      <c r="B3038" s="225"/>
    </row>
    <row r="3039" spans="2:2" ht="14.65" customHeight="1" x14ac:dyDescent="0.2">
      <c r="B3039" s="225"/>
    </row>
    <row r="3040" spans="2:2" ht="14.65" customHeight="1" x14ac:dyDescent="0.2">
      <c r="B3040" s="225"/>
    </row>
    <row r="3041" spans="2:2" ht="14.65" customHeight="1" x14ac:dyDescent="0.2">
      <c r="B3041" s="225"/>
    </row>
    <row r="3042" spans="2:2" ht="14.65" customHeight="1" x14ac:dyDescent="0.2">
      <c r="B3042" s="225"/>
    </row>
    <row r="3043" spans="2:2" ht="14.65" customHeight="1" x14ac:dyDescent="0.2">
      <c r="B3043" s="225"/>
    </row>
    <row r="3044" spans="2:2" ht="14.65" customHeight="1" x14ac:dyDescent="0.2">
      <c r="B3044" s="225"/>
    </row>
    <row r="3045" spans="2:2" ht="14.65" customHeight="1" x14ac:dyDescent="0.2">
      <c r="B3045" s="225"/>
    </row>
    <row r="3046" spans="2:2" ht="14.65" customHeight="1" x14ac:dyDescent="0.2">
      <c r="B3046" s="225"/>
    </row>
    <row r="3047" spans="2:2" ht="14.65" customHeight="1" x14ac:dyDescent="0.2">
      <c r="B3047" s="225"/>
    </row>
    <row r="3048" spans="2:2" ht="14.65" customHeight="1" x14ac:dyDescent="0.2">
      <c r="B3048" s="225"/>
    </row>
    <row r="3049" spans="2:2" ht="14.65" customHeight="1" x14ac:dyDescent="0.2">
      <c r="B3049" s="225"/>
    </row>
    <row r="3050" spans="2:2" ht="14.65" customHeight="1" x14ac:dyDescent="0.2">
      <c r="B3050" s="225"/>
    </row>
    <row r="3051" spans="2:2" ht="14.65" customHeight="1" x14ac:dyDescent="0.2">
      <c r="B3051" s="225"/>
    </row>
    <row r="3052" spans="2:2" ht="14.65" customHeight="1" x14ac:dyDescent="0.2">
      <c r="B3052" s="225"/>
    </row>
    <row r="3053" spans="2:2" ht="14.65" customHeight="1" x14ac:dyDescent="0.2">
      <c r="B3053" s="225"/>
    </row>
    <row r="3054" spans="2:2" ht="14.65" customHeight="1" x14ac:dyDescent="0.2">
      <c r="B3054" s="225"/>
    </row>
    <row r="3055" spans="2:2" ht="14.65" customHeight="1" x14ac:dyDescent="0.2">
      <c r="B3055" s="225"/>
    </row>
    <row r="3056" spans="2:2" ht="14.65" customHeight="1" x14ac:dyDescent="0.2">
      <c r="B3056" s="225"/>
    </row>
    <row r="3057" spans="2:2" ht="14.65" customHeight="1" x14ac:dyDescent="0.2">
      <c r="B3057" s="225"/>
    </row>
    <row r="3058" spans="2:2" ht="14.65" customHeight="1" x14ac:dyDescent="0.2">
      <c r="B3058" s="225"/>
    </row>
    <row r="3059" spans="2:2" ht="14.65" customHeight="1" x14ac:dyDescent="0.2">
      <c r="B3059" s="225"/>
    </row>
    <row r="3060" spans="2:2" ht="14.65" customHeight="1" x14ac:dyDescent="0.2">
      <c r="B3060" s="225"/>
    </row>
    <row r="3061" spans="2:2" ht="14.65" customHeight="1" x14ac:dyDescent="0.2">
      <c r="B3061" s="225"/>
    </row>
    <row r="3062" spans="2:2" ht="14.65" customHeight="1" x14ac:dyDescent="0.2">
      <c r="B3062" s="225"/>
    </row>
    <row r="3063" spans="2:2" ht="14.65" customHeight="1" x14ac:dyDescent="0.2">
      <c r="B3063" s="225"/>
    </row>
    <row r="3064" spans="2:2" ht="14.65" customHeight="1" x14ac:dyDescent="0.2">
      <c r="B3064" s="225"/>
    </row>
    <row r="3065" spans="2:2" ht="14.65" customHeight="1" x14ac:dyDescent="0.2">
      <c r="B3065" s="225"/>
    </row>
    <row r="3066" spans="2:2" ht="14.65" customHeight="1" x14ac:dyDescent="0.2">
      <c r="B3066" s="225"/>
    </row>
    <row r="3067" spans="2:2" ht="14.65" customHeight="1" x14ac:dyDescent="0.2">
      <c r="B3067" s="225"/>
    </row>
    <row r="3068" spans="2:2" ht="14.65" customHeight="1" x14ac:dyDescent="0.2">
      <c r="B3068" s="225"/>
    </row>
    <row r="3069" spans="2:2" ht="14.65" customHeight="1" x14ac:dyDescent="0.2">
      <c r="B3069" s="225"/>
    </row>
    <row r="3070" spans="2:2" ht="14.65" customHeight="1" x14ac:dyDescent="0.2">
      <c r="B3070" s="225"/>
    </row>
    <row r="3071" spans="2:2" ht="14.65" customHeight="1" x14ac:dyDescent="0.2">
      <c r="B3071" s="225"/>
    </row>
    <row r="3072" spans="2:2" ht="14.65" customHeight="1" x14ac:dyDescent="0.2">
      <c r="B3072" s="225"/>
    </row>
    <row r="3073" spans="2:2" ht="14.65" customHeight="1" x14ac:dyDescent="0.2">
      <c r="B3073" s="225"/>
    </row>
    <row r="3074" spans="2:2" ht="14.65" customHeight="1" x14ac:dyDescent="0.2">
      <c r="B3074" s="225"/>
    </row>
    <row r="3075" spans="2:2" ht="14.65" customHeight="1" x14ac:dyDescent="0.2">
      <c r="B3075" s="225"/>
    </row>
    <row r="3076" spans="2:2" ht="14.65" customHeight="1" x14ac:dyDescent="0.2">
      <c r="B3076" s="225"/>
    </row>
    <row r="3077" spans="2:2" ht="14.65" customHeight="1" x14ac:dyDescent="0.2">
      <c r="B3077" s="225"/>
    </row>
    <row r="3078" spans="2:2" ht="14.65" customHeight="1" x14ac:dyDescent="0.2">
      <c r="B3078" s="225"/>
    </row>
    <row r="3079" spans="2:2" ht="14.65" customHeight="1" x14ac:dyDescent="0.2">
      <c r="B3079" s="225"/>
    </row>
    <row r="3080" spans="2:2" ht="14.65" customHeight="1" x14ac:dyDescent="0.2">
      <c r="B3080" s="225"/>
    </row>
    <row r="3081" spans="2:2" ht="14.65" customHeight="1" x14ac:dyDescent="0.2">
      <c r="B3081" s="225"/>
    </row>
    <row r="3082" spans="2:2" ht="14.65" customHeight="1" x14ac:dyDescent="0.2">
      <c r="B3082" s="225"/>
    </row>
    <row r="3083" spans="2:2" ht="14.65" customHeight="1" x14ac:dyDescent="0.2">
      <c r="B3083" s="225"/>
    </row>
    <row r="3084" spans="2:2" ht="14.65" customHeight="1" x14ac:dyDescent="0.2">
      <c r="B3084" s="225"/>
    </row>
    <row r="3085" spans="2:2" ht="14.65" customHeight="1" x14ac:dyDescent="0.2">
      <c r="B3085" s="225"/>
    </row>
    <row r="3086" spans="2:2" ht="14.65" customHeight="1" x14ac:dyDescent="0.2">
      <c r="B3086" s="225"/>
    </row>
    <row r="3087" spans="2:2" ht="14.65" customHeight="1" x14ac:dyDescent="0.2">
      <c r="B3087" s="225"/>
    </row>
    <row r="3088" spans="2:2" ht="14.65" customHeight="1" x14ac:dyDescent="0.2">
      <c r="B3088" s="225"/>
    </row>
    <row r="3089" spans="2:2" ht="14.65" customHeight="1" x14ac:dyDescent="0.2">
      <c r="B3089" s="225"/>
    </row>
    <row r="3090" spans="2:2" ht="14.65" customHeight="1" x14ac:dyDescent="0.2">
      <c r="B3090" s="225"/>
    </row>
    <row r="3091" spans="2:2" ht="14.65" customHeight="1" x14ac:dyDescent="0.2">
      <c r="B3091" s="225"/>
    </row>
    <row r="3092" spans="2:2" ht="14.65" customHeight="1" x14ac:dyDescent="0.2">
      <c r="B3092" s="225"/>
    </row>
    <row r="3093" spans="2:2" ht="14.65" customHeight="1" x14ac:dyDescent="0.2">
      <c r="B3093" s="225"/>
    </row>
    <row r="3094" spans="2:2" ht="14.65" customHeight="1" x14ac:dyDescent="0.2">
      <c r="B3094" s="225"/>
    </row>
  </sheetData>
  <phoneticPr fontId="16" type="noConversion"/>
  <dataValidations count="6">
    <dataValidation type="list" allowBlank="1" showInputMessage="1" showErrorMessage="1" sqref="F1:F1048576" xr:uid="{7CD4183F-ACB1-48A6-BFF4-2DB797A1652C}">
      <formula1>"CHR_BAR,CHR_BRASS,CHR_CLUB,CHR_VNB_LIKE,CHR_BRASS_CAV,CAVISTE,GROSSISTE,GD_PROXI,GD_SM,GD_HM,CASH&amp;CARRY"</formula1>
    </dataValidation>
    <dataValidation type="list" allowBlank="1" showInputMessage="1" showErrorMessage="1" sqref="G1:G1048576" xr:uid="{4FE6FDD2-B6AA-45DB-9B28-C1D22C5B4B4D}">
      <formula1>"CHR,GROS,GMS"</formula1>
    </dataValidation>
    <dataValidation type="list" allowBlank="1" showInputMessage="1" showErrorMessage="1" sqref="I4:I1979" xr:uid="{623E1C0B-EC74-4E44-9154-ED79C515615C}">
      <formula1>OFFSET(Désignation_liste,,,COUNTIF(Désignation_liste,"*?"))</formula1>
    </dataValidation>
    <dataValidation type="list" allowBlank="1" showInputMessage="1" showErrorMessage="1" sqref="H2:H3" xr:uid="{B8C0A1AB-DA1D-4660-9D8C-2D1FEF3A7782}">
      <formula1>"JGR,LIQU,RHUM,COGN,GIN,MEZC,VODK,VERM,TH,BAR ITEM"</formula1>
    </dataValidation>
    <dataValidation type="list" allowBlank="1" showInputMessage="1" showErrorMessage="1" sqref="I2:I3" xr:uid="{5D0B90B6-695D-48B6-BA96-6C923212E6B6}">
      <formula1>OFFSET(Désign_selon_Cat_Stxt,,,COUNTIF(Désign_selon_Cat_Stxt,"*?"))</formula1>
    </dataValidation>
    <dataValidation type="list" allowBlank="1" showInputMessage="1" showErrorMessage="1" sqref="J2" xr:uid="{89C640F9-706E-4E0A-8AAC-BDD0D6788BFC}">
      <formula1>OFFSET(CL_selon_Cat_Stxt,,,COUNTIF(CL_selon_Cat_Stxt,"&gt;"&amp;0))</formula1>
    </dataValidation>
  </dataValidations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B1:BO116"/>
  <sheetViews>
    <sheetView showGridLines="0" zoomScale="55" zoomScaleNormal="55" workbookViewId="0">
      <pane xSplit="17" ySplit="8" topLeftCell="AX9" activePane="bottomRight" state="frozen"/>
      <selection pane="topRight" activeCell="R1" sqref="R1"/>
      <selection pane="bottomLeft" activeCell="A9" sqref="A9"/>
      <selection pane="bottomRight" activeCell="BA10" sqref="BA10"/>
    </sheetView>
  </sheetViews>
  <sheetFormatPr baseColWidth="10" defaultColWidth="11.42578125" defaultRowHeight="15" x14ac:dyDescent="0.25"/>
  <cols>
    <col min="1" max="1" width="11.42578125" style="2"/>
    <col min="2" max="2" width="18.28515625" style="85" customWidth="1"/>
    <col min="3" max="3" width="33.5703125" style="2" customWidth="1"/>
    <col min="4" max="5" width="11.42578125" style="2"/>
    <col min="6" max="6" width="5.7109375" style="2" customWidth="1"/>
    <col min="7" max="7" width="4.5703125" style="2" bestFit="1" customWidth="1"/>
    <col min="8" max="8" width="3.42578125" style="2" bestFit="1" customWidth="1"/>
    <col min="9" max="11" width="11.42578125" style="2"/>
    <col min="12" max="12" width="2.85546875" style="2" customWidth="1"/>
    <col min="13" max="14" width="11.42578125" style="2"/>
    <col min="15" max="15" width="13.140625" style="2" bestFit="1" customWidth="1"/>
    <col min="16" max="16" width="14.5703125" style="2" bestFit="1" customWidth="1"/>
    <col min="17" max="17" width="8.28515625" style="2" bestFit="1" customWidth="1"/>
    <col min="18" max="18" width="11.42578125" style="2"/>
    <col min="19" max="19" width="17.42578125" style="2" bestFit="1" customWidth="1"/>
    <col min="20" max="30" width="11.42578125" style="2"/>
    <col min="31" max="31" width="35.42578125" style="2" customWidth="1"/>
    <col min="32" max="32" width="35.7109375" style="2" bestFit="1" customWidth="1"/>
    <col min="33" max="34" width="16" style="2" customWidth="1"/>
    <col min="35" max="35" width="11.42578125" style="2"/>
    <col min="36" max="36" width="45.5703125" style="2" customWidth="1"/>
    <col min="37" max="55" width="11.42578125" style="2"/>
    <col min="56" max="56" width="13.85546875" style="2" customWidth="1"/>
    <col min="57" max="57" width="10.5703125" style="2" customWidth="1"/>
    <col min="58" max="58" width="11.42578125" style="2"/>
    <col min="59" max="59" width="32.42578125" style="2" customWidth="1"/>
    <col min="60" max="60" width="31.28515625" style="2" bestFit="1" customWidth="1"/>
    <col min="61" max="64" width="11.42578125" style="2"/>
    <col min="66" max="66" width="31.28515625" bestFit="1" customWidth="1"/>
    <col min="67" max="67" width="14.85546875" style="2" customWidth="1"/>
    <col min="68" max="68" width="49.7109375" style="2" bestFit="1" customWidth="1"/>
    <col min="69" max="16384" width="11.42578125" style="2"/>
  </cols>
  <sheetData>
    <row r="1" spans="2:67" ht="33.75" x14ac:dyDescent="0.25">
      <c r="B1" s="239" t="s">
        <v>0</v>
      </c>
      <c r="C1" s="239"/>
      <c r="D1" s="239"/>
      <c r="E1" s="239"/>
      <c r="F1" s="239"/>
      <c r="G1" s="239"/>
      <c r="H1" s="239"/>
      <c r="I1" s="239"/>
      <c r="J1" s="239"/>
      <c r="K1" s="239"/>
      <c r="L1" s="239"/>
      <c r="M1" s="239"/>
      <c r="N1" s="239"/>
      <c r="O1" s="239"/>
      <c r="P1" s="239"/>
      <c r="Q1" s="239"/>
      <c r="R1" s="1"/>
    </row>
    <row r="2" spans="2:67" ht="33.75" x14ac:dyDescent="0.25">
      <c r="B2" s="239"/>
      <c r="C2" s="239"/>
      <c r="D2" s="239"/>
      <c r="E2" s="239"/>
      <c r="F2" s="239"/>
      <c r="G2" s="239"/>
      <c r="H2" s="239"/>
      <c r="I2" s="239"/>
      <c r="J2" s="239"/>
      <c r="K2" s="239"/>
      <c r="L2" s="239"/>
      <c r="M2" s="239"/>
      <c r="N2" s="239"/>
      <c r="O2" s="239"/>
      <c r="P2" s="239"/>
      <c r="Q2" s="239"/>
      <c r="R2" s="1"/>
    </row>
    <row r="3" spans="2:67" x14ac:dyDescent="0.25">
      <c r="B3" s="2"/>
    </row>
    <row r="4" spans="2:67" ht="15.75" thickBot="1" x14ac:dyDescent="0.3">
      <c r="B4" s="2"/>
    </row>
    <row r="5" spans="2:67" ht="20.25" thickTop="1" thickBot="1" x14ac:dyDescent="0.35">
      <c r="B5" s="2"/>
      <c r="M5" s="240">
        <v>2020</v>
      </c>
      <c r="N5" s="241"/>
      <c r="O5" s="242" t="s">
        <v>1</v>
      </c>
      <c r="P5" s="242"/>
    </row>
    <row r="6" spans="2:67" ht="17.25" thickTop="1" thickBot="1" x14ac:dyDescent="0.3">
      <c r="B6" s="3" t="s">
        <v>2</v>
      </c>
      <c r="C6" s="4" t="s">
        <v>3</v>
      </c>
      <c r="D6" s="5"/>
      <c r="E6" s="6"/>
      <c r="F6" s="7" t="s">
        <v>4</v>
      </c>
      <c r="G6" s="7" t="s">
        <v>5</v>
      </c>
      <c r="H6" s="7" t="s">
        <v>6</v>
      </c>
      <c r="I6" s="8" t="s">
        <v>7</v>
      </c>
      <c r="J6" s="9"/>
      <c r="K6" s="10"/>
      <c r="M6" s="11" t="s">
        <v>8</v>
      </c>
      <c r="N6" s="11" t="s">
        <v>9</v>
      </c>
      <c r="O6" s="12" t="s">
        <v>10</v>
      </c>
      <c r="P6" s="13" t="s">
        <v>11</v>
      </c>
      <c r="Q6" s="12" t="s">
        <v>12</v>
      </c>
      <c r="R6" s="14"/>
    </row>
    <row r="7" spans="2:67" ht="16.5" thickTop="1" thickBot="1" x14ac:dyDescent="0.3">
      <c r="B7" s="2"/>
      <c r="C7" s="15"/>
      <c r="D7" s="15"/>
      <c r="E7" s="15"/>
      <c r="G7" s="16"/>
      <c r="H7" s="16"/>
      <c r="I7" s="17" t="s">
        <v>13</v>
      </c>
      <c r="J7" s="17" t="s">
        <v>1</v>
      </c>
      <c r="K7" s="17" t="s">
        <v>14</v>
      </c>
      <c r="M7" s="11">
        <f>VLOOKUP(VALUE(RIGHT(M5,4)),[2]Table_indices_Taxes_Alcool!A5:C9,2,FALSE)</f>
        <v>1786.59</v>
      </c>
      <c r="N7" s="11">
        <f>VLOOKUP(VALUE(RIGHT(M5,4)),[2]Table_indices_Taxes_Alcool!A5:C9,3,FALSE)</f>
        <v>573.64</v>
      </c>
    </row>
    <row r="8" spans="2:67" ht="19.149999999999999" customHeight="1" thickTop="1" thickBot="1" x14ac:dyDescent="0.4">
      <c r="B8" s="2"/>
      <c r="C8" s="15"/>
      <c r="D8" s="15"/>
      <c r="E8" s="15"/>
      <c r="G8" s="16"/>
      <c r="H8" s="16"/>
      <c r="I8" s="18"/>
      <c r="J8" s="18"/>
      <c r="K8" s="18"/>
      <c r="M8" s="11">
        <v>193.73</v>
      </c>
      <c r="AB8" s="271" t="s">
        <v>1381</v>
      </c>
      <c r="AC8" s="271"/>
      <c r="AD8" s="271"/>
      <c r="AE8" s="271"/>
      <c r="AF8" s="271"/>
      <c r="AG8" s="271"/>
      <c r="AH8" s="271"/>
      <c r="BA8" s="243" t="s">
        <v>1367</v>
      </c>
      <c r="BB8" s="243"/>
      <c r="BC8" s="243"/>
      <c r="BD8" s="243"/>
      <c r="BE8" s="243"/>
      <c r="BF8" s="243"/>
      <c r="BG8" s="232"/>
      <c r="BH8" s="236"/>
      <c r="BI8" s="243" t="s">
        <v>1364</v>
      </c>
      <c r="BJ8" s="243"/>
      <c r="BK8" s="243"/>
      <c r="BL8" s="243"/>
      <c r="BM8" s="243"/>
      <c r="BN8" s="243"/>
    </row>
    <row r="9" spans="2:67" ht="22.5" thickTop="1" thickBot="1" x14ac:dyDescent="0.4">
      <c r="B9" s="19" t="s">
        <v>15</v>
      </c>
      <c r="C9" s="165"/>
      <c r="D9" s="20"/>
      <c r="F9" s="166"/>
      <c r="AB9" s="243" t="s">
        <v>1376</v>
      </c>
      <c r="AC9" s="243"/>
      <c r="AD9" s="243"/>
      <c r="AE9" s="234" t="s">
        <v>1370</v>
      </c>
      <c r="AF9" s="272" t="s">
        <v>1379</v>
      </c>
      <c r="AG9" s="234" t="s">
        <v>4</v>
      </c>
      <c r="AH9" s="234" t="s">
        <v>1370</v>
      </c>
      <c r="AI9" s="270"/>
      <c r="AJ9" s="235"/>
      <c r="AK9" s="235"/>
      <c r="AL9" s="235"/>
      <c r="AM9" s="235"/>
      <c r="AN9" s="235"/>
      <c r="AO9" s="235"/>
      <c r="AP9" s="235"/>
      <c r="AQ9" s="235"/>
      <c r="AR9" s="235"/>
      <c r="AS9" s="235"/>
      <c r="AT9" s="235"/>
      <c r="AU9" s="235"/>
      <c r="AV9" s="235"/>
      <c r="AW9" s="235"/>
      <c r="AZ9" s="238" t="s">
        <v>1366</v>
      </c>
      <c r="BA9" s="244" t="s">
        <v>1368</v>
      </c>
      <c r="BB9" s="244"/>
      <c r="BC9" s="244"/>
      <c r="BD9" s="244" t="s">
        <v>1369</v>
      </c>
      <c r="BE9" s="244"/>
      <c r="BF9" s="244"/>
      <c r="BG9" s="237" t="s">
        <v>1370</v>
      </c>
      <c r="BH9" s="238" t="s">
        <v>1371</v>
      </c>
      <c r="BI9" s="243" t="s">
        <v>1365</v>
      </c>
      <c r="BJ9" s="243"/>
      <c r="BK9" s="243"/>
      <c r="BL9" s="243"/>
      <c r="BM9" s="243"/>
      <c r="BN9" s="232" t="s">
        <v>1370</v>
      </c>
      <c r="BO9" s="238" t="s">
        <v>1373</v>
      </c>
    </row>
    <row r="10" spans="2:67" ht="21.75" thickTop="1" x14ac:dyDescent="0.35">
      <c r="B10" s="21">
        <v>4067700013835</v>
      </c>
      <c r="C10" s="171" t="s">
        <v>89</v>
      </c>
      <c r="D10" s="22"/>
      <c r="E10" s="23"/>
      <c r="F10" s="24">
        <v>175</v>
      </c>
      <c r="G10" s="25">
        <v>35</v>
      </c>
      <c r="H10" s="25">
        <v>6</v>
      </c>
      <c r="I10" s="26">
        <v>17.809999999999999</v>
      </c>
      <c r="J10" s="27">
        <v>14.46</v>
      </c>
      <c r="K10" s="28"/>
      <c r="M10" s="29">
        <f t="shared" ref="M10:M15" si="0">IF(G10&gt;=18,($M$7/10000)*$F10*($G10/100),IF(G10&gt;0,($M$8/10000)*F10,0))</f>
        <v>10.942863749999999</v>
      </c>
      <c r="N10" s="30">
        <f t="shared" ref="N10:N15" si="1">IF(G10&gt;18,($N$7/10000)*$F10*($G10/100),0)</f>
        <v>3.5135449999999997</v>
      </c>
      <c r="O10" s="31">
        <f t="shared" ref="O10:O15" si="2">IF(HLOOKUP($O$5,$I$7:$P$236,ROW()-6,FALSE)&gt;0,HLOOKUP($O$5,$I$7:$P$236,ROW()-6,FALSE)+M10+N10," ")</f>
        <v>28.916408750000002</v>
      </c>
      <c r="P10" s="32">
        <f>IF(OR(COUNT(O10)=0,COUNT(Q10)=0),0,O10+(O10*Q10))</f>
        <v>34.699690500000003</v>
      </c>
      <c r="Q10" s="33">
        <f>IF(OR(G10&gt;0,H10="IT"),0.2,0.055)</f>
        <v>0.2</v>
      </c>
      <c r="R10" s="33"/>
      <c r="S10" s="2" t="str">
        <f t="array" ref="S10">IFERROR(INDEX(Designation[],MATCH(0,IF(Designation[]&lt;&gt;"",COUNTIF($S$9:S9,Designation[])),0)),"")</f>
        <v>JGR-Jägermeister</v>
      </c>
      <c r="V10" s="2">
        <f t="array" ref="V10">IFERROR(INDEX(CL[],MATCH(0,IF(ISNUMBER(CL[]),COUNTIF($V$9:V9,CL[])),0))," ")</f>
        <v>175</v>
      </c>
      <c r="Y10" s="2" cm="1">
        <f t="array" ref="Y10">IFERROR(INDEX(CL[],MATCH(SMALL(IFERROR(IF(MATCH(IF(ISNUMBER(CL[]),CL[],""),CL[],0)=ROW(CL[])-9,COUNTIF(CL[],"&gt;"&amp;CL[])+1,""),""),ROW(A1)),IF(ISNUMBER(CL[]),COUNTIF(CL[],"&gt;"&amp;CL[])+1,""),0)),"")</f>
        <v>175</v>
      </c>
      <c r="AA10" s="2" t="s">
        <v>1372</v>
      </c>
      <c r="AB10" s="2" t="str" cm="1">
        <f t="array" ref="AB10">IFERROR(INDEX(MID(Designation[],SEARCH("-",Designation[])+1,LEN(Designation[])-SEARCH("-",Designation[])),MATCH(SMALL(IFERROR(IF(MATCH(IF(ISNUMBER(FIND(MJGES01_00028_2!$H$2,Designation[])),Designation[],""),Designation[],0)=ROW(Designation[])-9,COUNTIF(Designation[],"&lt;"&amp;Designation[])+1,""),""),ROW(A1)),IF(Designation[]&lt;&gt;"",COUNTIF(Designation[],"&lt;"&amp;Designation[])+1,""),0)),"")</f>
        <v xml:space="preserve">Danzinger Goldwasser </v>
      </c>
      <c r="AE10" s="2" t="str" cm="1">
        <f t="array" aca="1" ref="AE10:AE14" ca="1">OFFSET(Désign_selon_Cat_Stxt,,,COUNTIF(Désign_selon_Cat_Stxt,"*?"))</f>
        <v xml:space="preserve">Danzinger Goldwasser </v>
      </c>
      <c r="AF10" s="2" t="s">
        <v>20</v>
      </c>
      <c r="AG10" s="2" cm="1">
        <f t="array" ref="AG10">IFERROR(INDEX(CL[],SMALL(IFERROR(MATCH(IF(MID(Designation[],SEARCH("-",Designation[])+1,LEN(Designation[])-SEARCH("-",Designation[]))=MJGES01_00028_2!$I$2,CL[],""),CL[],0),""),ROW(A1))),"")</f>
        <v>70</v>
      </c>
      <c r="AH10" s="2" cm="1">
        <f t="array" aca="1" ref="AH10:AH11" ca="1">OFFSET(CL_selon_Cat_Stxt,,,COUNTIF(CL_selon_Cat_Stxt,"&gt;"&amp;0))</f>
        <v>70</v>
      </c>
      <c r="AJ10" s="2" t="str" cm="1">
        <f t="array" ref="AJ10">IFERROR(INDEX(Designation[],SMALL(IFERROR(IF(MATCH(IF(Designation[]&lt;&gt;"",Designation[],""),Designation[],0)=ROW(Designation[])-9,ROW(Designation[])-9,""),""),ROW(A1))),"")</f>
        <v>JGR-Jägermeister</v>
      </c>
      <c r="AK10" s="2" t="str" cm="1">
        <f t="array" aca="1" ref="AK10:AK65" ca="1">OFFSET(Désignation_liste,,,COUNTIF(Désignation_liste,"*?"))</f>
        <v>JGR-Jägermeister</v>
      </c>
      <c r="AN10" s="2" cm="1">
        <f t="array" ref="AN10">IFERROR(INDEX(CL[],MATCH(SMALL(IFERROR(IF(MATCH(IF(ISNUMBER(CL[]),CL[],""),CL[],0)=ROW(CL[])-9,COUNTIF(CL[],"&gt;"&amp;CL[])+1,""),""),ROW(A1)),IF(ISNUMBER(CL[]),COUNTIF(CL[],"&gt;"&amp;CL[])+1,""),0)),"")</f>
        <v>175</v>
      </c>
      <c r="AO10" s="2" cm="1">
        <f t="array" aca="1" ref="AO10:AO19" ca="1">OFFSET(CL_liste,,,COUNTIF(CL_liste,"&gt;"&amp;0))</f>
        <v>175</v>
      </c>
      <c r="AR10" s="2" t="str" cm="1">
        <f t="array" ref="AR10">IFERROR(INDEX(Designation[],MATCH(SMALL(IFERROR(IF(MATCH(IF(Designation[]&lt;&gt;"",Designation[],""),Designation[],0)=ROW(Designation[])-9,COUNTIF(Designation[],"&lt;"&amp;Designation[])+1,""),""),ROW(A1)),IF(Designation[]&lt;&gt;"",COUNTIF(Designation[],"&lt;"&amp;Designation[])+1),0)),"")</f>
        <v>BAR ITEM-FREEZER</v>
      </c>
      <c r="AU10" s="2" t="str" cm="1">
        <f t="array" aca="1" ref="AU10:AU65" ca="1">OFFSET(Designation_Liste_Alpha,,,COUNTIF(Designation_Liste_Alpha,"*?"))</f>
        <v>BAR ITEM-FREEZER</v>
      </c>
      <c r="AZ10" s="2" t="s">
        <v>1378</v>
      </c>
      <c r="BA10" s="2" t="str" cm="1">
        <f t="array" ref="BA10">IFERROR(INDEX(Designation[],SMALL(IFERROR(MATCH(IF(ISNUMBER(SEARCH($AZ$10,Designation[])),Designation[],""),Designation[],0),""),ROW(A1))),"")</f>
        <v>GIN-Saar Dry Gin Ferdinand's</v>
      </c>
      <c r="BD10" s="2" t="str" cm="1">
        <f t="array" ref="BD10">IFERROR(INDEX(Designation[],MATCH(SMALL(IFERROR(IF(MATCH(IF(ISNUMBER(SEARCH(MJGES01_00028_2!$H$2,Designation[])),Designation[],""),Designation[],0)=ROW(Designation[])-9,COUNTIF(Designation[],"&lt;"&amp;Designation[])+1,""),""),ROW(A1)),IF(Designation[]&lt;&gt;"",COUNTIF(Designation[],"&lt;"&amp;Designation[])+1),0)),"")</f>
        <v>COGN-Liqueur Meukow Vanilla</v>
      </c>
      <c r="BG10" s="2" t="str" cm="1">
        <f t="array" aca="1" ref="BG10:BG16" ca="1">OFFSET(Désignation_selon_Catégorie,,,COUNTIF(Désignation_selon_Catégorie,"*?"))</f>
        <v>COGN-Liqueur Meukow Vanilla</v>
      </c>
      <c r="BH10" s="231" t="s">
        <v>106</v>
      </c>
      <c r="BI10" s="2" t="e" cm="1">
        <f t="array" ref="BI10:BI114">MATCH(IF(Designation[]=$BH$10,CL[],""),CL[],0)</f>
        <v>#N/A</v>
      </c>
      <c r="BJ10" s="2" t="e" cm="1">
        <f t="array" ref="BJ10:BJ114">IF(MATCH(IF(Designation[]=$BH$10,CL[],""),CL[],0)&lt;&gt;"",COUNTIF(CL[],"&lt;"&amp;CL[])+1)</f>
        <v>#N/A</v>
      </c>
      <c r="BK10" s="164" cm="1">
        <f t="array" ref="BK10:BK114">IF(CL[]&lt;&gt;"",COUNTIF(CL[],"&gt;"&amp;CL[])+1,"")</f>
        <v>1</v>
      </c>
      <c r="BL10" s="164" cm="1">
        <f t="array" ref="BL10">SMALL(IFERROR(IF(MATCH(IF(Designation[]=$BH$10,CL[],""),CL[],0)&lt;&gt;"",COUNTIF(CL[],"&gt;"&amp;CL[])+1),""),ROW(A1))</f>
        <v>12</v>
      </c>
      <c r="BM10" cm="1">
        <f t="array" ref="BM10">IFERROR(INDEX(CL[],MATCH(SMALL(IFERROR(IF(MATCH(IF(Designation[]=$BD$10,CL[],""),CL[],0)&lt;&gt;"",COUNTIF(CL[],"&gt;"&amp;CL[])+1,""),""),ROW(A1)),IF(CL[]&lt;&gt;"",COUNTIF(CL[],"&gt;"&amp;CL[])+1,"0"),0)),"")</f>
        <v>70</v>
      </c>
      <c r="BN10" cm="1">
        <f t="array" aca="1" ref="BN10" ca="1">OFFSET(CL_Liste_Filtrée,,,COUNTIF(CL_Liste_Filtrée,"&gt;"&amp;0))</f>
        <v>70</v>
      </c>
      <c r="BO10" s="2">
        <v>75</v>
      </c>
    </row>
    <row r="11" spans="2:67" x14ac:dyDescent="0.25">
      <c r="B11" s="34">
        <v>4067700013842</v>
      </c>
      <c r="C11" s="164" t="s">
        <v>89</v>
      </c>
      <c r="E11" s="35"/>
      <c r="F11" s="36">
        <v>100</v>
      </c>
      <c r="G11" s="37">
        <v>35</v>
      </c>
      <c r="H11" s="37">
        <v>6</v>
      </c>
      <c r="I11" s="38">
        <v>10.89</v>
      </c>
      <c r="J11" s="39">
        <v>8.84</v>
      </c>
      <c r="K11" s="40"/>
      <c r="M11" s="41">
        <f t="shared" si="0"/>
        <v>6.2530649999999994</v>
      </c>
      <c r="N11" s="42">
        <f t="shared" si="1"/>
        <v>2.0077399999999996</v>
      </c>
      <c r="O11" s="43">
        <f t="shared" si="2"/>
        <v>17.100804999999998</v>
      </c>
      <c r="P11" s="44">
        <f t="shared" ref="P11:P15" si="3">IF(OR(COUNT(O11)=0,COUNT(Q11)=0),0,O11+(O11*Q11))</f>
        <v>20.520965999999998</v>
      </c>
      <c r="Q11" s="33">
        <f t="shared" ref="Q11:Q15" si="4">IF(OR(G11&gt;0,H11="IT"),0.2,0.055)</f>
        <v>0.2</v>
      </c>
      <c r="R11" s="33"/>
      <c r="S11" s="2" t="str">
        <f t="array" ref="S11">IFERROR(INDEX(Designation[],MATCH(0,IF(Designation[]&lt;&gt;"",COUNTIF($S$9:S10,Designation[])),0)),"")</f>
        <v>JGR-Jägermeister Scharf</v>
      </c>
      <c r="V11" s="2">
        <f t="array" ref="V11">IFERROR(INDEX(CL[],MATCH(0,IF(ISNUMBER(CL[]),COUNTIF($V$9:V10,CL[])),0))," ")</f>
        <v>100</v>
      </c>
      <c r="Y11" s="2" cm="1">
        <f t="array" ref="Y11">IFERROR(INDEX(CL[],MATCH(SMALL(IFERROR(IF(MATCH(IF(ISNUMBER(CL[]),CL[],""),CL[],0)=ROW(CL[])-9,COUNTIF(CL[],"&gt;"&amp;CL[])+1,""),""),ROW(A2)),IF(ISNUMBER(CL[]),COUNTIF(CL[],"&gt;"&amp;CL[])+1,""),0)),"")</f>
        <v>100</v>
      </c>
      <c r="AB11" s="2" t="str" cm="1">
        <f t="array" ref="AB11">IFERROR(INDEX(MID(Designation[],SEARCH("-",Designation[])+1,LEN(Designation[])-SEARCH("-",Designation[])),MATCH(SMALL(IFERROR(IF(MATCH(IF(ISNUMBER(FIND(MJGES01_00028_2!$H$2,Designation[])),Designation[],""),Designation[],0)=ROW(Designation[])-9,COUNTIF(Designation[],"&lt;"&amp;Designation[])+1,""),""),ROW(A2)),IF(Designation[]&lt;&gt;"",COUNTIF(Designation[],"&lt;"&amp;Designation[])+1,""),0)),"")</f>
        <v xml:space="preserve">Limoncello di Capri </v>
      </c>
      <c r="AE11" s="2" t="str">
        <f ca="1"/>
        <v xml:space="preserve">Limoncello di Capri </v>
      </c>
      <c r="AG11" s="2" cm="1">
        <f t="array" ref="AG11">IFERROR(INDEX(CL[],SMALL(IFERROR(MATCH(IF(MID(Designation[],SEARCH("-",Designation[])+1,LEN(Designation[])-SEARCH("-",Designation[]))=MJGES01_00028_2!$I$2,CL[],""),CL[],0),""),ROW(A2))),"")</f>
        <v>50</v>
      </c>
      <c r="AH11" s="2">
        <f ca="1"/>
        <v>50</v>
      </c>
      <c r="AJ11" s="2" t="str" cm="1">
        <f t="array" ref="AJ11">IFERROR(INDEX(Designation[],SMALL(IFERROR(IF(MATCH(IF(Designation[]&lt;&gt;"",Designation[],""),Designation[],0)=ROW(Designation[])-9,ROW(Designation[])-9,""),""),ROW(A2))),"")</f>
        <v>JGR-Jägermeister Scharf</v>
      </c>
      <c r="AK11" s="2" t="str">
        <f ca="1"/>
        <v>JGR-Jägermeister Scharf</v>
      </c>
      <c r="AN11" s="2" cm="1">
        <f t="array" ref="AN11">IFERROR(INDEX(CL[],MATCH(SMALL(IFERROR(IF(MATCH(IF(ISNUMBER(CL[]),CL[],""),CL[],0)=ROW(CL[])-9,COUNTIF(CL[],"&gt;"&amp;CL[])+1,""),""),ROW(A2)),IF(ISNUMBER(CL[]),COUNTIF(CL[],"&gt;"&amp;CL[])+1,""),0)),"")</f>
        <v>100</v>
      </c>
      <c r="AO11" s="2">
        <f ca="1"/>
        <v>100</v>
      </c>
      <c r="AR11" s="2" t="str" cm="1">
        <f t="array" ref="AR11">IFERROR(INDEX(Designation[],MATCH(SMALL(IFERROR(IF(MATCH(IF(Designation[]&lt;&gt;"",Designation[],""),Designation[],0)=ROW(Designation[])-9,COUNTIF(Designation[],"&lt;"&amp;Designation[])+1,""),""),ROW(A2)),IF(Designation[]&lt;&gt;"",COUNTIF(Designation[],"&lt;"&amp;Designation[])+1),0)),"")</f>
        <v>BAR ITEM-SG FREEZER</v>
      </c>
      <c r="AU11" s="2" t="str">
        <f ca="1"/>
        <v>BAR ITEM-SG FREEZER</v>
      </c>
      <c r="BA11" s="2" t="str" cm="1">
        <f t="array" ref="BA11">IFERROR(INDEX(Designation[],SMALL(IFERROR(MATCH(IF(ISNUMBER(SEARCH($AZ$10,Designation[])),Designation[],""),Designation[],0),""),ROW(A2))),"")</f>
        <v>GIN-Dry Gin Sul</v>
      </c>
      <c r="BD11" s="2" t="str" cm="1">
        <f t="array" ref="BD11">IFERROR(INDEX(Designation[],MATCH(SMALL(IFERROR(IF(MATCH(IF(ISNUMBER(SEARCH(MJGES01_00028_2!$H$2,Designation[])),Designation[],""),Designation[],0)=ROW(Designation[])-9,COUNTIF(Designation[],"&lt;"&amp;Designation[])+1,""),""),ROW(A2)),IF(Designation[]&lt;&gt;"",COUNTIF(Designation[],"&lt;"&amp;Designation[])+1),0)),"")</f>
        <v>COGN-Liqueur Meukow Xpresso</v>
      </c>
      <c r="BG11" s="2" t="str">
        <f ca="1"/>
        <v>COGN-Liqueur Meukow Xpresso</v>
      </c>
      <c r="BI11" s="2" t="e">
        <v>#N/A</v>
      </c>
      <c r="BJ11" s="2" t="e">
        <v>#N/A</v>
      </c>
      <c r="BK11" s="164">
        <v>3</v>
      </c>
      <c r="BL11" s="164" t="e" cm="1">
        <f t="array" ref="BL11">SMALL(IFERROR(IF(MATCH(IF(Designation[]=$BH$10,CL[],""),CL[],0)&lt;&gt;"",COUNTIF(CL[],"&gt;"&amp;CL[])+1),""),ROW(A2))</f>
        <v>#NUM!</v>
      </c>
      <c r="BM11" t="str" cm="1">
        <f t="array" ref="BM11">IFERROR(INDEX(CL[],MATCH(SMALL(IFERROR(IF(MATCH(IF(Designation[]=$BD$10,CL[],""),CL[],0)&lt;&gt;"",COUNTIF(CL[],"&gt;"&amp;CL[])+1,""),""),ROW(A2)),IF(CL[]&lt;&gt;"",COUNTIF(CL[],"&gt;"&amp;CL[])+1,"0"),0)),"")</f>
        <v/>
      </c>
    </row>
    <row r="12" spans="2:67" x14ac:dyDescent="0.25">
      <c r="B12" s="34">
        <v>4067700013859</v>
      </c>
      <c r="C12" s="164" t="s">
        <v>89</v>
      </c>
      <c r="E12" s="35"/>
      <c r="F12" s="36">
        <v>70</v>
      </c>
      <c r="G12" s="37">
        <v>35</v>
      </c>
      <c r="H12" s="37">
        <v>6</v>
      </c>
      <c r="I12" s="38">
        <v>8.16</v>
      </c>
      <c r="J12" s="39">
        <v>6.75</v>
      </c>
      <c r="K12" s="40"/>
      <c r="M12" s="41">
        <f t="shared" si="0"/>
        <v>4.3771454999999992</v>
      </c>
      <c r="N12" s="42">
        <f t="shared" si="1"/>
        <v>1.4054180000000001</v>
      </c>
      <c r="O12" s="43">
        <f t="shared" si="2"/>
        <v>12.532563499999998</v>
      </c>
      <c r="P12" s="44">
        <f t="shared" si="3"/>
        <v>15.039076199999998</v>
      </c>
      <c r="Q12" s="33">
        <f t="shared" si="4"/>
        <v>0.2</v>
      </c>
      <c r="R12" s="33"/>
      <c r="S12" s="2" t="str">
        <f t="array" ref="S12">IFERROR(INDEX(Designation[],MATCH(0,IF(Designation[]&lt;&gt;"",COUNTIF($S$9:S11,Designation[])),0)),"")</f>
        <v>JGR-Jägermeister distributeur miniatures</v>
      </c>
      <c r="V12" s="2">
        <f t="array" ref="V12">IFERROR(INDEX(CL[],MATCH(0,IF(ISNUMBER(CL[]),COUNTIF($V$9:V11,CL[])),0))," ")</f>
        <v>70</v>
      </c>
      <c r="Y12" s="2" cm="1">
        <f t="array" ref="Y12">IFERROR(INDEX(CL[],MATCH(SMALL(IFERROR(IF(MATCH(IF(ISNUMBER(CL[]),CL[],""),CL[],0)=ROW(CL[])-9,COUNTIF(CL[],"&gt;"&amp;CL[])+1,""),""),ROW(A3)),IF(ISNUMBER(CL[]),COUNTIF(CL[],"&gt;"&amp;CL[])+1,""),0)),"")</f>
        <v>75</v>
      </c>
      <c r="AB12" s="2" t="str" cm="1">
        <f t="array" ref="AB12">IFERROR(INDEX(MID(Designation[],SEARCH("-",Designation[])+1,LEN(Designation[])-SEARCH("-",Designation[])),MATCH(SMALL(IFERROR(IF(MATCH(IF(ISNUMBER(FIND(MJGES01_00028_2!$H$2,Designation[])),Designation[],""),Designation[],0)=ROW(Designation[])-9,COUNTIF(Designation[],"&lt;"&amp;Designation[])+1,""),""),ROW(A3)),IF(Designation[]&lt;&gt;"",COUNTIF(Designation[],"&lt;"&amp;Designation[])+1,""),0)),"")</f>
        <v xml:space="preserve">Sambuca Molinari Caffé </v>
      </c>
      <c r="AE12" s="2" t="str">
        <f ca="1"/>
        <v xml:space="preserve">Sambuca Molinari Caffé </v>
      </c>
      <c r="AG12" s="2" t="str" cm="1">
        <f t="array" ref="AG12">IFERROR(INDEX(CL[],SMALL(IFERROR(MATCH(IF(MID(Designation[],SEARCH("-",Designation[])+1,LEN(Designation[])-SEARCH("-",Designation[]))=MJGES01_00028_2!$I$2,CL[],""),CL[],0),""),ROW(A3))),"")</f>
        <v/>
      </c>
      <c r="AJ12" s="2" t="str" cm="1">
        <f t="array" ref="AJ12">IFERROR(INDEX(Designation[],SMALL(IFERROR(IF(MATCH(IF(Designation[]&lt;&gt;"",Designation[],""),Designation[],0)=ROW(Designation[])-9,ROW(Designation[])-9,""),""),ROW(A3))),"")</f>
        <v>JGR-Jägermeister distributeur miniatures</v>
      </c>
      <c r="AK12" s="2" t="str">
        <f ca="1"/>
        <v>JGR-Jägermeister distributeur miniatures</v>
      </c>
      <c r="AN12" s="2" cm="1">
        <f t="array" ref="AN12">IFERROR(INDEX(CL[],MATCH(SMALL(IFERROR(IF(MATCH(IF(ISNUMBER(CL[]),CL[],""),CL[],0)=ROW(CL[])-9,COUNTIF(CL[],"&gt;"&amp;CL[])+1,""),""),ROW(A3)),IF(ISNUMBER(CL[]),COUNTIF(CL[],"&gt;"&amp;CL[])+1,""),0)),"")</f>
        <v>75</v>
      </c>
      <c r="AO12" s="2">
        <f ca="1"/>
        <v>75</v>
      </c>
      <c r="AR12" s="2" t="str" cm="1">
        <f t="array" ref="AR12">IFERROR(INDEX(Designation[],MATCH(SMALL(IFERROR(IF(MATCH(IF(Designation[]&lt;&gt;"",Designation[],""),Designation[],0)=ROW(Designation[])-9,COUNTIF(Designation[],"&lt;"&amp;Designation[])+1,""),""),ROW(A3)),IF(Designation[]&lt;&gt;"",COUNTIF(Designation[],"&lt;"&amp;Designation[])+1),0)),"")</f>
        <v>BAR ITEM-SPEED POURER</v>
      </c>
      <c r="AU12" s="2" t="str">
        <f ca="1"/>
        <v>BAR ITEM-SPEED POURER</v>
      </c>
      <c r="BA12" s="2" t="str" cm="1">
        <f t="array" ref="BA12">IFERROR(INDEX(Designation[],SMALL(IFERROR(MATCH(IF(ISNUMBER(SEARCH($AZ$10,Designation[])),Designation[],""),Designation[],0),""),ROW(A3))),"")</f>
        <v>GIN-Blossom Gran Reserva</v>
      </c>
      <c r="BD12" s="2" t="str" cm="1">
        <f t="array" ref="BD12">IFERROR(INDEX(Designation[],MATCH(SMALL(IFERROR(IF(MATCH(IF(ISNUMBER(SEARCH(MJGES01_00028_2!$H$2,Designation[])),Designation[],""),Designation[],0)=ROW(Designation[])-9,COUNTIF(Designation[],"&lt;"&amp;Designation[])+1,""),""),ROW(A3)),IF(Designation[]&lt;&gt;"",COUNTIF(Designation[],"&lt;"&amp;Designation[])+1),0)),"")</f>
        <v xml:space="preserve">LIQU-Danzinger Goldwasser </v>
      </c>
      <c r="BG12" s="2" t="str">
        <f ca="1"/>
        <v xml:space="preserve">LIQU-Danzinger Goldwasser </v>
      </c>
      <c r="BI12" s="2" t="e">
        <v>#N/A</v>
      </c>
      <c r="BJ12" s="2" t="e">
        <v>#N/A</v>
      </c>
      <c r="BK12" s="164">
        <v>12</v>
      </c>
      <c r="BL12" s="164" t="e" cm="1">
        <f t="array" ref="BL12">SMALL(IFERROR(IF(MATCH(IF(Designation[]=$BH$10,CL[],""),CL[],0)&lt;&gt;"",COUNTIF(CL[],"&gt;"&amp;CL[])+1),""),ROW(A3))</f>
        <v>#NUM!</v>
      </c>
      <c r="BM12" t="str" cm="1">
        <f t="array" ref="BM12">IFERROR(INDEX(CL[],MATCH(SMALL(IFERROR(IF(MATCH(IF(Designation[]=$BD$10,CL[],""),CL[],0)&lt;&gt;"",COUNTIF(CL[],"&gt;"&amp;CL[])+1,""),""),ROW(A3)),IF(CL[]&lt;&gt;"",COUNTIF(CL[],"&gt;"&amp;CL[])+1,"0"),0)),"")</f>
        <v/>
      </c>
    </row>
    <row r="13" spans="2:67" x14ac:dyDescent="0.25">
      <c r="B13" s="34">
        <v>4067700012085</v>
      </c>
      <c r="C13" s="164" t="s">
        <v>90</v>
      </c>
      <c r="E13" s="35"/>
      <c r="F13" s="36">
        <v>70</v>
      </c>
      <c r="G13" s="37">
        <v>33</v>
      </c>
      <c r="H13" s="37">
        <v>6</v>
      </c>
      <c r="I13" s="38">
        <v>8.16</v>
      </c>
      <c r="J13" s="39">
        <v>6.75</v>
      </c>
      <c r="K13" s="40"/>
      <c r="M13" s="41">
        <f t="shared" si="0"/>
        <v>4.1270229</v>
      </c>
      <c r="N13" s="42">
        <f t="shared" si="1"/>
        <v>1.3251084000000002</v>
      </c>
      <c r="O13" s="43">
        <f t="shared" si="2"/>
        <v>12.2021313</v>
      </c>
      <c r="P13" s="44">
        <f t="shared" si="3"/>
        <v>14.64255756</v>
      </c>
      <c r="Q13" s="33">
        <f t="shared" si="4"/>
        <v>0.2</v>
      </c>
      <c r="R13" s="33"/>
      <c r="S13" s="2" t="str">
        <f t="array" ref="S13">IFERROR(INDEX(Designation[],MATCH(0,IF(Designation[]&lt;&gt;"",COUNTIF($S$9:S12,Designation[])),0)),"")</f>
        <v>LIQU-Sambuca Molinari Extra</v>
      </c>
      <c r="V13" s="2">
        <f t="array" ref="V13">IFERROR(INDEX(CL[],MATCH(0,IF(ISNUMBER(CL[]),COUNTIF($V$9:V12,CL[])),0))," ")</f>
        <v>35</v>
      </c>
      <c r="Y13" s="2" cm="1">
        <f t="array" ref="Y13">IFERROR(INDEX(CL[],MATCH(SMALL(IFERROR(IF(MATCH(IF(ISNUMBER(CL[]),CL[],""),CL[],0)=ROW(CL[])-9,COUNTIF(CL[],"&gt;"&amp;CL[])+1,""),""),ROW(A4)),IF(ISNUMBER(CL[]),COUNTIF(CL[],"&gt;"&amp;CL[])+1,""),0)),"")</f>
        <v>70</v>
      </c>
      <c r="AB13" s="2" t="str" cm="1">
        <f t="array" ref="AB13">IFERROR(INDEX(MID(Designation[],SEARCH("-",Designation[])+1,LEN(Designation[])-SEARCH("-",Designation[])),MATCH(SMALL(IFERROR(IF(MATCH(IF(ISNUMBER(FIND(MJGES01_00028_2!$H$2,Designation[])),Designation[],""),Designation[],0)=ROW(Designation[])-9,COUNTIF(Designation[],"&lt;"&amp;Designation[])+1,""),""),ROW(A4)),IF(Designation[]&lt;&gt;"",COUNTIF(Designation[],"&lt;"&amp;Designation[])+1,""),0)),"")</f>
        <v>Sambuca Molinari Extra</v>
      </c>
      <c r="AE13" s="2" t="str">
        <f ca="1"/>
        <v>Sambuca Molinari Extra</v>
      </c>
      <c r="AG13" s="2" t="str" cm="1">
        <f t="array" ref="AG13">IFERROR(INDEX(CL[],SMALL(IFERROR(MATCH(IF(MID(Designation[],SEARCH("-",Designation[])+1,LEN(Designation[])-SEARCH("-",Designation[]))=MJGES01_00028_2!$I$2,CL[],""),CL[],0),""),ROW(A4))),"")</f>
        <v/>
      </c>
      <c r="AJ13" s="2" t="str" cm="1">
        <f t="array" ref="AJ13">IFERROR(INDEX(Designation[],SMALL(IFERROR(IF(MATCH(IF(Designation[]&lt;&gt;"",Designation[],""),Designation[],0)=ROW(Designation[])-9,ROW(Designation[])-9,""),""),ROW(A4))),"")</f>
        <v>LIQU-Sambuca Molinari Extra</v>
      </c>
      <c r="AK13" s="2" t="str">
        <f ca="1"/>
        <v>LIQU-Sambuca Molinari Extra</v>
      </c>
      <c r="AN13" s="2" cm="1">
        <f t="array" ref="AN13">IFERROR(INDEX(CL[],MATCH(SMALL(IFERROR(IF(MATCH(IF(ISNUMBER(CL[]),CL[],""),CL[],0)=ROW(CL[])-9,COUNTIF(CL[],"&gt;"&amp;CL[])+1,""),""),ROW(A4)),IF(ISNUMBER(CL[]),COUNTIF(CL[],"&gt;"&amp;CL[])+1,""),0)),"")</f>
        <v>70</v>
      </c>
      <c r="AO13" s="2">
        <f ca="1"/>
        <v>70</v>
      </c>
      <c r="AR13" s="2" t="str" cm="1">
        <f t="array" ref="AR13">IFERROR(INDEX(Designation[],MATCH(SMALL(IFERROR(IF(MATCH(IF(Designation[]&lt;&gt;"",Designation[],""),Designation[],0)=ROW(Designation[])-9,COUNTIF(Designation[],"&lt;"&amp;Designation[])+1,""),""),ROW(A4)),IF(Designation[]&lt;&gt;"",COUNTIF(Designation[],"&lt;"&amp;Designation[])+1),0)),"")</f>
        <v>BAR ITEM-TAP MACHINE 1 btl</v>
      </c>
      <c r="AU13" s="2" t="str">
        <f ca="1"/>
        <v>BAR ITEM-TAP MACHINE 1 btl</v>
      </c>
      <c r="BA13" s="2" t="str" cm="1">
        <f t="array" ref="BA13">IFERROR(INDEX(Designation[],SMALL(IFERROR(MATCH(IF(ISNUMBER(SEARCH($AZ$10,Designation[])),Designation[],""),Designation[],0),""),ROW(A4))),"")</f>
        <v xml:space="preserve">GIN-Blossom London Dry Gin </v>
      </c>
      <c r="BD13" s="2" t="str" cm="1">
        <f t="array" ref="BD13">IFERROR(INDEX(Designation[],MATCH(SMALL(IFERROR(IF(MATCH(IF(ISNUMBER(SEARCH(MJGES01_00028_2!$H$2,Designation[])),Designation[],""),Designation[],0)=ROW(Designation[])-9,COUNTIF(Designation[],"&lt;"&amp;Designation[])+1,""),""),ROW(A4)),IF(Designation[]&lt;&gt;"",COUNTIF(Designation[],"&lt;"&amp;Designation[])+1),0)),"")</f>
        <v xml:space="preserve">LIQU-Limoncello di Capri </v>
      </c>
      <c r="BG13" s="2" t="str">
        <f ca="1"/>
        <v xml:space="preserve">LIQU-Limoncello di Capri </v>
      </c>
      <c r="BI13" s="2" t="e">
        <v>#N/A</v>
      </c>
      <c r="BJ13" s="2" t="e">
        <v>#N/A</v>
      </c>
      <c r="BK13" s="164">
        <v>12</v>
      </c>
      <c r="BL13" s="164" t="e" cm="1">
        <f t="array" ref="BL13">SMALL(IFERROR(IF(MATCH(IF(Designation[]=$BH$10,CL[],""),CL[],0)&lt;&gt;"",COUNTIF(CL[],"&gt;"&amp;CL[])+1),""),ROW(A4))</f>
        <v>#NUM!</v>
      </c>
      <c r="BM13" t="str" cm="1">
        <f t="array" ref="BM13">IFERROR(INDEX(CL[],MATCH(SMALL(IFERROR(IF(MATCH(IF(Designation[]=$BD$10,CL[],""),CL[],0)&lt;&gt;"",COUNTIF(CL[],"&gt;"&amp;CL[])+1,""),""),ROW(A4)),IF(CL[]&lt;&gt;"",COUNTIF(CL[],"&gt;"&amp;CL[])+1,"0"),0)),"")</f>
        <v/>
      </c>
    </row>
    <row r="14" spans="2:67" x14ac:dyDescent="0.25">
      <c r="B14" s="34">
        <v>4067700013866</v>
      </c>
      <c r="C14" s="164" t="s">
        <v>89</v>
      </c>
      <c r="E14" s="35"/>
      <c r="F14" s="36">
        <v>35</v>
      </c>
      <c r="G14" s="37">
        <v>35</v>
      </c>
      <c r="H14" s="37">
        <v>6</v>
      </c>
      <c r="I14" s="38">
        <v>4.08</v>
      </c>
      <c r="J14" s="39">
        <v>3.38</v>
      </c>
      <c r="K14" s="40"/>
      <c r="M14" s="41">
        <f t="shared" si="0"/>
        <v>2.1885727499999996</v>
      </c>
      <c r="N14" s="42">
        <f t="shared" si="1"/>
        <v>0.70270900000000003</v>
      </c>
      <c r="O14" s="43">
        <f t="shared" si="2"/>
        <v>6.27128175</v>
      </c>
      <c r="P14" s="44">
        <f t="shared" si="3"/>
        <v>7.5255381000000003</v>
      </c>
      <c r="Q14" s="33">
        <f t="shared" si="4"/>
        <v>0.2</v>
      </c>
      <c r="R14" s="33"/>
      <c r="S14" s="2" t="str">
        <f t="array" ref="S14">IFERROR(INDEX(Designation[],MATCH(0,IF(Designation[]&lt;&gt;"",COUNTIF($S$9:S13,Designation[])),0)),"")</f>
        <v xml:space="preserve">LIQU-Sambuca Molinari Caffé </v>
      </c>
      <c r="V14" s="2">
        <f t="array" ref="V14">IFERROR(INDEX(CL[],MATCH(0,IF(ISNUMBER(CL[]),COUNTIF($V$9:V13,CL[])),0))," ")</f>
        <v>2</v>
      </c>
      <c r="Y14" s="2" cm="1">
        <f t="array" ref="Y14">IFERROR(INDEX(CL[],MATCH(SMALL(IFERROR(IF(MATCH(IF(ISNUMBER(CL[]),CL[],""),CL[],0)=ROW(CL[])-9,COUNTIF(CL[],"&gt;"&amp;CL[])+1,""),""),ROW(A5)),IF(ISNUMBER(CL[]),COUNTIF(CL[],"&gt;"&amp;CL[])+1,""),0)),"")</f>
        <v>50</v>
      </c>
      <c r="AB14" s="2" t="str" cm="1">
        <f t="array" ref="AB14">IFERROR(INDEX(MID(Designation[],SEARCH("-",Designation[])+1,LEN(Designation[])-SEARCH("-",Designation[])),MATCH(SMALL(IFERROR(IF(MATCH(IF(ISNUMBER(FIND(MJGES01_00028_2!$H$2,Designation[])),Designation[],""),Designation[],0)=ROW(Designation[])-9,COUNTIF(Designation[],"&lt;"&amp;Designation[])+1,""),""),ROW(A5)),IF(Designation[]&lt;&gt;"",COUNTIF(Designation[],"&lt;"&amp;Designation[])+1,""),0)),"")</f>
        <v>Seve Feu de Joie</v>
      </c>
      <c r="AE14" s="2" t="str">
        <f ca="1"/>
        <v>Seve Feu de Joie</v>
      </c>
      <c r="AG14" s="2" t="str" cm="1">
        <f t="array" ref="AG14">IFERROR(INDEX(CL[],SMALL(IFERROR(MATCH(IF(MID(Designation[],SEARCH("-",Designation[])+1,LEN(Designation[])-SEARCH("-",Designation[]))=MJGES01_00028_2!$I$2,CL[],""),CL[],0),""),ROW(A5))),"")</f>
        <v/>
      </c>
      <c r="AJ14" s="2" t="str" cm="1">
        <f t="array" ref="AJ14">IFERROR(INDEX(Designation[],SMALL(IFERROR(IF(MATCH(IF(Designation[]&lt;&gt;"",Designation[],""),Designation[],0)=ROW(Designation[])-9,ROW(Designation[])-9,""),""),ROW(A5))),"")</f>
        <v xml:space="preserve">LIQU-Sambuca Molinari Caffé </v>
      </c>
      <c r="AK14" s="2" t="str">
        <f ca="1"/>
        <v xml:space="preserve">LIQU-Sambuca Molinari Caffé </v>
      </c>
      <c r="AN14" s="2" cm="1">
        <f t="array" ref="AN14">IFERROR(INDEX(CL[],MATCH(SMALL(IFERROR(IF(MATCH(IF(ISNUMBER(CL[]),CL[],""),CL[],0)=ROW(CL[])-9,COUNTIF(CL[],"&gt;"&amp;CL[])+1,""),""),ROW(A5)),IF(ISNUMBER(CL[]),COUNTIF(CL[],"&gt;"&amp;CL[])+1,""),0)),"")</f>
        <v>50</v>
      </c>
      <c r="AO14" s="2">
        <f ca="1"/>
        <v>50</v>
      </c>
      <c r="AR14" s="2" t="str" cm="1">
        <f t="array" ref="AR14">IFERROR(INDEX(Designation[],MATCH(SMALL(IFERROR(IF(MATCH(IF(Designation[]&lt;&gt;"",Designation[],""),Designation[],0)=ROW(Designation[])-9,COUNTIF(Designation[],"&lt;"&amp;Designation[])+1,""),""),ROW(A5)),IF(Designation[]&lt;&gt;"",COUNTIF(Designation[],"&lt;"&amp;Designation[])+1),0)),"")</f>
        <v>BAR ITEM-TAP MACHINE 3 btl</v>
      </c>
      <c r="AU14" s="2" t="str">
        <f ca="1"/>
        <v>BAR ITEM-TAP MACHINE 3 btl</v>
      </c>
      <c r="BA14" s="2" t="str" cm="1">
        <f t="array" ref="BA14">IFERROR(INDEX(Designation[],SMALL(IFERROR(MATCH(IF(ISNUMBER(SEARCH($AZ$10,Designation[])),Designation[],""),Designation[],0),""),ROW(A5))),"")</f>
        <v>GIN-Blossom Peach</v>
      </c>
      <c r="BD14" s="2" t="str" cm="1">
        <f t="array" ref="BD14">IFERROR(INDEX(Designation[],MATCH(SMALL(IFERROR(IF(MATCH(IF(ISNUMBER(SEARCH(MJGES01_00028_2!$H$2,Designation[])),Designation[],""),Designation[],0)=ROW(Designation[])-9,COUNTIF(Designation[],"&lt;"&amp;Designation[])+1,""),""),ROW(A5)),IF(Designation[]&lt;&gt;"",COUNTIF(Designation[],"&lt;"&amp;Designation[])+1),0)),"")</f>
        <v xml:space="preserve">LIQU-Sambuca Molinari Caffé </v>
      </c>
      <c r="BG14" s="2" t="str">
        <f ca="1"/>
        <v xml:space="preserve">LIQU-Sambuca Molinari Caffé </v>
      </c>
      <c r="BI14" s="2" t="e">
        <v>#N/A</v>
      </c>
      <c r="BJ14" s="2" t="e">
        <v>#N/A</v>
      </c>
      <c r="BK14" s="164">
        <v>48</v>
      </c>
      <c r="BL14" s="164" t="e" cm="1">
        <f t="array" ref="BL14">SMALL(IFERROR(IF(MATCH(IF(Designation[]=$BH$10,CL[],""),CL[],0)&lt;&gt;"",COUNTIF(CL[],"&gt;"&amp;CL[])+1),""),ROW(A5))</f>
        <v>#NUM!</v>
      </c>
      <c r="BM14" t="str" cm="1">
        <f t="array" ref="BM14">IFERROR(INDEX(CL[],MATCH(SMALL(IFERROR(IF(MATCH(IF(Designation[]=$BD$10,CL[],""),CL[],0)&lt;&gt;"",COUNTIF(CL[],"&gt;"&amp;CL[])+1,""),""),ROW(A5)),IF(CL[]&lt;&gt;"",COUNTIF(CL[],"&gt;"&amp;CL[])+1,"0"),0)),"")</f>
        <v/>
      </c>
    </row>
    <row r="15" spans="2:67" ht="15.75" thickBot="1" x14ac:dyDescent="0.3">
      <c r="B15" s="45">
        <v>4067700015884</v>
      </c>
      <c r="C15" s="172" t="s">
        <v>85</v>
      </c>
      <c r="D15" s="46"/>
      <c r="E15" s="47"/>
      <c r="F15" s="48">
        <v>2</v>
      </c>
      <c r="G15" s="49">
        <v>35</v>
      </c>
      <c r="H15" s="49">
        <v>6</v>
      </c>
      <c r="I15" s="50">
        <v>0.56000000000000005</v>
      </c>
      <c r="J15" s="51">
        <v>0.47</v>
      </c>
      <c r="K15" s="52"/>
      <c r="M15" s="53">
        <f t="shared" si="0"/>
        <v>0.12506129999999999</v>
      </c>
      <c r="N15" s="54">
        <f t="shared" si="1"/>
        <v>4.0154799999999997E-2</v>
      </c>
      <c r="O15" s="55">
        <f t="shared" si="2"/>
        <v>0.63521610000000006</v>
      </c>
      <c r="P15" s="56">
        <f t="shared" si="3"/>
        <v>0.76225932000000007</v>
      </c>
      <c r="Q15" s="33">
        <f t="shared" si="4"/>
        <v>0.2</v>
      </c>
      <c r="R15" s="33"/>
      <c r="S15" s="2" t="str">
        <f t="array" ref="S15">IFERROR(INDEX(Designation[],MATCH(0,IF(Designation[]&lt;&gt;"",COUNTIF($S$9:S14,Designation[])),0)),"")</f>
        <v xml:space="preserve">LIQU-Limoncello di Capri </v>
      </c>
      <c r="V15" s="2">
        <f t="array" ref="V15">IFERROR(INDEX(CL[],MATCH(0,IF(ISNUMBER(CL[]),COUNTIF($V$9:V14,CL[])),0))," ")</f>
        <v>50</v>
      </c>
      <c r="Y15" s="2" cm="1">
        <f t="array" ref="Y15">IFERROR(INDEX(CL[],MATCH(SMALL(IFERROR(IF(MATCH(IF(ISNUMBER(CL[]),CL[],""),CL[],0)=ROW(CL[])-9,COUNTIF(CL[],"&gt;"&amp;CL[])+1,""),""),ROW(A6)),IF(ISNUMBER(CL[]),COUNTIF(CL[],"&gt;"&amp;CL[])+1,""),0)),"")</f>
        <v>35</v>
      </c>
      <c r="AB15" s="2" t="str" cm="1">
        <f t="array" ref="AB15">IFERROR(INDEX(MID(Designation[],SEARCH("-",Designation[])+1,LEN(Designation[])-SEARCH("-",Designation[])),MATCH(SMALL(IFERROR(IF(MATCH(IF(ISNUMBER(FIND(MJGES01_00028_2!$H$2,Designation[])),Designation[],""),Designation[],0)=ROW(Designation[])-9,COUNTIF(Designation[],"&lt;"&amp;Designation[])+1,""),""),ROW(A6)),IF(Designation[]&lt;&gt;"",COUNTIF(Designation[],"&lt;"&amp;Designation[])+1,""),0)),"")</f>
        <v/>
      </c>
      <c r="AG15" s="2" t="str" cm="1">
        <f t="array" ref="AG15">IFERROR(INDEX(CL[],SMALL(IFERROR(MATCH(IF(MID(Designation[],SEARCH("-",Designation[])+1,LEN(Designation[])-SEARCH("-",Designation[]))=MJGES01_00028_2!$I$2,CL[],""),CL[],0),""),ROW(A6))),"")</f>
        <v/>
      </c>
      <c r="AJ15" s="2" t="str" cm="1">
        <f t="array" ref="AJ15">IFERROR(INDEX(Designation[],SMALL(IFERROR(IF(MATCH(IF(Designation[]&lt;&gt;"",Designation[],""),Designation[],0)=ROW(Designation[])-9,ROW(Designation[])-9,""),""),ROW(A6))),"")</f>
        <v xml:space="preserve">LIQU-Limoncello di Capri </v>
      </c>
      <c r="AK15" s="2" t="str">
        <f ca="1"/>
        <v xml:space="preserve">LIQU-Limoncello di Capri </v>
      </c>
      <c r="AN15" s="2" cm="1">
        <f t="array" ref="AN15">IFERROR(INDEX(CL[],MATCH(SMALL(IFERROR(IF(MATCH(IF(ISNUMBER(CL[]),CL[],""),CL[],0)=ROW(CL[])-9,COUNTIF(CL[],"&gt;"&amp;CL[])+1,""),""),ROW(A6)),IF(ISNUMBER(CL[]),COUNTIF(CL[],"&gt;"&amp;CL[])+1,""),0)),"")</f>
        <v>35</v>
      </c>
      <c r="AO15" s="2">
        <f ca="1"/>
        <v>35</v>
      </c>
      <c r="AR15" s="2" t="str" cm="1">
        <f t="array" ref="AR15">IFERROR(INDEX(Designation[],MATCH(SMALL(IFERROR(IF(MATCH(IF(Designation[]&lt;&gt;"",Designation[],""),Designation[],0)=ROW(Designation[])-9,COUNTIF(Designation[],"&lt;"&amp;Designation[])+1,""),""),ROW(A6)),IF(Designation[]&lt;&gt;"",COUNTIF(Designation[],"&lt;"&amp;Designation[])+1),0)),"")</f>
        <v>COGN-Liqueur Meukow Vanilla</v>
      </c>
      <c r="AU15" s="2" t="str">
        <f ca="1"/>
        <v>COGN-Liqueur Meukow Vanilla</v>
      </c>
      <c r="BA15" s="2" t="str" cm="1">
        <f t="array" ref="BA15">IFERROR(INDEX(Designation[],SMALL(IFERROR(MATCH(IF(ISNUMBER(SEARCH($AZ$10,Designation[])),Designation[],""),Designation[],0),""),ROW(A6))),"")</f>
        <v>TH-Ginger Ale</v>
      </c>
      <c r="BD15" s="2" t="str" cm="1">
        <f t="array" ref="BD15">IFERROR(INDEX(Designation[],MATCH(SMALL(IFERROR(IF(MATCH(IF(ISNUMBER(SEARCH(MJGES01_00028_2!$H$2,Designation[])),Designation[],""),Designation[],0)=ROW(Designation[])-9,COUNTIF(Designation[],"&lt;"&amp;Designation[])+1,""),""),ROW(A6)),IF(Designation[]&lt;&gt;"",COUNTIF(Designation[],"&lt;"&amp;Designation[])+1),0)),"")</f>
        <v>LIQU-Sambuca Molinari Extra</v>
      </c>
      <c r="BG15" s="2" t="str">
        <f ca="1"/>
        <v>LIQU-Sambuca Molinari Extra</v>
      </c>
      <c r="BI15" s="2" t="e">
        <v>#N/A</v>
      </c>
      <c r="BJ15" s="2" t="e">
        <v>#N/A</v>
      </c>
      <c r="BK15" s="164">
        <v>62</v>
      </c>
      <c r="BL15" s="164" t="e" cm="1">
        <f t="array" ref="BL15">SMALL(IFERROR(IF(MATCH(IF(Designation[]=$BH$10,CL[],""),CL[],0)&lt;&gt;"",COUNTIF(CL[],"&gt;"&amp;CL[])+1),""),ROW(A6))</f>
        <v>#NUM!</v>
      </c>
      <c r="BM15" t="str" cm="1">
        <f t="array" ref="BM15">IFERROR(INDEX(CL[],MATCH(SMALL(IFERROR(IF(MATCH(IF(Designation[]=$BD$10,CL[],""),CL[],0)&lt;&gt;"",COUNTIF(CL[],"&gt;"&amp;CL[])+1,""),""),ROW(A6)),IF(CL[]&lt;&gt;"",COUNTIF(CL[],"&gt;"&amp;CL[])+1,"0"),0)),"")</f>
        <v/>
      </c>
    </row>
    <row r="16" spans="2:67" ht="16.5" thickTop="1" thickBot="1" x14ac:dyDescent="0.3">
      <c r="B16" s="57"/>
      <c r="F16" s="37"/>
      <c r="G16" s="37"/>
      <c r="H16" s="37"/>
      <c r="J16" s="58"/>
      <c r="M16" s="59"/>
      <c r="N16" s="59"/>
      <c r="O16" s="43"/>
      <c r="P16" s="43"/>
      <c r="S16" s="2" t="str">
        <f t="array" ref="S16">IFERROR(INDEX(Designation[],MATCH(0,IF(Designation[]&lt;&gt;"",COUNTIF($S$9:S15,Designation[])),0)),"")</f>
        <v xml:space="preserve">LIQU-Danzinger Goldwasser </v>
      </c>
      <c r="V16" s="2">
        <f t="array" ref="V16">IFERROR(INDEX(CL[],MATCH(0,IF(ISNUMBER(CL[]),COUNTIF($V$9:V15,CL[])),0))," ")</f>
        <v>75</v>
      </c>
      <c r="Y16" s="2" cm="1">
        <f t="array" ref="Y16">IFERROR(INDEX(CL[],MATCH(SMALL(IFERROR(IF(MATCH(IF(ISNUMBER(CL[]),CL[],""),CL[],0)=ROW(CL[])-9,COUNTIF(CL[],"&gt;"&amp;CL[])+1,""),""),ROW(A7)),IF(ISNUMBER(CL[]),COUNTIF(CL[],"&gt;"&amp;CL[])+1,""),0)),"")</f>
        <v>20</v>
      </c>
      <c r="AB16" s="2" t="str" cm="1">
        <f t="array" ref="AB16">IFERROR(INDEX(MID(Designation[],SEARCH("-",Designation[])+1,LEN(Designation[])-SEARCH("-",Designation[])),MATCH(SMALL(IFERROR(IF(MATCH(IF(ISNUMBER(FIND(MJGES01_00028_2!$H$2,Designation[])),Designation[],""),Designation[],0)=ROW(Designation[])-9,COUNTIF(Designation[],"&lt;"&amp;Designation[])+1,""),""),ROW(A7)),IF(Designation[]&lt;&gt;"",COUNTIF(Designation[],"&lt;"&amp;Designation[])+1,""),0)),"")</f>
        <v/>
      </c>
      <c r="AG16" s="2" t="str" cm="1">
        <f t="array" ref="AG16">IFERROR(INDEX(CL[],SMALL(IFERROR(MATCH(IF(MID(Designation[],SEARCH("-",Designation[])+1,LEN(Designation[])-SEARCH("-",Designation[]))=MJGES01_00028_2!$I$2,CL[],""),CL[],0),""),ROW(A7))),"")</f>
        <v/>
      </c>
      <c r="AJ16" s="2" t="str" cm="1">
        <f t="array" ref="AJ16">IFERROR(INDEX(Designation[],SMALL(IFERROR(IF(MATCH(IF(Designation[]&lt;&gt;"",Designation[],""),Designation[],0)=ROW(Designation[])-9,ROW(Designation[])-9,""),""),ROW(A7))),"")</f>
        <v xml:space="preserve">LIQU-Danzinger Goldwasser </v>
      </c>
      <c r="AK16" s="2" t="str">
        <f ca="1"/>
        <v xml:space="preserve">LIQU-Danzinger Goldwasser </v>
      </c>
      <c r="AN16" s="2" cm="1">
        <f t="array" ref="AN16">IFERROR(INDEX(CL[],MATCH(SMALL(IFERROR(IF(MATCH(IF(ISNUMBER(CL[]),CL[],""),CL[],0)=ROW(CL[])-9,COUNTIF(CL[],"&gt;"&amp;CL[])+1,""),""),ROW(A7)),IF(ISNUMBER(CL[]),COUNTIF(CL[],"&gt;"&amp;CL[])+1,""),0)),"")</f>
        <v>20</v>
      </c>
      <c r="AO16" s="2">
        <f ca="1"/>
        <v>20</v>
      </c>
      <c r="AR16" s="2" t="str" cm="1">
        <f t="array" ref="AR16">IFERROR(INDEX(Designation[],MATCH(SMALL(IFERROR(IF(MATCH(IF(Designation[]&lt;&gt;"",Designation[],""),Designation[],0)=ROW(Designation[])-9,COUNTIF(Designation[],"&lt;"&amp;Designation[])+1,""),""),ROW(A7)),IF(Designation[]&lt;&gt;"",COUNTIF(Designation[],"&lt;"&amp;Designation[])+1),0)),"")</f>
        <v>COGN-Liqueur Meukow Xpresso</v>
      </c>
      <c r="AU16" s="2" t="str">
        <f ca="1"/>
        <v>COGN-Liqueur Meukow Xpresso</v>
      </c>
      <c r="BA16" s="2" t="str" cm="1">
        <f t="array" ref="BA16">IFERROR(INDEX(Designation[],SMALL(IFERROR(MATCH(IF(ISNUMBER(SEARCH($AZ$10,Designation[])),Designation[],""),Designation[],0),""),ROW(A7))),"")</f>
        <v>TH-Spicy Ginger Beer</v>
      </c>
      <c r="BD16" s="2" t="str" cm="1">
        <f t="array" ref="BD16">IFERROR(INDEX(Designation[],MATCH(SMALL(IFERROR(IF(MATCH(IF(ISNUMBER(SEARCH(MJGES01_00028_2!$H$2,Designation[])),Designation[],""),Designation[],0)=ROW(Designation[])-9,COUNTIF(Designation[],"&lt;"&amp;Designation[])+1,""),""),ROW(A7)),IF(Designation[]&lt;&gt;"",COUNTIF(Designation[],"&lt;"&amp;Designation[])+1),0)),"")</f>
        <v>LIQU-Seve Feu de Joie</v>
      </c>
      <c r="BG16" s="2" t="str">
        <f ca="1"/>
        <v>LIQU-Seve Feu de Joie</v>
      </c>
      <c r="BI16" s="2" t="e">
        <v>#N/A</v>
      </c>
      <c r="BJ16" s="2" t="e">
        <v>#N/A</v>
      </c>
      <c r="BK16" s="164" t="str">
        <v/>
      </c>
      <c r="BL16" s="164" t="e" cm="1">
        <f t="array" ref="BL16">SMALL(IFERROR(IF(MATCH(IF(Designation[]=$BH$10,CL[],""),CL[],0)&lt;&gt;"",COUNTIF(CL[],"&gt;"&amp;CL[])+1),""),ROW(A7))</f>
        <v>#NUM!</v>
      </c>
      <c r="BM16" t="str" cm="1">
        <f t="array" ref="BM16">IFERROR(INDEX(CL[],MATCH(SMALL(IFERROR(IF(MATCH(IF(Designation[]=$BD$10,CL[],""),CL[],0)&lt;&gt;"",COUNTIF(CL[],"&gt;"&amp;CL[])+1,""),""),ROW(A7)),IF(CL[]&lt;&gt;"",COUNTIF(CL[],"&gt;"&amp;CL[])+1,"0"),0)),"")</f>
        <v/>
      </c>
    </row>
    <row r="17" spans="2:65" ht="20.25" thickTop="1" thickBot="1" x14ac:dyDescent="0.3">
      <c r="B17" s="60" t="s">
        <v>16</v>
      </c>
      <c r="C17" s="61"/>
      <c r="D17" s="20"/>
      <c r="S17" s="2" t="str">
        <f t="array" ref="S17">IFERROR(INDEX(Designation[],MATCH(0,IF(Designation[]&lt;&gt;"",COUNTIF($S$9:S16,Designation[])),0)),"")</f>
        <v>RHUM-Santiago de Cuba, Carta Blanca</v>
      </c>
      <c r="V17" s="2">
        <f t="array" ref="V17">IFERROR(INDEX(CL[],MATCH(0,IF(ISNUMBER(CL[]),COUNTIF($V$9:V16,CL[])),0))," ")</f>
        <v>10</v>
      </c>
      <c r="Y17" s="2" cm="1">
        <f t="array" ref="Y17">IFERROR(INDEX(CL[],MATCH(SMALL(IFERROR(IF(MATCH(IF(ISNUMBER(CL[]),CL[],""),CL[],0)=ROW(CL[])-9,COUNTIF(CL[],"&gt;"&amp;CL[])+1,""),""),ROW(A8)),IF(ISNUMBER(CL[]),COUNTIF(CL[],"&gt;"&amp;CL[])+1,""),0)),"")</f>
        <v>10</v>
      </c>
      <c r="AB17" s="2" t="str" cm="1">
        <f t="array" ref="AB17">IFERROR(INDEX(MID(Designation[],SEARCH("-",Designation[])+1,LEN(Designation[])-SEARCH("-",Designation[])),MATCH(SMALL(IFERROR(IF(MATCH(IF(ISNUMBER(FIND(MJGES01_00028_2!$H$2,Designation[])),Designation[],""),Designation[],0)=ROW(Designation[])-9,COUNTIF(Designation[],"&lt;"&amp;Designation[])+1,""),""),ROW(A8)),IF(Designation[]&lt;&gt;"",COUNTIF(Designation[],"&lt;"&amp;Designation[])+1,""),0)),"")</f>
        <v/>
      </c>
      <c r="AG17" s="2" t="str" cm="1">
        <f t="array" ref="AG17">IFERROR(INDEX(CL[],SMALL(IFERROR(MATCH(IF(MID(Designation[],SEARCH("-",Designation[])+1,LEN(Designation[])-SEARCH("-",Designation[]))=MJGES01_00028_2!$I$2,CL[],""),CL[],0),""),ROW(A8))),"")</f>
        <v/>
      </c>
      <c r="AJ17" s="2" t="str" cm="1">
        <f t="array" ref="AJ17">IFERROR(INDEX(Designation[],SMALL(IFERROR(IF(MATCH(IF(Designation[]&lt;&gt;"",Designation[],""),Designation[],0)=ROW(Designation[])-9,ROW(Designation[])-9,""),""),ROW(A8))),"")</f>
        <v>RHUM-Santiago de Cuba, Carta Blanca</v>
      </c>
      <c r="AK17" s="2" t="str">
        <f ca="1"/>
        <v>RHUM-Santiago de Cuba, Carta Blanca</v>
      </c>
      <c r="AN17" s="2" cm="1">
        <f t="array" ref="AN17">IFERROR(INDEX(CL[],MATCH(SMALL(IFERROR(IF(MATCH(IF(ISNUMBER(CL[]),CL[],""),CL[],0)=ROW(CL[])-9,COUNTIF(CL[],"&gt;"&amp;CL[])+1,""),""),ROW(A8)),IF(ISNUMBER(CL[]),COUNTIF(CL[],"&gt;"&amp;CL[])+1,""),0)),"")</f>
        <v>10</v>
      </c>
      <c r="AO17" s="2">
        <f ca="1"/>
        <v>10</v>
      </c>
      <c r="AR17" s="2" t="str" cm="1">
        <f t="array" ref="AR17">IFERROR(INDEX(Designation[],MATCH(SMALL(IFERROR(IF(MATCH(IF(Designation[]&lt;&gt;"",Designation[],""),Designation[],0)=ROW(Designation[])-9,COUNTIF(Designation[],"&lt;"&amp;Designation[])+1,""),""),ROW(A8)),IF(Designation[]&lt;&gt;"",COUNTIF(Designation[],"&lt;"&amp;Designation[])+1),0)),"")</f>
        <v>COGN-Meukow 90'</v>
      </c>
      <c r="AU17" s="2" t="str">
        <f ca="1"/>
        <v>COGN-Meukow 90'</v>
      </c>
      <c r="BA17" s="2" t="str" cm="1">
        <f t="array" ref="BA17">IFERROR(INDEX(Designation[],SMALL(IFERROR(MATCH(IF(ISNUMBER(SEARCH($AZ$10,Designation[])),Designation[],""),Designation[],0),""),ROW(A8))),"")</f>
        <v/>
      </c>
      <c r="BD17" s="2" t="str" cm="1">
        <f t="array" ref="BD17">IFERROR(INDEX(Designation[],MATCH(SMALL(IFERROR(IF(MATCH(IF(ISNUMBER(SEARCH(MJGES01_00028_2!$H$2,Designation[])),Designation[],""),Designation[],0)=ROW(Designation[])-9,COUNTIF(Designation[],"&lt;"&amp;Designation[])+1,""),""),ROW(A8)),IF(Designation[]&lt;&gt;"",COUNTIF(Designation[],"&lt;"&amp;Designation[])+1),0)),"")</f>
        <v/>
      </c>
      <c r="BI17" s="2" t="e">
        <v>#N/A</v>
      </c>
      <c r="BJ17" s="2" t="e">
        <v>#N/A</v>
      </c>
      <c r="BK17" s="164" t="str">
        <v/>
      </c>
      <c r="BL17" s="164" t="e" cm="1">
        <f t="array" ref="BL17">SMALL(IFERROR(IF(MATCH(IF(Designation[]=$BH$10,CL[],""),CL[],0)&lt;&gt;"",COUNTIF(CL[],"&gt;"&amp;CL[])+1),""),ROW(A8))</f>
        <v>#NUM!</v>
      </c>
      <c r="BM17" t="str" cm="1">
        <f t="array" ref="BM17">IFERROR(INDEX(CL[],MATCH(SMALL(IFERROR(IF(MATCH(IF(Designation[]=$BD$10,CL[],""),CL[],0)&lt;&gt;"",COUNTIF(CL[],"&gt;"&amp;CL[])+1,""),""),ROW(A8)),IF(CL[]&lt;&gt;"",COUNTIF(CL[],"&gt;"&amp;CL[])+1,"0"),0)),"")</f>
        <v/>
      </c>
    </row>
    <row r="18" spans="2:65" ht="15.75" thickTop="1" x14ac:dyDescent="0.25">
      <c r="B18" s="21">
        <v>8002095200039</v>
      </c>
      <c r="C18" s="171" t="s">
        <v>138</v>
      </c>
      <c r="D18" s="22"/>
      <c r="E18" s="23"/>
      <c r="F18" s="24">
        <v>100</v>
      </c>
      <c r="G18" s="25">
        <v>40</v>
      </c>
      <c r="H18" s="25">
        <v>6</v>
      </c>
      <c r="I18" s="27">
        <v>11.35</v>
      </c>
      <c r="J18" s="27">
        <v>11.35</v>
      </c>
      <c r="K18" s="28"/>
      <c r="M18" s="29">
        <f t="shared" ref="M18:M20" si="5">IF(G18&gt;=18,($M$7/10000)*$F18*($G18/100),IF(G18&gt;0,($M$8/10000)*F18,0))</f>
        <v>7.1463600000000005</v>
      </c>
      <c r="N18" s="30">
        <f>IF(G18&gt;18,($N$7/10000)*$F18*($G18/100),0)</f>
        <v>2.2945600000000002</v>
      </c>
      <c r="O18" s="31">
        <f>IF(HLOOKUP($O$5,$I$7:$P$236,ROW()-6,FALSE)&gt;0,HLOOKUP($O$5,$I$7:$P$236,ROW()-6,FALSE)+M18+N18," ")</f>
        <v>20.79092</v>
      </c>
      <c r="P18" s="32">
        <f>IF(OR(COUNT(O18)=0,COUNT(Q18)=0),0,O18+(O18*Q18))</f>
        <v>24.949103999999998</v>
      </c>
      <c r="Q18" s="33">
        <f t="shared" ref="Q18:Q20" si="6">IF(OR(G18&gt;0,H18="IT"),0.2,0.055)</f>
        <v>0.2</v>
      </c>
      <c r="R18" s="33"/>
      <c r="S18" s="2" t="str">
        <f t="array" ref="S18">IFERROR(INDEX(Designation[],MATCH(0,IF(Designation[]&lt;&gt;"",COUNTIF($S$9:S17,Designation[])),0)),"")</f>
        <v>RHUM-Santiago de Cuba Anejo</v>
      </c>
      <c r="V18" s="2">
        <f t="array" ref="V18">IFERROR(INDEX(CL[],MATCH(0,IF(ISNUMBER(CL[]),COUNTIF($V$9:V17,CL[])),0))," ")</f>
        <v>5</v>
      </c>
      <c r="Y18" s="2" cm="1">
        <f t="array" ref="Y18">IFERROR(INDEX(CL[],MATCH(SMALL(IFERROR(IF(MATCH(IF(ISNUMBER(CL[]),CL[],""),CL[],0)=ROW(CL[])-9,COUNTIF(CL[],"&gt;"&amp;CL[])+1,""),""),ROW(A9)),IF(ISNUMBER(CL[]),COUNTIF(CL[],"&gt;"&amp;CL[])+1,""),0)),"")</f>
        <v>5</v>
      </c>
      <c r="AB18" s="2" t="str" cm="1">
        <f t="array" ref="AB18">IFERROR(INDEX(MID(Designation[],SEARCH("-",Designation[])+1,LEN(Designation[])-SEARCH("-",Designation[])),MATCH(SMALL(IFERROR(IF(MATCH(IF(ISNUMBER(FIND(MJGES01_00028_2!$H$2,Designation[])),Designation[],""),Designation[],0)=ROW(Designation[])-9,COUNTIF(Designation[],"&lt;"&amp;Designation[])+1,""),""),ROW(A9)),IF(Designation[]&lt;&gt;"",COUNTIF(Designation[],"&lt;"&amp;Designation[])+1,""),0)),"")</f>
        <v/>
      </c>
      <c r="AG18" s="2" t="str" cm="1">
        <f t="array" ref="AG18">IFERROR(INDEX(CL[],SMALL(IFERROR(MATCH(IF(MID(Designation[],SEARCH("-",Designation[])+1,LEN(Designation[])-SEARCH("-",Designation[]))=MJGES01_00028_2!$I$2,CL[],""),CL[],0),""),ROW(A9))),"")</f>
        <v/>
      </c>
      <c r="AJ18" s="2" t="str" cm="1">
        <f t="array" ref="AJ18">IFERROR(INDEX(Designation[],SMALL(IFERROR(IF(MATCH(IF(Designation[]&lt;&gt;"",Designation[],""),Designation[],0)=ROW(Designation[])-9,ROW(Designation[])-9,""),""),ROW(A9))),"")</f>
        <v>RHUM-Santiago de Cuba Anejo</v>
      </c>
      <c r="AK18" s="2" t="str">
        <f ca="1"/>
        <v>RHUM-Santiago de Cuba Anejo</v>
      </c>
      <c r="AN18" s="2" cm="1">
        <f t="array" ref="AN18">IFERROR(INDEX(CL[],MATCH(SMALL(IFERROR(IF(MATCH(IF(ISNUMBER(CL[]),CL[],""),CL[],0)=ROW(CL[])-9,COUNTIF(CL[],"&gt;"&amp;CL[])+1,""),""),ROW(A9)),IF(ISNUMBER(CL[]),COUNTIF(CL[],"&gt;"&amp;CL[])+1,""),0)),"")</f>
        <v>5</v>
      </c>
      <c r="AO18" s="2">
        <f ca="1"/>
        <v>5</v>
      </c>
      <c r="AR18" s="2" t="str" cm="1">
        <f t="array" ref="AR18">IFERROR(INDEX(Designation[],MATCH(SMALL(IFERROR(IF(MATCH(IF(Designation[]&lt;&gt;"",Designation[],""),Designation[],0)=ROW(Designation[])-9,COUNTIF(Designation[],"&lt;"&amp;Designation[])+1,""),""),ROW(A9)),IF(Designation[]&lt;&gt;"",COUNTIF(Designation[],"&lt;"&amp;Designation[])+1),0)),"")</f>
        <v>COGN-Meukow 90' boite métal</v>
      </c>
      <c r="AU18" s="2" t="str">
        <f ca="1"/>
        <v>COGN-Meukow 90' boite métal</v>
      </c>
      <c r="BA18" s="2" t="str" cm="1">
        <f t="array" ref="BA18">IFERROR(INDEX(Designation[],SMALL(IFERROR(MATCH(IF(ISNUMBER(SEARCH($AZ$10,Designation[])),Designation[],""),Designation[],0),""),ROW(A9))),"")</f>
        <v/>
      </c>
      <c r="BD18" s="2" t="str" cm="1">
        <f t="array" ref="BD18">IFERROR(INDEX(Designation[],MATCH(SMALL(IFERROR(IF(MATCH(IF(ISNUMBER(SEARCH(MJGES01_00028_2!$H$2,Designation[])),Designation[],""),Designation[],0)=ROW(Designation[])-9,COUNTIF(Designation[],"&lt;"&amp;Designation[])+1,""),""),ROW(A9)),IF(Designation[]&lt;&gt;"",COUNTIF(Designation[],"&lt;"&amp;Designation[])+1),0)),"")</f>
        <v/>
      </c>
      <c r="BI18" s="2" t="e">
        <v>#N/A</v>
      </c>
      <c r="BJ18" s="2" t="e">
        <v>#N/A</v>
      </c>
      <c r="BK18" s="164">
        <v>3</v>
      </c>
      <c r="BL18" s="164" t="e" cm="1">
        <f t="array" ref="BL18">SMALL(IFERROR(IF(MATCH(IF(Designation[]=$BH$10,CL[],""),CL[],0)&lt;&gt;"",COUNTIF(CL[],"&gt;"&amp;CL[])+1),""),ROW(A9))</f>
        <v>#NUM!</v>
      </c>
      <c r="BM18" t="str" cm="1">
        <f t="array" ref="BM18">IFERROR(INDEX(CL[],MATCH(SMALL(IFERROR(IF(MATCH(IF(Designation[]=$BD$10,CL[],""),CL[],0)&lt;&gt;"",COUNTIF(CL[],"&gt;"&amp;CL[])+1,""),""),ROW(A9)),IF(CL[]&lt;&gt;"",COUNTIF(CL[],"&gt;"&amp;CL[])+1,"0"),0)),"")</f>
        <v/>
      </c>
    </row>
    <row r="19" spans="2:65" x14ac:dyDescent="0.25">
      <c r="B19" s="34">
        <v>8002095100001</v>
      </c>
      <c r="C19" s="164" t="s">
        <v>138</v>
      </c>
      <c r="E19" s="35"/>
      <c r="F19" s="36">
        <v>70</v>
      </c>
      <c r="G19" s="37">
        <v>40</v>
      </c>
      <c r="H19" s="37">
        <v>6</v>
      </c>
      <c r="I19" s="39">
        <v>9.42</v>
      </c>
      <c r="J19" s="39">
        <v>9.42</v>
      </c>
      <c r="K19" s="40"/>
      <c r="M19" s="41">
        <f t="shared" si="5"/>
        <v>5.0024519999999999</v>
      </c>
      <c r="N19" s="42">
        <f>IF(G19&gt;18,($N$7/10000)*$F19*($G19/100),0)</f>
        <v>1.6061920000000001</v>
      </c>
      <c r="O19" s="43">
        <f>IF(HLOOKUP($O$5,$I$7:$P$236,ROW()-6,FALSE)&gt;0,HLOOKUP($O$5,$I$7:$P$236,ROW()-6,FALSE)+M19+N19," ")</f>
        <v>16.028644</v>
      </c>
      <c r="P19" s="44">
        <f t="shared" ref="P19:P20" si="7">IF(OR(COUNT(O19)=0,COUNT(Q19)=0),0,O19+(O19*Q19))</f>
        <v>19.234372799999999</v>
      </c>
      <c r="Q19" s="33">
        <f t="shared" si="6"/>
        <v>0.2</v>
      </c>
      <c r="R19" s="33"/>
      <c r="S19" s="2" t="str">
        <f t="array" ref="S19">IFERROR(INDEX(Designation[],MATCH(0,IF(Designation[]&lt;&gt;"",COUNTIF($S$9:S18,Designation[])),0)),"")</f>
        <v>RHUM-Santiago de Cuba, 12 ans</v>
      </c>
      <c r="V19" s="2">
        <f t="array" ref="V19">IFERROR(INDEX(CL[],MATCH(0,IF(ISNUMBER(CL[]),COUNTIF($V$9:V18,CL[])),0))," ")</f>
        <v>20</v>
      </c>
      <c r="Y19" s="2" cm="1">
        <f t="array" ref="Y19">IFERROR(INDEX(CL[],MATCH(SMALL(IFERROR(IF(MATCH(IF(ISNUMBER(CL[]),CL[],""),CL[],0)=ROW(CL[])-9,COUNTIF(CL[],"&gt;"&amp;CL[])+1,""),""),ROW(A10)),IF(ISNUMBER(CL[]),COUNTIF(CL[],"&gt;"&amp;CL[])+1,""),0)),"")</f>
        <v>2</v>
      </c>
      <c r="AB19" s="2" t="str" cm="1">
        <f t="array" ref="AB19">IFERROR(INDEX(MID(Designation[],SEARCH("-",Designation[])+1,LEN(Designation[])-SEARCH("-",Designation[])),MATCH(SMALL(IFERROR(IF(MATCH(IF(ISNUMBER(FIND(MJGES01_00028_2!$H$2,Designation[])),Designation[],""),Designation[],0)=ROW(Designation[])-9,COUNTIF(Designation[],"&lt;"&amp;Designation[])+1,""),""),ROW(A10)),IF(Designation[]&lt;&gt;"",COUNTIF(Designation[],"&lt;"&amp;Designation[])+1,""),0)),"")</f>
        <v/>
      </c>
      <c r="AG19" s="2" t="str" cm="1">
        <f t="array" ref="AG19">IFERROR(INDEX(CL[],SMALL(IFERROR(MATCH(IF(MID(Designation[],SEARCH("-",Designation[])+1,LEN(Designation[])-SEARCH("-",Designation[]))=MJGES01_00028_2!$I$2,CL[],""),CL[],0),""),ROW(A10))),"")</f>
        <v/>
      </c>
      <c r="AJ19" s="2" t="str" cm="1">
        <f t="array" ref="AJ19">IFERROR(INDEX(Designation[],SMALL(IFERROR(IF(MATCH(IF(Designation[]&lt;&gt;"",Designation[],""),Designation[],0)=ROW(Designation[])-9,ROW(Designation[])-9,""),""),ROW(A10))),"")</f>
        <v>RHUM-Santiago de Cuba, 12 ans</v>
      </c>
      <c r="AK19" s="2" t="str">
        <f ca="1"/>
        <v>RHUM-Santiago de Cuba, 12 ans</v>
      </c>
      <c r="AN19" s="2" cm="1">
        <f t="array" ref="AN19">IFERROR(INDEX(CL[],MATCH(SMALL(IFERROR(IF(MATCH(IF(ISNUMBER(CL[]),CL[],""),CL[],0)=ROW(CL[])-9,COUNTIF(CL[],"&gt;"&amp;CL[])+1,""),""),ROW(A10)),IF(ISNUMBER(CL[]),COUNTIF(CL[],"&gt;"&amp;CL[])+1,""),0)),"")</f>
        <v>2</v>
      </c>
      <c r="AO19" s="2">
        <f ca="1"/>
        <v>2</v>
      </c>
      <c r="AR19" s="2" t="str" cm="1">
        <f t="array" ref="AR19">IFERROR(INDEX(Designation[],MATCH(SMALL(IFERROR(IF(MATCH(IF(Designation[]&lt;&gt;"",Designation[],""),Designation[],0)=ROW(Designation[])-9,COUNTIF(Designation[],"&lt;"&amp;Designation[])+1,""),""),ROW(A10)),IF(Designation[]&lt;&gt;"",COUNTIF(Designation[],"&lt;"&amp;Designation[])+1),0)),"")</f>
        <v>COGN-Meukow Arima</v>
      </c>
      <c r="AU19" s="2" t="str">
        <f ca="1"/>
        <v>COGN-Meukow Arima</v>
      </c>
      <c r="BA19" s="2" t="str" cm="1">
        <f t="array" ref="BA19">IFERROR(INDEX(Designation[],SMALL(IFERROR(MATCH(IF(ISNUMBER(SEARCH($AZ$10,Designation[])),Designation[],""),Designation[],0),""),ROW(A10))),"")</f>
        <v/>
      </c>
      <c r="BD19" s="2" t="str" cm="1">
        <f t="array" ref="BD19">IFERROR(INDEX(Designation[],MATCH(SMALL(IFERROR(IF(MATCH(IF(ISNUMBER(SEARCH(MJGES01_00028_2!$H$2,Designation[])),Designation[],""),Designation[],0)=ROW(Designation[])-9,COUNTIF(Designation[],"&lt;"&amp;Designation[])+1,""),""),ROW(A10)),IF(Designation[]&lt;&gt;"",COUNTIF(Designation[],"&lt;"&amp;Designation[])+1),0)),"")</f>
        <v/>
      </c>
      <c r="BI19" s="2" t="e">
        <v>#N/A</v>
      </c>
      <c r="BJ19" s="2" t="e">
        <v>#N/A</v>
      </c>
      <c r="BK19" s="164">
        <v>12</v>
      </c>
      <c r="BL19" s="164" t="e" cm="1">
        <f t="array" ref="BL19">SMALL(IFERROR(IF(MATCH(IF(Designation[]=$BH$10,CL[],""),CL[],0)&lt;&gt;"",COUNTIF(CL[],"&gt;"&amp;CL[])+1),""),ROW(A10))</f>
        <v>#NUM!</v>
      </c>
      <c r="BM19" t="str" cm="1">
        <f t="array" ref="BM19">IFERROR(INDEX(CL[],MATCH(SMALL(IFERROR(IF(MATCH(IF(Designation[]=$BD$10,CL[],""),CL[],0)&lt;&gt;"",COUNTIF(CL[],"&gt;"&amp;CL[])+1,""),""),ROW(A10)),IF(CL[]&lt;&gt;"",COUNTIF(CL[],"&gt;"&amp;CL[])+1,"0"),0)),"")</f>
        <v/>
      </c>
    </row>
    <row r="20" spans="2:65" ht="15.75" thickBot="1" x14ac:dyDescent="0.3">
      <c r="B20" s="45">
        <v>8002095736606</v>
      </c>
      <c r="C20" s="172" t="s">
        <v>137</v>
      </c>
      <c r="D20" s="46"/>
      <c r="E20" s="47"/>
      <c r="F20" s="48">
        <v>70</v>
      </c>
      <c r="G20" s="49">
        <v>36</v>
      </c>
      <c r="H20" s="49">
        <v>6</v>
      </c>
      <c r="I20" s="51">
        <v>9.8000000000000007</v>
      </c>
      <c r="J20" s="51">
        <v>9.8000000000000007</v>
      </c>
      <c r="K20" s="52"/>
      <c r="L20" s="46"/>
      <c r="M20" s="53">
        <f t="shared" si="5"/>
        <v>4.5022067999999997</v>
      </c>
      <c r="N20" s="54">
        <f>IF(G20&gt;18,($N$7/10000)*$F20*($G20/100),0)</f>
        <v>1.4455728000000001</v>
      </c>
      <c r="O20" s="55">
        <f>IF(HLOOKUP($O$5,$I$7:$P$236,ROW()-6,FALSE)&gt;0,HLOOKUP($O$5,$I$7:$P$236,ROW()-6,FALSE)+M20+N20," ")</f>
        <v>15.747779600000001</v>
      </c>
      <c r="P20" s="56">
        <f t="shared" si="7"/>
        <v>18.897335520000002</v>
      </c>
      <c r="Q20" s="33">
        <f t="shared" si="6"/>
        <v>0.2</v>
      </c>
      <c r="R20" s="33"/>
      <c r="S20" s="2" t="str">
        <f t="array" ref="S20">IFERROR(INDEX(Designation[],MATCH(0,IF(Designation[]&lt;&gt;"",COUNTIF($S$9:S19,Designation[])),0)),"")</f>
        <v>RHUM-Santiago de Cuba, 20 ans</v>
      </c>
      <c r="V20" s="2" t="str">
        <f t="array" ref="V20">IFERROR(INDEX(CL[],MATCH(0,IF(ISNUMBER(CL[]),COUNTIF($V$9:V19,CL[])),0))," ")</f>
        <v xml:space="preserve"> </v>
      </c>
      <c r="Y20" s="2" t="str" cm="1">
        <f t="array" ref="Y20">IFERROR(INDEX(CL[],MATCH(SMALL(IFERROR(IF(MATCH(IF(ISNUMBER(CL[]),CL[],""),CL[],0)=ROW(CL[])-9,COUNTIF(CL[],"&gt;"&amp;CL[])+1,""),""),ROW(A11)),IF(ISNUMBER(CL[]),COUNTIF(CL[],"&gt;"&amp;CL[])+1,""),0)),"")</f>
        <v/>
      </c>
      <c r="AB20" s="2" t="str" cm="1">
        <f t="array" ref="AB20">IFERROR(INDEX(MID(Designation[],SEARCH("-",Designation[])+1,LEN(Designation[])-SEARCH("-",Designation[])),MATCH(SMALL(IFERROR(IF(MATCH(IF(ISNUMBER(FIND(MJGES01_00028_2!$H$2,Designation[])),Designation[],""),Designation[],0)=ROW(Designation[])-9,COUNTIF(Designation[],"&lt;"&amp;Designation[])+1,""),""),ROW(A11)),IF(Designation[]&lt;&gt;"",COUNTIF(Designation[],"&lt;"&amp;Designation[])+1,""),0)),"")</f>
        <v/>
      </c>
      <c r="AG20" s="2" t="str" cm="1">
        <f t="array" ref="AG20">IFERROR(INDEX(CL[],SMALL(IFERROR(MATCH(IF(MID(Designation[],SEARCH("-",Designation[])+1,LEN(Designation[])-SEARCH("-",Designation[]))=MJGES01_00028_2!$I$2,CL[],""),CL[],0),""),ROW(A11))),"")</f>
        <v/>
      </c>
      <c r="AJ20" s="2" t="str" cm="1">
        <f t="array" ref="AJ20">IFERROR(INDEX(Designation[],SMALL(IFERROR(IF(MATCH(IF(Designation[]&lt;&gt;"",Designation[],""),Designation[],0)=ROW(Designation[])-9,ROW(Designation[])-9,""),""),ROW(A11))),"")</f>
        <v>RHUM-Santiago de Cuba, 20 ans</v>
      </c>
      <c r="AK20" s="2" t="str">
        <f ca="1"/>
        <v>RHUM-Santiago de Cuba, 20 ans</v>
      </c>
      <c r="AN20" s="2" t="str" cm="1">
        <f t="array" ref="AN20">IFERROR(INDEX(CL[],MATCH(SMALL(IFERROR(IF(MATCH(IF(ISNUMBER(CL[]),CL[],""),CL[],0)=ROW(CL[])-9,COUNTIF(CL[],"&gt;"&amp;CL[])+1,""),""),ROW(A11)),IF(ISNUMBER(CL[]),COUNTIF(CL[],"&gt;"&amp;CL[])+1,""),0)),"")</f>
        <v/>
      </c>
      <c r="AR20" s="2" t="str" cm="1">
        <f t="array" ref="AR20">IFERROR(INDEX(Designation[],MATCH(SMALL(IFERROR(IF(MATCH(IF(Designation[]&lt;&gt;"",Designation[],""),Designation[],0)=ROW(Designation[])-9,COUNTIF(Designation[],"&lt;"&amp;Designation[])+1,""),""),ROW(A11)),IF(Designation[]&lt;&gt;"",COUNTIF(Designation[],"&lt;"&amp;Designation[])+1),0)),"")</f>
        <v>COGN-Meukow Baccarat Coffret</v>
      </c>
      <c r="AU20" s="2" t="str">
        <f ca="1"/>
        <v>COGN-Meukow Baccarat Coffret</v>
      </c>
      <c r="BA20" s="2" t="str" cm="1">
        <f t="array" ref="BA20">IFERROR(INDEX(Designation[],SMALL(IFERROR(MATCH(IF(ISNUMBER(SEARCH($AZ$10,Designation[])),Designation[],""),Designation[],0),""),ROW(A11))),"")</f>
        <v/>
      </c>
      <c r="BD20" s="2" t="str" cm="1">
        <f t="array" ref="BD20">IFERROR(INDEX(Designation[],MATCH(SMALL(IFERROR(IF(MATCH(IF(ISNUMBER(SEARCH(MJGES01_00028_2!$H$2,Designation[])),Designation[],""),Designation[],0)=ROW(Designation[])-9,COUNTIF(Designation[],"&lt;"&amp;Designation[])+1,""),""),ROW(A11)),IF(Designation[]&lt;&gt;"",COUNTIF(Designation[],"&lt;"&amp;Designation[])+1),0)),"")</f>
        <v/>
      </c>
      <c r="BI20" s="2" t="e">
        <v>#N/A</v>
      </c>
      <c r="BJ20" s="2" t="e">
        <v>#N/A</v>
      </c>
      <c r="BK20" s="164">
        <v>12</v>
      </c>
      <c r="BL20" s="164" t="e" cm="1">
        <f t="array" ref="BL20">SMALL(IFERROR(IF(MATCH(IF(Designation[]=$BH$10,CL[],""),CL[],0)&lt;&gt;"",COUNTIF(CL[],"&gt;"&amp;CL[])+1),""),ROW(A11))</f>
        <v>#NUM!</v>
      </c>
      <c r="BM20" t="str" cm="1">
        <f t="array" ref="BM20">IFERROR(INDEX(CL[],MATCH(SMALL(IFERROR(IF(MATCH(IF(Designation[]=$BD$10,CL[],""),CL[],0)&lt;&gt;"",COUNTIF(CL[],"&gt;"&amp;CL[])+1,""),""),ROW(A11)),IF(CL[]&lt;&gt;"",COUNTIF(CL[],"&gt;"&amp;CL[])+1,"0"),0)),"")</f>
        <v/>
      </c>
    </row>
    <row r="21" spans="2:65" ht="16.5" thickTop="1" thickBot="1" x14ac:dyDescent="0.3">
      <c r="B21" s="57"/>
      <c r="F21" s="37"/>
      <c r="G21" s="37"/>
      <c r="H21" s="37"/>
      <c r="J21" s="58"/>
      <c r="M21" s="59"/>
      <c r="N21" s="59"/>
      <c r="O21" s="43"/>
      <c r="P21" s="43"/>
      <c r="S21" s="2" t="str">
        <f t="array" ref="S21">IFERROR(INDEX(Designation[],MATCH(0,IF(Designation[]&lt;&gt;"",COUNTIF($S$9:S20,Designation[])),0)),"")</f>
        <v>RHUM-Santiago de Cuba, 25 ans</v>
      </c>
      <c r="V21" s="2" t="str">
        <f t="array" ref="V21">IFERROR(INDEX(CL[],MATCH(0,IF(ISNUMBER(CL[]),COUNTIF($V$9:V20,CL[])),0))," ")</f>
        <v xml:space="preserve"> </v>
      </c>
      <c r="Y21" s="2" t="str" cm="1">
        <f t="array" ref="Y21">IFERROR(INDEX(CL[],MATCH(SMALL(IFERROR(IF(MATCH(IF(ISNUMBER(CL[]),CL[],""),CL[],0)=ROW(CL[])-9,COUNTIF(CL[],"&gt;"&amp;CL[])+1,""),""),ROW(A12)),IF(ISNUMBER(CL[]),COUNTIF(CL[],"&gt;"&amp;CL[])+1,""),0)),"")</f>
        <v/>
      </c>
      <c r="AB21" s="2" t="str" cm="1">
        <f t="array" ref="AB21">IFERROR(INDEX(MID(Designation[],SEARCH("-",Designation[])+1,LEN(Designation[])-SEARCH("-",Designation[])),MATCH(SMALL(IFERROR(IF(MATCH(IF(ISNUMBER(FIND(MJGES01_00028_2!$H$2,Designation[])),Designation[],""),Designation[],0)=ROW(Designation[])-9,COUNTIF(Designation[],"&lt;"&amp;Designation[])+1,""),""),ROW(A12)),IF(Designation[]&lt;&gt;"",COUNTIF(Designation[],"&lt;"&amp;Designation[])+1,""),0)),"")</f>
        <v/>
      </c>
      <c r="AG21" s="2" t="str" cm="1">
        <f t="array" ref="AG21">IFERROR(INDEX(CL[],SMALL(IFERROR(MATCH(IF(MID(Designation[],SEARCH("-",Designation[])+1,LEN(Designation[])-SEARCH("-",Designation[]))=MJGES01_00028_2!$I$2,CL[],""),CL[],0),""),ROW(A12))),"")</f>
        <v/>
      </c>
      <c r="AJ21" s="2" t="str" cm="1">
        <f t="array" ref="AJ21">IFERROR(INDEX(Designation[],SMALL(IFERROR(IF(MATCH(IF(Designation[]&lt;&gt;"",Designation[],""),Designation[],0)=ROW(Designation[])-9,ROW(Designation[])-9,""),""),ROW(A12))),"")</f>
        <v>RHUM-Santiago de Cuba, 25 ans</v>
      </c>
      <c r="AK21" s="2" t="str">
        <f ca="1"/>
        <v>RHUM-Santiago de Cuba, 25 ans</v>
      </c>
      <c r="AN21" s="2" t="str" cm="1">
        <f t="array" ref="AN21">IFERROR(INDEX(CL[],MATCH(SMALL(IFERROR(IF(MATCH(IF(ISNUMBER(CL[]),CL[],""),CL[],0)=ROW(CL[])-9,COUNTIF(CL[],"&gt;"&amp;CL[])+1,""),""),ROW(A12)),IF(ISNUMBER(CL[]),COUNTIF(CL[],"&gt;"&amp;CL[])+1,""),0)),"")</f>
        <v/>
      </c>
      <c r="AR21" s="2" t="str" cm="1">
        <f t="array" ref="AR21">IFERROR(INDEX(Designation[],MATCH(SMALL(IFERROR(IF(MATCH(IF(Designation[]&lt;&gt;"",Designation[],""),Designation[],0)=ROW(Designation[])-9,COUNTIF(Designation[],"&lt;"&amp;Designation[])+1,""),""),ROW(A12)),IF(Designation[]&lt;&gt;"",COUNTIF(Designation[],"&lt;"&amp;Designation[])+1),0)),"")</f>
        <v>COGN-Meukow Cognac Flavour. regular</v>
      </c>
      <c r="AU21" s="2" t="str">
        <f ca="1"/>
        <v>COGN-Meukow Cognac Flavour. regular</v>
      </c>
      <c r="BA21" s="2" t="str" cm="1">
        <f t="array" ref="BA21">IFERROR(INDEX(Designation[],SMALL(IFERROR(MATCH(IF(ISNUMBER(SEARCH($AZ$10,Designation[])),Designation[],""),Designation[],0),""),ROW(A12))),"")</f>
        <v/>
      </c>
      <c r="BD21" s="2" t="str" cm="1">
        <f t="array" ref="BD21">IFERROR(INDEX(Designation[],MATCH(SMALL(IFERROR(IF(MATCH(IF(ISNUMBER(SEARCH(MJGES01_00028_2!$H$2,Designation[])),Designation[],""),Designation[],0)=ROW(Designation[])-9,COUNTIF(Designation[],"&lt;"&amp;Designation[])+1,""),""),ROW(A12)),IF(Designation[]&lt;&gt;"",COUNTIF(Designation[],"&lt;"&amp;Designation[])+1),0)),"")</f>
        <v/>
      </c>
      <c r="BI21" s="2" t="e">
        <v>#N/A</v>
      </c>
      <c r="BJ21" s="2" t="e">
        <v>#N/A</v>
      </c>
      <c r="BK21" s="164" t="str">
        <v/>
      </c>
      <c r="BL21" s="164" t="e" cm="1">
        <f t="array" ref="BL21">SMALL(IFERROR(IF(MATCH(IF(Designation[]=$BH$10,CL[],""),CL[],0)&lt;&gt;"",COUNTIF(CL[],"&gt;"&amp;CL[])+1),""),ROW(A12))</f>
        <v>#NUM!</v>
      </c>
      <c r="BM21" t="str" cm="1">
        <f t="array" ref="BM21">IFERROR(INDEX(CL[],MATCH(SMALL(IFERROR(IF(MATCH(IF(Designation[]=$BD$10,CL[],""),CL[],0)&lt;&gt;"",COUNTIF(CL[],"&gt;"&amp;CL[])+1,""),""),ROW(A12)),IF(CL[]&lt;&gt;"",COUNTIF(CL[],"&gt;"&amp;CL[])+1,"0"),0)),"")</f>
        <v/>
      </c>
    </row>
    <row r="22" spans="2:65" ht="20.25" thickTop="1" thickBot="1" x14ac:dyDescent="0.3">
      <c r="B22" s="60" t="s">
        <v>19</v>
      </c>
      <c r="C22" s="61"/>
      <c r="D22" s="20"/>
      <c r="S22" s="2" t="str">
        <f t="array" ref="S22">IFERROR(INDEX(Designation[],MATCH(0,IF(Designation[]&lt;&gt;"",COUNTIF($S$9:S21,Designation[])),0)),"")</f>
        <v>COGN-Liqueur Meukow Vanilla</v>
      </c>
      <c r="V22" s="2" t="str">
        <f t="array" ref="V22">IFERROR(INDEX(CL[],MATCH(0,IF(ISNUMBER(CL[]),COUNTIF($V$9:V21,CL[])),0))," ")</f>
        <v xml:space="preserve"> </v>
      </c>
      <c r="Y22" s="2" t="str" cm="1">
        <f t="array" ref="Y22">IFERROR(INDEX(CL[],MATCH(SMALL(IFERROR(IF(MATCH(IF(ISNUMBER(CL[]),CL[],""),CL[],0)=ROW(CL[])-9,COUNTIF(CL[],"&gt;"&amp;CL[])+1,""),""),ROW(A13)),IF(ISNUMBER(CL[]),COUNTIF(CL[],"&gt;"&amp;CL[])+1,""),0)),"")</f>
        <v/>
      </c>
      <c r="AB22" s="2" t="str" cm="1">
        <f t="array" ref="AB22">IFERROR(INDEX(MID(Designation[],SEARCH("-",Designation[])+1,LEN(Designation[])-SEARCH("-",Designation[])),MATCH(SMALL(IFERROR(IF(MATCH(IF(ISNUMBER(FIND(MJGES01_00028_2!$H$2,Designation[])),Designation[],""),Designation[],0)=ROW(Designation[])-9,COUNTIF(Designation[],"&lt;"&amp;Designation[])+1,""),""),ROW(A13)),IF(Designation[]&lt;&gt;"",COUNTIF(Designation[],"&lt;"&amp;Designation[])+1,""),0)),"")</f>
        <v/>
      </c>
      <c r="AG22" s="2" t="str" cm="1">
        <f t="array" ref="AG22">IFERROR(INDEX(CL[],SMALL(IFERROR(MATCH(IF(MID(Designation[],SEARCH("-",Designation[])+1,LEN(Designation[])-SEARCH("-",Designation[]))=MJGES01_00028_2!$I$2,CL[],""),CL[],0),""),ROW(A13))),"")</f>
        <v/>
      </c>
      <c r="AJ22" s="2" t="str" cm="1">
        <f t="array" ref="AJ22">IFERROR(INDEX(Designation[],SMALL(IFERROR(IF(MATCH(IF(Designation[]&lt;&gt;"",Designation[],""),Designation[],0)=ROW(Designation[])-9,ROW(Designation[])-9,""),""),ROW(A13))),"")</f>
        <v>COGN-Liqueur Meukow Vanilla</v>
      </c>
      <c r="AK22" s="2" t="str">
        <f ca="1"/>
        <v>COGN-Liqueur Meukow Vanilla</v>
      </c>
      <c r="AN22" s="2" t="str" cm="1">
        <f t="array" ref="AN22">IFERROR(INDEX(CL[],MATCH(SMALL(IFERROR(IF(MATCH(IF(ISNUMBER(CL[]),CL[],""),CL[],0)=ROW(CL[])-9,COUNTIF(CL[],"&gt;"&amp;CL[])+1,""),""),ROW(A13)),IF(ISNUMBER(CL[]),COUNTIF(CL[],"&gt;"&amp;CL[])+1,""),0)),"")</f>
        <v/>
      </c>
      <c r="AR22" s="2" t="str" cm="1">
        <f t="array" ref="AR22">IFERROR(INDEX(Designation[],MATCH(SMALL(IFERROR(IF(MATCH(IF(Designation[]&lt;&gt;"",Designation[],""),Designation[],0)=ROW(Designation[])-9,COUNTIF(Designation[],"&lt;"&amp;Designation[])+1,""),""),ROW(A13)),IF(Designation[]&lt;&gt;"",COUNTIF(Designation[],"&lt;"&amp;Designation[])+1),0)),"")</f>
        <v>COGN-Meukow Cognac Flavour. Xo</v>
      </c>
      <c r="AU22" s="2" t="str">
        <f ca="1"/>
        <v>COGN-Meukow Cognac Flavour. Xo</v>
      </c>
      <c r="BA22" s="2" t="str" cm="1">
        <f t="array" ref="BA22">IFERROR(INDEX(Designation[],SMALL(IFERROR(MATCH(IF(ISNUMBER(SEARCH($AZ$10,Designation[])),Designation[],""),Designation[],0),""),ROW(A13))),"")</f>
        <v/>
      </c>
      <c r="BD22" s="2" t="str" cm="1">
        <f t="array" ref="BD22">IFERROR(INDEX(Designation[],MATCH(SMALL(IFERROR(IF(MATCH(IF(ISNUMBER(SEARCH(MJGES01_00028_2!$H$2,Designation[])),Designation[],""),Designation[],0)=ROW(Designation[])-9,COUNTIF(Designation[],"&lt;"&amp;Designation[])+1,""),""),ROW(A13)),IF(Designation[]&lt;&gt;"",COUNTIF(Designation[],"&lt;"&amp;Designation[])+1),0)),"")</f>
        <v/>
      </c>
      <c r="BI22" s="2" t="e">
        <v>#N/A</v>
      </c>
      <c r="BJ22" s="2" t="e">
        <v>#N/A</v>
      </c>
      <c r="BK22" s="164" t="str">
        <v/>
      </c>
      <c r="BL22" s="164" t="e" cm="1">
        <f t="array" ref="BL22">SMALL(IFERROR(IF(MATCH(IF(Designation[]=$BH$10,CL[],""),CL[],0)&lt;&gt;"",COUNTIF(CL[],"&gt;"&amp;CL[])+1),""),ROW(A13))</f>
        <v>#NUM!</v>
      </c>
      <c r="BM22" t="str" cm="1">
        <f t="array" ref="BM22">IFERROR(INDEX(CL[],MATCH(SMALL(IFERROR(IF(MATCH(IF(Designation[]=$BD$10,CL[],""),CL[],0)&lt;&gt;"",COUNTIF(CL[],"&gt;"&amp;CL[])+1,""),""),ROW(A13)),IF(CL[]&lt;&gt;"",COUNTIF(CL[],"&gt;"&amp;CL[])+1,"0"),0)),"")</f>
        <v/>
      </c>
    </row>
    <row r="23" spans="2:65" ht="15.75" thickTop="1" x14ac:dyDescent="0.25">
      <c r="B23" s="21">
        <v>8017450003507</v>
      </c>
      <c r="C23" s="171" t="s">
        <v>136</v>
      </c>
      <c r="D23" s="22"/>
      <c r="E23" s="23"/>
      <c r="F23" s="24">
        <v>50</v>
      </c>
      <c r="G23" s="25">
        <v>30</v>
      </c>
      <c r="H23" s="25">
        <v>6</v>
      </c>
      <c r="I23" s="27">
        <v>8.92</v>
      </c>
      <c r="J23" s="27">
        <v>8.92</v>
      </c>
      <c r="K23" s="28"/>
      <c r="M23" s="29">
        <f t="shared" ref="M23:M24" si="8">IF(G23&gt;=18,($M$7/10000)*$F23*($G23/100),IF(G23&gt;0,($M$8/10000)*F23,0))</f>
        <v>2.6798850000000001</v>
      </c>
      <c r="N23" s="30">
        <f>IF(G23&gt;18,($N$7/10000)*$F23*($G23/100),0)</f>
        <v>0.86045999999999989</v>
      </c>
      <c r="O23" s="31">
        <f>IF(HLOOKUP($O$5,$I$7:$P$236,ROW()-6,FALSE)&gt;0,HLOOKUP($O$5,$I$7:$P$236,ROW()-6,FALSE)+M23+N23," ")</f>
        <v>12.460345</v>
      </c>
      <c r="P23" s="32">
        <f>IF(OR(COUNT(O23)=0,COUNT(Q23)=0),0,O23+(O23*Q23))</f>
        <v>14.952414000000001</v>
      </c>
      <c r="Q23" s="33">
        <f t="shared" ref="Q23:Q24" si="9">IF(OR(G23&gt;0,H23="IT"),0.2,0.055)</f>
        <v>0.2</v>
      </c>
      <c r="R23" s="33"/>
      <c r="S23" s="2" t="str">
        <f t="array" ref="S23">IFERROR(INDEX(Designation[],MATCH(0,IF(Designation[]&lt;&gt;"",COUNTIF($S$9:S22,Designation[])),0)),"")</f>
        <v>COGN-Liqueur Meukow Xpresso</v>
      </c>
      <c r="V23" s="2" t="str">
        <f t="array" ref="V23">IFERROR(INDEX(CL[],MATCH(0,IF(ISNUMBER(CL[]),COUNTIF($V$9:V22,CL[])),0))," ")</f>
        <v xml:space="preserve"> </v>
      </c>
      <c r="Y23" s="2" t="str" cm="1">
        <f t="array" ref="Y23">IFERROR(INDEX(CL[],MATCH(SMALL(IFERROR(IF(MATCH(IF(ISNUMBER(CL[]),CL[],""),CL[],0)=ROW(CL[])-9,COUNTIF(CL[],"&gt;"&amp;CL[])+1,""),""),ROW(A14)),IF(ISNUMBER(CL[]),COUNTIF(CL[],"&gt;"&amp;CL[])+1,""),0)),"")</f>
        <v/>
      </c>
      <c r="AB23" s="2" t="str" cm="1">
        <f t="array" ref="AB23">IFERROR(INDEX(MID(Designation[],SEARCH("-",Designation[])+1,LEN(Designation[])-SEARCH("-",Designation[])),MATCH(SMALL(IFERROR(IF(MATCH(IF(ISNUMBER(FIND(MJGES01_00028_2!$H$2,Designation[])),Designation[],""),Designation[],0)=ROW(Designation[])-9,COUNTIF(Designation[],"&lt;"&amp;Designation[])+1,""),""),ROW(A14)),IF(Designation[]&lt;&gt;"",COUNTIF(Designation[],"&lt;"&amp;Designation[])+1,""),0)),"")</f>
        <v/>
      </c>
      <c r="AG23" s="2" t="str" cm="1">
        <f t="array" ref="AG23">IFERROR(INDEX(CL[],SMALL(IFERROR(MATCH(IF(MID(Designation[],SEARCH("-",Designation[])+1,LEN(Designation[])-SEARCH("-",Designation[]))=MJGES01_00028_2!$I$2,CL[],""),CL[],0),""),ROW(A14))),"")</f>
        <v/>
      </c>
      <c r="AJ23" s="2" t="str" cm="1">
        <f t="array" ref="AJ23">IFERROR(INDEX(Designation[],SMALL(IFERROR(IF(MATCH(IF(Designation[]&lt;&gt;"",Designation[],""),Designation[],0)=ROW(Designation[])-9,ROW(Designation[])-9,""),""),ROW(A14))),"")</f>
        <v>COGN-Liqueur Meukow Xpresso</v>
      </c>
      <c r="AK23" s="2" t="str">
        <f ca="1"/>
        <v>COGN-Liqueur Meukow Xpresso</v>
      </c>
      <c r="AN23" s="2" t="str" cm="1">
        <f t="array" ref="AN23">IFERROR(INDEX(CL[],MATCH(SMALL(IFERROR(IF(MATCH(IF(ISNUMBER(CL[]),CL[],""),CL[],0)=ROW(CL[])-9,COUNTIF(CL[],"&gt;"&amp;CL[])+1,""),""),ROW(A14)),IF(ISNUMBER(CL[]),COUNTIF(CL[],"&gt;"&amp;CL[])+1,""),0)),"")</f>
        <v/>
      </c>
      <c r="AR23" s="2" t="str" cm="1">
        <f t="array" ref="AR23">IFERROR(INDEX(Designation[],MATCH(SMALL(IFERROR(IF(MATCH(IF(Designation[]&lt;&gt;"",Designation[],""),Designation[],0)=ROW(Designation[])-9,COUNTIF(Designation[],"&lt;"&amp;Designation[])+1,""),""),ROW(A14)),IF(Designation[]&lt;&gt;"",COUNTIF(Designation[],"&lt;"&amp;Designation[])+1),0)),"")</f>
        <v>COGN-Meukow Esprit de Famille</v>
      </c>
      <c r="AU23" s="2" t="str">
        <f ca="1"/>
        <v>COGN-Meukow Esprit de Famille</v>
      </c>
      <c r="BA23" s="2" t="str" cm="1">
        <f t="array" ref="BA23">IFERROR(INDEX(Designation[],SMALL(IFERROR(MATCH(IF(ISNUMBER(SEARCH($AZ$10,Designation[])),Designation[],""),Designation[],0),""),ROW(A14))),"")</f>
        <v/>
      </c>
      <c r="BD23" s="2" t="str" cm="1">
        <f t="array" ref="BD23">IFERROR(INDEX(Designation[],MATCH(SMALL(IFERROR(IF(MATCH(IF(ISNUMBER(SEARCH(MJGES01_00028_2!$H$2,Designation[])),Designation[],""),Designation[],0)=ROW(Designation[])-9,COUNTIF(Designation[],"&lt;"&amp;Designation[])+1,""),""),ROW(A14)),IF(Designation[]&lt;&gt;"",COUNTIF(Designation[],"&lt;"&amp;Designation[])+1),0)),"")</f>
        <v/>
      </c>
      <c r="BI23" s="2" t="e">
        <v>#N/A</v>
      </c>
      <c r="BJ23" s="2" t="e">
        <v>#N/A</v>
      </c>
      <c r="BK23" s="164">
        <v>44</v>
      </c>
      <c r="BL23" s="164" t="e" cm="1">
        <f t="array" ref="BL23">SMALL(IFERROR(IF(MATCH(IF(Designation[]=$BH$10,CL[],""),CL[],0)&lt;&gt;"",COUNTIF(CL[],"&gt;"&amp;CL[])+1),""),ROW(A14))</f>
        <v>#NUM!</v>
      </c>
      <c r="BM23" t="str" cm="1">
        <f t="array" ref="BM23">IFERROR(INDEX(CL[],MATCH(SMALL(IFERROR(IF(MATCH(IF(Designation[]=$BD$10,CL[],""),CL[],0)&lt;&gt;"",COUNTIF(CL[],"&gt;"&amp;CL[])+1,""),""),ROW(A14)),IF(CL[]&lt;&gt;"",COUNTIF(CL[],"&gt;"&amp;CL[])+1,"0"),0)),"")</f>
        <v/>
      </c>
    </row>
    <row r="24" spans="2:65" ht="15.75" thickBot="1" x14ac:dyDescent="0.3">
      <c r="B24" s="45">
        <v>8017450002104</v>
      </c>
      <c r="C24" s="172" t="s">
        <v>136</v>
      </c>
      <c r="D24" s="46"/>
      <c r="E24" s="47"/>
      <c r="F24" s="48">
        <v>70</v>
      </c>
      <c r="G24" s="49">
        <v>30</v>
      </c>
      <c r="H24" s="49">
        <v>6</v>
      </c>
      <c r="I24" s="51">
        <v>9.31</v>
      </c>
      <c r="J24" s="51">
        <v>9.31</v>
      </c>
      <c r="K24" s="52"/>
      <c r="L24" s="46"/>
      <c r="M24" s="53">
        <f t="shared" si="8"/>
        <v>3.7518389999999995</v>
      </c>
      <c r="N24" s="54">
        <f>IF(G24&gt;18,($N$7/10000)*$F24*($G24/100),0)</f>
        <v>1.204644</v>
      </c>
      <c r="O24" s="55">
        <f>IF(HLOOKUP($O$5,$I$7:$P$236,ROW()-6,FALSE)&gt;0,HLOOKUP($O$5,$I$7:$P$236,ROW()-6,FALSE)+M24+N24," ")</f>
        <v>14.266482999999999</v>
      </c>
      <c r="P24" s="56">
        <f>IF(OR(COUNT(O24)=0,COUNT(Q24)=0),0,O24+(O24*Q24))</f>
        <v>17.119779600000001</v>
      </c>
      <c r="Q24" s="33">
        <f t="shared" si="9"/>
        <v>0.2</v>
      </c>
      <c r="R24" s="33"/>
      <c r="S24" s="2" t="str">
        <f t="array" ref="S24">IFERROR(INDEX(Designation[],MATCH(0,IF(Designation[]&lt;&gt;"",COUNTIF($S$9:S23,Designation[])),0)),"")</f>
        <v xml:space="preserve">COGN-Meukow VS </v>
      </c>
      <c r="V24" s="2" t="str">
        <f t="array" ref="V24">IFERROR(INDEX(CL[],MATCH(0,IF(ISNUMBER(CL[]),COUNTIF($V$9:V23,CL[])),0))," ")</f>
        <v xml:space="preserve"> </v>
      </c>
      <c r="Y24" s="2" t="str" cm="1">
        <f t="array" ref="Y24">IFERROR(INDEX(CL[],MATCH(SMALL(IFERROR(IF(MATCH(IF(ISNUMBER(CL[]),CL[],""),CL[],0)=ROW(CL[])-9,COUNTIF(CL[],"&gt;"&amp;CL[])+1,""),""),ROW(A15)),IF(ISNUMBER(CL[]),COUNTIF(CL[],"&gt;"&amp;CL[])+1,""),0)),"")</f>
        <v/>
      </c>
      <c r="AB24" s="2" t="str" cm="1">
        <f t="array" ref="AB24">IFERROR(INDEX(MID(Designation[],SEARCH("-",Designation[])+1,LEN(Designation[])-SEARCH("-",Designation[])),MATCH(SMALL(IFERROR(IF(MATCH(IF(ISNUMBER(FIND(MJGES01_00028_2!$H$2,Designation[])),Designation[],""),Designation[],0)=ROW(Designation[])-9,COUNTIF(Designation[],"&lt;"&amp;Designation[])+1,""),""),ROW(A15)),IF(Designation[]&lt;&gt;"",COUNTIF(Designation[],"&lt;"&amp;Designation[])+1,""),0)),"")</f>
        <v/>
      </c>
      <c r="AG24" s="2" t="str" cm="1">
        <f t="array" ref="AG24">IFERROR(INDEX(CL[],SMALL(IFERROR(MATCH(IF(MID(Designation[],SEARCH("-",Designation[])+1,LEN(Designation[])-SEARCH("-",Designation[]))=MJGES01_00028_2!$I$2,CL[],""),CL[],0),""),ROW(A15))),"")</f>
        <v/>
      </c>
      <c r="AJ24" s="2" t="str" cm="1">
        <f t="array" ref="AJ24">IFERROR(INDEX(Designation[],SMALL(IFERROR(IF(MATCH(IF(Designation[]&lt;&gt;"",Designation[],""),Designation[],0)=ROW(Designation[])-9,ROW(Designation[])-9,""),""),ROW(A15))),"")</f>
        <v xml:space="preserve">COGN-Meukow VS </v>
      </c>
      <c r="AK24" s="2" t="str">
        <f ca="1"/>
        <v xml:space="preserve">COGN-Meukow VS </v>
      </c>
      <c r="AN24" s="2" t="str" cm="1">
        <f t="array" ref="AN24">IFERROR(INDEX(CL[],MATCH(SMALL(IFERROR(IF(MATCH(IF(ISNUMBER(CL[]),CL[],""),CL[],0)=ROW(CL[])-9,COUNTIF(CL[],"&gt;"&amp;CL[])+1,""),""),ROW(A15)),IF(ISNUMBER(CL[]),COUNTIF(CL[],"&gt;"&amp;CL[])+1,""),0)),"")</f>
        <v/>
      </c>
      <c r="AR24" s="2" t="str" cm="1">
        <f t="array" ref="AR24">IFERROR(INDEX(Designation[],MATCH(SMALL(IFERROR(IF(MATCH(IF(Designation[]&lt;&gt;"",Designation[],""),Designation[],0)=ROW(Designation[])-9,COUNTIF(Designation[],"&lt;"&amp;Designation[])+1,""),""),ROW(A15)),IF(Designation[]&lt;&gt;"",COUNTIF(Designation[],"&lt;"&amp;Designation[])+1),0)),"")</f>
        <v>COGN-Meukow Extra Coffret</v>
      </c>
      <c r="AU24" s="2" t="str">
        <f ca="1"/>
        <v>COGN-Meukow Extra Coffret</v>
      </c>
      <c r="BA24" s="2" t="str" cm="1">
        <f t="array" ref="BA24">IFERROR(INDEX(Designation[],SMALL(IFERROR(MATCH(IF(ISNUMBER(SEARCH($AZ$10,Designation[])),Designation[],""),Designation[],0),""),ROW(A15))),"")</f>
        <v/>
      </c>
      <c r="BD24" s="2" t="str" cm="1">
        <f t="array" ref="BD24">IFERROR(INDEX(Designation[],MATCH(SMALL(IFERROR(IF(MATCH(IF(ISNUMBER(SEARCH(MJGES01_00028_2!$H$2,Designation[])),Designation[],""),Designation[],0)=ROW(Designation[])-9,COUNTIF(Designation[],"&lt;"&amp;Designation[])+1,""),""),ROW(A15)),IF(Designation[]&lt;&gt;"",COUNTIF(Designation[],"&lt;"&amp;Designation[])+1),0)),"")</f>
        <v/>
      </c>
      <c r="BI24" s="2" t="e">
        <v>#N/A</v>
      </c>
      <c r="BJ24" s="2" t="e">
        <v>#N/A</v>
      </c>
      <c r="BK24" s="164">
        <v>12</v>
      </c>
      <c r="BL24" s="164" t="e" cm="1">
        <f t="array" ref="BL24">SMALL(IFERROR(IF(MATCH(IF(Designation[]=$BH$10,CL[],""),CL[],0)&lt;&gt;"",COUNTIF(CL[],"&gt;"&amp;CL[])+1),""),ROW(A15))</f>
        <v>#NUM!</v>
      </c>
      <c r="BM24" t="str" cm="1">
        <f t="array" ref="BM24">IFERROR(INDEX(CL[],MATCH(SMALL(IFERROR(IF(MATCH(IF(Designation[]=$BD$10,CL[],""),CL[],0)&lt;&gt;"",COUNTIF(CL[],"&gt;"&amp;CL[])+1,""),""),ROW(A15)),IF(CL[]&lt;&gt;"",COUNTIF(CL[],"&gt;"&amp;CL[])+1,"0"),0)),"")</f>
        <v/>
      </c>
    </row>
    <row r="25" spans="2:65" ht="16.5" thickTop="1" thickBot="1" x14ac:dyDescent="0.3">
      <c r="B25" s="57"/>
      <c r="F25" s="37"/>
      <c r="G25" s="37"/>
      <c r="H25" s="37"/>
      <c r="I25" s="58"/>
      <c r="J25" s="58"/>
      <c r="M25" s="62"/>
      <c r="N25" s="62"/>
      <c r="O25" s="43"/>
      <c r="P25" s="43"/>
      <c r="S25" s="2" t="str">
        <f t="array" ref="S25">IFERROR(INDEX(Designation[],MATCH(0,IF(Designation[]&lt;&gt;"",COUNTIF($S$9:S24,Designation[])),0)),"")</f>
        <v>COGN-Meukow VS coffret 2 verres</v>
      </c>
      <c r="V25" s="2" t="str">
        <f t="array" ref="V25">IFERROR(INDEX(CL[],MATCH(0,IF(ISNUMBER(CL[]),COUNTIF($V$9:V24,CL[])),0))," ")</f>
        <v xml:space="preserve"> </v>
      </c>
      <c r="Y25" s="2" t="str" cm="1">
        <f t="array" ref="Y25">IFERROR(INDEX(CL[],MATCH(SMALL(IFERROR(IF(MATCH(IF(ISNUMBER(CL[]),CL[],""),CL[],0)=ROW(CL[])-9,COUNTIF(CL[],"&gt;"&amp;CL[])+1,""),""),ROW(A16)),IF(ISNUMBER(CL[]),COUNTIF(CL[],"&gt;"&amp;CL[])+1,""),0)),"")</f>
        <v/>
      </c>
      <c r="AB25" s="2" t="str" cm="1">
        <f t="array" ref="AB25">IFERROR(INDEX(MID(Designation[],SEARCH("-",Designation[])+1,LEN(Designation[])-SEARCH("-",Designation[])),MATCH(SMALL(IFERROR(IF(MATCH(IF(ISNUMBER(FIND(MJGES01_00028_2!$H$2,Designation[])),Designation[],""),Designation[],0)=ROW(Designation[])-9,COUNTIF(Designation[],"&lt;"&amp;Designation[])+1,""),""),ROW(A16)),IF(Designation[]&lt;&gt;"",COUNTIF(Designation[],"&lt;"&amp;Designation[])+1,""),0)),"")</f>
        <v/>
      </c>
      <c r="AG25" s="2" t="str" cm="1">
        <f t="array" ref="AG25">IFERROR(INDEX(CL[],SMALL(IFERROR(MATCH(IF(MID(Designation[],SEARCH("-",Designation[])+1,LEN(Designation[])-SEARCH("-",Designation[]))=MJGES01_00028_2!$I$2,CL[],""),CL[],0),""),ROW(A16))),"")</f>
        <v/>
      </c>
      <c r="AJ25" s="2" t="str" cm="1">
        <f t="array" ref="AJ25">IFERROR(INDEX(Designation[],SMALL(IFERROR(IF(MATCH(IF(Designation[]&lt;&gt;"",Designation[],""),Designation[],0)=ROW(Designation[])-9,ROW(Designation[])-9,""),""),ROW(A16))),"")</f>
        <v>COGN-Meukow VS coffret 2 verres</v>
      </c>
      <c r="AK25" s="2" t="str">
        <f ca="1"/>
        <v>COGN-Meukow VS coffret 2 verres</v>
      </c>
      <c r="AN25" s="2" t="str" cm="1">
        <f t="array" ref="AN25">IFERROR(INDEX(CL[],MATCH(SMALL(IFERROR(IF(MATCH(IF(ISNUMBER(CL[]),CL[],""),CL[],0)=ROW(CL[])-9,COUNTIF(CL[],"&gt;"&amp;CL[])+1,""),""),ROW(A16)),IF(ISNUMBER(CL[]),COUNTIF(CL[],"&gt;"&amp;CL[])+1,""),0)),"")</f>
        <v/>
      </c>
      <c r="AR25" s="2" t="str" cm="1">
        <f t="array" ref="AR25">IFERROR(INDEX(Designation[],MATCH(SMALL(IFERROR(IF(MATCH(IF(Designation[]&lt;&gt;"",Designation[],""),Designation[],0)=ROW(Designation[])-9,COUNTIF(Designation[],"&lt;"&amp;Designation[])+1,""),""),ROW(A16)),IF(Designation[]&lt;&gt;"",COUNTIF(Designation[],"&lt;"&amp;Designation[])+1),0)),"")</f>
        <v>COGN-Meukow Icône Etui</v>
      </c>
      <c r="AU25" s="2" t="str">
        <f ca="1"/>
        <v>COGN-Meukow Icône Etui</v>
      </c>
      <c r="BA25" s="2" t="str" cm="1">
        <f t="array" ref="BA25">IFERROR(INDEX(Designation[],SMALL(IFERROR(MATCH(IF(ISNUMBER(SEARCH($AZ$10,Designation[])),Designation[],""),Designation[],0),""),ROW(A16))),"")</f>
        <v/>
      </c>
      <c r="BD25" s="2" t="str" cm="1">
        <f t="array" ref="BD25">IFERROR(INDEX(Designation[],MATCH(SMALL(IFERROR(IF(MATCH(IF(ISNUMBER(SEARCH(MJGES01_00028_2!$H$2,Designation[])),Designation[],""),Designation[],0)=ROW(Designation[])-9,COUNTIF(Designation[],"&lt;"&amp;Designation[])+1,""),""),ROW(A16)),IF(Designation[]&lt;&gt;"",COUNTIF(Designation[],"&lt;"&amp;Designation[])+1),0)),"")</f>
        <v/>
      </c>
      <c r="BI25" s="2" t="e">
        <v>#N/A</v>
      </c>
      <c r="BJ25" s="2" t="e">
        <v>#N/A</v>
      </c>
      <c r="BK25" s="164" t="str">
        <v/>
      </c>
      <c r="BL25" s="164" t="e" cm="1">
        <f t="array" ref="BL25">SMALL(IFERROR(IF(MATCH(IF(Designation[]=$BH$10,CL[],""),CL[],0)&lt;&gt;"",COUNTIF(CL[],"&gt;"&amp;CL[])+1),""),ROW(A16))</f>
        <v>#NUM!</v>
      </c>
      <c r="BM25" t="str" cm="1">
        <f t="array" ref="BM25">IFERROR(INDEX(CL[],MATCH(SMALL(IFERROR(IF(MATCH(IF(Designation[]=$BD$10,CL[],""),CL[],0)&lt;&gt;"",COUNTIF(CL[],"&gt;"&amp;CL[])+1,""),""),ROW(A16)),IF(CL[]&lt;&gt;"",COUNTIF(CL[],"&gt;"&amp;CL[])+1,"0"),0)),"")</f>
        <v/>
      </c>
    </row>
    <row r="26" spans="2:65" ht="20.25" thickTop="1" thickBot="1" x14ac:dyDescent="0.3">
      <c r="B26" s="60" t="s">
        <v>21</v>
      </c>
      <c r="C26" s="61"/>
      <c r="D26" s="20"/>
      <c r="S26" s="2" t="str">
        <f t="array" ref="S26">IFERROR(INDEX(Designation[],MATCH(0,IF(Designation[]&lt;&gt;"",COUNTIF($S$9:S25,Designation[])),0)),"")</f>
        <v>COGN-Meukow 90'</v>
      </c>
      <c r="V26" s="2" t="str">
        <f t="array" ref="V26">IFERROR(INDEX(CL[],MATCH(0,IF(ISNUMBER(CL[]),COUNTIF($V$9:V25,CL[])),0))," ")</f>
        <v xml:space="preserve"> </v>
      </c>
      <c r="Y26" s="2" t="str" cm="1">
        <f t="array" ref="Y26">IFERROR(INDEX(CL[],MATCH(SMALL(IFERROR(IF(MATCH(IF(ISNUMBER(CL[]),CL[],""),CL[],0)=ROW(CL[])-9,COUNTIF(CL[],"&gt;"&amp;CL[])+1,""),""),ROW(A17)),IF(ISNUMBER(CL[]),COUNTIF(CL[],"&gt;"&amp;CL[])+1,""),0)),"")</f>
        <v/>
      </c>
      <c r="AB26" s="2" t="str" cm="1">
        <f t="array" ref="AB26">IFERROR(INDEX(MID(Designation[],SEARCH("-",Designation[])+1,LEN(Designation[])-SEARCH("-",Designation[])),MATCH(SMALL(IFERROR(IF(MATCH(IF(ISNUMBER(FIND(MJGES01_00028_2!$H$2,Designation[])),Designation[],""),Designation[],0)=ROW(Designation[])-9,COUNTIF(Designation[],"&lt;"&amp;Designation[])+1,""),""),ROW(A17)),IF(Designation[]&lt;&gt;"",COUNTIF(Designation[],"&lt;"&amp;Designation[])+1,""),0)),"")</f>
        <v/>
      </c>
      <c r="AG26" s="2" t="str" cm="1">
        <f t="array" ref="AG26">IFERROR(INDEX(CL[],SMALL(IFERROR(MATCH(IF(MID(Designation[],SEARCH("-",Designation[])+1,LEN(Designation[])-SEARCH("-",Designation[]))=MJGES01_00028_2!$I$2,CL[],""),CL[],0),""),ROW(A17))),"")</f>
        <v/>
      </c>
      <c r="AJ26" s="2" t="str" cm="1">
        <f t="array" ref="AJ26">IFERROR(INDEX(Designation[],SMALL(IFERROR(IF(MATCH(IF(Designation[]&lt;&gt;"",Designation[],""),Designation[],0)=ROW(Designation[])-9,ROW(Designation[])-9,""),""),ROW(A17))),"")</f>
        <v>COGN-Meukow 90'</v>
      </c>
      <c r="AK26" s="2" t="str">
        <f ca="1"/>
        <v>COGN-Meukow 90'</v>
      </c>
      <c r="AN26" s="2" t="str" cm="1">
        <f t="array" ref="AN26">IFERROR(INDEX(CL[],MATCH(SMALL(IFERROR(IF(MATCH(IF(ISNUMBER(CL[]),CL[],""),CL[],0)=ROW(CL[])-9,COUNTIF(CL[],"&gt;"&amp;CL[])+1,""),""),ROW(A17)),IF(ISNUMBER(CL[]),COUNTIF(CL[],"&gt;"&amp;CL[])+1,""),0)),"")</f>
        <v/>
      </c>
      <c r="AR26" s="2" t="str" cm="1">
        <f t="array" ref="AR26">IFERROR(INDEX(Designation[],MATCH(SMALL(IFERROR(IF(MATCH(IF(Designation[]&lt;&gt;"",Designation[],""),Designation[],0)=ROW(Designation[])-9,COUNTIF(Designation[],"&lt;"&amp;Designation[])+1,""),""),ROW(A17)),IF(Designation[]&lt;&gt;"",COUNTIF(Designation[],"&lt;"&amp;Designation[])+1),0)),"")</f>
        <v>COGN-Meukow Palme d OR 1978</v>
      </c>
      <c r="AU26" s="2" t="str">
        <f ca="1"/>
        <v>COGN-Meukow Palme d OR 1978</v>
      </c>
      <c r="BA26" s="2" t="str" cm="1">
        <f t="array" ref="BA26">IFERROR(INDEX(Designation[],SMALL(IFERROR(MATCH(IF(ISNUMBER(SEARCH($AZ$10,Designation[])),Designation[],""),Designation[],0),""),ROW(A17))),"")</f>
        <v/>
      </c>
      <c r="BD26" s="2" t="str" cm="1">
        <f t="array" ref="BD26">IFERROR(INDEX(Designation[],MATCH(SMALL(IFERROR(IF(MATCH(IF(ISNUMBER(SEARCH(MJGES01_00028_2!$H$2,Designation[])),Designation[],""),Designation[],0)=ROW(Designation[])-9,COUNTIF(Designation[],"&lt;"&amp;Designation[])+1,""),""),ROW(A17)),IF(Designation[]&lt;&gt;"",COUNTIF(Designation[],"&lt;"&amp;Designation[])+1),0)),"")</f>
        <v/>
      </c>
      <c r="BI26" s="2" t="e">
        <v>#N/A</v>
      </c>
      <c r="BJ26" s="2" t="e">
        <v>#N/A</v>
      </c>
      <c r="BK26" s="164" t="str">
        <v/>
      </c>
      <c r="BL26" s="164" t="e" cm="1">
        <f t="array" ref="BL26">SMALL(IFERROR(IF(MATCH(IF(Designation[]=$BH$10,CL[],""),CL[],0)&lt;&gt;"",COUNTIF(CL[],"&gt;"&amp;CL[])+1),""),ROW(A17))</f>
        <v>#NUM!</v>
      </c>
      <c r="BM26" t="str" cm="1">
        <f t="array" ref="BM26">IFERROR(INDEX(CL[],MATCH(SMALL(IFERROR(IF(MATCH(IF(Designation[]=$BD$10,CL[],""),CL[],0)&lt;&gt;"",COUNTIF(CL[],"&gt;"&amp;CL[])+1,""),""),ROW(A17)),IF(CL[]&lt;&gt;"",COUNTIF(CL[],"&gt;"&amp;CL[])+1,"0"),0)),"")</f>
        <v/>
      </c>
    </row>
    <row r="27" spans="2:65" ht="16.5" thickTop="1" thickBot="1" x14ac:dyDescent="0.3">
      <c r="B27" s="63">
        <v>4055800060200</v>
      </c>
      <c r="C27" s="181" t="s">
        <v>135</v>
      </c>
      <c r="D27" s="64"/>
      <c r="E27" s="65"/>
      <c r="F27" s="66">
        <v>70</v>
      </c>
      <c r="G27" s="67">
        <v>40</v>
      </c>
      <c r="H27" s="67">
        <v>6</v>
      </c>
      <c r="I27" s="68">
        <v>11.98</v>
      </c>
      <c r="J27" s="68">
        <v>10.8</v>
      </c>
      <c r="K27" s="69"/>
      <c r="L27" s="46"/>
      <c r="M27" s="70">
        <f t="shared" ref="M27" si="10">IF(G27&gt;=18,($M$7/10000)*$F27*($G27/100),IF(G27&gt;0,($M$8/10000)*F27,0))</f>
        <v>5.0024519999999999</v>
      </c>
      <c r="N27" s="71">
        <f>IF(G27&gt;18,($N$7/10000)*$F27*($G27/100),0)</f>
        <v>1.6061920000000001</v>
      </c>
      <c r="O27" s="72">
        <f>IF(HLOOKUP($O$5,$I$7:$P$236,ROW()-6,FALSE)&gt;0,HLOOKUP($O$5,$I$7:$P$236,ROW()-6,FALSE)+M27+N27," ")</f>
        <v>17.408644000000002</v>
      </c>
      <c r="P27" s="73">
        <f>IF(OR(COUNT(O27)=0,COUNT(Q27)=0),0,O27+(O27*Q27))</f>
        <v>20.890372800000002</v>
      </c>
      <c r="Q27" s="33">
        <f t="shared" ref="Q27" si="11">IF(OR(G27&gt;0,H27="IT"),0.2,0.055)</f>
        <v>0.2</v>
      </c>
      <c r="R27" s="33"/>
      <c r="S27" s="2" t="str">
        <f t="array" ref="S27">IFERROR(INDEX(Designation[],MATCH(0,IF(Designation[]&lt;&gt;"",COUNTIF($S$9:S26,Designation[])),0)),"")</f>
        <v>COGN-Meukow 90' boite métal</v>
      </c>
      <c r="V27" s="2" t="str">
        <f t="array" ref="V27">IFERROR(INDEX(CL[],MATCH(0,IF(ISNUMBER(CL[]),COUNTIF($V$9:V26,CL[])),0))," ")</f>
        <v xml:space="preserve"> </v>
      </c>
      <c r="Y27" s="2" t="str" cm="1">
        <f t="array" ref="Y27">IFERROR(INDEX(CL[],MATCH(SMALL(IFERROR(IF(MATCH(IF(ISNUMBER(CL[]),CL[],""),CL[],0)=ROW(CL[])-9,COUNTIF(CL[],"&gt;"&amp;CL[])+1,""),""),ROW(A18)),IF(ISNUMBER(CL[]),COUNTIF(CL[],"&gt;"&amp;CL[])+1,""),0)),"")</f>
        <v/>
      </c>
      <c r="AB27" s="2" t="str" cm="1">
        <f t="array" ref="AB27">IFERROR(INDEX(MID(Designation[],SEARCH("-",Designation[])+1,LEN(Designation[])-SEARCH("-",Designation[])),MATCH(SMALL(IFERROR(IF(MATCH(IF(ISNUMBER(FIND(MJGES01_00028_2!$H$2,Designation[])),Designation[],""),Designation[],0)=ROW(Designation[])-9,COUNTIF(Designation[],"&lt;"&amp;Designation[])+1,""),""),ROW(A18)),IF(Designation[]&lt;&gt;"",COUNTIF(Designation[],"&lt;"&amp;Designation[])+1,""),0)),"")</f>
        <v/>
      </c>
      <c r="AG27" s="2" t="str" cm="1">
        <f t="array" ref="AG27">IFERROR(INDEX(CL[],SMALL(IFERROR(MATCH(IF(MID(Designation[],SEARCH("-",Designation[])+1,LEN(Designation[])-SEARCH("-",Designation[]))=MJGES01_00028_2!$I$2,CL[],""),CL[],0),""),ROW(A18))),"")</f>
        <v/>
      </c>
      <c r="AJ27" s="2" t="str" cm="1">
        <f t="array" ref="AJ27">IFERROR(INDEX(Designation[],SMALL(IFERROR(IF(MATCH(IF(Designation[]&lt;&gt;"",Designation[],""),Designation[],0)=ROW(Designation[])-9,ROW(Designation[])-9,""),""),ROW(A18))),"")</f>
        <v>COGN-Meukow 90' boite métal</v>
      </c>
      <c r="AK27" s="2" t="str">
        <f ca="1"/>
        <v>COGN-Meukow 90' boite métal</v>
      </c>
      <c r="AN27" s="2" t="str" cm="1">
        <f t="array" ref="AN27">IFERROR(INDEX(CL[],MATCH(SMALL(IFERROR(IF(MATCH(IF(ISNUMBER(CL[]),CL[],""),CL[],0)=ROW(CL[])-9,COUNTIF(CL[],"&gt;"&amp;CL[])+1,""),""),ROW(A18)),IF(ISNUMBER(CL[]),COUNTIF(CL[],"&gt;"&amp;CL[])+1,""),0)),"")</f>
        <v/>
      </c>
      <c r="AR27" s="2" t="str" cm="1">
        <f t="array" ref="AR27">IFERROR(INDEX(Designation[],MATCH(SMALL(IFERROR(IF(MATCH(IF(Designation[]&lt;&gt;"",Designation[],""),Designation[],0)=ROW(Designation[])-9,COUNTIF(Designation[],"&lt;"&amp;Designation[])+1,""),""),ROW(A18)),IF(Designation[]&lt;&gt;"",COUNTIF(Designation[],"&lt;"&amp;Designation[])+1),0)),"")</f>
        <v xml:space="preserve">COGN-Meukow VS </v>
      </c>
      <c r="AU27" s="2" t="str">
        <f ca="1"/>
        <v xml:space="preserve">COGN-Meukow VS </v>
      </c>
      <c r="BA27" s="2" t="str" cm="1">
        <f t="array" ref="BA27">IFERROR(INDEX(Designation[],SMALL(IFERROR(MATCH(IF(ISNUMBER(SEARCH($AZ$10,Designation[])),Designation[],""),Designation[],0),""),ROW(A18))),"")</f>
        <v/>
      </c>
      <c r="BD27" s="2" t="str" cm="1">
        <f t="array" ref="BD27">IFERROR(INDEX(Designation[],MATCH(SMALL(IFERROR(IF(MATCH(IF(ISNUMBER(SEARCH(MJGES01_00028_2!$H$2,Designation[])),Designation[],""),Designation[],0)=ROW(Designation[])-9,COUNTIF(Designation[],"&lt;"&amp;Designation[])+1,""),""),ROW(A18)),IF(Designation[]&lt;&gt;"",COUNTIF(Designation[],"&lt;"&amp;Designation[])+1),0)),"")</f>
        <v/>
      </c>
      <c r="BI27" s="2" t="e">
        <v>#N/A</v>
      </c>
      <c r="BJ27" s="2" t="e">
        <v>#N/A</v>
      </c>
      <c r="BK27" s="164">
        <v>12</v>
      </c>
      <c r="BL27" s="164"/>
      <c r="BM27" t="str" cm="1">
        <f t="array" ref="BM27">IFERROR(INDEX(CL[],MATCH(SMALL(IFERROR(IF(MATCH(IF(Designation[]=$BD$10,CL[],""),CL[],0)&lt;&gt;"",COUNTIF(CL[],"&gt;"&amp;CL[])+1,""),""),ROW(A18)),IF(CL[]&lt;&gt;"",COUNTIF(CL[],"&gt;"&amp;CL[])+1,"0"),0)),"")</f>
        <v/>
      </c>
    </row>
    <row r="28" spans="2:65" ht="16.5" thickTop="1" thickBot="1" x14ac:dyDescent="0.3">
      <c r="B28" s="57"/>
      <c r="F28" s="37"/>
      <c r="G28" s="37"/>
      <c r="H28" s="37"/>
      <c r="I28" s="58"/>
      <c r="J28" s="58"/>
      <c r="M28" s="59"/>
      <c r="N28" s="59"/>
      <c r="O28" s="43"/>
      <c r="P28" s="43"/>
      <c r="S28" s="2" t="str">
        <f t="array" ref="S28">IFERROR(INDEX(Designation[],MATCH(0,IF(Designation[]&lt;&gt;"",COUNTIF($S$9:S27,Designation[])),0)),"")</f>
        <v>COGN-Meukow VSOP</v>
      </c>
      <c r="V28" s="2" t="str">
        <f t="array" ref="V28">IFERROR(INDEX(CL[],MATCH(0,IF(ISNUMBER(CL[]),COUNTIF($V$9:V27,CL[])),0))," ")</f>
        <v xml:space="preserve"> </v>
      </c>
      <c r="Y28" s="2" t="str" cm="1">
        <f t="array" ref="Y28">IFERROR(INDEX(CL[],MATCH(SMALL(IFERROR(IF(MATCH(IF(ISNUMBER(CL[]),CL[],""),CL[],0)=ROW(CL[])-9,COUNTIF(CL[],"&gt;"&amp;CL[])+1,""),""),ROW(A19)),IF(ISNUMBER(CL[]),COUNTIF(CL[],"&gt;"&amp;CL[])+1,""),0)),"")</f>
        <v/>
      </c>
      <c r="AB28" s="2" t="str" cm="1">
        <f t="array" ref="AB28">IFERROR(INDEX(MID(Designation[],SEARCH("-",Designation[])+1,LEN(Designation[])-SEARCH("-",Designation[])),MATCH(SMALL(IFERROR(IF(MATCH(IF(ISNUMBER(FIND(MJGES01_00028_2!$H$2,Designation[])),Designation[],""),Designation[],0)=ROW(Designation[])-9,COUNTIF(Designation[],"&lt;"&amp;Designation[])+1,""),""),ROW(A19)),IF(Designation[]&lt;&gt;"",COUNTIF(Designation[],"&lt;"&amp;Designation[])+1,""),0)),"")</f>
        <v/>
      </c>
      <c r="AG28" s="2" t="str" cm="1">
        <f t="array" ref="AG28">IFERROR(INDEX(CL[],SMALL(IFERROR(MATCH(IF(MID(Designation[],SEARCH("-",Designation[])+1,LEN(Designation[])-SEARCH("-",Designation[]))=MJGES01_00028_2!$I$2,CL[],""),CL[],0),""),ROW(A19))),"")</f>
        <v/>
      </c>
      <c r="AJ28" s="2" t="str" cm="1">
        <f t="array" ref="AJ28">IFERROR(INDEX(Designation[],SMALL(IFERROR(IF(MATCH(IF(Designation[]&lt;&gt;"",Designation[],""),Designation[],0)=ROW(Designation[])-9,ROW(Designation[])-9,""),""),ROW(A19))),"")</f>
        <v>COGN-Meukow VSOP</v>
      </c>
      <c r="AK28" s="2" t="str">
        <f ca="1"/>
        <v>COGN-Meukow VSOP</v>
      </c>
      <c r="AN28" s="2" t="str" cm="1">
        <f t="array" ref="AN28">IFERROR(INDEX(CL[],MATCH(SMALL(IFERROR(IF(MATCH(IF(ISNUMBER(CL[]),CL[],""),CL[],0)=ROW(CL[])-9,COUNTIF(CL[],"&gt;"&amp;CL[])+1,""),""),ROW(A19)),IF(ISNUMBER(CL[]),COUNTIF(CL[],"&gt;"&amp;CL[])+1,""),0)),"")</f>
        <v/>
      </c>
      <c r="AR28" s="2" t="str" cm="1">
        <f t="array" ref="AR28">IFERROR(INDEX(Designation[],MATCH(SMALL(IFERROR(IF(MATCH(IF(Designation[]&lt;&gt;"",Designation[],""),Designation[],0)=ROW(Designation[])-9,COUNTIF(Designation[],"&lt;"&amp;Designation[])+1,""),""),ROW(A19)),IF(Designation[]&lt;&gt;"",COUNTIF(Designation[],"&lt;"&amp;Designation[])+1),0)),"")</f>
        <v>COGN-Meukow VS coffret 2 verres</v>
      </c>
      <c r="AU28" s="2" t="str">
        <f ca="1"/>
        <v>COGN-Meukow VS coffret 2 verres</v>
      </c>
      <c r="BA28" s="2" t="str" cm="1">
        <f t="array" ref="BA28">IFERROR(INDEX(Designation[],SMALL(IFERROR(MATCH(IF(ISNUMBER(SEARCH($AZ$10,Designation[])),Designation[],""),Designation[],0),""),ROW(A19))),"")</f>
        <v/>
      </c>
      <c r="BD28" s="2" t="str" cm="1">
        <f t="array" ref="BD28">IFERROR(INDEX(Designation[],MATCH(SMALL(IFERROR(IF(MATCH(IF(ISNUMBER(SEARCH(MJGES01_00028_2!$H$2,Designation[])),Designation[],""),Designation[],0)=ROW(Designation[])-9,COUNTIF(Designation[],"&lt;"&amp;Designation[])+1,""),""),ROW(A19)),IF(Designation[]&lt;&gt;"",COUNTIF(Designation[],"&lt;"&amp;Designation[])+1),0)),"")</f>
        <v/>
      </c>
      <c r="BI28" s="2" t="e">
        <v>#N/A</v>
      </c>
      <c r="BJ28" s="2" t="e">
        <v>#N/A</v>
      </c>
      <c r="BK28" s="164" t="str">
        <v/>
      </c>
      <c r="BL28" s="164"/>
      <c r="BM28" t="str" cm="1">
        <f t="array" ref="BM28">IFERROR(INDEX(CL[],MATCH(SMALL(IFERROR(IF(MATCH(IF(Designation[]=$BD$10,CL[],""),CL[],0)&lt;&gt;"",COUNTIF(CL[],"&gt;"&amp;CL[])+1,""),""),ROW(A19)),IF(CL[]&lt;&gt;"",COUNTIF(CL[],"&gt;"&amp;CL[])+1,"0"),0)),"")</f>
        <v/>
      </c>
    </row>
    <row r="29" spans="2:65" ht="20.25" thickTop="1" thickBot="1" x14ac:dyDescent="0.3">
      <c r="B29" s="74" t="s">
        <v>23</v>
      </c>
      <c r="C29" s="61"/>
      <c r="J29" s="58"/>
      <c r="O29" s="43"/>
      <c r="P29" s="43"/>
      <c r="S29" s="2" t="str">
        <f t="array" ref="S29">IFERROR(INDEX(Designation[],MATCH(0,IF(Designation[]&lt;&gt;"",COUNTIF($S$9:S28,Designation[])),0)),"")</f>
        <v>COGN-Meukow VSOP  boite métal</v>
      </c>
      <c r="V29" s="2" t="str">
        <f t="array" ref="V29">IFERROR(INDEX(CL[],MATCH(0,IF(ISNUMBER(CL[]),COUNTIF($V$9:V28,CL[])),0))," ")</f>
        <v xml:space="preserve"> </v>
      </c>
      <c r="Y29" s="2" t="str" cm="1">
        <f t="array" ref="Y29">IFERROR(INDEX(CL[],MATCH(SMALL(IFERROR(IF(MATCH(IF(ISNUMBER(CL[]),CL[],""),CL[],0)=ROW(CL[])-9,COUNTIF(CL[],"&gt;"&amp;CL[])+1,""),""),ROW(A20)),IF(ISNUMBER(CL[]),COUNTIF(CL[],"&gt;"&amp;CL[])+1,""),0)),"")</f>
        <v/>
      </c>
      <c r="AB29" s="2" t="str" cm="1">
        <f t="array" ref="AB29">IFERROR(INDEX(MID(Designation[],SEARCH("-",Designation[])+1,LEN(Designation[])-SEARCH("-",Designation[])),MATCH(SMALL(IFERROR(IF(MATCH(IF(ISNUMBER(FIND(MJGES01_00028_2!$H$2,Designation[])),Designation[],""),Designation[],0)=ROW(Designation[])-9,COUNTIF(Designation[],"&lt;"&amp;Designation[])+1,""),""),ROW(A20)),IF(Designation[]&lt;&gt;"",COUNTIF(Designation[],"&lt;"&amp;Designation[])+1,""),0)),"")</f>
        <v/>
      </c>
      <c r="AG29" s="2" t="str" cm="1">
        <f t="array" ref="AG29">IFERROR(INDEX(CL[],SMALL(IFERROR(MATCH(IF(MID(Designation[],SEARCH("-",Designation[])+1,LEN(Designation[])-SEARCH("-",Designation[]))=MJGES01_00028_2!$I$2,CL[],""),CL[],0),""),ROW(A20))),"")</f>
        <v/>
      </c>
      <c r="AJ29" s="2" t="str" cm="1">
        <f t="array" ref="AJ29">IFERROR(INDEX(Designation[],SMALL(IFERROR(IF(MATCH(IF(Designation[]&lt;&gt;"",Designation[],""),Designation[],0)=ROW(Designation[])-9,ROW(Designation[])-9,""),""),ROW(A20))),"")</f>
        <v>COGN-Meukow VSOP  boite métal</v>
      </c>
      <c r="AK29" s="2" t="str">
        <f ca="1"/>
        <v>COGN-Meukow VSOP  boite métal</v>
      </c>
      <c r="AN29" s="2" t="str" cm="1">
        <f t="array" ref="AN29">IFERROR(INDEX(CL[],MATCH(SMALL(IFERROR(IF(MATCH(IF(ISNUMBER(CL[]),CL[],""),CL[],0)=ROW(CL[])-9,COUNTIF(CL[],"&gt;"&amp;CL[])+1,""),""),ROW(A20)),IF(ISNUMBER(CL[]),COUNTIF(CL[],"&gt;"&amp;CL[])+1,""),0)),"")</f>
        <v/>
      </c>
      <c r="AR29" s="2" t="str" cm="1">
        <f t="array" ref="AR29">IFERROR(INDEX(Designation[],MATCH(SMALL(IFERROR(IF(MATCH(IF(Designation[]&lt;&gt;"",Designation[],""),Designation[],0)=ROW(Designation[])-9,COUNTIF(Designation[],"&lt;"&amp;Designation[])+1,""),""),ROW(A20)),IF(Designation[]&lt;&gt;"",COUNTIF(Designation[],"&lt;"&amp;Designation[])+1),0)),"")</f>
        <v>COGN-Meukow VSOP</v>
      </c>
      <c r="AU29" s="2" t="str">
        <f ca="1"/>
        <v>COGN-Meukow VSOP</v>
      </c>
      <c r="BA29" s="2" t="str" cm="1">
        <f t="array" ref="BA29">IFERROR(INDEX(Designation[],SMALL(IFERROR(MATCH(IF(ISNUMBER(SEARCH($AZ$10,Designation[])),Designation[],""),Designation[],0),""),ROW(A20))),"")</f>
        <v/>
      </c>
      <c r="BD29" s="2" t="str" cm="1">
        <f t="array" ref="BD29">IFERROR(INDEX(Designation[],MATCH(SMALL(IFERROR(IF(MATCH(IF(ISNUMBER(SEARCH(MJGES01_00028_2!$H$2,Designation[])),Designation[],""),Designation[],0)=ROW(Designation[])-9,COUNTIF(Designation[],"&lt;"&amp;Designation[])+1,""),""),ROW(A20)),IF(Designation[]&lt;&gt;"",COUNTIF(Designation[],"&lt;"&amp;Designation[])+1),0)),"")</f>
        <v/>
      </c>
      <c r="BI29" s="2" t="e">
        <v>#N/A</v>
      </c>
      <c r="BJ29" s="2" t="e">
        <v>#N/A</v>
      </c>
      <c r="BK29" s="164" t="str">
        <v/>
      </c>
      <c r="BL29" s="164"/>
      <c r="BM29" t="str" cm="1">
        <f t="array" ref="BM29">IFERROR(INDEX(CL[],MATCH(SMALL(IFERROR(IF(MATCH(IF(Designation[]=$BD$10,CL[],""),CL[],0)&lt;&gt;"",COUNTIF(CL[],"&gt;"&amp;CL[])+1,""),""),ROW(A20)),IF(CL[]&lt;&gt;"",COUNTIF(CL[],"&gt;"&amp;CL[])+1,"0"),0)),"")</f>
        <v/>
      </c>
    </row>
    <row r="30" spans="2:65" ht="15.75" thickTop="1" x14ac:dyDescent="0.25">
      <c r="B30" s="21">
        <v>3257150410068</v>
      </c>
      <c r="C30" s="171" t="s">
        <v>130</v>
      </c>
      <c r="D30" s="22"/>
      <c r="E30" s="23"/>
      <c r="F30" s="24">
        <v>100</v>
      </c>
      <c r="G30" s="25">
        <v>38</v>
      </c>
      <c r="H30" s="25">
        <v>6</v>
      </c>
      <c r="I30" s="75">
        <v>5.77</v>
      </c>
      <c r="J30" s="76">
        <v>5.22</v>
      </c>
      <c r="K30" s="77"/>
      <c r="M30" s="29">
        <f t="shared" ref="M30:M36" si="12">IF(G30&gt;=18,($M$7/10000)*$F30*($G30/100),IF(G30&gt;0,($M$8/10000)*F30,0))</f>
        <v>6.7890420000000002</v>
      </c>
      <c r="N30" s="30">
        <f t="shared" ref="N30:N36" si="13">IF(G30&gt;18,($N$7/10000)*$F30*($G30/100),0)</f>
        <v>2.1798319999999998</v>
      </c>
      <c r="O30" s="31">
        <f t="shared" ref="O30:O36" si="14">IF(HLOOKUP($O$5,$I$7:$P$236,ROW()-6,FALSE)&gt;0,HLOOKUP($O$5,$I$7:$P$236,ROW()-6,FALSE)+M30+N30," ")</f>
        <v>14.188874</v>
      </c>
      <c r="P30" s="32">
        <f>IF(OR(COUNT(O30)=0,COUNT(Q30)=0),0,O30+(O30*Q30))</f>
        <v>17.0266488</v>
      </c>
      <c r="Q30" s="33">
        <f t="shared" ref="Q30:Q36" si="15">IF(OR(G30&gt;0,H30="IT"),0.2,0.055)</f>
        <v>0.2</v>
      </c>
      <c r="R30" s="33"/>
      <c r="S30" s="2" t="str">
        <f t="array" ref="S30">IFERROR(INDEX(Designation[],MATCH(0,IF(Designation[]&lt;&gt;"",COUNTIF($S$9:S29,Designation[])),0)),"")</f>
        <v>COGN-Meukow VSOP coffret 2 verres</v>
      </c>
      <c r="Y30" s="2" t="str" cm="1">
        <f t="array" ref="Y30">IFERROR(INDEX(CL[],MATCH(SMALL(IFERROR(IF(MATCH(IF(ISNUMBER(CL[]),CL[],""),CL[],0)=ROW(CL[])-9,COUNTIF(CL[],"&gt;"&amp;CL[])+1,""),""),ROW(A21)),IF(ISNUMBER(CL[]),COUNTIF(CL[],"&gt;"&amp;CL[])+1,""),0)),"")</f>
        <v/>
      </c>
      <c r="AB30" s="2" t="str" cm="1">
        <f t="array" ref="AB30">IFERROR(INDEX(MID(Designation[],SEARCH("-",Designation[])+1,LEN(Designation[])-SEARCH("-",Designation[])),MATCH(SMALL(IFERROR(IF(MATCH(IF(ISNUMBER(FIND(MJGES01_00028_2!$H$2,Designation[])),Designation[],""),Designation[],0)=ROW(Designation[])-9,COUNTIF(Designation[],"&lt;"&amp;Designation[])+1,""),""),ROW(A21)),IF(Designation[]&lt;&gt;"",COUNTIF(Designation[],"&lt;"&amp;Designation[])+1,""),0)),"")</f>
        <v/>
      </c>
      <c r="AG30" s="2" t="str" cm="1">
        <f t="array" ref="AG30">IFERROR(INDEX(CL[],SMALL(IFERROR(MATCH(IF(MID(Designation[],SEARCH("-",Designation[])+1,LEN(Designation[])-SEARCH("-",Designation[]))=MJGES01_00028_2!$I$2,CL[],""),CL[],0),""),ROW(A21))),"")</f>
        <v/>
      </c>
      <c r="AJ30" s="2" t="str" cm="1">
        <f t="array" ref="AJ30">IFERROR(INDEX(Designation[],SMALL(IFERROR(IF(MATCH(IF(Designation[]&lt;&gt;"",Designation[],""),Designation[],0)=ROW(Designation[])-9,ROW(Designation[])-9,""),""),ROW(A21))),"")</f>
        <v>COGN-Meukow VSOP coffret 2 verres</v>
      </c>
      <c r="AK30" s="2" t="str">
        <f ca="1"/>
        <v>COGN-Meukow VSOP coffret 2 verres</v>
      </c>
      <c r="AN30" s="2" t="str" cm="1">
        <f t="array" ref="AN30">IFERROR(INDEX(CL[],MATCH(SMALL(IFERROR(IF(MATCH(IF(ISNUMBER(CL[]),CL[],""),CL[],0)=ROW(CL[])-9,COUNTIF(CL[],"&gt;"&amp;CL[])+1,""),""),ROW(A21)),IF(ISNUMBER(CL[]),COUNTIF(CL[],"&gt;"&amp;CL[])+1,""),0)),"")</f>
        <v/>
      </c>
      <c r="AR30" s="2" t="str" cm="1">
        <f t="array" ref="AR30">IFERROR(INDEX(Designation[],MATCH(SMALL(IFERROR(IF(MATCH(IF(Designation[]&lt;&gt;"",Designation[],""),Designation[],0)=ROW(Designation[])-9,COUNTIF(Designation[],"&lt;"&amp;Designation[])+1,""),""),ROW(A21)),IF(Designation[]&lt;&gt;"",COUNTIF(Designation[],"&lt;"&amp;Designation[])+1),0)),"")</f>
        <v>COGN-Meukow VSOP  boite métal</v>
      </c>
      <c r="AU30" s="2" t="str">
        <f ca="1"/>
        <v>COGN-Meukow VSOP  boite métal</v>
      </c>
      <c r="BA30" s="2" t="str" cm="1">
        <f t="array" ref="BA30">IFERROR(INDEX(Designation[],SMALL(IFERROR(MATCH(IF(ISNUMBER(SEARCH($AZ$10,Designation[])),Designation[],""),Designation[],0),""),ROW(A21))),"")</f>
        <v/>
      </c>
      <c r="BD30" s="2" t="str" cm="1">
        <f t="array" ref="BD30">IFERROR(INDEX(Designation[],MATCH(SMALL(IFERROR(IF(MATCH(IF(ISNUMBER(SEARCH(MJGES01_00028_2!$H$2,Designation[])),Designation[],""),Designation[],0)=ROW(Designation[])-9,COUNTIF(Designation[],"&lt;"&amp;Designation[])+1,""),""),ROW(A21)),IF(Designation[]&lt;&gt;"",COUNTIF(Designation[],"&lt;"&amp;Designation[])+1),0)),"")</f>
        <v/>
      </c>
      <c r="BI30" s="2" t="e">
        <v>#N/A</v>
      </c>
      <c r="BJ30" s="2" t="e">
        <v>#N/A</v>
      </c>
      <c r="BK30" s="164">
        <v>3</v>
      </c>
      <c r="BL30" s="164"/>
      <c r="BM30" t="str" cm="1">
        <f t="array" ref="BM30">IFERROR(INDEX(CL[],MATCH(SMALL(IFERROR(IF(MATCH(IF(Designation[]=$BD$10,CL[],""),CL[],0)&lt;&gt;"",COUNTIF(CL[],"&gt;"&amp;CL[])+1,""),""),ROW(A21)),IF(CL[]&lt;&gt;"",COUNTIF(CL[],"&gt;"&amp;CL[])+1,"0"),0)),"")</f>
        <v/>
      </c>
    </row>
    <row r="31" spans="2:65" x14ac:dyDescent="0.25">
      <c r="B31" s="34">
        <v>8500000917008</v>
      </c>
      <c r="C31" s="164" t="s">
        <v>130</v>
      </c>
      <c r="E31" s="35"/>
      <c r="F31" s="36">
        <v>70</v>
      </c>
      <c r="G31" s="37">
        <v>38</v>
      </c>
      <c r="H31" s="37">
        <v>6</v>
      </c>
      <c r="I31" s="78">
        <v>5.25</v>
      </c>
      <c r="J31" s="79">
        <v>4.75</v>
      </c>
      <c r="K31" s="80"/>
      <c r="M31" s="41">
        <f t="shared" si="12"/>
        <v>4.7523293999999998</v>
      </c>
      <c r="N31" s="42">
        <f t="shared" si="13"/>
        <v>1.5258824</v>
      </c>
      <c r="O31" s="43">
        <f t="shared" si="14"/>
        <v>11.028211800000001</v>
      </c>
      <c r="P31" s="44">
        <f t="shared" ref="P31:P36" si="16">IF(OR(COUNT(O31)=0,COUNT(Q31)=0),0,O31+(O31*Q31))</f>
        <v>13.233854160000002</v>
      </c>
      <c r="Q31" s="33">
        <f t="shared" si="15"/>
        <v>0.2</v>
      </c>
      <c r="R31" s="33"/>
      <c r="S31" s="2" t="str">
        <f t="array" ref="S31">IFERROR(INDEX(Designation[],MATCH(0,IF(Designation[]&lt;&gt;"",COUNTIF($S$9:S30,Designation[])),0)),"")</f>
        <v>COGN-Meukow Arima</v>
      </c>
      <c r="Y31" s="2" t="str" cm="1">
        <f t="array" ref="Y31">IFERROR(INDEX(CL[],MATCH(SMALL(IFERROR(IF(MATCH(IF(ISNUMBER(CL[]),CL[],""),CL[],0)=ROW(CL[])-9,COUNTIF(CL[],"&gt;"&amp;CL[])+1,""),""),ROW(A22)),IF(ISNUMBER(CL[]),COUNTIF(CL[],"&gt;"&amp;CL[])+1,""),0)),"")</f>
        <v/>
      </c>
      <c r="AB31" s="2" t="str" cm="1">
        <f t="array" ref="AB31">IFERROR(INDEX(MID(Designation[],SEARCH("-",Designation[])+1,LEN(Designation[])-SEARCH("-",Designation[])),MATCH(SMALL(IFERROR(IF(MATCH(IF(ISNUMBER(FIND(MJGES01_00028_2!$H$2,Designation[])),Designation[],""),Designation[],0)=ROW(Designation[])-9,COUNTIF(Designation[],"&lt;"&amp;Designation[])+1,""),""),ROW(A22)),IF(Designation[]&lt;&gt;"",COUNTIF(Designation[],"&lt;"&amp;Designation[])+1,""),0)),"")</f>
        <v/>
      </c>
      <c r="AG31" s="2" t="str" cm="1">
        <f t="array" ref="AG31">IFERROR(INDEX(CL[],SMALL(IFERROR(MATCH(IF(MID(Designation[],SEARCH("-",Designation[])+1,LEN(Designation[])-SEARCH("-",Designation[]))=MJGES01_00028_2!$I$2,CL[],""),CL[],0),""),ROW(A22))),"")</f>
        <v/>
      </c>
      <c r="AJ31" s="2" t="str" cm="1">
        <f t="array" ref="AJ31">IFERROR(INDEX(Designation[],SMALL(IFERROR(IF(MATCH(IF(Designation[]&lt;&gt;"",Designation[],""),Designation[],0)=ROW(Designation[])-9,ROW(Designation[])-9,""),""),ROW(A22))),"")</f>
        <v>COGN-Meukow Arima</v>
      </c>
      <c r="AK31" s="2" t="str">
        <f ca="1"/>
        <v>COGN-Meukow Arima</v>
      </c>
      <c r="AN31" s="2" t="str" cm="1">
        <f t="array" ref="AN31">IFERROR(INDEX(CL[],MATCH(SMALL(IFERROR(IF(MATCH(IF(ISNUMBER(CL[]),CL[],""),CL[],0)=ROW(CL[])-9,COUNTIF(CL[],"&gt;"&amp;CL[])+1,""),""),ROW(A22)),IF(ISNUMBER(CL[]),COUNTIF(CL[],"&gt;"&amp;CL[])+1,""),0)),"")</f>
        <v/>
      </c>
      <c r="AR31" s="2" t="str" cm="1">
        <f t="array" ref="AR31">IFERROR(INDEX(Designation[],MATCH(SMALL(IFERROR(IF(MATCH(IF(Designation[]&lt;&gt;"",Designation[],""),Designation[],0)=ROW(Designation[])-9,COUNTIF(Designation[],"&lt;"&amp;Designation[])+1,""),""),ROW(A22)),IF(Designation[]&lt;&gt;"",COUNTIF(Designation[],"&lt;"&amp;Designation[])+1),0)),"")</f>
        <v>COGN-Meukow VSOP coffret 2 verres</v>
      </c>
      <c r="AU31" s="2" t="str">
        <f ca="1"/>
        <v>COGN-Meukow VSOP coffret 2 verres</v>
      </c>
      <c r="BA31" s="2" t="str" cm="1">
        <f t="array" ref="BA31">IFERROR(INDEX(Designation[],SMALL(IFERROR(MATCH(IF(ISNUMBER(SEARCH($AZ$10,Designation[])),Designation[],""),Designation[],0),""),ROW(A22))),"")</f>
        <v/>
      </c>
      <c r="BD31" s="2" t="str" cm="1">
        <f t="array" ref="BD31">IFERROR(INDEX(Designation[],MATCH(SMALL(IFERROR(IF(MATCH(IF(ISNUMBER(SEARCH(MJGES01_00028_2!$H$2,Designation[])),Designation[],""),Designation[],0)=ROW(Designation[])-9,COUNTIF(Designation[],"&lt;"&amp;Designation[])+1,""),""),ROW(A22)),IF(Designation[]&lt;&gt;"",COUNTIF(Designation[],"&lt;"&amp;Designation[])+1),0)),"")</f>
        <v/>
      </c>
      <c r="BI31" s="2" t="e">
        <v>#N/A</v>
      </c>
      <c r="BJ31" s="2" t="e">
        <v>#N/A</v>
      </c>
      <c r="BK31" s="164">
        <v>12</v>
      </c>
      <c r="BL31" s="164"/>
      <c r="BM31" t="str" cm="1">
        <f t="array" ref="BM31">IFERROR(INDEX(CL[],MATCH(SMALL(IFERROR(IF(MATCH(IF(Designation[]=$BD$10,CL[],""),CL[],0)&lt;&gt;"",COUNTIF(CL[],"&gt;"&amp;CL[])+1,""),""),ROW(A22)),IF(CL[]&lt;&gt;"",COUNTIF(CL[],"&gt;"&amp;CL[])+1,"0"),0)),"")</f>
        <v/>
      </c>
    </row>
    <row r="32" spans="2:65" x14ac:dyDescent="0.25">
      <c r="B32" s="34">
        <v>3257150410167</v>
      </c>
      <c r="C32" s="164" t="s">
        <v>131</v>
      </c>
      <c r="E32" s="35"/>
      <c r="F32" s="36">
        <v>100</v>
      </c>
      <c r="G32" s="37">
        <v>38</v>
      </c>
      <c r="H32" s="37">
        <v>6</v>
      </c>
      <c r="I32" s="81">
        <v>7.52</v>
      </c>
      <c r="J32" s="79">
        <v>6.81</v>
      </c>
      <c r="K32" s="80"/>
      <c r="M32" s="41">
        <f t="shared" si="12"/>
        <v>6.7890420000000002</v>
      </c>
      <c r="N32" s="42">
        <f t="shared" si="13"/>
        <v>2.1798319999999998</v>
      </c>
      <c r="O32" s="43">
        <f t="shared" si="14"/>
        <v>15.778874</v>
      </c>
      <c r="P32" s="44">
        <f t="shared" si="16"/>
        <v>18.934648800000002</v>
      </c>
      <c r="Q32" s="33">
        <f t="shared" si="15"/>
        <v>0.2</v>
      </c>
      <c r="R32" s="33"/>
      <c r="S32" s="2" t="str">
        <f t="array" ref="S32">IFERROR(INDEX(Designation[],MATCH(0,IF(Designation[]&lt;&gt;"",COUNTIF($S$9:S31,Designation[])),0)),"")</f>
        <v>COGN-Meukow Icône Etui</v>
      </c>
      <c r="Y32" s="2" t="str" cm="1">
        <f t="array" ref="Y32">IFERROR(INDEX(CL[],MATCH(SMALL(IFERROR(IF(MATCH(IF(ISNUMBER(CL[]),CL[],""),CL[],0)=ROW(CL[])-9,COUNTIF(CL[],"&gt;"&amp;CL[])+1,""),""),ROW(A23)),IF(ISNUMBER(CL[]),COUNTIF(CL[],"&gt;"&amp;CL[])+1,""),0)),"")</f>
        <v/>
      </c>
      <c r="AB32" s="2" t="str" cm="1">
        <f t="array" ref="AB32">IFERROR(INDEX(MID(Designation[],SEARCH("-",Designation[])+1,LEN(Designation[])-SEARCH("-",Designation[])),MATCH(SMALL(IFERROR(IF(MATCH(IF(ISNUMBER(FIND(MJGES01_00028_2!$H$2,Designation[])),Designation[],""),Designation[],0)=ROW(Designation[])-9,COUNTIF(Designation[],"&lt;"&amp;Designation[])+1,""),""),ROW(A23)),IF(Designation[]&lt;&gt;"",COUNTIF(Designation[],"&lt;"&amp;Designation[])+1,""),0)),"")</f>
        <v/>
      </c>
      <c r="AG32" s="2" t="str" cm="1">
        <f t="array" ref="AG32">IFERROR(INDEX(CL[],SMALL(IFERROR(MATCH(IF(MID(Designation[],SEARCH("-",Designation[])+1,LEN(Designation[])-SEARCH("-",Designation[]))=MJGES01_00028_2!$I$2,CL[],""),CL[],0),""),ROW(A23))),"")</f>
        <v/>
      </c>
      <c r="AJ32" s="2" t="str" cm="1">
        <f t="array" ref="AJ32">IFERROR(INDEX(Designation[],SMALL(IFERROR(IF(MATCH(IF(Designation[]&lt;&gt;"",Designation[],""),Designation[],0)=ROW(Designation[])-9,ROW(Designation[])-9,""),""),ROW(A23))),"")</f>
        <v>COGN-Meukow Icône Etui</v>
      </c>
      <c r="AK32" s="2" t="str">
        <f ca="1"/>
        <v>COGN-Meukow Icône Etui</v>
      </c>
      <c r="AN32" s="2" t="str" cm="1">
        <f t="array" ref="AN32">IFERROR(INDEX(CL[],MATCH(SMALL(IFERROR(IF(MATCH(IF(ISNUMBER(CL[]),CL[],""),CL[],0)=ROW(CL[])-9,COUNTIF(CL[],"&gt;"&amp;CL[])+1,""),""),ROW(A23)),IF(ISNUMBER(CL[]),COUNTIF(CL[],"&gt;"&amp;CL[])+1,""),0)),"")</f>
        <v/>
      </c>
      <c r="AR32" s="2" t="str" cm="1">
        <f t="array" ref="AR32">IFERROR(INDEX(Designation[],MATCH(SMALL(IFERROR(IF(MATCH(IF(Designation[]&lt;&gt;"",Designation[],""),Designation[],0)=ROW(Designation[])-9,COUNTIF(Designation[],"&lt;"&amp;Designation[])+1,""),""),ROW(A23)),IF(Designation[]&lt;&gt;"",COUNTIF(Designation[],"&lt;"&amp;Designation[])+1),0)),"")</f>
        <v>COGN-Meukow XO Boite Métal</v>
      </c>
      <c r="AU32" s="2" t="str">
        <f ca="1"/>
        <v>COGN-Meukow XO Boite Métal</v>
      </c>
      <c r="BA32" s="2" t="str" cm="1">
        <f t="array" ref="BA32">IFERROR(INDEX(Designation[],SMALL(IFERROR(MATCH(IF(ISNUMBER(SEARCH($AZ$10,Designation[])),Designation[],""),Designation[],0),""),ROW(A23))),"")</f>
        <v/>
      </c>
      <c r="BD32" s="2" t="str" cm="1">
        <f t="array" ref="BD32">IFERROR(INDEX(Designation[],MATCH(SMALL(IFERROR(IF(MATCH(IF(ISNUMBER(SEARCH(MJGES01_00028_2!$H$2,Designation[])),Designation[],""),Designation[],0)=ROW(Designation[])-9,COUNTIF(Designation[],"&lt;"&amp;Designation[])+1,""),""),ROW(A23)),IF(Designation[]&lt;&gt;"",COUNTIF(Designation[],"&lt;"&amp;Designation[])+1),0)),"")</f>
        <v/>
      </c>
      <c r="BI32" s="2" t="e">
        <v>#N/A</v>
      </c>
      <c r="BJ32" s="2" t="e">
        <v>#N/A</v>
      </c>
      <c r="BK32" s="164">
        <v>3</v>
      </c>
      <c r="BL32" s="164"/>
      <c r="BM32" t="str" cm="1">
        <f t="array" ref="BM32">IFERROR(INDEX(CL[],MATCH(SMALL(IFERROR(IF(MATCH(IF(Designation[]=$BD$10,CL[],""),CL[],0)&lt;&gt;"",COUNTIF(CL[],"&gt;"&amp;CL[])+1,""),""),ROW(A23)),IF(CL[]&lt;&gt;"",COUNTIF(CL[],"&gt;"&amp;CL[])+1,"0"),0)),"")</f>
        <v/>
      </c>
    </row>
    <row r="33" spans="2:65" x14ac:dyDescent="0.25">
      <c r="B33" s="34">
        <v>8500000917015</v>
      </c>
      <c r="C33" s="164" t="s">
        <v>131</v>
      </c>
      <c r="E33" s="35"/>
      <c r="F33" s="36">
        <v>70</v>
      </c>
      <c r="G33" s="37">
        <v>38</v>
      </c>
      <c r="H33" s="37">
        <v>6</v>
      </c>
      <c r="I33" s="78">
        <v>6.46</v>
      </c>
      <c r="J33" s="79">
        <v>5.62</v>
      </c>
      <c r="K33" s="80"/>
      <c r="M33" s="41">
        <f t="shared" si="12"/>
        <v>4.7523293999999998</v>
      </c>
      <c r="N33" s="42">
        <f t="shared" si="13"/>
        <v>1.5258824</v>
      </c>
      <c r="O33" s="43">
        <f t="shared" si="14"/>
        <v>11.8982118</v>
      </c>
      <c r="P33" s="44">
        <f t="shared" si="16"/>
        <v>14.27785416</v>
      </c>
      <c r="Q33" s="33">
        <f t="shared" si="15"/>
        <v>0.2</v>
      </c>
      <c r="R33" s="33"/>
      <c r="S33" s="2" t="str">
        <f t="array" ref="S33">IFERROR(INDEX(Designation[],MATCH(0,IF(Designation[]&lt;&gt;"",COUNTIF($S$9:S32,Designation[])),0)),"")</f>
        <v>COGN-Meukow XO Boite Métal</v>
      </c>
      <c r="Y33" s="2" t="str" cm="1">
        <f t="array" ref="Y33">IFERROR(INDEX(CL[],MATCH(SMALL(IFERROR(IF(MATCH(IF(ISNUMBER(CL[]),CL[],""),CL[],0)=ROW(CL[])-9,COUNTIF(CL[],"&gt;"&amp;CL[])+1,""),""),ROW(A24)),IF(ISNUMBER(CL[]),COUNTIF(CL[],"&gt;"&amp;CL[])+1,""),0)),"")</f>
        <v/>
      </c>
      <c r="AB33" s="2" t="str" cm="1">
        <f t="array" ref="AB33">IFERROR(INDEX(MID(Designation[],SEARCH("-",Designation[])+1,LEN(Designation[])-SEARCH("-",Designation[])),MATCH(SMALL(IFERROR(IF(MATCH(IF(ISNUMBER(FIND(MJGES01_00028_2!$H$2,Designation[])),Designation[],""),Designation[],0)=ROW(Designation[])-9,COUNTIF(Designation[],"&lt;"&amp;Designation[])+1,""),""),ROW(A24)),IF(Designation[]&lt;&gt;"",COUNTIF(Designation[],"&lt;"&amp;Designation[])+1,""),0)),"")</f>
        <v/>
      </c>
      <c r="AG33" s="2" t="str" cm="1">
        <f t="array" ref="AG33">IFERROR(INDEX(CL[],SMALL(IFERROR(MATCH(IF(MID(Designation[],SEARCH("-",Designation[])+1,LEN(Designation[])-SEARCH("-",Designation[]))=MJGES01_00028_2!$I$2,CL[],""),CL[],0),""),ROW(A24))),"")</f>
        <v/>
      </c>
      <c r="AJ33" s="2" t="str" cm="1">
        <f t="array" ref="AJ33">IFERROR(INDEX(Designation[],SMALL(IFERROR(IF(MATCH(IF(Designation[]&lt;&gt;"",Designation[],""),Designation[],0)=ROW(Designation[])-9,ROW(Designation[])-9,""),""),ROW(A24))),"")</f>
        <v>COGN-Meukow XO Boite Métal</v>
      </c>
      <c r="AK33" s="2" t="str">
        <f ca="1"/>
        <v>COGN-Meukow XO Boite Métal</v>
      </c>
      <c r="AN33" s="2" t="str" cm="1">
        <f t="array" ref="AN33">IFERROR(INDEX(CL[],MATCH(SMALL(IFERROR(IF(MATCH(IF(ISNUMBER(CL[]),CL[],""),CL[],0)=ROW(CL[])-9,COUNTIF(CL[],"&gt;"&amp;CL[])+1,""),""),ROW(A24)),IF(ISNUMBER(CL[]),COUNTIF(CL[],"&gt;"&amp;CL[])+1,""),0)),"")</f>
        <v/>
      </c>
      <c r="AR33" s="2" t="str" cm="1">
        <f t="array" ref="AR33">IFERROR(INDEX(Designation[],MATCH(SMALL(IFERROR(IF(MATCH(IF(Designation[]&lt;&gt;"",Designation[],""),Designation[],0)=ROW(Designation[])-9,COUNTIF(Designation[],"&lt;"&amp;Designation[])+1,""),""),ROW(A24)),IF(Designation[]&lt;&gt;"",COUNTIF(Designation[],"&lt;"&amp;Designation[])+1),0)),"")</f>
        <v>COGN-Meukow XO Etui</v>
      </c>
      <c r="AU33" s="2" t="str">
        <f ca="1"/>
        <v>COGN-Meukow XO Etui</v>
      </c>
      <c r="BA33" s="2" t="str" cm="1">
        <f t="array" ref="BA33">IFERROR(INDEX(Designation[],SMALL(IFERROR(MATCH(IF(ISNUMBER(SEARCH($AZ$10,Designation[])),Designation[],""),Designation[],0),""),ROW(A24))),"")</f>
        <v/>
      </c>
      <c r="BD33" s="2" t="str" cm="1">
        <f t="array" ref="BD33">IFERROR(INDEX(Designation[],MATCH(SMALL(IFERROR(IF(MATCH(IF(ISNUMBER(SEARCH(MJGES01_00028_2!$H$2,Designation[])),Designation[],""),Designation[],0)=ROW(Designation[])-9,COUNTIF(Designation[],"&lt;"&amp;Designation[])+1,""),""),ROW(A24)),IF(Designation[]&lt;&gt;"",COUNTIF(Designation[],"&lt;"&amp;Designation[])+1),0)),"")</f>
        <v/>
      </c>
      <c r="BI33" s="2" t="e">
        <v>#N/A</v>
      </c>
      <c r="BJ33" s="2" t="e">
        <v>#N/A</v>
      </c>
      <c r="BK33" s="164">
        <v>12</v>
      </c>
      <c r="BL33" s="164"/>
      <c r="BM33" t="str" cm="1">
        <f t="array" ref="BM33">IFERROR(INDEX(CL[],MATCH(SMALL(IFERROR(IF(MATCH(IF(Designation[]=$BD$10,CL[],""),CL[],0)&lt;&gt;"",COUNTIF(CL[],"&gt;"&amp;CL[])+1,""),""),ROW(A24)),IF(CL[]&lt;&gt;"",COUNTIF(CL[],"&gt;"&amp;CL[])+1,"0"),0)),"")</f>
        <v/>
      </c>
    </row>
    <row r="34" spans="2:65" x14ac:dyDescent="0.25">
      <c r="B34" s="34">
        <v>8500000916445</v>
      </c>
      <c r="C34" s="164" t="s">
        <v>132</v>
      </c>
      <c r="E34" s="35"/>
      <c r="F34" s="36">
        <v>70</v>
      </c>
      <c r="G34" s="37">
        <v>40</v>
      </c>
      <c r="H34" s="37">
        <v>6</v>
      </c>
      <c r="I34" s="78">
        <v>37</v>
      </c>
      <c r="J34" s="79">
        <v>30.8</v>
      </c>
      <c r="K34" s="80"/>
      <c r="M34" s="41">
        <f t="shared" si="12"/>
        <v>5.0024519999999999</v>
      </c>
      <c r="N34" s="42">
        <f t="shared" si="13"/>
        <v>1.6061920000000001</v>
      </c>
      <c r="O34" s="43">
        <f t="shared" si="14"/>
        <v>37.408644000000002</v>
      </c>
      <c r="P34" s="44">
        <f t="shared" si="16"/>
        <v>44.890372800000002</v>
      </c>
      <c r="Q34" s="33">
        <f t="shared" si="15"/>
        <v>0.2</v>
      </c>
      <c r="R34" s="33"/>
      <c r="S34" s="2" t="str">
        <f t="array" ref="S34">IFERROR(INDEX(Designation[],MATCH(0,IF(Designation[]&lt;&gt;"",COUNTIF($S$9:S33,Designation[])),0)),"")</f>
        <v>COGN-Meukow XO Etui</v>
      </c>
      <c r="Y34" s="2" t="str" cm="1">
        <f t="array" ref="Y34">IFERROR(INDEX(CL[],MATCH(SMALL(IFERROR(IF(MATCH(IF(ISNUMBER(CL[]),CL[],""),CL[],0)=ROW(CL[])-9,COUNTIF(CL[],"&gt;"&amp;CL[])+1,""),""),ROW(A25)),IF(ISNUMBER(CL[]),COUNTIF(CL[],"&gt;"&amp;CL[])+1,""),0)),"")</f>
        <v/>
      </c>
      <c r="AB34" s="2" t="str" cm="1">
        <f t="array" ref="AB34">IFERROR(INDEX(MID(Designation[],SEARCH("-",Designation[])+1,LEN(Designation[])-SEARCH("-",Designation[])),MATCH(SMALL(IFERROR(IF(MATCH(IF(ISNUMBER(FIND(MJGES01_00028_2!$H$2,Designation[])),Designation[],""),Designation[],0)=ROW(Designation[])-9,COUNTIF(Designation[],"&lt;"&amp;Designation[])+1,""),""),ROW(A25)),IF(Designation[]&lt;&gt;"",COUNTIF(Designation[],"&lt;"&amp;Designation[])+1,""),0)),"")</f>
        <v/>
      </c>
      <c r="AG34" s="2" t="str" cm="1">
        <f t="array" ref="AG34">IFERROR(INDEX(CL[],SMALL(IFERROR(MATCH(IF(MID(Designation[],SEARCH("-",Designation[])+1,LEN(Designation[])-SEARCH("-",Designation[]))=MJGES01_00028_2!$I$2,CL[],""),CL[],0),""),ROW(A25))),"")</f>
        <v/>
      </c>
      <c r="AJ34" s="2" t="str" cm="1">
        <f t="array" ref="AJ34">IFERROR(INDEX(Designation[],SMALL(IFERROR(IF(MATCH(IF(Designation[]&lt;&gt;"",Designation[],""),Designation[],0)=ROW(Designation[])-9,ROW(Designation[])-9,""),""),ROW(A25))),"")</f>
        <v>COGN-Meukow XO Etui</v>
      </c>
      <c r="AK34" s="2" t="str">
        <f ca="1"/>
        <v>COGN-Meukow XO Etui</v>
      </c>
      <c r="AN34" s="2" t="str" cm="1">
        <f t="array" ref="AN34">IFERROR(INDEX(CL[],MATCH(SMALL(IFERROR(IF(MATCH(IF(ISNUMBER(CL[]),CL[],""),CL[],0)=ROW(CL[])-9,COUNTIF(CL[],"&gt;"&amp;CL[])+1,""),""),ROW(A25)),IF(ISNUMBER(CL[]),COUNTIF(CL[],"&gt;"&amp;CL[])+1,""),0)),"")</f>
        <v/>
      </c>
      <c r="AR34" s="2" t="str" cm="1">
        <f t="array" ref="AR34">IFERROR(INDEX(Designation[],MATCH(SMALL(IFERROR(IF(MATCH(IF(Designation[]&lt;&gt;"",Designation[],""),Designation[],0)=ROW(Designation[])-9,COUNTIF(Designation[],"&lt;"&amp;Designation[])+1,""),""),ROW(A25)),IF(Designation[]&lt;&gt;"",COUNTIF(Designation[],"&lt;"&amp;Designation[])+1),0)),"")</f>
        <v>COGN-Meukow XO Grde Champagne Etui</v>
      </c>
      <c r="AU34" s="2" t="str">
        <f ca="1"/>
        <v>COGN-Meukow XO Grde Champagne Etui</v>
      </c>
      <c r="BA34" s="2" t="str" cm="1">
        <f t="array" ref="BA34">IFERROR(INDEX(Designation[],SMALL(IFERROR(MATCH(IF(ISNUMBER(SEARCH($AZ$10,Designation[])),Designation[],""),Designation[],0),""),ROW(A25))),"")</f>
        <v/>
      </c>
      <c r="BD34" s="2" t="str" cm="1">
        <f t="array" ref="BD34">IFERROR(INDEX(Designation[],MATCH(SMALL(IFERROR(IF(MATCH(IF(ISNUMBER(SEARCH(MJGES01_00028_2!$H$2,Designation[])),Designation[],""),Designation[],0)=ROW(Designation[])-9,COUNTIF(Designation[],"&lt;"&amp;Designation[])+1,""),""),ROW(A25)),IF(Designation[]&lt;&gt;"",COUNTIF(Designation[],"&lt;"&amp;Designation[])+1),0)),"")</f>
        <v/>
      </c>
      <c r="BI34" s="2" t="e">
        <v>#N/A</v>
      </c>
      <c r="BJ34" s="2" t="e">
        <v>#N/A</v>
      </c>
      <c r="BK34" s="164">
        <v>12</v>
      </c>
      <c r="BL34" s="164"/>
      <c r="BM34" t="str" cm="1">
        <f t="array" ref="BM34">IFERROR(INDEX(CL[],MATCH(SMALL(IFERROR(IF(MATCH(IF(Designation[]=$BD$10,CL[],""),CL[],0)&lt;&gt;"",COUNTIF(CL[],"&gt;"&amp;CL[])+1,""),""),ROW(A25)),IF(CL[]&lt;&gt;"",COUNTIF(CL[],"&gt;"&amp;CL[])+1,"0"),0)),"")</f>
        <v/>
      </c>
    </row>
    <row r="35" spans="2:65" x14ac:dyDescent="0.25">
      <c r="B35" s="34">
        <v>8500000917022</v>
      </c>
      <c r="C35" s="164" t="s">
        <v>133</v>
      </c>
      <c r="E35" s="35"/>
      <c r="F35" s="36">
        <v>70</v>
      </c>
      <c r="G35" s="37">
        <v>40</v>
      </c>
      <c r="H35" s="37">
        <v>6</v>
      </c>
      <c r="I35" s="78">
        <v>74</v>
      </c>
      <c r="J35" s="79">
        <v>61.6</v>
      </c>
      <c r="K35" s="80"/>
      <c r="M35" s="41">
        <f t="shared" si="12"/>
        <v>5.0024519999999999</v>
      </c>
      <c r="N35" s="42">
        <f t="shared" si="13"/>
        <v>1.6061920000000001</v>
      </c>
      <c r="O35" s="43">
        <f t="shared" si="14"/>
        <v>68.208643999999993</v>
      </c>
      <c r="P35" s="44">
        <f t="shared" si="16"/>
        <v>81.850372799999988</v>
      </c>
      <c r="Q35" s="33">
        <f t="shared" si="15"/>
        <v>0.2</v>
      </c>
      <c r="R35" s="33"/>
      <c r="S35" s="2" t="str">
        <f t="array" ref="S35">IFERROR(INDEX(Designation[],MATCH(0,IF(Designation[]&lt;&gt;"",COUNTIF($S$9:S34,Designation[])),0)),"")</f>
        <v>COGN-Meukow XO Grde Champagne Etui</v>
      </c>
      <c r="Y35" s="2" t="str" cm="1">
        <f t="array" ref="Y35">IFERROR(INDEX(CL[],MATCH(SMALL(IFERROR(IF(MATCH(IF(ISNUMBER(CL[]),CL[],""),CL[],0)=ROW(CL[])-9,COUNTIF(CL[],"&gt;"&amp;CL[])+1,""),""),ROW(A26)),IF(ISNUMBER(CL[]),COUNTIF(CL[],"&gt;"&amp;CL[])+1,""),0)),"")</f>
        <v/>
      </c>
      <c r="AB35" s="2" t="str" cm="1">
        <f t="array" ref="AB35">IFERROR(INDEX(MID(Designation[],SEARCH("-",Designation[])+1,LEN(Designation[])-SEARCH("-",Designation[])),MATCH(SMALL(IFERROR(IF(MATCH(IF(ISNUMBER(FIND(MJGES01_00028_2!$H$2,Designation[])),Designation[],""),Designation[],0)=ROW(Designation[])-9,COUNTIF(Designation[],"&lt;"&amp;Designation[])+1,""),""),ROW(A26)),IF(Designation[]&lt;&gt;"",COUNTIF(Designation[],"&lt;"&amp;Designation[])+1,""),0)),"")</f>
        <v/>
      </c>
      <c r="AG35" s="2" t="str" cm="1">
        <f t="array" ref="AG35">IFERROR(INDEX(CL[],SMALL(IFERROR(MATCH(IF(MID(Designation[],SEARCH("-",Designation[])+1,LEN(Designation[])-SEARCH("-",Designation[]))=MJGES01_00028_2!$I$2,CL[],""),CL[],0),""),ROW(A26))),"")</f>
        <v/>
      </c>
      <c r="AJ35" s="2" t="str" cm="1">
        <f t="array" ref="AJ35">IFERROR(INDEX(Designation[],SMALL(IFERROR(IF(MATCH(IF(Designation[]&lt;&gt;"",Designation[],""),Designation[],0)=ROW(Designation[])-9,ROW(Designation[])-9,""),""),ROW(A26))),"")</f>
        <v>COGN-Meukow XO Grde Champagne Etui</v>
      </c>
      <c r="AK35" s="2" t="str">
        <f ca="1"/>
        <v>COGN-Meukow XO Grde Champagne Etui</v>
      </c>
      <c r="AN35" s="2" t="str" cm="1">
        <f t="array" ref="AN35">IFERROR(INDEX(CL[],MATCH(SMALL(IFERROR(IF(MATCH(IF(ISNUMBER(CL[]),CL[],""),CL[],0)=ROW(CL[])-9,COUNTIF(CL[],"&gt;"&amp;CL[])+1,""),""),ROW(A26)),IF(ISNUMBER(CL[]),COUNTIF(CL[],"&gt;"&amp;CL[])+1,""),0)),"")</f>
        <v/>
      </c>
      <c r="AR35" s="2" t="str" cm="1">
        <f t="array" ref="AR35">IFERROR(INDEX(Designation[],MATCH(SMALL(IFERROR(IF(MATCH(IF(Designation[]&lt;&gt;"",Designation[],""),Designation[],0)=ROW(Designation[])-9,COUNTIF(Designation[],"&lt;"&amp;Designation[])+1,""),""),ROW(A26)),IF(Designation[]&lt;&gt;"",COUNTIF(Designation[],"&lt;"&amp;Designation[])+1),0)),"")</f>
        <v>GIN-Blossom Gran Reserva</v>
      </c>
      <c r="AU35" s="2" t="str">
        <f ca="1"/>
        <v>GIN-Blossom Gran Reserva</v>
      </c>
      <c r="BA35" s="2" t="str" cm="1">
        <f t="array" ref="BA35">IFERROR(INDEX(Designation[],SMALL(IFERROR(MATCH(IF(ISNUMBER(SEARCH($AZ$10,Designation[])),Designation[],""),Designation[],0),""),ROW(A26))),"")</f>
        <v/>
      </c>
      <c r="BD35" s="2" t="str" cm="1">
        <f t="array" ref="BD35">IFERROR(INDEX(Designation[],MATCH(SMALL(IFERROR(IF(MATCH(IF(ISNUMBER(SEARCH(MJGES01_00028_2!$H$2,Designation[])),Designation[],""),Designation[],0)=ROW(Designation[])-9,COUNTIF(Designation[],"&lt;"&amp;Designation[])+1,""),""),ROW(A26)),IF(Designation[]&lt;&gt;"",COUNTIF(Designation[],"&lt;"&amp;Designation[])+1),0)),"")</f>
        <v/>
      </c>
      <c r="BI35" s="2" t="e">
        <v>#N/A</v>
      </c>
      <c r="BJ35" s="2" t="e">
        <v>#N/A</v>
      </c>
      <c r="BK35" s="164">
        <v>12</v>
      </c>
      <c r="BL35" s="164"/>
      <c r="BM35" t="str" cm="1">
        <f t="array" ref="BM35">IFERROR(INDEX(CL[],MATCH(SMALL(IFERROR(IF(MATCH(IF(Designation[]=$BD$10,CL[],""),CL[],0)&lt;&gt;"",COUNTIF(CL[],"&gt;"&amp;CL[])+1,""),""),ROW(A26)),IF(CL[]&lt;&gt;"",COUNTIF(CL[],"&gt;"&amp;CL[])+1,"0"),0)),"")</f>
        <v/>
      </c>
    </row>
    <row r="36" spans="2:65" ht="15.75" thickBot="1" x14ac:dyDescent="0.3">
      <c r="B36" s="45">
        <v>8500000917039</v>
      </c>
      <c r="C36" s="172" t="s">
        <v>134</v>
      </c>
      <c r="D36" s="46"/>
      <c r="E36" s="47"/>
      <c r="F36" s="48">
        <v>70</v>
      </c>
      <c r="G36" s="49">
        <v>40</v>
      </c>
      <c r="H36" s="49">
        <v>4</v>
      </c>
      <c r="I36" s="82">
        <v>222</v>
      </c>
      <c r="J36" s="83">
        <v>184.8</v>
      </c>
      <c r="K36" s="84"/>
      <c r="L36" s="46"/>
      <c r="M36" s="53">
        <f t="shared" si="12"/>
        <v>5.0024519999999999</v>
      </c>
      <c r="N36" s="54">
        <f t="shared" si="13"/>
        <v>1.6061920000000001</v>
      </c>
      <c r="O36" s="55">
        <f t="shared" si="14"/>
        <v>191.40864400000001</v>
      </c>
      <c r="P36" s="56">
        <f t="shared" si="16"/>
        <v>229.69037280000001</v>
      </c>
      <c r="Q36" s="33">
        <f t="shared" si="15"/>
        <v>0.2</v>
      </c>
      <c r="R36" s="33"/>
      <c r="S36" s="2" t="str">
        <f t="array" ref="S36">IFERROR(INDEX(Designation[],MATCH(0,IF(Designation[]&lt;&gt;"",COUNTIF($S$9:S35,Designation[])),0)),"")</f>
        <v>COGN-Meukow Palme d OR 1978</v>
      </c>
      <c r="Y36" s="2" t="str" cm="1">
        <f t="array" ref="Y36">IFERROR(INDEX(CL[],MATCH(SMALL(IFERROR(IF(MATCH(IF(ISNUMBER(CL[]),CL[],""),CL[],0)=ROW(CL[])-9,COUNTIF(CL[],"&gt;"&amp;CL[])+1,""),""),ROW(A27)),IF(ISNUMBER(CL[]),COUNTIF(CL[],"&gt;"&amp;CL[])+1,""),0)),"")</f>
        <v/>
      </c>
      <c r="AB36" s="2" t="str" cm="1">
        <f t="array" ref="AB36">IFERROR(INDEX(MID(Designation[],SEARCH("-",Designation[])+1,LEN(Designation[])-SEARCH("-",Designation[])),MATCH(SMALL(IFERROR(IF(MATCH(IF(ISNUMBER(FIND(MJGES01_00028_2!$H$2,Designation[])),Designation[],""),Designation[],0)=ROW(Designation[])-9,COUNTIF(Designation[],"&lt;"&amp;Designation[])+1,""),""),ROW(A27)),IF(Designation[]&lt;&gt;"",COUNTIF(Designation[],"&lt;"&amp;Designation[])+1,""),0)),"")</f>
        <v/>
      </c>
      <c r="AG36" s="2" t="str" cm="1">
        <f t="array" ref="AG36">IFERROR(INDEX(CL[],SMALL(IFERROR(MATCH(IF(MID(Designation[],SEARCH("-",Designation[])+1,LEN(Designation[])-SEARCH("-",Designation[]))=MJGES01_00028_2!$I$2,CL[],""),CL[],0),""),ROW(A27))),"")</f>
        <v/>
      </c>
      <c r="AJ36" s="2" t="str" cm="1">
        <f t="array" ref="AJ36">IFERROR(INDEX(Designation[],SMALL(IFERROR(IF(MATCH(IF(Designation[]&lt;&gt;"",Designation[],""),Designation[],0)=ROW(Designation[])-9,ROW(Designation[])-9,""),""),ROW(A27))),"")</f>
        <v>COGN-Meukow Palme d OR 1978</v>
      </c>
      <c r="AK36" s="2" t="str">
        <f ca="1"/>
        <v>COGN-Meukow Palme d OR 1978</v>
      </c>
      <c r="AN36" s="2" t="str" cm="1">
        <f t="array" ref="AN36">IFERROR(INDEX(CL[],MATCH(SMALL(IFERROR(IF(MATCH(IF(ISNUMBER(CL[]),CL[],""),CL[],0)=ROW(CL[])-9,COUNTIF(CL[],"&gt;"&amp;CL[])+1,""),""),ROW(A27)),IF(ISNUMBER(CL[]),COUNTIF(CL[],"&gt;"&amp;CL[])+1,""),0)),"")</f>
        <v/>
      </c>
      <c r="AR36" s="2" t="str" cm="1">
        <f t="array" ref="AR36">IFERROR(INDEX(Designation[],MATCH(SMALL(IFERROR(IF(MATCH(IF(Designation[]&lt;&gt;"",Designation[],""),Designation[],0)=ROW(Designation[])-9,COUNTIF(Designation[],"&lt;"&amp;Designation[])+1,""),""),ROW(A27)),IF(Designation[]&lt;&gt;"",COUNTIF(Designation[],"&lt;"&amp;Designation[])+1),0)),"")</f>
        <v xml:space="preserve">GIN-Blossom London Dry Gin </v>
      </c>
      <c r="AU36" s="2" t="str">
        <f ca="1"/>
        <v xml:space="preserve">GIN-Blossom London Dry Gin </v>
      </c>
      <c r="BA36" s="2" t="str" cm="1">
        <f t="array" ref="BA36">IFERROR(INDEX(Designation[],SMALL(IFERROR(MATCH(IF(ISNUMBER(SEARCH($AZ$10,Designation[])),Designation[],""),Designation[],0),""),ROW(A27))),"")</f>
        <v/>
      </c>
      <c r="BD36" s="2" t="str" cm="1">
        <f t="array" ref="BD36">IFERROR(INDEX(Designation[],MATCH(SMALL(IFERROR(IF(MATCH(IF(ISNUMBER(SEARCH(MJGES01_00028_2!$H$2,Designation[])),Designation[],""),Designation[],0)=ROW(Designation[])-9,COUNTIF(Designation[],"&lt;"&amp;Designation[])+1,""),""),ROW(A27)),IF(Designation[]&lt;&gt;"",COUNTIF(Designation[],"&lt;"&amp;Designation[])+1),0)),"")</f>
        <v/>
      </c>
      <c r="BI36" s="2" t="e">
        <v>#N/A</v>
      </c>
      <c r="BJ36" s="2" t="e">
        <v>#N/A</v>
      </c>
      <c r="BK36" s="164">
        <v>12</v>
      </c>
      <c r="BL36" s="164"/>
      <c r="BM36" t="str" cm="1">
        <f t="array" ref="BM36">IFERROR(INDEX(CL[],MATCH(SMALL(IFERROR(IF(MATCH(IF(Designation[]=$BD$10,CL[],""),CL[],0)&lt;&gt;"",COUNTIF(CL[],"&gt;"&amp;CL[])+1,""),""),ROW(A27)),IF(CL[]&lt;&gt;"",COUNTIF(CL[],"&gt;"&amp;CL[])+1,"0"),0)),"")</f>
        <v/>
      </c>
    </row>
    <row r="37" spans="2:65" ht="15.75" thickTop="1" x14ac:dyDescent="0.25">
      <c r="B37" s="57"/>
      <c r="F37" s="37"/>
      <c r="G37" s="37"/>
      <c r="H37" s="37"/>
      <c r="I37" s="58"/>
      <c r="J37" s="58"/>
      <c r="M37" s="62"/>
      <c r="N37" s="62"/>
      <c r="O37" s="43"/>
      <c r="P37" s="43"/>
      <c r="S37" s="2" t="str">
        <f t="array" ref="S37">IFERROR(INDEX(Designation[],MATCH(0,IF(Designation[]&lt;&gt;"",COUNTIF($S$9:S36,Designation[])),0)),"")</f>
        <v>COGN-Meukow Esprit de Famille</v>
      </c>
      <c r="Y37" s="2" t="str" cm="1">
        <f t="array" ref="Y37">IFERROR(INDEX(CL[],MATCH(SMALL(IFERROR(IF(MATCH(IF(ISNUMBER(CL[]),CL[],""),CL[],0)=ROW(CL[])-9,COUNTIF(CL[],"&gt;"&amp;CL[])+1,""),""),ROW(A28)),IF(ISNUMBER(CL[]),COUNTIF(CL[],"&gt;"&amp;CL[])+1,""),0)),"")</f>
        <v/>
      </c>
      <c r="AB37" s="2" t="str" cm="1">
        <f t="array" ref="AB37">IFERROR(INDEX(MID(Designation[],SEARCH("-",Designation[])+1,LEN(Designation[])-SEARCH("-",Designation[])),MATCH(SMALL(IFERROR(IF(MATCH(IF(ISNUMBER(FIND(MJGES01_00028_2!$H$2,Designation[])),Designation[],""),Designation[],0)=ROW(Designation[])-9,COUNTIF(Designation[],"&lt;"&amp;Designation[])+1,""),""),ROW(A28)),IF(Designation[]&lt;&gt;"",COUNTIF(Designation[],"&lt;"&amp;Designation[])+1,""),0)),"")</f>
        <v/>
      </c>
      <c r="AG37" s="2" t="str" cm="1">
        <f t="array" ref="AG37">IFERROR(INDEX(CL[],SMALL(IFERROR(MATCH(IF(MID(Designation[],SEARCH("-",Designation[])+1,LEN(Designation[])-SEARCH("-",Designation[]))=MJGES01_00028_2!$I$2,CL[],""),CL[],0),""),ROW(A28))),"")</f>
        <v/>
      </c>
      <c r="AJ37" s="2" t="str" cm="1">
        <f t="array" ref="AJ37">IFERROR(INDEX(Designation[],SMALL(IFERROR(IF(MATCH(IF(Designation[]&lt;&gt;"",Designation[],""),Designation[],0)=ROW(Designation[])-9,ROW(Designation[])-9,""),""),ROW(A28))),"")</f>
        <v>COGN-Meukow Esprit de Famille</v>
      </c>
      <c r="AK37" s="2" t="str">
        <f ca="1"/>
        <v>COGN-Meukow Esprit de Famille</v>
      </c>
      <c r="AN37" s="2" t="str" cm="1">
        <f t="array" ref="AN37">IFERROR(INDEX(CL[],MATCH(SMALL(IFERROR(IF(MATCH(IF(ISNUMBER(CL[]),CL[],""),CL[],0)=ROW(CL[])-9,COUNTIF(CL[],"&gt;"&amp;CL[])+1,""),""),ROW(A28)),IF(ISNUMBER(CL[]),COUNTIF(CL[],"&gt;"&amp;CL[])+1,""),0)),"")</f>
        <v/>
      </c>
      <c r="AR37" s="2" t="str" cm="1">
        <f t="array" ref="AR37">IFERROR(INDEX(Designation[],MATCH(SMALL(IFERROR(IF(MATCH(IF(Designation[]&lt;&gt;"",Designation[],""),Designation[],0)=ROW(Designation[])-9,COUNTIF(Designation[],"&lt;"&amp;Designation[])+1,""),""),ROW(A28)),IF(Designation[]&lt;&gt;"",COUNTIF(Designation[],"&lt;"&amp;Designation[])+1),0)),"")</f>
        <v>GIN-Blossom Peach</v>
      </c>
      <c r="AU37" s="2" t="str">
        <f ca="1"/>
        <v>GIN-Blossom Peach</v>
      </c>
      <c r="BA37" s="2" t="str" cm="1">
        <f t="array" ref="BA37">IFERROR(INDEX(Designation[],SMALL(IFERROR(MATCH(IF(ISNUMBER(SEARCH($AZ$10,Designation[])),Designation[],""),Designation[],0),""),ROW(A28))),"")</f>
        <v/>
      </c>
      <c r="BD37" s="2" t="str" cm="1">
        <f t="array" ref="BD37">IFERROR(INDEX(Designation[],MATCH(SMALL(IFERROR(IF(MATCH(IF(ISNUMBER(SEARCH(MJGES01_00028_2!$H$2,Designation[])),Designation[],""),Designation[],0)=ROW(Designation[])-9,COUNTIF(Designation[],"&lt;"&amp;Designation[])+1,""),""),ROW(A28)),IF(Designation[]&lt;&gt;"",COUNTIF(Designation[],"&lt;"&amp;Designation[])+1),0)),"")</f>
        <v/>
      </c>
      <c r="BI37" s="2" t="e">
        <v>#N/A</v>
      </c>
      <c r="BJ37" s="2" t="e">
        <v>#N/A</v>
      </c>
      <c r="BK37" s="164" t="str">
        <v/>
      </c>
      <c r="BL37" s="164"/>
      <c r="BM37" t="str" cm="1">
        <f t="array" ref="BM37">IFERROR(INDEX(CL[],MATCH(SMALL(IFERROR(IF(MATCH(IF(Designation[]=$BD$10,CL[],""),CL[],0)&lt;&gt;"",COUNTIF(CL[],"&gt;"&amp;CL[])+1,""),""),ROW(A28)),IF(CL[]&lt;&gt;"",COUNTIF(CL[],"&gt;"&amp;CL[])+1,"0"),0)),"")</f>
        <v/>
      </c>
    </row>
    <row r="38" spans="2:65" ht="15.75" thickBot="1" x14ac:dyDescent="0.3">
      <c r="O38" s="43" t="str">
        <f>IF(HLOOKUP($O$5,$I$7:$P$236,ROW()-6,FALSE)&gt;0,HLOOKUP($O$5,$I$7:$P$236,ROW()-6,FALSE)+M38+N38," ")</f>
        <v xml:space="preserve"> </v>
      </c>
      <c r="P38" s="43"/>
      <c r="S38" s="2" t="str">
        <f t="array" ref="S38">IFERROR(INDEX(Designation[],MATCH(0,IF(Designation[]&lt;&gt;"",COUNTIF($S$9:S37,Designation[])),0)),"")</f>
        <v>COGN-Meukow Extra Coffret</v>
      </c>
      <c r="Y38" s="2" t="str" cm="1">
        <f t="array" ref="Y38">IFERROR(INDEX(CL[],MATCH(SMALL(IFERROR(IF(MATCH(IF(ISNUMBER(CL[]),CL[],""),CL[],0)=ROW(CL[])-9,COUNTIF(CL[],"&gt;"&amp;CL[])+1,""),""),ROW(A29)),IF(ISNUMBER(CL[]),COUNTIF(CL[],"&gt;"&amp;CL[])+1,""),0)),"")</f>
        <v/>
      </c>
      <c r="AB38" s="2" t="str" cm="1">
        <f t="array" ref="AB38">IFERROR(INDEX(MID(Designation[],SEARCH("-",Designation[])+1,LEN(Designation[])-SEARCH("-",Designation[])),MATCH(SMALL(IFERROR(IF(MATCH(IF(ISNUMBER(FIND(MJGES01_00028_2!$H$2,Designation[])),Designation[],""),Designation[],0)=ROW(Designation[])-9,COUNTIF(Designation[],"&lt;"&amp;Designation[])+1,""),""),ROW(A29)),IF(Designation[]&lt;&gt;"",COUNTIF(Designation[],"&lt;"&amp;Designation[])+1,""),0)),"")</f>
        <v/>
      </c>
      <c r="AG38" s="2" t="str" cm="1">
        <f t="array" ref="AG38">IFERROR(INDEX(CL[],SMALL(IFERROR(MATCH(IF(MID(Designation[],SEARCH("-",Designation[])+1,LEN(Designation[])-SEARCH("-",Designation[]))=MJGES01_00028_2!$I$2,CL[],""),CL[],0),""),ROW(A29))),"")</f>
        <v/>
      </c>
      <c r="AJ38" s="2" t="str" cm="1">
        <f t="array" ref="AJ38">IFERROR(INDEX(Designation[],SMALL(IFERROR(IF(MATCH(IF(Designation[]&lt;&gt;"",Designation[],""),Designation[],0)=ROW(Designation[])-9,ROW(Designation[])-9,""),""),ROW(A29))),"")</f>
        <v>COGN-Meukow Extra Coffret</v>
      </c>
      <c r="AK38" s="2" t="str">
        <f ca="1"/>
        <v>COGN-Meukow Extra Coffret</v>
      </c>
      <c r="AN38" s="2" t="str" cm="1">
        <f t="array" ref="AN38">IFERROR(INDEX(CL[],MATCH(SMALL(IFERROR(IF(MATCH(IF(ISNUMBER(CL[]),CL[],""),CL[],0)=ROW(CL[])-9,COUNTIF(CL[],"&gt;"&amp;CL[])+1,""),""),ROW(A29)),IF(ISNUMBER(CL[]),COUNTIF(CL[],"&gt;"&amp;CL[])+1,""),0)),"")</f>
        <v/>
      </c>
      <c r="AR38" s="2" t="str" cm="1">
        <f t="array" ref="AR38">IFERROR(INDEX(Designation[],MATCH(SMALL(IFERROR(IF(MATCH(IF(Designation[]&lt;&gt;"",Designation[],""),Designation[],0)=ROW(Designation[])-9,COUNTIF(Designation[],"&lt;"&amp;Designation[])+1,""),""),ROW(A29)),IF(Designation[]&lt;&gt;"",COUNTIF(Designation[],"&lt;"&amp;Designation[])+1),0)),"")</f>
        <v>GIN-Dry Gin Sul</v>
      </c>
      <c r="AU38" s="2" t="str">
        <f ca="1"/>
        <v>GIN-Dry Gin Sul</v>
      </c>
      <c r="BA38" s="2" t="str" cm="1">
        <f t="array" ref="BA38">IFERROR(INDEX(Designation[],SMALL(IFERROR(MATCH(IF(ISNUMBER(SEARCH($AZ$10,Designation[])),Designation[],""),Designation[],0),""),ROW(A29))),"")</f>
        <v/>
      </c>
      <c r="BD38" s="2" t="str" cm="1">
        <f t="array" ref="BD38">IFERROR(INDEX(Designation[],MATCH(SMALL(IFERROR(IF(MATCH(IF(ISNUMBER(SEARCH(MJGES01_00028_2!$H$2,Designation[])),Designation[],""),Designation[],0)=ROW(Designation[])-9,COUNTIF(Designation[],"&lt;"&amp;Designation[])+1,""),""),ROW(A29)),IF(Designation[]&lt;&gt;"",COUNTIF(Designation[],"&lt;"&amp;Designation[])+1),0)),"")</f>
        <v/>
      </c>
      <c r="BI38" s="2" t="e">
        <v>#N/A</v>
      </c>
      <c r="BJ38" s="2" t="e">
        <v>#N/A</v>
      </c>
      <c r="BK38" s="164" t="str">
        <v/>
      </c>
      <c r="BL38" s="164"/>
      <c r="BM38" t="str" cm="1">
        <f t="array" ref="BM38">IFERROR(INDEX(CL[],MATCH(SMALL(IFERROR(IF(MATCH(IF(Designation[]=$BD$10,CL[],""),CL[],0)&lt;&gt;"",COUNTIF(CL[],"&gt;"&amp;CL[])+1,""),""),ROW(A29)),IF(CL[]&lt;&gt;"",COUNTIF(CL[],"&gt;"&amp;CL[])+1,"0"),0)),"")</f>
        <v/>
      </c>
    </row>
    <row r="39" spans="2:65" ht="20.25" thickTop="1" thickBot="1" x14ac:dyDescent="0.3">
      <c r="B39" s="74" t="s">
        <v>29</v>
      </c>
      <c r="C39" s="61"/>
      <c r="J39" s="58"/>
      <c r="O39" s="43"/>
      <c r="P39" s="43"/>
      <c r="S39" s="2" t="str">
        <f t="array" ref="S39">IFERROR(INDEX(Designation[],MATCH(0,IF(Designation[]&lt;&gt;"",COUNTIF($S$9:S38,Designation[])),0)),"")</f>
        <v>COGN-Meukow Baccarat Coffret</v>
      </c>
      <c r="Y39" s="2" t="str" cm="1">
        <f t="array" ref="Y39">IFERROR(INDEX(CL[],MATCH(SMALL(IFERROR(IF(MATCH(IF(ISNUMBER(CL[]),CL[],""),CL[],0)=ROW(CL[])-9,COUNTIF(CL[],"&gt;"&amp;CL[])+1,""),""),ROW(A30)),IF(ISNUMBER(CL[]),COUNTIF(CL[],"&gt;"&amp;CL[])+1,""),0)),"")</f>
        <v/>
      </c>
      <c r="AB39" s="2" t="str" cm="1">
        <f t="array" ref="AB39">IFERROR(INDEX(MID(Designation[],SEARCH("-",Designation[])+1,LEN(Designation[])-SEARCH("-",Designation[])),MATCH(SMALL(IFERROR(IF(MATCH(IF(ISNUMBER(FIND(MJGES01_00028_2!$H$2,Designation[])),Designation[],""),Designation[],0)=ROW(Designation[])-9,COUNTIF(Designation[],"&lt;"&amp;Designation[])+1,""),""),ROW(A30)),IF(Designation[]&lt;&gt;"",COUNTIF(Designation[],"&lt;"&amp;Designation[])+1,""),0)),"")</f>
        <v/>
      </c>
      <c r="AG39" s="2" t="str" cm="1">
        <f t="array" ref="AG39">IFERROR(INDEX(CL[],SMALL(IFERROR(MATCH(IF(MID(Designation[],SEARCH("-",Designation[])+1,LEN(Designation[])-SEARCH("-",Designation[]))=MJGES01_00028_2!$I$2,CL[],""),CL[],0),""),ROW(A30))),"")</f>
        <v/>
      </c>
      <c r="AJ39" s="2" t="str" cm="1">
        <f t="array" ref="AJ39">IFERROR(INDEX(Designation[],SMALL(IFERROR(IF(MATCH(IF(Designation[]&lt;&gt;"",Designation[],""),Designation[],0)=ROW(Designation[])-9,ROW(Designation[])-9,""),""),ROW(A30))),"")</f>
        <v>COGN-Meukow Baccarat Coffret</v>
      </c>
      <c r="AK39" s="2" t="str">
        <f ca="1"/>
        <v>COGN-Meukow Baccarat Coffret</v>
      </c>
      <c r="AN39" s="2" t="str" cm="1">
        <f t="array" ref="AN39">IFERROR(INDEX(CL[],MATCH(SMALL(IFERROR(IF(MATCH(IF(ISNUMBER(CL[]),CL[],""),CL[],0)=ROW(CL[])-9,COUNTIF(CL[],"&gt;"&amp;CL[])+1,""),""),ROW(A30)),IF(ISNUMBER(CL[]),COUNTIF(CL[],"&gt;"&amp;CL[])+1,""),0)),"")</f>
        <v/>
      </c>
      <c r="AR39" s="2" t="str" cm="1">
        <f t="array" ref="AR39">IFERROR(INDEX(Designation[],MATCH(SMALL(IFERROR(IF(MATCH(IF(Designation[]&lt;&gt;"",Designation[],""),Designation[],0)=ROW(Designation[])-9,COUNTIF(Designation[],"&lt;"&amp;Designation[])+1,""),""),ROW(A30)),IF(Designation[]&lt;&gt;"",COUNTIF(Designation[],"&lt;"&amp;Designation[])+1),0)),"")</f>
        <v>GIN-Saar Dry Gin Ferdinand's</v>
      </c>
      <c r="AU39" s="2" t="str">
        <f ca="1"/>
        <v>GIN-Saar Dry Gin Ferdinand's</v>
      </c>
      <c r="BA39" s="2" t="str" cm="1">
        <f t="array" ref="BA39">IFERROR(INDEX(Designation[],SMALL(IFERROR(MATCH(IF(ISNUMBER(SEARCH($AZ$10,Designation[])),Designation[],""),Designation[],0),""),ROW(A30))),"")</f>
        <v/>
      </c>
      <c r="BD39" s="2" t="str" cm="1">
        <f t="array" ref="BD39">IFERROR(INDEX(Designation[],MATCH(SMALL(IFERROR(IF(MATCH(IF(ISNUMBER(SEARCH(MJGES01_00028_2!$H$2,Designation[])),Designation[],""),Designation[],0)=ROW(Designation[])-9,COUNTIF(Designation[],"&lt;"&amp;Designation[])+1,""),""),ROW(A30)),IF(Designation[]&lt;&gt;"",COUNTIF(Designation[],"&lt;"&amp;Designation[])+1),0)),"")</f>
        <v/>
      </c>
      <c r="BI39" s="2" t="e">
        <v>#N/A</v>
      </c>
      <c r="BJ39" s="2" t="e">
        <v>#N/A</v>
      </c>
      <c r="BK39" s="164" t="str">
        <v/>
      </c>
      <c r="BL39" s="164"/>
      <c r="BM39" t="str" cm="1">
        <f t="array" ref="BM39">IFERROR(INDEX(CL[],MATCH(SMALL(IFERROR(IF(MATCH(IF(Designation[]=$BD$10,CL[],""),CL[],0)&lt;&gt;"",COUNTIF(CL[],"&gt;"&amp;CL[])+1,""),""),ROW(A30)),IF(CL[]&lt;&gt;"",COUNTIF(CL[],"&gt;"&amp;CL[])+1,"0"),0)),"")</f>
        <v/>
      </c>
    </row>
    <row r="40" spans="2:65" ht="15.75" thickTop="1" x14ac:dyDescent="0.25">
      <c r="B40" s="21">
        <v>3257150101904</v>
      </c>
      <c r="C40" s="171" t="s">
        <v>140</v>
      </c>
      <c r="D40" s="22"/>
      <c r="E40" s="23"/>
      <c r="F40" s="24">
        <v>70</v>
      </c>
      <c r="G40" s="25">
        <v>30</v>
      </c>
      <c r="H40" s="25">
        <v>6</v>
      </c>
      <c r="I40" s="75">
        <v>13.55</v>
      </c>
      <c r="J40" s="76">
        <v>11.39</v>
      </c>
      <c r="K40" s="77"/>
      <c r="M40" s="29">
        <f t="shared" ref="M40:M62" si="17">IF(G40&gt;=18,($M$7/10000)*$F40*($G40/100),IF(G40&gt;0,($M$8/10000)*F40,0))</f>
        <v>3.7518389999999995</v>
      </c>
      <c r="N40" s="30">
        <f t="shared" ref="N40:N62" si="18">IF(G40&gt;18,($N$7/10000)*$F40*($G40/100),0)</f>
        <v>1.204644</v>
      </c>
      <c r="O40" s="31">
        <f t="shared" ref="O40:O62" si="19">IF(HLOOKUP($O$5,$I$7:$P$236,ROW()-6,FALSE)&gt;0,HLOOKUP($O$5,$I$7:$P$236,ROW()-6,FALSE)+M40+N40," ")</f>
        <v>16.346482999999999</v>
      </c>
      <c r="P40" s="32">
        <f>IF(OR(COUNT(O40)=0,COUNT(Q40)=0),0,O40+(O40*Q40))</f>
        <v>19.6157796</v>
      </c>
      <c r="Q40" s="33">
        <f t="shared" ref="Q40:Q61" si="20">IF(OR(G40&gt;0,H40="IT"),0.2,IF(ISBLANK(G40)," ",IF(G40&lt;=0,0.055," ")))</f>
        <v>0.2</v>
      </c>
      <c r="R40" s="33"/>
      <c r="S40" s="2" t="str">
        <f t="array" ref="S40">IFERROR(INDEX(Designation[],MATCH(0,IF(Designation[]&lt;&gt;"",COUNTIF($S$9:S39,Designation[])),0)),"")</f>
        <v>COGN-Meukow Cognac Flavour. regular</v>
      </c>
      <c r="Y40" s="2" t="str" cm="1">
        <f t="array" ref="Y40">IFERROR(INDEX(CL[],MATCH(SMALL(IFERROR(IF(MATCH(IF(ISNUMBER(CL[]),CL[],""),CL[],0)=ROW(CL[])-9,COUNTIF(CL[],"&gt;"&amp;CL[])+1,""),""),ROW(A31)),IF(ISNUMBER(CL[]),COUNTIF(CL[],"&gt;"&amp;CL[])+1,""),0)),"")</f>
        <v/>
      </c>
      <c r="AB40" s="2" t="str" cm="1">
        <f t="array" ref="AB40">IFERROR(INDEX(MID(Designation[],SEARCH("-",Designation[])+1,LEN(Designation[])-SEARCH("-",Designation[])),MATCH(SMALL(IFERROR(IF(MATCH(IF(ISNUMBER(FIND(MJGES01_00028_2!$H$2,Designation[])),Designation[],""),Designation[],0)=ROW(Designation[])-9,COUNTIF(Designation[],"&lt;"&amp;Designation[])+1,""),""),ROW(A31)),IF(Designation[]&lt;&gt;"",COUNTIF(Designation[],"&lt;"&amp;Designation[])+1,""),0)),"")</f>
        <v/>
      </c>
      <c r="AG40" s="2" t="str" cm="1">
        <f t="array" ref="AG40">IFERROR(INDEX(CL[],SMALL(IFERROR(MATCH(IF(MID(Designation[],SEARCH("-",Designation[])+1,LEN(Designation[])-SEARCH("-",Designation[]))=MJGES01_00028_2!$I$2,CL[],""),CL[],0),""),ROW(A31))),"")</f>
        <v/>
      </c>
      <c r="AJ40" s="2" t="str" cm="1">
        <f t="array" ref="AJ40">IFERROR(INDEX(Designation[],SMALL(IFERROR(IF(MATCH(IF(Designation[]&lt;&gt;"",Designation[],""),Designation[],0)=ROW(Designation[])-9,ROW(Designation[])-9,""),""),ROW(A31))),"")</f>
        <v>COGN-Meukow Cognac Flavour. regular</v>
      </c>
      <c r="AK40" s="2" t="str">
        <f ca="1"/>
        <v>COGN-Meukow Cognac Flavour. regular</v>
      </c>
      <c r="AN40" s="2" t="str" cm="1">
        <f t="array" ref="AN40">IFERROR(INDEX(CL[],MATCH(SMALL(IFERROR(IF(MATCH(IF(ISNUMBER(CL[]),CL[],""),CL[],0)=ROW(CL[])-9,COUNTIF(CL[],"&gt;"&amp;CL[])+1,""),""),ROW(A31)),IF(ISNUMBER(CL[]),COUNTIF(CL[],"&gt;"&amp;CL[])+1,""),0)),"")</f>
        <v/>
      </c>
      <c r="AR40" s="2" t="str" cm="1">
        <f t="array" ref="AR40">IFERROR(INDEX(Designation[],MATCH(SMALL(IFERROR(IF(MATCH(IF(Designation[]&lt;&gt;"",Designation[],""),Designation[],0)=ROW(Designation[])-9,COUNTIF(Designation[],"&lt;"&amp;Designation[])+1,""),""),ROW(A31)),IF(Designation[]&lt;&gt;"",COUNTIF(Designation[],"&lt;"&amp;Designation[])+1),0)),"")</f>
        <v>JGR-Jägermeister</v>
      </c>
      <c r="AU40" s="2" t="str">
        <f ca="1"/>
        <v>JGR-Jägermeister</v>
      </c>
      <c r="BA40" s="2" t="str" cm="1">
        <f t="array" ref="BA40">IFERROR(INDEX(Designation[],SMALL(IFERROR(MATCH(IF(ISNUMBER(SEARCH($AZ$10,Designation[])),Designation[],""),Designation[],0),""),ROW(A31))),"")</f>
        <v/>
      </c>
      <c r="BD40" s="2" t="str" cm="1">
        <f t="array" ref="BD40">IFERROR(INDEX(Designation[],MATCH(SMALL(IFERROR(IF(MATCH(IF(ISNUMBER(SEARCH(MJGES01_00028_2!$H$2,Designation[])),Designation[],""),Designation[],0)=ROW(Designation[])-9,COUNTIF(Designation[],"&lt;"&amp;Designation[])+1,""),""),ROW(A31)),IF(Designation[]&lt;&gt;"",COUNTIF(Designation[],"&lt;"&amp;Designation[])+1),0)),"")</f>
        <v/>
      </c>
      <c r="BI40" s="2" t="e">
        <v>#N/A</v>
      </c>
      <c r="BJ40" s="2" t="e">
        <v>#N/A</v>
      </c>
      <c r="BK40" s="164">
        <v>12</v>
      </c>
      <c r="BL40" s="164"/>
      <c r="BM40" t="str" cm="1">
        <f t="array" ref="BM40">IFERROR(INDEX(CL[],MATCH(SMALL(IFERROR(IF(MATCH(IF(Designation[]=$BD$10,CL[],""),CL[],0)&lt;&gt;"",COUNTIF(CL[],"&gt;"&amp;CL[])+1,""),""),ROW(A31)),IF(CL[]&lt;&gt;"",COUNTIF(CL[],"&gt;"&amp;CL[])+1,"0"),0)),"")</f>
        <v/>
      </c>
    </row>
    <row r="41" spans="2:65" x14ac:dyDescent="0.25">
      <c r="B41" s="34">
        <v>3257150102017</v>
      </c>
      <c r="C41" s="164" t="s">
        <v>141</v>
      </c>
      <c r="E41" s="35"/>
      <c r="F41" s="36">
        <v>70</v>
      </c>
      <c r="G41" s="37">
        <v>20</v>
      </c>
      <c r="H41" s="37">
        <v>6</v>
      </c>
      <c r="I41" s="78">
        <v>13.55</v>
      </c>
      <c r="J41" s="79">
        <v>11.39</v>
      </c>
      <c r="K41" s="80"/>
      <c r="M41" s="41">
        <f t="shared" si="17"/>
        <v>2.5012259999999999</v>
      </c>
      <c r="N41" s="42">
        <f t="shared" si="18"/>
        <v>0.80309600000000003</v>
      </c>
      <c r="O41" s="43">
        <f t="shared" si="19"/>
        <v>14.694322</v>
      </c>
      <c r="P41" s="44">
        <f t="shared" ref="P41:P62" si="21">IF(OR(COUNT(O41)=0,COUNT(Q41)=0),0,O41+(O41*Q41))</f>
        <v>17.6331864</v>
      </c>
      <c r="Q41" s="33">
        <f t="shared" si="20"/>
        <v>0.2</v>
      </c>
      <c r="R41" s="33"/>
      <c r="S41" s="2" t="str">
        <f t="array" ref="S41">IFERROR(INDEX(Designation[],MATCH(0,IF(Designation[]&lt;&gt;"",COUNTIF($S$9:S40,Designation[])),0)),"")</f>
        <v>COGN-Meukow Cognac Flavour. Xo</v>
      </c>
      <c r="Y41" s="2" t="str" cm="1">
        <f t="array" ref="Y41">IFERROR(INDEX(CL[],MATCH(SMALL(IFERROR(IF(MATCH(IF(ISNUMBER(CL[]),CL[],""),CL[],0)=ROW(CL[])-9,COUNTIF(CL[],"&gt;"&amp;CL[])+1,""),""),ROW(A32)),IF(ISNUMBER(CL[]),COUNTIF(CL[],"&gt;"&amp;CL[])+1,""),0)),"")</f>
        <v/>
      </c>
      <c r="AB41" s="2" t="str" cm="1">
        <f t="array" ref="AB41">IFERROR(INDEX(MID(Designation[],SEARCH("-",Designation[])+1,LEN(Designation[])-SEARCH("-",Designation[])),MATCH(SMALL(IFERROR(IF(MATCH(IF(ISNUMBER(FIND(MJGES01_00028_2!$H$2,Designation[])),Designation[],""),Designation[],0)=ROW(Designation[])-9,COUNTIF(Designation[],"&lt;"&amp;Designation[])+1,""),""),ROW(A32)),IF(Designation[]&lt;&gt;"",COUNTIF(Designation[],"&lt;"&amp;Designation[])+1,""),0)),"")</f>
        <v/>
      </c>
      <c r="AG41" s="2" t="str" cm="1">
        <f t="array" ref="AG41">IFERROR(INDEX(CL[],SMALL(IFERROR(MATCH(IF(MID(Designation[],SEARCH("-",Designation[])+1,LEN(Designation[])-SEARCH("-",Designation[]))=MJGES01_00028_2!$I$2,CL[],""),CL[],0),""),ROW(A32))),"")</f>
        <v/>
      </c>
      <c r="AJ41" s="2" t="str" cm="1">
        <f t="array" ref="AJ41">IFERROR(INDEX(Designation[],SMALL(IFERROR(IF(MATCH(IF(Designation[]&lt;&gt;"",Designation[],""),Designation[],0)=ROW(Designation[])-9,ROW(Designation[])-9,""),""),ROW(A32))),"")</f>
        <v>COGN-Meukow Cognac Flavour. Xo</v>
      </c>
      <c r="AK41" s="2" t="str">
        <f ca="1"/>
        <v>COGN-Meukow Cognac Flavour. Xo</v>
      </c>
      <c r="AN41" s="2" t="str" cm="1">
        <f t="array" ref="AN41">IFERROR(INDEX(CL[],MATCH(SMALL(IFERROR(IF(MATCH(IF(ISNUMBER(CL[]),CL[],""),CL[],0)=ROW(CL[])-9,COUNTIF(CL[],"&gt;"&amp;CL[])+1,""),""),ROW(A32)),IF(ISNUMBER(CL[]),COUNTIF(CL[],"&gt;"&amp;CL[])+1,""),0)),"")</f>
        <v/>
      </c>
      <c r="AR41" s="2" t="str" cm="1">
        <f t="array" ref="AR41">IFERROR(INDEX(Designation[],MATCH(SMALL(IFERROR(IF(MATCH(IF(Designation[]&lt;&gt;"",Designation[],""),Designation[],0)=ROW(Designation[])-9,COUNTIF(Designation[],"&lt;"&amp;Designation[])+1,""),""),ROW(A32)),IF(Designation[]&lt;&gt;"",COUNTIF(Designation[],"&lt;"&amp;Designation[])+1),0)),"")</f>
        <v>JGR-Jägermeister distributeur miniatures</v>
      </c>
      <c r="AU41" s="2" t="str">
        <f ca="1"/>
        <v>JGR-Jägermeister distributeur miniatures</v>
      </c>
      <c r="BA41" s="2" t="str" cm="1">
        <f t="array" ref="BA41">IFERROR(INDEX(Designation[],SMALL(IFERROR(MATCH(IF(ISNUMBER(SEARCH($AZ$10,Designation[])),Designation[],""),Designation[],0),""),ROW(A32))),"")</f>
        <v/>
      </c>
      <c r="BD41" s="2" t="str" cm="1">
        <f t="array" ref="BD41">IFERROR(INDEX(Designation[],MATCH(SMALL(IFERROR(IF(MATCH(IF(ISNUMBER(SEARCH(MJGES01_00028_2!$H$2,Designation[])),Designation[],""),Designation[],0)=ROW(Designation[])-9,COUNTIF(Designation[],"&lt;"&amp;Designation[])+1,""),""),ROW(A32)),IF(Designation[]&lt;&gt;"",COUNTIF(Designation[],"&lt;"&amp;Designation[])+1),0)),"")</f>
        <v/>
      </c>
      <c r="BI41" s="2" t="e">
        <v>#N/A</v>
      </c>
      <c r="BJ41" s="2" t="e">
        <v>#N/A</v>
      </c>
      <c r="BK41" s="164">
        <v>12</v>
      </c>
      <c r="BL41" s="164"/>
      <c r="BM41" t="str" cm="1">
        <f t="array" ref="BM41">IFERROR(INDEX(CL[],MATCH(SMALL(IFERROR(IF(MATCH(IF(Designation[]=$BD$10,CL[],""),CL[],0)&lt;&gt;"",COUNTIF(CL[],"&gt;"&amp;CL[])+1,""),""),ROW(A32)),IF(CL[]&lt;&gt;"",COUNTIF(CL[],"&gt;"&amp;CL[])+1,"0"),0)),"")</f>
        <v/>
      </c>
    </row>
    <row r="42" spans="2:65" x14ac:dyDescent="0.25">
      <c r="B42" s="34">
        <v>3257150100228</v>
      </c>
      <c r="C42" s="164" t="s">
        <v>113</v>
      </c>
      <c r="E42" s="35"/>
      <c r="F42" s="36">
        <v>70</v>
      </c>
      <c r="G42" s="37">
        <v>40</v>
      </c>
      <c r="H42" s="37">
        <v>6</v>
      </c>
      <c r="I42" s="78">
        <v>14.88</v>
      </c>
      <c r="J42" s="79">
        <v>13.39</v>
      </c>
      <c r="K42" s="80">
        <v>12.4</v>
      </c>
      <c r="M42" s="41">
        <f t="shared" si="17"/>
        <v>5.0024519999999999</v>
      </c>
      <c r="N42" s="42">
        <f t="shared" si="18"/>
        <v>1.6061920000000001</v>
      </c>
      <c r="O42" s="43">
        <f t="shared" si="19"/>
        <v>19.998643999999999</v>
      </c>
      <c r="P42" s="44">
        <f t="shared" si="21"/>
        <v>23.998372799999999</v>
      </c>
      <c r="Q42" s="33">
        <f t="shared" si="20"/>
        <v>0.2</v>
      </c>
      <c r="R42" s="33"/>
      <c r="S42" s="2" t="str">
        <f t="array" ref="S42">IFERROR(INDEX(Designation[],MATCH(0,IF(Designation[]&lt;&gt;"",COUNTIF($S$9:S41,Designation[])),0)),"")</f>
        <v>LIQU-Seve Feu de Joie</v>
      </c>
      <c r="Y42" s="2" t="str" cm="1">
        <f t="array" ref="Y42">IFERROR(INDEX(CL[],MATCH(SMALL(IFERROR(IF(MATCH(IF(ISNUMBER(CL[]),CL[],""),CL[],0)=ROW(CL[])-9,COUNTIF(CL[],"&gt;"&amp;CL[])+1,""),""),ROW(A33)),IF(ISNUMBER(CL[]),COUNTIF(CL[],"&gt;"&amp;CL[])+1,""),0)),"")</f>
        <v/>
      </c>
      <c r="AB42" s="2" t="str" cm="1">
        <f t="array" ref="AB42">IFERROR(INDEX(MID(Designation[],SEARCH("-",Designation[])+1,LEN(Designation[])-SEARCH("-",Designation[])),MATCH(SMALL(IFERROR(IF(MATCH(IF(ISNUMBER(FIND(MJGES01_00028_2!$H$2,Designation[])),Designation[],""),Designation[],0)=ROW(Designation[])-9,COUNTIF(Designation[],"&lt;"&amp;Designation[])+1,""),""),ROW(A33)),IF(Designation[]&lt;&gt;"",COUNTIF(Designation[],"&lt;"&amp;Designation[])+1,""),0)),"")</f>
        <v/>
      </c>
      <c r="AG42" s="2" t="str" cm="1">
        <f t="array" ref="AG42">IFERROR(INDEX(CL[],SMALL(IFERROR(MATCH(IF(MID(Designation[],SEARCH("-",Designation[])+1,LEN(Designation[])-SEARCH("-",Designation[]))=MJGES01_00028_2!$I$2,CL[],""),CL[],0),""),ROW(A33))),"")</f>
        <v/>
      </c>
      <c r="AJ42" s="2" t="str" cm="1">
        <f t="array" ref="AJ42">IFERROR(INDEX(Designation[],SMALL(IFERROR(IF(MATCH(IF(Designation[]&lt;&gt;"",Designation[],""),Designation[],0)=ROW(Designation[])-9,ROW(Designation[])-9,""),""),ROW(A33))),"")</f>
        <v>LIQU-Seve Feu de Joie</v>
      </c>
      <c r="AK42" s="2" t="str">
        <f ca="1"/>
        <v>LIQU-Seve Feu de Joie</v>
      </c>
      <c r="AN42" s="2" t="str" cm="1">
        <f t="array" ref="AN42">IFERROR(INDEX(CL[],MATCH(SMALL(IFERROR(IF(MATCH(IF(ISNUMBER(CL[]),CL[],""),CL[],0)=ROW(CL[])-9,COUNTIF(CL[],"&gt;"&amp;CL[])+1,""),""),ROW(A33)),IF(ISNUMBER(CL[]),COUNTIF(CL[],"&gt;"&amp;CL[])+1,""),0)),"")</f>
        <v/>
      </c>
      <c r="AR42" s="2" t="str" cm="1">
        <f t="array" ref="AR42">IFERROR(INDEX(Designation[],MATCH(SMALL(IFERROR(IF(MATCH(IF(Designation[]&lt;&gt;"",Designation[],""),Designation[],0)=ROW(Designation[])-9,COUNTIF(Designation[],"&lt;"&amp;Designation[])+1,""),""),ROW(A33)),IF(Designation[]&lt;&gt;"",COUNTIF(Designation[],"&lt;"&amp;Designation[])+1),0)),"")</f>
        <v>JGR-Jägermeister Scharf</v>
      </c>
      <c r="AU42" s="2" t="str">
        <f ca="1"/>
        <v>JGR-Jägermeister Scharf</v>
      </c>
      <c r="BA42" s="2" t="str" cm="1">
        <f t="array" ref="BA42">IFERROR(INDEX(Designation[],SMALL(IFERROR(MATCH(IF(ISNUMBER(SEARCH($AZ$10,Designation[])),Designation[],""),Designation[],0),""),ROW(A33))),"")</f>
        <v/>
      </c>
      <c r="BD42" s="2" t="str" cm="1">
        <f t="array" ref="BD42">IFERROR(INDEX(Designation[],MATCH(SMALL(IFERROR(IF(MATCH(IF(ISNUMBER(SEARCH(MJGES01_00028_2!$H$2,Designation[])),Designation[],""),Designation[],0)=ROW(Designation[])-9,COUNTIF(Designation[],"&lt;"&amp;Designation[])+1,""),""),ROW(A33)),IF(Designation[]&lt;&gt;"",COUNTIF(Designation[],"&lt;"&amp;Designation[])+1),0)),"")</f>
        <v/>
      </c>
      <c r="BI42" s="2" t="e">
        <v>#N/A</v>
      </c>
      <c r="BJ42" s="2" t="e">
        <v>#N/A</v>
      </c>
      <c r="BK42" s="164">
        <v>12</v>
      </c>
      <c r="BL42" s="164"/>
      <c r="BM42" t="str" cm="1">
        <f t="array" ref="BM42">IFERROR(INDEX(CL[],MATCH(SMALL(IFERROR(IF(MATCH(IF(Designation[]=$BD$10,CL[],""),CL[],0)&lt;&gt;"",COUNTIF(CL[],"&gt;"&amp;CL[])+1,""),""),ROW(A33)),IF(CL[]&lt;&gt;"",COUNTIF(CL[],"&gt;"&amp;CL[])+1,"0"),0)),"")</f>
        <v/>
      </c>
    </row>
    <row r="43" spans="2:65" x14ac:dyDescent="0.25">
      <c r="B43" s="34">
        <v>3257150102130</v>
      </c>
      <c r="C43" s="164" t="s">
        <v>114</v>
      </c>
      <c r="E43" s="35"/>
      <c r="F43" s="36">
        <v>70</v>
      </c>
      <c r="G43" s="37">
        <v>40</v>
      </c>
      <c r="H43" s="37">
        <v>6</v>
      </c>
      <c r="I43" s="78">
        <v>24.09</v>
      </c>
      <c r="J43" s="79">
        <v>24.09</v>
      </c>
      <c r="K43" s="80"/>
      <c r="M43" s="41">
        <f t="shared" si="17"/>
        <v>5.0024519999999999</v>
      </c>
      <c r="N43" s="42">
        <f t="shared" si="18"/>
        <v>1.6061920000000001</v>
      </c>
      <c r="O43" s="43">
        <f t="shared" si="19"/>
        <v>30.698644000000002</v>
      </c>
      <c r="P43" s="44">
        <f t="shared" si="21"/>
        <v>36.838372800000002</v>
      </c>
      <c r="Q43" s="33">
        <f t="shared" si="20"/>
        <v>0.2</v>
      </c>
      <c r="R43" s="33"/>
      <c r="S43" s="2" t="str">
        <f t="array" ref="S43">IFERROR(INDEX(Designation[],MATCH(0,IF(Designation[]&lt;&gt;"",COUNTIF($S$9:S42,Designation[])),0)),"")</f>
        <v>GIN-Saar Dry Gin Ferdinand's</v>
      </c>
      <c r="Y43" s="2" t="str" cm="1">
        <f t="array" ref="Y43">IFERROR(INDEX(CL[],MATCH(SMALL(IFERROR(IF(MATCH(IF(ISNUMBER(CL[]),CL[],""),CL[],0)=ROW(CL[])-9,COUNTIF(CL[],"&gt;"&amp;CL[])+1,""),""),ROW(A34)),IF(ISNUMBER(CL[]),COUNTIF(CL[],"&gt;"&amp;CL[])+1,""),0)),"")</f>
        <v/>
      </c>
      <c r="AB43" s="2" t="str" cm="1">
        <f t="array" ref="AB43">IFERROR(INDEX(MID(Designation[],SEARCH("-",Designation[])+1,LEN(Designation[])-SEARCH("-",Designation[])),MATCH(SMALL(IFERROR(IF(MATCH(IF(ISNUMBER(FIND(MJGES01_00028_2!$H$2,Designation[])),Designation[],""),Designation[],0)=ROW(Designation[])-9,COUNTIF(Designation[],"&lt;"&amp;Designation[])+1,""),""),ROW(A34)),IF(Designation[]&lt;&gt;"",COUNTIF(Designation[],"&lt;"&amp;Designation[])+1,""),0)),"")</f>
        <v/>
      </c>
      <c r="AG43" s="2" t="str" cm="1">
        <f t="array" ref="AG43">IFERROR(INDEX(CL[],SMALL(IFERROR(MATCH(IF(MID(Designation[],SEARCH("-",Designation[])+1,LEN(Designation[])-SEARCH("-",Designation[]))=MJGES01_00028_2!$I$2,CL[],""),CL[],0),""),ROW(A34))),"")</f>
        <v/>
      </c>
      <c r="AJ43" s="2" t="str" cm="1">
        <f t="array" ref="AJ43">IFERROR(INDEX(Designation[],SMALL(IFERROR(IF(MATCH(IF(Designation[]&lt;&gt;"",Designation[],""),Designation[],0)=ROW(Designation[])-9,ROW(Designation[])-9,""),""),ROW(A34))),"")</f>
        <v>GIN-Saar Dry Gin Ferdinand's</v>
      </c>
      <c r="AK43" s="2" t="str">
        <f ca="1"/>
        <v>GIN-Saar Dry Gin Ferdinand's</v>
      </c>
      <c r="AN43" s="2" t="str" cm="1">
        <f t="array" ref="AN43">IFERROR(INDEX(CL[],MATCH(SMALL(IFERROR(IF(MATCH(IF(ISNUMBER(CL[]),CL[],""),CL[],0)=ROW(CL[])-9,COUNTIF(CL[],"&gt;"&amp;CL[])+1,""),""),ROW(A34)),IF(ISNUMBER(CL[]),COUNTIF(CL[],"&gt;"&amp;CL[])+1,""),0)),"")</f>
        <v/>
      </c>
      <c r="AR43" s="2" t="str" cm="1">
        <f t="array" ref="AR43">IFERROR(INDEX(Designation[],MATCH(SMALL(IFERROR(IF(MATCH(IF(Designation[]&lt;&gt;"",Designation[],""),Designation[],0)=ROW(Designation[])-9,COUNTIF(Designation[],"&lt;"&amp;Designation[])+1,""),""),ROW(A34)),IF(Designation[]&lt;&gt;"",COUNTIF(Designation[],"&lt;"&amp;Designation[])+1),0)),"")</f>
        <v xml:space="preserve">LIQU-Danzinger Goldwasser </v>
      </c>
      <c r="AU43" s="2" t="str">
        <f ca="1"/>
        <v xml:space="preserve">LIQU-Danzinger Goldwasser </v>
      </c>
      <c r="BA43" s="2" t="str" cm="1">
        <f t="array" ref="BA43">IFERROR(INDEX(Designation[],SMALL(IFERROR(MATCH(IF(ISNUMBER(SEARCH($AZ$10,Designation[])),Designation[],""),Designation[],0),""),ROW(A34))),"")</f>
        <v/>
      </c>
      <c r="BD43" s="2" t="str" cm="1">
        <f t="array" ref="BD43">IFERROR(INDEX(Designation[],MATCH(SMALL(IFERROR(IF(MATCH(IF(ISNUMBER(SEARCH(MJGES01_00028_2!$H$2,Designation[])),Designation[],""),Designation[],0)=ROW(Designation[])-9,COUNTIF(Designation[],"&lt;"&amp;Designation[])+1,""),""),ROW(A34)),IF(Designation[]&lt;&gt;"",COUNTIF(Designation[],"&lt;"&amp;Designation[])+1),0)),"")</f>
        <v/>
      </c>
      <c r="BI43" s="2" t="e">
        <v>#N/A</v>
      </c>
      <c r="BJ43" s="2" t="e">
        <v>#N/A</v>
      </c>
      <c r="BK43" s="164">
        <v>12</v>
      </c>
      <c r="BL43" s="164"/>
      <c r="BM43" t="str" cm="1">
        <f t="array" ref="BM43">IFERROR(INDEX(CL[],MATCH(SMALL(IFERROR(IF(MATCH(IF(Designation[]=$BD$10,CL[],""),CL[],0)&lt;&gt;"",COUNTIF(CL[],"&gt;"&amp;CL[])+1,""),""),ROW(A34)),IF(CL[]&lt;&gt;"",COUNTIF(CL[],"&gt;"&amp;CL[])+1,"0"),0)),"")</f>
        <v/>
      </c>
    </row>
    <row r="44" spans="2:65" x14ac:dyDescent="0.25">
      <c r="B44" s="34">
        <v>3257150100143</v>
      </c>
      <c r="C44" s="164" t="s">
        <v>113</v>
      </c>
      <c r="E44" s="35"/>
      <c r="F44" s="36">
        <v>35</v>
      </c>
      <c r="G44" s="37">
        <v>40</v>
      </c>
      <c r="H44" s="37">
        <v>12</v>
      </c>
      <c r="I44" s="78">
        <v>10.8</v>
      </c>
      <c r="J44" s="79">
        <v>9.7200000000000006</v>
      </c>
      <c r="K44" s="80"/>
      <c r="M44" s="41">
        <f t="shared" si="17"/>
        <v>2.5012259999999999</v>
      </c>
      <c r="N44" s="42">
        <f t="shared" si="18"/>
        <v>0.80309600000000003</v>
      </c>
      <c r="O44" s="43">
        <f t="shared" si="19"/>
        <v>13.024322000000002</v>
      </c>
      <c r="P44" s="44">
        <f t="shared" si="21"/>
        <v>15.629186400000002</v>
      </c>
      <c r="Q44" s="33">
        <f t="shared" si="20"/>
        <v>0.2</v>
      </c>
      <c r="R44" s="33"/>
      <c r="S44" s="2" t="str">
        <f t="array" ref="S44">IFERROR(INDEX(Designation[],MATCH(0,IF(Designation[]&lt;&gt;"",COUNTIF($S$9:S43,Designation[])),0)),"")</f>
        <v>GIN-Dry Gin Sul</v>
      </c>
      <c r="Y44" s="2" t="str" cm="1">
        <f t="array" ref="Y44">IFERROR(INDEX(CL[],MATCH(SMALL(IFERROR(IF(MATCH(IF(ISNUMBER(CL[]),CL[],""),CL[],0)=ROW(CL[])-9,COUNTIF(CL[],"&gt;"&amp;CL[])+1,""),""),ROW(A35)),IF(ISNUMBER(CL[]),COUNTIF(CL[],"&gt;"&amp;CL[])+1,""),0)),"")</f>
        <v/>
      </c>
      <c r="AB44" s="2" t="str" cm="1">
        <f t="array" ref="AB44">IFERROR(INDEX(MID(Designation[],SEARCH("-",Designation[])+1,LEN(Designation[])-SEARCH("-",Designation[])),MATCH(SMALL(IFERROR(IF(MATCH(IF(ISNUMBER(FIND(MJGES01_00028_2!$H$2,Designation[])),Designation[],""),Designation[],0)=ROW(Designation[])-9,COUNTIF(Designation[],"&lt;"&amp;Designation[])+1,""),""),ROW(A35)),IF(Designation[]&lt;&gt;"",COUNTIF(Designation[],"&lt;"&amp;Designation[])+1,""),0)),"")</f>
        <v/>
      </c>
      <c r="AG44" s="2" t="str" cm="1">
        <f t="array" ref="AG44">IFERROR(INDEX(CL[],SMALL(IFERROR(MATCH(IF(MID(Designation[],SEARCH("-",Designation[])+1,LEN(Designation[])-SEARCH("-",Designation[]))=MJGES01_00028_2!$I$2,CL[],""),CL[],0),""),ROW(A35))),"")</f>
        <v/>
      </c>
      <c r="AJ44" s="2" t="str" cm="1">
        <f t="array" ref="AJ44">IFERROR(INDEX(Designation[],SMALL(IFERROR(IF(MATCH(IF(Designation[]&lt;&gt;"",Designation[],""),Designation[],0)=ROW(Designation[])-9,ROW(Designation[])-9,""),""),ROW(A35))),"")</f>
        <v>GIN-Dry Gin Sul</v>
      </c>
      <c r="AK44" s="2" t="str">
        <f ca="1"/>
        <v>GIN-Dry Gin Sul</v>
      </c>
      <c r="AN44" s="2" t="str" cm="1">
        <f t="array" ref="AN44">IFERROR(INDEX(CL[],MATCH(SMALL(IFERROR(IF(MATCH(IF(ISNUMBER(CL[]),CL[],""),CL[],0)=ROW(CL[])-9,COUNTIF(CL[],"&gt;"&amp;CL[])+1,""),""),ROW(A35)),IF(ISNUMBER(CL[]),COUNTIF(CL[],"&gt;"&amp;CL[])+1,""),0)),"")</f>
        <v/>
      </c>
      <c r="AR44" s="2" t="str" cm="1">
        <f t="array" ref="AR44">IFERROR(INDEX(Designation[],MATCH(SMALL(IFERROR(IF(MATCH(IF(Designation[]&lt;&gt;"",Designation[],""),Designation[],0)=ROW(Designation[])-9,COUNTIF(Designation[],"&lt;"&amp;Designation[])+1,""),""),ROW(A35)),IF(Designation[]&lt;&gt;"",COUNTIF(Designation[],"&lt;"&amp;Designation[])+1),0)),"")</f>
        <v xml:space="preserve">LIQU-Limoncello di Capri </v>
      </c>
      <c r="AU44" s="2" t="str">
        <f ca="1"/>
        <v xml:space="preserve">LIQU-Limoncello di Capri </v>
      </c>
      <c r="BA44" s="2" t="str" cm="1">
        <f t="array" ref="BA44">IFERROR(INDEX(Designation[],SMALL(IFERROR(MATCH(IF(ISNUMBER(SEARCH($AZ$10,Designation[])),Designation[],""),Designation[],0),""),ROW(A35))),"")</f>
        <v/>
      </c>
      <c r="BD44" s="2" t="str" cm="1">
        <f t="array" ref="BD44">IFERROR(INDEX(Designation[],MATCH(SMALL(IFERROR(IF(MATCH(IF(ISNUMBER(SEARCH(MJGES01_00028_2!$H$2,Designation[])),Designation[],""),Designation[],0)=ROW(Designation[])-9,COUNTIF(Designation[],"&lt;"&amp;Designation[])+1,""),""),ROW(A35)),IF(Designation[]&lt;&gt;"",COUNTIF(Designation[],"&lt;"&amp;Designation[])+1),0)),"")</f>
        <v/>
      </c>
      <c r="BI44" s="2" t="e">
        <v>#N/A</v>
      </c>
      <c r="BJ44" s="2" t="e">
        <v>#N/A</v>
      </c>
      <c r="BK44" s="164">
        <v>48</v>
      </c>
      <c r="BL44" s="164"/>
      <c r="BM44" t="str" cm="1">
        <f t="array" ref="BM44">IFERROR(INDEX(CL[],MATCH(SMALL(IFERROR(IF(MATCH(IF(Designation[]=$BD$10,CL[],""),CL[],0)&lt;&gt;"",COUNTIF(CL[],"&gt;"&amp;CL[])+1,""),""),ROW(A35)),IF(CL[]&lt;&gt;"",COUNTIF(CL[],"&gt;"&amp;CL[])+1,"0"),0)),"")</f>
        <v/>
      </c>
    </row>
    <row r="45" spans="2:65" x14ac:dyDescent="0.25">
      <c r="B45" s="34">
        <v>3257150101485</v>
      </c>
      <c r="C45" s="164" t="s">
        <v>115</v>
      </c>
      <c r="E45" s="35"/>
      <c r="F45" s="36">
        <v>70</v>
      </c>
      <c r="G45" s="37">
        <v>45</v>
      </c>
      <c r="H45" s="37">
        <v>6</v>
      </c>
      <c r="I45" s="86">
        <v>19</v>
      </c>
      <c r="J45" s="79">
        <v>23.04</v>
      </c>
      <c r="K45" s="80"/>
      <c r="M45" s="41">
        <f t="shared" si="17"/>
        <v>5.6277584999999997</v>
      </c>
      <c r="N45" s="42">
        <f t="shared" si="18"/>
        <v>1.8069660000000001</v>
      </c>
      <c r="O45" s="43">
        <f t="shared" si="19"/>
        <v>30.474724499999997</v>
      </c>
      <c r="P45" s="44">
        <f t="shared" si="21"/>
        <v>36.569669399999995</v>
      </c>
      <c r="Q45" s="33">
        <f t="shared" si="20"/>
        <v>0.2</v>
      </c>
      <c r="R45" s="33"/>
      <c r="S45" s="2" t="str">
        <f t="array" ref="S45">IFERROR(INDEX(Designation[],MATCH(0,IF(Designation[]&lt;&gt;"",COUNTIF($S$9:S44,Designation[])),0)),"")</f>
        <v>GIN-Blossom Gran Reserva</v>
      </c>
      <c r="Y45" s="2" t="str" cm="1">
        <f t="array" ref="Y45">IFERROR(INDEX(CL[],MATCH(SMALL(IFERROR(IF(MATCH(IF(ISNUMBER(CL[]),CL[],""),CL[],0)=ROW(CL[])-9,COUNTIF(CL[],"&gt;"&amp;CL[])+1,""),""),ROW(A36)),IF(ISNUMBER(CL[]),COUNTIF(CL[],"&gt;"&amp;CL[])+1,""),0)),"")</f>
        <v/>
      </c>
      <c r="AB45" s="2" t="str" cm="1">
        <f t="array" ref="AB45">IFERROR(INDEX(MID(Designation[],SEARCH("-",Designation[])+1,LEN(Designation[])-SEARCH("-",Designation[])),MATCH(SMALL(IFERROR(IF(MATCH(IF(ISNUMBER(FIND(MJGES01_00028_2!$H$2,Designation[])),Designation[],""),Designation[],0)=ROW(Designation[])-9,COUNTIF(Designation[],"&lt;"&amp;Designation[])+1,""),""),ROW(A36)),IF(Designation[]&lt;&gt;"",COUNTIF(Designation[],"&lt;"&amp;Designation[])+1,""),0)),"")</f>
        <v/>
      </c>
      <c r="AG45" s="2" t="str" cm="1">
        <f t="array" ref="AG45">IFERROR(INDEX(CL[],SMALL(IFERROR(MATCH(IF(MID(Designation[],SEARCH("-",Designation[])+1,LEN(Designation[])-SEARCH("-",Designation[]))=MJGES01_00028_2!$I$2,CL[],""),CL[],0),""),ROW(A36))),"")</f>
        <v/>
      </c>
      <c r="AJ45" s="2" t="str" cm="1">
        <f t="array" ref="AJ45">IFERROR(INDEX(Designation[],SMALL(IFERROR(IF(MATCH(IF(Designation[]&lt;&gt;"",Designation[],""),Designation[],0)=ROW(Designation[])-9,ROW(Designation[])-9,""),""),ROW(A36))),"")</f>
        <v>GIN-Blossom Gran Reserva</v>
      </c>
      <c r="AK45" s="2" t="str">
        <f ca="1"/>
        <v>GIN-Blossom Gran Reserva</v>
      </c>
      <c r="AN45" s="2" t="str" cm="1">
        <f t="array" ref="AN45">IFERROR(INDEX(CL[],MATCH(SMALL(IFERROR(IF(MATCH(IF(ISNUMBER(CL[]),CL[],""),CL[],0)=ROW(CL[])-9,COUNTIF(CL[],"&gt;"&amp;CL[])+1,""),""),ROW(A36)),IF(ISNUMBER(CL[]),COUNTIF(CL[],"&gt;"&amp;CL[])+1,""),0)),"")</f>
        <v/>
      </c>
      <c r="AR45" s="2" t="str" cm="1">
        <f t="array" ref="AR45">IFERROR(INDEX(Designation[],MATCH(SMALL(IFERROR(IF(MATCH(IF(Designation[]&lt;&gt;"",Designation[],""),Designation[],0)=ROW(Designation[])-9,COUNTIF(Designation[],"&lt;"&amp;Designation[])+1,""),""),ROW(A36)),IF(Designation[]&lt;&gt;"",COUNTIF(Designation[],"&lt;"&amp;Designation[])+1),0)),"")</f>
        <v xml:space="preserve">LIQU-Sambuca Molinari Caffé </v>
      </c>
      <c r="AU45" s="2" t="str">
        <f ca="1"/>
        <v xml:space="preserve">LIQU-Sambuca Molinari Caffé </v>
      </c>
      <c r="BA45" s="2" t="str" cm="1">
        <f t="array" ref="BA45">IFERROR(INDEX(Designation[],SMALL(IFERROR(MATCH(IF(ISNUMBER(SEARCH($AZ$10,Designation[])),Designation[],""),Designation[],0),""),ROW(A36))),"")</f>
        <v/>
      </c>
      <c r="BD45" s="2" t="str" cm="1">
        <f t="array" ref="BD45">IFERROR(INDEX(Designation[],MATCH(SMALL(IFERROR(IF(MATCH(IF(ISNUMBER(SEARCH(MJGES01_00028_2!$H$2,Designation[])),Designation[],""),Designation[],0)=ROW(Designation[])-9,COUNTIF(Designation[],"&lt;"&amp;Designation[])+1,""),""),ROW(A36)),IF(Designation[]&lt;&gt;"",COUNTIF(Designation[],"&lt;"&amp;Designation[])+1),0)),"")</f>
        <v/>
      </c>
      <c r="BI45" s="2" t="e">
        <v>#N/A</v>
      </c>
      <c r="BJ45" s="2" t="e">
        <v>#N/A</v>
      </c>
      <c r="BK45" s="164">
        <v>12</v>
      </c>
      <c r="BL45" s="164"/>
      <c r="BM45" t="str" cm="1">
        <f t="array" ref="BM45">IFERROR(INDEX(CL[],MATCH(SMALL(IFERROR(IF(MATCH(IF(Designation[]=$BD$10,CL[],""),CL[],0)&lt;&gt;"",COUNTIF(CL[],"&gt;"&amp;CL[])+1,""),""),ROW(A36)),IF(CL[]&lt;&gt;"",COUNTIF(CL[],"&gt;"&amp;CL[])+1,"0"),0)),"")</f>
        <v/>
      </c>
    </row>
    <row r="46" spans="2:65" x14ac:dyDescent="0.25">
      <c r="B46" s="34">
        <v>3257150101485</v>
      </c>
      <c r="C46" s="164" t="s">
        <v>116</v>
      </c>
      <c r="E46" s="35"/>
      <c r="F46" s="36">
        <v>70</v>
      </c>
      <c r="G46" s="37">
        <v>45</v>
      </c>
      <c r="H46" s="37">
        <v>6</v>
      </c>
      <c r="I46" s="86">
        <v>25.9</v>
      </c>
      <c r="J46" s="79">
        <v>25.9</v>
      </c>
      <c r="K46" s="80"/>
      <c r="M46" s="41">
        <f t="shared" si="17"/>
        <v>5.6277584999999997</v>
      </c>
      <c r="N46" s="42">
        <f t="shared" si="18"/>
        <v>1.8069660000000001</v>
      </c>
      <c r="O46" s="43">
        <f t="shared" si="19"/>
        <v>33.3347245</v>
      </c>
      <c r="P46" s="44">
        <f t="shared" si="21"/>
        <v>40.001669399999997</v>
      </c>
      <c r="Q46" s="33">
        <f t="shared" si="20"/>
        <v>0.2</v>
      </c>
      <c r="R46" s="33"/>
      <c r="S46" s="2" t="str">
        <f t="array" ref="S46">IFERROR(INDEX(Designation[],MATCH(0,IF(Designation[]&lt;&gt;"",COUNTIF($S$9:S45,Designation[])),0)),"")</f>
        <v xml:space="preserve">GIN-Blossom London Dry Gin </v>
      </c>
      <c r="Y46" s="2" t="str" cm="1">
        <f t="array" ref="Y46">IFERROR(INDEX(CL[],MATCH(SMALL(IFERROR(IF(MATCH(IF(ISNUMBER(CL[]),CL[],""),CL[],0)=ROW(CL[])-9,COUNTIF(CL[],"&gt;"&amp;CL[])+1,""),""),ROW(A37)),IF(ISNUMBER(CL[]),COUNTIF(CL[],"&gt;"&amp;CL[])+1,""),0)),"")</f>
        <v/>
      </c>
      <c r="AB46" s="2" t="str" cm="1">
        <f t="array" ref="AB46">IFERROR(INDEX(MID(Designation[],SEARCH("-",Designation[])+1,LEN(Designation[])-SEARCH("-",Designation[])),MATCH(SMALL(IFERROR(IF(MATCH(IF(ISNUMBER(FIND(MJGES01_00028_2!$H$2,Designation[])),Designation[],""),Designation[],0)=ROW(Designation[])-9,COUNTIF(Designation[],"&lt;"&amp;Designation[])+1,""),""),ROW(A37)),IF(Designation[]&lt;&gt;"",COUNTIF(Designation[],"&lt;"&amp;Designation[])+1,""),0)),"")</f>
        <v/>
      </c>
      <c r="AG46" s="2" t="str" cm="1">
        <f t="array" ref="AG46">IFERROR(INDEX(CL[],SMALL(IFERROR(MATCH(IF(MID(Designation[],SEARCH("-",Designation[])+1,LEN(Designation[])-SEARCH("-",Designation[]))=MJGES01_00028_2!$I$2,CL[],""),CL[],0),""),ROW(A37))),"")</f>
        <v/>
      </c>
      <c r="AJ46" s="2" t="str" cm="1">
        <f t="array" ref="AJ46">IFERROR(INDEX(Designation[],SMALL(IFERROR(IF(MATCH(IF(Designation[]&lt;&gt;"",Designation[],""),Designation[],0)=ROW(Designation[])-9,ROW(Designation[])-9,""),""),ROW(A37))),"")</f>
        <v xml:space="preserve">GIN-Blossom London Dry Gin </v>
      </c>
      <c r="AK46" s="2" t="str">
        <f ca="1"/>
        <v xml:space="preserve">GIN-Blossom London Dry Gin </v>
      </c>
      <c r="AN46" s="2" t="str" cm="1">
        <f t="array" ref="AN46">IFERROR(INDEX(CL[],MATCH(SMALL(IFERROR(IF(MATCH(IF(ISNUMBER(CL[]),CL[],""),CL[],0)=ROW(CL[])-9,COUNTIF(CL[],"&gt;"&amp;CL[])+1,""),""),ROW(A37)),IF(ISNUMBER(CL[]),COUNTIF(CL[],"&gt;"&amp;CL[])+1,""),0)),"")</f>
        <v/>
      </c>
      <c r="AR46" s="2" t="str" cm="1">
        <f t="array" ref="AR46">IFERROR(INDEX(Designation[],MATCH(SMALL(IFERROR(IF(MATCH(IF(Designation[]&lt;&gt;"",Designation[],""),Designation[],0)=ROW(Designation[])-9,COUNTIF(Designation[],"&lt;"&amp;Designation[])+1,""),""),ROW(A37)),IF(Designation[]&lt;&gt;"",COUNTIF(Designation[],"&lt;"&amp;Designation[])+1),0)),"")</f>
        <v>LIQU-Sambuca Molinari Extra</v>
      </c>
      <c r="AU46" s="2" t="str">
        <f ca="1"/>
        <v>LIQU-Sambuca Molinari Extra</v>
      </c>
      <c r="BA46" s="2" t="str" cm="1">
        <f t="array" ref="BA46">IFERROR(INDEX(Designation[],SMALL(IFERROR(MATCH(IF(ISNUMBER(SEARCH($AZ$10,Designation[])),Designation[],""),Designation[],0),""),ROW(A37))),"")</f>
        <v/>
      </c>
      <c r="BD46" s="2" t="str" cm="1">
        <f t="array" ref="BD46">IFERROR(INDEX(Designation[],MATCH(SMALL(IFERROR(IF(MATCH(IF(ISNUMBER(SEARCH(MJGES01_00028_2!$H$2,Designation[])),Designation[],""),Designation[],0)=ROW(Designation[])-9,COUNTIF(Designation[],"&lt;"&amp;Designation[])+1,""),""),ROW(A37)),IF(Designation[]&lt;&gt;"",COUNTIF(Designation[],"&lt;"&amp;Designation[])+1),0)),"")</f>
        <v/>
      </c>
      <c r="BI46" s="2" t="e">
        <v>#N/A</v>
      </c>
      <c r="BJ46" s="2" t="e">
        <v>#N/A</v>
      </c>
      <c r="BK46" s="164">
        <v>12</v>
      </c>
      <c r="BL46" s="164"/>
      <c r="BM46" t="str" cm="1">
        <f t="array" ref="BM46">IFERROR(INDEX(CL[],MATCH(SMALL(IFERROR(IF(MATCH(IF(Designation[]=$BD$10,CL[],""),CL[],0)&lt;&gt;"",COUNTIF(CL[],"&gt;"&amp;CL[])+1,""),""),ROW(A37)),IF(CL[]&lt;&gt;"",COUNTIF(CL[],"&gt;"&amp;CL[])+1,"0"),0)),"")</f>
        <v/>
      </c>
    </row>
    <row r="47" spans="2:65" x14ac:dyDescent="0.25">
      <c r="B47" s="34">
        <v>3257150100167</v>
      </c>
      <c r="C47" s="164" t="s">
        <v>117</v>
      </c>
      <c r="E47" s="35"/>
      <c r="F47" s="36">
        <v>70</v>
      </c>
      <c r="G47" s="37">
        <v>40</v>
      </c>
      <c r="H47" s="37">
        <v>6</v>
      </c>
      <c r="I47" s="86">
        <v>23.34</v>
      </c>
      <c r="J47" s="79">
        <v>21.01</v>
      </c>
      <c r="K47" s="80"/>
      <c r="M47" s="41">
        <f t="shared" si="17"/>
        <v>5.0024519999999999</v>
      </c>
      <c r="N47" s="42">
        <f t="shared" si="18"/>
        <v>1.6061920000000001</v>
      </c>
      <c r="O47" s="43">
        <f t="shared" si="19"/>
        <v>27.618644000000003</v>
      </c>
      <c r="P47" s="44">
        <f t="shared" si="21"/>
        <v>33.142372800000004</v>
      </c>
      <c r="Q47" s="33">
        <f t="shared" si="20"/>
        <v>0.2</v>
      </c>
      <c r="R47" s="33"/>
      <c r="S47" s="2" t="str">
        <f t="array" ref="S47">IFERROR(INDEX(Designation[],MATCH(0,IF(Designation[]&lt;&gt;"",COUNTIF($S$9:S46,Designation[])),0)),"")</f>
        <v>GIN-Blossom Peach</v>
      </c>
      <c r="Y47" s="2" t="str" cm="1">
        <f t="array" ref="Y47">IFERROR(INDEX(CL[],MATCH(SMALL(IFERROR(IF(MATCH(IF(ISNUMBER(CL[]),CL[],""),CL[],0)=ROW(CL[])-9,COUNTIF(CL[],"&gt;"&amp;CL[])+1,""),""),ROW(A38)),IF(ISNUMBER(CL[]),COUNTIF(CL[],"&gt;"&amp;CL[])+1,""),0)),"")</f>
        <v/>
      </c>
      <c r="AB47" s="2" t="str" cm="1">
        <f t="array" ref="AB47">IFERROR(INDEX(MID(Designation[],SEARCH("-",Designation[])+1,LEN(Designation[])-SEARCH("-",Designation[])),MATCH(SMALL(IFERROR(IF(MATCH(IF(ISNUMBER(FIND(MJGES01_00028_2!$H$2,Designation[])),Designation[],""),Designation[],0)=ROW(Designation[])-9,COUNTIF(Designation[],"&lt;"&amp;Designation[])+1,""),""),ROW(A38)),IF(Designation[]&lt;&gt;"",COUNTIF(Designation[],"&lt;"&amp;Designation[])+1,""),0)),"")</f>
        <v/>
      </c>
      <c r="AG47" s="2" t="str" cm="1">
        <f t="array" ref="AG47">IFERROR(INDEX(CL[],SMALL(IFERROR(MATCH(IF(MID(Designation[],SEARCH("-",Designation[])+1,LEN(Designation[])-SEARCH("-",Designation[]))=MJGES01_00028_2!$I$2,CL[],""),CL[],0),""),ROW(A38))),"")</f>
        <v/>
      </c>
      <c r="AJ47" s="2" t="str" cm="1">
        <f t="array" ref="AJ47">IFERROR(INDEX(Designation[],SMALL(IFERROR(IF(MATCH(IF(Designation[]&lt;&gt;"",Designation[],""),Designation[],0)=ROW(Designation[])-9,ROW(Designation[])-9,""),""),ROW(A38))),"")</f>
        <v>GIN-Blossom Peach</v>
      </c>
      <c r="AK47" s="2" t="str">
        <f ca="1"/>
        <v>GIN-Blossom Peach</v>
      </c>
      <c r="AN47" s="2" t="str" cm="1">
        <f t="array" ref="AN47">IFERROR(INDEX(CL[],MATCH(SMALL(IFERROR(IF(MATCH(IF(ISNUMBER(CL[]),CL[],""),CL[],0)=ROW(CL[])-9,COUNTIF(CL[],"&gt;"&amp;CL[])+1,""),""),ROW(A38)),IF(ISNUMBER(CL[]),COUNTIF(CL[],"&gt;"&amp;CL[])+1,""),0)),"")</f>
        <v/>
      </c>
      <c r="AR47" s="2" t="str" cm="1">
        <f t="array" ref="AR47">IFERROR(INDEX(Designation[],MATCH(SMALL(IFERROR(IF(MATCH(IF(Designation[]&lt;&gt;"",Designation[],""),Designation[],0)=ROW(Designation[])-9,COUNTIF(Designation[],"&lt;"&amp;Designation[])+1,""),""),ROW(A38)),IF(Designation[]&lt;&gt;"",COUNTIF(Designation[],"&lt;"&amp;Designation[])+1),0)),"")</f>
        <v>LIQU-Seve Feu de Joie</v>
      </c>
      <c r="AU47" s="2" t="str">
        <f ca="1"/>
        <v>LIQU-Seve Feu de Joie</v>
      </c>
      <c r="BA47" s="2" t="str" cm="1">
        <f t="array" ref="BA47">IFERROR(INDEX(Designation[],SMALL(IFERROR(MATCH(IF(ISNUMBER(SEARCH($AZ$10,Designation[])),Designation[],""),Designation[],0),""),ROW(A38))),"")</f>
        <v/>
      </c>
      <c r="BD47" s="2" t="str" cm="1">
        <f t="array" ref="BD47">IFERROR(INDEX(Designation[],MATCH(SMALL(IFERROR(IF(MATCH(IF(ISNUMBER(SEARCH(MJGES01_00028_2!$H$2,Designation[])),Designation[],""),Designation[],0)=ROW(Designation[])-9,COUNTIF(Designation[],"&lt;"&amp;Designation[])+1,""),""),ROW(A38)),IF(Designation[]&lt;&gt;"",COUNTIF(Designation[],"&lt;"&amp;Designation[])+1),0)),"")</f>
        <v/>
      </c>
      <c r="BI47" s="2" t="e">
        <v>#N/A</v>
      </c>
      <c r="BJ47" s="2" t="e">
        <v>#N/A</v>
      </c>
      <c r="BK47" s="164">
        <v>12</v>
      </c>
      <c r="BL47" s="164"/>
      <c r="BM47" t="str" cm="1">
        <f t="array" ref="BM47">IFERROR(INDEX(CL[],MATCH(SMALL(IFERROR(IF(MATCH(IF(Designation[]=$BD$10,CL[],""),CL[],0)&lt;&gt;"",COUNTIF(CL[],"&gt;"&amp;CL[])+1,""),""),ROW(A38)),IF(CL[]&lt;&gt;"",COUNTIF(CL[],"&gt;"&amp;CL[])+1,"0"),0)),"")</f>
        <v/>
      </c>
    </row>
    <row r="48" spans="2:65" x14ac:dyDescent="0.25">
      <c r="B48" s="34">
        <v>3257150100419</v>
      </c>
      <c r="C48" s="164" t="s">
        <v>118</v>
      </c>
      <c r="E48" s="35"/>
      <c r="F48" s="36">
        <v>70</v>
      </c>
      <c r="G48" s="37">
        <v>40</v>
      </c>
      <c r="H48" s="37">
        <v>6</v>
      </c>
      <c r="I48" s="86">
        <v>25.9</v>
      </c>
      <c r="J48" s="79">
        <v>25.9</v>
      </c>
      <c r="K48" s="80"/>
      <c r="M48" s="41">
        <f t="shared" si="17"/>
        <v>5.0024519999999999</v>
      </c>
      <c r="N48" s="42">
        <f t="shared" si="18"/>
        <v>1.6061920000000001</v>
      </c>
      <c r="O48" s="43">
        <f t="shared" si="19"/>
        <v>32.508643999999997</v>
      </c>
      <c r="P48" s="44">
        <f t="shared" si="21"/>
        <v>39.010372799999999</v>
      </c>
      <c r="Q48" s="33">
        <f t="shared" si="20"/>
        <v>0.2</v>
      </c>
      <c r="R48" s="33"/>
      <c r="S48" s="2" t="str">
        <f t="array" ref="S48">IFERROR(INDEX(Designation[],MATCH(0,IF(Designation[]&lt;&gt;"",COUNTIF($S$9:S47,Designation[])),0)),"")</f>
        <v>MEZC-San Cosme</v>
      </c>
      <c r="Y48" s="2" t="str" cm="1">
        <f t="array" ref="Y48">IFERROR(INDEX(CL[],MATCH(SMALL(IFERROR(IF(MATCH(IF(ISNUMBER(CL[]),CL[],""),CL[],0)=ROW(CL[])-9,COUNTIF(CL[],"&gt;"&amp;CL[])+1,""),""),ROW(A39)),IF(ISNUMBER(CL[]),COUNTIF(CL[],"&gt;"&amp;CL[])+1,""),0)),"")</f>
        <v/>
      </c>
      <c r="AB48" s="2" t="str" cm="1">
        <f t="array" ref="AB48">IFERROR(INDEX(MID(Designation[],SEARCH("-",Designation[])+1,LEN(Designation[])-SEARCH("-",Designation[])),MATCH(SMALL(IFERROR(IF(MATCH(IF(ISNUMBER(FIND(MJGES01_00028_2!$H$2,Designation[])),Designation[],""),Designation[],0)=ROW(Designation[])-9,COUNTIF(Designation[],"&lt;"&amp;Designation[])+1,""),""),ROW(A39)),IF(Designation[]&lt;&gt;"",COUNTIF(Designation[],"&lt;"&amp;Designation[])+1,""),0)),"")</f>
        <v/>
      </c>
      <c r="AG48" s="2" t="str" cm="1">
        <f t="array" ref="AG48">IFERROR(INDEX(CL[],SMALL(IFERROR(MATCH(IF(MID(Designation[],SEARCH("-",Designation[])+1,LEN(Designation[])-SEARCH("-",Designation[]))=MJGES01_00028_2!$I$2,CL[],""),CL[],0),""),ROW(A39))),"")</f>
        <v/>
      </c>
      <c r="AJ48" s="2" t="str" cm="1">
        <f t="array" ref="AJ48">IFERROR(INDEX(Designation[],SMALL(IFERROR(IF(MATCH(IF(Designation[]&lt;&gt;"",Designation[],""),Designation[],0)=ROW(Designation[])-9,ROW(Designation[])-9,""),""),ROW(A39))),"")</f>
        <v>MEZC-San Cosme</v>
      </c>
      <c r="AK48" s="2" t="str">
        <f ca="1"/>
        <v>MEZC-San Cosme</v>
      </c>
      <c r="AN48" s="2" t="str" cm="1">
        <f t="array" ref="AN48">IFERROR(INDEX(CL[],MATCH(SMALL(IFERROR(IF(MATCH(IF(ISNUMBER(CL[]),CL[],""),CL[],0)=ROW(CL[])-9,COUNTIF(CL[],"&gt;"&amp;CL[])+1,""),""),ROW(A39)),IF(ISNUMBER(CL[]),COUNTIF(CL[],"&gt;"&amp;CL[])+1,""),0)),"")</f>
        <v/>
      </c>
      <c r="AR48" s="2" t="str" cm="1">
        <f t="array" ref="AR48">IFERROR(INDEX(Designation[],MATCH(SMALL(IFERROR(IF(MATCH(IF(Designation[]&lt;&gt;"",Designation[],""),Designation[],0)=ROW(Designation[])-9,COUNTIF(Designation[],"&lt;"&amp;Designation[])+1,""),""),ROW(A39)),IF(Designation[]&lt;&gt;"",COUNTIF(Designation[],"&lt;"&amp;Designation[])+1),0)),"")</f>
        <v>MEZC-Nuestra Soledad</v>
      </c>
      <c r="AU48" s="2" t="str">
        <f ca="1"/>
        <v>MEZC-Nuestra Soledad</v>
      </c>
      <c r="BA48" s="2" t="str" cm="1">
        <f t="array" ref="BA48">IFERROR(INDEX(Designation[],SMALL(IFERROR(MATCH(IF(ISNUMBER(SEARCH($AZ$10,Designation[])),Designation[],""),Designation[],0),""),ROW(A39))),"")</f>
        <v/>
      </c>
      <c r="BD48" s="2" t="str" cm="1">
        <f t="array" ref="BD48">IFERROR(INDEX(Designation[],MATCH(SMALL(IFERROR(IF(MATCH(IF(ISNUMBER(SEARCH(MJGES01_00028_2!$H$2,Designation[])),Designation[],""),Designation[],0)=ROW(Designation[])-9,COUNTIF(Designation[],"&lt;"&amp;Designation[])+1,""),""),ROW(A39)),IF(Designation[]&lt;&gt;"",COUNTIF(Designation[],"&lt;"&amp;Designation[])+1),0)),"")</f>
        <v/>
      </c>
      <c r="BI48" s="2" t="e">
        <v>#N/A</v>
      </c>
      <c r="BJ48" s="2" t="e">
        <v>#N/A</v>
      </c>
      <c r="BK48" s="164">
        <v>12</v>
      </c>
      <c r="BL48" s="164"/>
      <c r="BM48" t="str" cm="1">
        <f t="array" ref="BM48">IFERROR(INDEX(CL[],MATCH(SMALL(IFERROR(IF(MATCH(IF(Designation[]=$BD$10,CL[],""),CL[],0)&lt;&gt;"",COUNTIF(CL[],"&gt;"&amp;CL[])+1,""),""),ROW(A39)),IF(CL[]&lt;&gt;"",COUNTIF(CL[],"&gt;"&amp;CL[])+1,"0"),0)),"")</f>
        <v/>
      </c>
    </row>
    <row r="49" spans="2:65" x14ac:dyDescent="0.25">
      <c r="B49" s="34">
        <v>3257150100341</v>
      </c>
      <c r="C49" s="164" t="s">
        <v>119</v>
      </c>
      <c r="E49" s="35"/>
      <c r="F49" s="36">
        <v>70</v>
      </c>
      <c r="G49" s="37">
        <v>40</v>
      </c>
      <c r="H49" s="37">
        <v>6</v>
      </c>
      <c r="I49" s="86">
        <v>34.130000000000003</v>
      </c>
      <c r="J49" s="79">
        <v>34.130000000000003</v>
      </c>
      <c r="K49" s="80"/>
      <c r="M49" s="41">
        <f t="shared" si="17"/>
        <v>5.0024519999999999</v>
      </c>
      <c r="N49" s="42">
        <f t="shared" si="18"/>
        <v>1.6061920000000001</v>
      </c>
      <c r="O49" s="43">
        <f t="shared" si="19"/>
        <v>40.738644000000001</v>
      </c>
      <c r="P49" s="44">
        <f t="shared" si="21"/>
        <v>48.886372800000004</v>
      </c>
      <c r="Q49" s="33">
        <f t="shared" si="20"/>
        <v>0.2</v>
      </c>
      <c r="R49" s="33"/>
      <c r="S49" s="2" t="str">
        <f t="array" ref="S49">IFERROR(INDEX(Designation[],MATCH(0,IF(Designation[]&lt;&gt;"",COUNTIF($S$9:S48,Designation[])),0)),"")</f>
        <v>MEZC-Nuestra Soledad</v>
      </c>
      <c r="Y49" s="2" t="str" cm="1">
        <f t="array" ref="Y49">IFERROR(INDEX(CL[],MATCH(SMALL(IFERROR(IF(MATCH(IF(ISNUMBER(CL[]),CL[],""),CL[],0)=ROW(CL[])-9,COUNTIF(CL[],"&gt;"&amp;CL[])+1,""),""),ROW(A40)),IF(ISNUMBER(CL[]),COUNTIF(CL[],"&gt;"&amp;CL[])+1,""),0)),"")</f>
        <v/>
      </c>
      <c r="AB49" s="2" t="str" cm="1">
        <f t="array" ref="AB49">IFERROR(INDEX(MID(Designation[],SEARCH("-",Designation[])+1,LEN(Designation[])-SEARCH("-",Designation[])),MATCH(SMALL(IFERROR(IF(MATCH(IF(ISNUMBER(FIND(MJGES01_00028_2!$H$2,Designation[])),Designation[],""),Designation[],0)=ROW(Designation[])-9,COUNTIF(Designation[],"&lt;"&amp;Designation[])+1,""),""),ROW(A40)),IF(Designation[]&lt;&gt;"",COUNTIF(Designation[],"&lt;"&amp;Designation[])+1,""),0)),"")</f>
        <v/>
      </c>
      <c r="AG49" s="2" t="str" cm="1">
        <f t="array" ref="AG49">IFERROR(INDEX(CL[],SMALL(IFERROR(MATCH(IF(MID(Designation[],SEARCH("-",Designation[])+1,LEN(Designation[])-SEARCH("-",Designation[]))=MJGES01_00028_2!$I$2,CL[],""),CL[],0),""),ROW(A40))),"")</f>
        <v/>
      </c>
      <c r="AJ49" s="2" t="str" cm="1">
        <f t="array" ref="AJ49">IFERROR(INDEX(Designation[],SMALL(IFERROR(IF(MATCH(IF(Designation[]&lt;&gt;"",Designation[],""),Designation[],0)=ROW(Designation[])-9,ROW(Designation[])-9,""),""),ROW(A40))),"")</f>
        <v>MEZC-Nuestra Soledad</v>
      </c>
      <c r="AK49" s="2" t="str">
        <f ca="1"/>
        <v>MEZC-Nuestra Soledad</v>
      </c>
      <c r="AN49" s="2" t="str" cm="1">
        <f t="array" ref="AN49">IFERROR(INDEX(CL[],MATCH(SMALL(IFERROR(IF(MATCH(IF(ISNUMBER(CL[]),CL[],""),CL[],0)=ROW(CL[])-9,COUNTIF(CL[],"&gt;"&amp;CL[])+1,""),""),ROW(A40)),IF(ISNUMBER(CL[]),COUNTIF(CL[],"&gt;"&amp;CL[])+1,""),0)),"")</f>
        <v/>
      </c>
      <c r="AR49" s="2" t="str" cm="1">
        <f t="array" ref="AR49">IFERROR(INDEX(Designation[],MATCH(SMALL(IFERROR(IF(MATCH(IF(Designation[]&lt;&gt;"",Designation[],""),Designation[],0)=ROW(Designation[])-9,COUNTIF(Designation[],"&lt;"&amp;Designation[])+1,""),""),ROW(A40)),IF(Designation[]&lt;&gt;"",COUNTIF(Designation[],"&lt;"&amp;Designation[])+1),0)),"")</f>
        <v>MEZC-San Cosme</v>
      </c>
      <c r="AU49" s="2" t="str">
        <f ca="1"/>
        <v>MEZC-San Cosme</v>
      </c>
      <c r="BA49" s="2" t="str" cm="1">
        <f t="array" ref="BA49">IFERROR(INDEX(Designation[],SMALL(IFERROR(MATCH(IF(ISNUMBER(SEARCH($AZ$10,Designation[])),Designation[],""),Designation[],0),""),ROW(A40))),"")</f>
        <v/>
      </c>
      <c r="BD49" s="2" t="str" cm="1">
        <f t="array" ref="BD49">IFERROR(INDEX(Designation[],MATCH(SMALL(IFERROR(IF(MATCH(IF(ISNUMBER(SEARCH(MJGES01_00028_2!$H$2,Designation[])),Designation[],""),Designation[],0)=ROW(Designation[])-9,COUNTIF(Designation[],"&lt;"&amp;Designation[])+1,""),""),ROW(A40)),IF(Designation[]&lt;&gt;"",COUNTIF(Designation[],"&lt;"&amp;Designation[])+1),0)),"")</f>
        <v/>
      </c>
      <c r="BI49" s="2" t="e">
        <v>#N/A</v>
      </c>
      <c r="BJ49" s="2" t="e">
        <v>#N/A</v>
      </c>
      <c r="BK49" s="164">
        <v>12</v>
      </c>
      <c r="BL49" s="164"/>
      <c r="BM49" t="str" cm="1">
        <f t="array" ref="BM49">IFERROR(INDEX(CL[],MATCH(SMALL(IFERROR(IF(MATCH(IF(Designation[]=$BD$10,CL[],""),CL[],0)&lt;&gt;"",COUNTIF(CL[],"&gt;"&amp;CL[])+1,""),""),ROW(A40)),IF(CL[]&lt;&gt;"",COUNTIF(CL[],"&gt;"&amp;CL[])+1,"0"),0)),"")</f>
        <v/>
      </c>
    </row>
    <row r="50" spans="2:65" x14ac:dyDescent="0.25">
      <c r="B50" s="34">
        <v>3257150107012</v>
      </c>
      <c r="C50" s="164" t="s">
        <v>120</v>
      </c>
      <c r="E50" s="35"/>
      <c r="F50" s="36">
        <v>70</v>
      </c>
      <c r="G50" s="37">
        <v>40</v>
      </c>
      <c r="H50" s="37">
        <v>6</v>
      </c>
      <c r="I50" s="86">
        <v>25.8</v>
      </c>
      <c r="J50" s="79">
        <v>23.22</v>
      </c>
      <c r="K50" s="80">
        <v>18</v>
      </c>
      <c r="M50" s="41">
        <f t="shared" si="17"/>
        <v>5.0024519999999999</v>
      </c>
      <c r="N50" s="42">
        <f t="shared" si="18"/>
        <v>1.6061920000000001</v>
      </c>
      <c r="O50" s="43">
        <f t="shared" si="19"/>
        <v>29.828643999999997</v>
      </c>
      <c r="P50" s="44">
        <f t="shared" si="21"/>
        <v>35.794372799999998</v>
      </c>
      <c r="Q50" s="33">
        <f t="shared" si="20"/>
        <v>0.2</v>
      </c>
      <c r="R50" s="33"/>
      <c r="S50" s="2" t="str">
        <f t="array" ref="S50">IFERROR(INDEX(Designation[],MATCH(0,IF(Designation[]&lt;&gt;"",COUNTIF($S$9:S49,Designation[])),0)),"")</f>
        <v>VODK-Imperial collection Gold</v>
      </c>
      <c r="Y50" s="2" t="str" cm="1">
        <f t="array" ref="Y50">IFERROR(INDEX(CL[],MATCH(SMALL(IFERROR(IF(MATCH(IF(ISNUMBER(CL[]),CL[],""),CL[],0)=ROW(CL[])-9,COUNTIF(CL[],"&gt;"&amp;CL[])+1,""),""),ROW(A41)),IF(ISNUMBER(CL[]),COUNTIF(CL[],"&gt;"&amp;CL[])+1,""),0)),"")</f>
        <v/>
      </c>
      <c r="AB50" s="2" t="str" cm="1">
        <f t="array" ref="AB50">IFERROR(INDEX(MID(Designation[],SEARCH("-",Designation[])+1,LEN(Designation[])-SEARCH("-",Designation[])),MATCH(SMALL(IFERROR(IF(MATCH(IF(ISNUMBER(FIND(MJGES01_00028_2!$H$2,Designation[])),Designation[],""),Designation[],0)=ROW(Designation[])-9,COUNTIF(Designation[],"&lt;"&amp;Designation[])+1,""),""),ROW(A41)),IF(Designation[]&lt;&gt;"",COUNTIF(Designation[],"&lt;"&amp;Designation[])+1,""),0)),"")</f>
        <v/>
      </c>
      <c r="AG50" s="2" t="str" cm="1">
        <f t="array" ref="AG50">IFERROR(INDEX(CL[],SMALL(IFERROR(MATCH(IF(MID(Designation[],SEARCH("-",Designation[])+1,LEN(Designation[])-SEARCH("-",Designation[]))=MJGES01_00028_2!$I$2,CL[],""),CL[],0),""),ROW(A41))),"")</f>
        <v/>
      </c>
      <c r="AJ50" s="2" t="str" cm="1">
        <f t="array" ref="AJ50">IFERROR(INDEX(Designation[],SMALL(IFERROR(IF(MATCH(IF(Designation[]&lt;&gt;"",Designation[],""),Designation[],0)=ROW(Designation[])-9,ROW(Designation[])-9,""),""),ROW(A41))),"")</f>
        <v>VODK-Imperial collection Gold</v>
      </c>
      <c r="AK50" s="2" t="str">
        <f ca="1"/>
        <v>VODK-Imperial collection Gold</v>
      </c>
      <c r="AN50" s="2" t="str" cm="1">
        <f t="array" ref="AN50">IFERROR(INDEX(CL[],MATCH(SMALL(IFERROR(IF(MATCH(IF(ISNUMBER(CL[]),CL[],""),CL[],0)=ROW(CL[])-9,COUNTIF(CL[],"&gt;"&amp;CL[])+1,""),""),ROW(A41)),IF(ISNUMBER(CL[]),COUNTIF(CL[],"&gt;"&amp;CL[])+1,""),0)),"")</f>
        <v/>
      </c>
      <c r="AR50" s="2" t="str" cm="1">
        <f t="array" ref="AR50">IFERROR(INDEX(Designation[],MATCH(SMALL(IFERROR(IF(MATCH(IF(Designation[]&lt;&gt;"",Designation[],""),Designation[],0)=ROW(Designation[])-9,COUNTIF(Designation[],"&lt;"&amp;Designation[])+1,""),""),ROW(A41)),IF(Designation[]&lt;&gt;"",COUNTIF(Designation[],"&lt;"&amp;Designation[])+1),0)),"")</f>
        <v>RHUM-Santiago de Cuba Anejo</v>
      </c>
      <c r="AU50" s="2" t="str">
        <f ca="1"/>
        <v>RHUM-Santiago de Cuba Anejo</v>
      </c>
      <c r="BA50" s="2" t="str" cm="1">
        <f t="array" ref="BA50">IFERROR(INDEX(Designation[],SMALL(IFERROR(MATCH(IF(ISNUMBER(SEARCH($AZ$10,Designation[])),Designation[],""),Designation[],0),""),ROW(A41))),"")</f>
        <v/>
      </c>
      <c r="BD50" s="2" t="str" cm="1">
        <f t="array" ref="BD50">IFERROR(INDEX(Designation[],MATCH(SMALL(IFERROR(IF(MATCH(IF(ISNUMBER(SEARCH(MJGES01_00028_2!$H$2,Designation[])),Designation[],""),Designation[],0)=ROW(Designation[])-9,COUNTIF(Designation[],"&lt;"&amp;Designation[])+1,""),""),ROW(A41)),IF(Designation[]&lt;&gt;"",COUNTIF(Designation[],"&lt;"&amp;Designation[])+1),0)),"")</f>
        <v/>
      </c>
      <c r="BI50" s="2" t="e">
        <v>#N/A</v>
      </c>
      <c r="BJ50" s="2" t="e">
        <v>#N/A</v>
      </c>
      <c r="BK50" s="164">
        <v>12</v>
      </c>
      <c r="BL50" s="164"/>
      <c r="BM50" t="str" cm="1">
        <f t="array" ref="BM50">IFERROR(INDEX(CL[],MATCH(SMALL(IFERROR(IF(MATCH(IF(Designation[]=$BD$10,CL[],""),CL[],0)&lt;&gt;"",COUNTIF(CL[],"&gt;"&amp;CL[])+1,""),""),ROW(A41)),IF(CL[]&lt;&gt;"",COUNTIF(CL[],"&gt;"&amp;CL[])+1,"0"),0)),"")</f>
        <v/>
      </c>
    </row>
    <row r="51" spans="2:65" x14ac:dyDescent="0.25">
      <c r="B51" s="34">
        <v>3257150101249</v>
      </c>
      <c r="C51" s="164" t="s">
        <v>122</v>
      </c>
      <c r="E51" s="35"/>
      <c r="F51" s="36">
        <v>70</v>
      </c>
      <c r="G51" s="37">
        <v>40</v>
      </c>
      <c r="H51" s="37">
        <v>12</v>
      </c>
      <c r="I51" s="86">
        <v>25.8</v>
      </c>
      <c r="J51" s="79">
        <v>23.22</v>
      </c>
      <c r="K51" s="80"/>
      <c r="M51" s="41">
        <f t="shared" si="17"/>
        <v>5.0024519999999999</v>
      </c>
      <c r="N51" s="42">
        <f t="shared" si="18"/>
        <v>1.6061920000000001</v>
      </c>
      <c r="O51" s="43">
        <f t="shared" si="19"/>
        <v>29.828643999999997</v>
      </c>
      <c r="P51" s="44">
        <f t="shared" si="21"/>
        <v>35.794372799999998</v>
      </c>
      <c r="Q51" s="33">
        <f t="shared" si="20"/>
        <v>0.2</v>
      </c>
      <c r="R51" s="33"/>
      <c r="S51" s="2" t="str">
        <f t="array" ref="S51">IFERROR(INDEX(Designation[],MATCH(0,IF(Designation[]&lt;&gt;"",COUNTIF($S$9:S50,Designation[])),0)),"")</f>
        <v>VERM-Guerin Blanc</v>
      </c>
      <c r="Y51" s="2" t="str" cm="1">
        <f t="array" ref="Y51">IFERROR(INDEX(CL[],MATCH(SMALL(IFERROR(IF(MATCH(IF(ISNUMBER(CL[]),CL[],""),CL[],0)=ROW(CL[])-9,COUNTIF(CL[],"&gt;"&amp;CL[])+1,""),""),ROW(A42)),IF(ISNUMBER(CL[]),COUNTIF(CL[],"&gt;"&amp;CL[])+1,""),0)),"")</f>
        <v/>
      </c>
      <c r="AB51" s="2" t="str" cm="1">
        <f t="array" ref="AB51">IFERROR(INDEX(MID(Designation[],SEARCH("-",Designation[])+1,LEN(Designation[])-SEARCH("-",Designation[])),MATCH(SMALL(IFERROR(IF(MATCH(IF(ISNUMBER(FIND(MJGES01_00028_2!$H$2,Designation[])),Designation[],""),Designation[],0)=ROW(Designation[])-9,COUNTIF(Designation[],"&lt;"&amp;Designation[])+1,""),""),ROW(A42)),IF(Designation[]&lt;&gt;"",COUNTIF(Designation[],"&lt;"&amp;Designation[])+1,""),0)),"")</f>
        <v/>
      </c>
      <c r="AG51" s="2" t="str" cm="1">
        <f t="array" ref="AG51">IFERROR(INDEX(CL[],SMALL(IFERROR(MATCH(IF(MID(Designation[],SEARCH("-",Designation[])+1,LEN(Designation[])-SEARCH("-",Designation[]))=MJGES01_00028_2!$I$2,CL[],""),CL[],0),""),ROW(A42))),"")</f>
        <v/>
      </c>
      <c r="AJ51" s="2" t="str" cm="1">
        <f t="array" ref="AJ51">IFERROR(INDEX(Designation[],SMALL(IFERROR(IF(MATCH(IF(Designation[]&lt;&gt;"",Designation[],""),Designation[],0)=ROW(Designation[])-9,ROW(Designation[])-9,""),""),ROW(A42))),"")</f>
        <v>VERM-Guerin Blanc</v>
      </c>
      <c r="AK51" s="2" t="str">
        <f ca="1"/>
        <v>VERM-Guerin Blanc</v>
      </c>
      <c r="AN51" s="2" t="str" cm="1">
        <f t="array" ref="AN51">IFERROR(INDEX(CL[],MATCH(SMALL(IFERROR(IF(MATCH(IF(ISNUMBER(CL[]),CL[],""),CL[],0)=ROW(CL[])-9,COUNTIF(CL[],"&gt;"&amp;CL[])+1,""),""),ROW(A42)),IF(ISNUMBER(CL[]),COUNTIF(CL[],"&gt;"&amp;CL[])+1,""),0)),"")</f>
        <v/>
      </c>
      <c r="AR51" s="2" t="str" cm="1">
        <f t="array" ref="AR51">IFERROR(INDEX(Designation[],MATCH(SMALL(IFERROR(IF(MATCH(IF(Designation[]&lt;&gt;"",Designation[],""),Designation[],0)=ROW(Designation[])-9,COUNTIF(Designation[],"&lt;"&amp;Designation[])+1,""),""),ROW(A42)),IF(Designation[]&lt;&gt;"",COUNTIF(Designation[],"&lt;"&amp;Designation[])+1),0)),"")</f>
        <v>RHUM-Santiago de Cuba, 12 ans</v>
      </c>
      <c r="AU51" s="2" t="str">
        <f ca="1"/>
        <v>RHUM-Santiago de Cuba, 12 ans</v>
      </c>
      <c r="BA51" s="2" t="str" cm="1">
        <f t="array" ref="BA51">IFERROR(INDEX(Designation[],SMALL(IFERROR(MATCH(IF(ISNUMBER(SEARCH($AZ$10,Designation[])),Designation[],""),Designation[],0),""),ROW(A42))),"")</f>
        <v/>
      </c>
      <c r="BD51" s="2" t="str" cm="1">
        <f t="array" ref="BD51">IFERROR(INDEX(Designation[],MATCH(SMALL(IFERROR(IF(MATCH(IF(ISNUMBER(SEARCH(MJGES01_00028_2!$H$2,Designation[])),Designation[],""),Designation[],0)=ROW(Designation[])-9,COUNTIF(Designation[],"&lt;"&amp;Designation[])+1,""),""),ROW(A42)),IF(Designation[]&lt;&gt;"",COUNTIF(Designation[],"&lt;"&amp;Designation[])+1),0)),"")</f>
        <v/>
      </c>
      <c r="BI51" s="2" t="e">
        <v>#N/A</v>
      </c>
      <c r="BJ51" s="2" t="e">
        <v>#N/A</v>
      </c>
      <c r="BK51" s="164">
        <v>12</v>
      </c>
      <c r="BL51" s="164"/>
      <c r="BM51" t="str" cm="1">
        <f t="array" ref="BM51">IFERROR(INDEX(CL[],MATCH(SMALL(IFERROR(IF(MATCH(IF(Designation[]=$BD$10,CL[],""),CL[],0)&lt;&gt;"",COUNTIF(CL[],"&gt;"&amp;CL[])+1,""),""),ROW(A42)),IF(CL[]&lt;&gt;"",COUNTIF(CL[],"&gt;"&amp;CL[])+1,"0"),0)),"")</f>
        <v/>
      </c>
    </row>
    <row r="52" spans="2:65" x14ac:dyDescent="0.25">
      <c r="B52" s="34">
        <v>3257150100792</v>
      </c>
      <c r="C52" s="164" t="s">
        <v>121</v>
      </c>
      <c r="E52" s="35"/>
      <c r="F52" s="36">
        <v>70</v>
      </c>
      <c r="G52" s="37">
        <v>40</v>
      </c>
      <c r="H52" s="37">
        <v>6</v>
      </c>
      <c r="I52" s="86">
        <v>72</v>
      </c>
      <c r="J52" s="79">
        <v>64.8</v>
      </c>
      <c r="K52" s="80"/>
      <c r="M52" s="41">
        <f t="shared" si="17"/>
        <v>5.0024519999999999</v>
      </c>
      <c r="N52" s="42">
        <f t="shared" si="18"/>
        <v>1.6061920000000001</v>
      </c>
      <c r="O52" s="43">
        <f t="shared" si="19"/>
        <v>71.40864400000001</v>
      </c>
      <c r="P52" s="44">
        <f t="shared" si="21"/>
        <v>85.690372800000006</v>
      </c>
      <c r="Q52" s="33">
        <f t="shared" si="20"/>
        <v>0.2</v>
      </c>
      <c r="R52" s="33"/>
      <c r="S52" s="2" t="str">
        <f t="array" ref="S52">IFERROR(INDEX(Designation[],MATCH(0,IF(Designation[]&lt;&gt;"",COUNTIF($S$9:S51,Designation[])),0)),"")</f>
        <v>VERM-Gerin Rouge</v>
      </c>
      <c r="Y52" s="2" t="str" cm="1">
        <f t="array" ref="Y52">IFERROR(INDEX(CL[],MATCH(SMALL(IFERROR(IF(MATCH(IF(ISNUMBER(CL[]),CL[],""),CL[],0)=ROW(CL[])-9,COUNTIF(CL[],"&gt;"&amp;CL[])+1,""),""),ROW(A43)),IF(ISNUMBER(CL[]),COUNTIF(CL[],"&gt;"&amp;CL[])+1,""),0)),"")</f>
        <v/>
      </c>
      <c r="AB52" s="2" t="str" cm="1">
        <f t="array" ref="AB52">IFERROR(INDEX(MID(Designation[],SEARCH("-",Designation[])+1,LEN(Designation[])-SEARCH("-",Designation[])),MATCH(SMALL(IFERROR(IF(MATCH(IF(ISNUMBER(FIND(MJGES01_00028_2!$H$2,Designation[])),Designation[],""),Designation[],0)=ROW(Designation[])-9,COUNTIF(Designation[],"&lt;"&amp;Designation[])+1,""),""),ROW(A43)),IF(Designation[]&lt;&gt;"",COUNTIF(Designation[],"&lt;"&amp;Designation[])+1,""),0)),"")</f>
        <v/>
      </c>
      <c r="AG52" s="2" t="str" cm="1">
        <f t="array" ref="AG52">IFERROR(INDEX(CL[],SMALL(IFERROR(MATCH(IF(MID(Designation[],SEARCH("-",Designation[])+1,LEN(Designation[])-SEARCH("-",Designation[]))=MJGES01_00028_2!$I$2,CL[],""),CL[],0),""),ROW(A43))),"")</f>
        <v/>
      </c>
      <c r="AJ52" s="2" t="str" cm="1">
        <f t="array" ref="AJ52">IFERROR(INDEX(Designation[],SMALL(IFERROR(IF(MATCH(IF(Designation[]&lt;&gt;"",Designation[],""),Designation[],0)=ROW(Designation[])-9,ROW(Designation[])-9,""),""),ROW(A43))),"")</f>
        <v>VERM-Gerin Rouge</v>
      </c>
      <c r="AK52" s="2" t="str">
        <f ca="1"/>
        <v>VERM-Gerin Rouge</v>
      </c>
      <c r="AN52" s="2" t="str" cm="1">
        <f t="array" ref="AN52">IFERROR(INDEX(CL[],MATCH(SMALL(IFERROR(IF(MATCH(IF(ISNUMBER(CL[]),CL[],""),CL[],0)=ROW(CL[])-9,COUNTIF(CL[],"&gt;"&amp;CL[])+1,""),""),ROW(A43)),IF(ISNUMBER(CL[]),COUNTIF(CL[],"&gt;"&amp;CL[])+1,""),0)),"")</f>
        <v/>
      </c>
      <c r="AR52" s="2" t="str" cm="1">
        <f t="array" ref="AR52">IFERROR(INDEX(Designation[],MATCH(SMALL(IFERROR(IF(MATCH(IF(Designation[]&lt;&gt;"",Designation[],""),Designation[],0)=ROW(Designation[])-9,COUNTIF(Designation[],"&lt;"&amp;Designation[])+1,""),""),ROW(A43)),IF(Designation[]&lt;&gt;"",COUNTIF(Designation[],"&lt;"&amp;Designation[])+1),0)),"")</f>
        <v>RHUM-Santiago de Cuba, 20 ans</v>
      </c>
      <c r="AU52" s="2" t="str">
        <f ca="1"/>
        <v>RHUM-Santiago de Cuba, 20 ans</v>
      </c>
      <c r="BA52" s="2" t="str" cm="1">
        <f t="array" ref="BA52">IFERROR(INDEX(Designation[],SMALL(IFERROR(MATCH(IF(ISNUMBER(SEARCH($AZ$10,Designation[])),Designation[],""),Designation[],0),""),ROW(A43))),"")</f>
        <v/>
      </c>
      <c r="BD52" s="2" t="str" cm="1">
        <f t="array" ref="BD52">IFERROR(INDEX(Designation[],MATCH(SMALL(IFERROR(IF(MATCH(IF(ISNUMBER(SEARCH(MJGES01_00028_2!$H$2,Designation[])),Designation[],""),Designation[],0)=ROW(Designation[])-9,COUNTIF(Designation[],"&lt;"&amp;Designation[])+1,""),""),ROW(A43)),IF(Designation[]&lt;&gt;"",COUNTIF(Designation[],"&lt;"&amp;Designation[])+1),0)),"")</f>
        <v/>
      </c>
      <c r="BI52" s="2" t="e">
        <v>#N/A</v>
      </c>
      <c r="BJ52" s="2" t="e">
        <v>#N/A</v>
      </c>
      <c r="BK52" s="164">
        <v>12</v>
      </c>
      <c r="BL52" s="164"/>
      <c r="BM52" t="str" cm="1">
        <f t="array" ref="BM52">IFERROR(INDEX(CL[],MATCH(SMALL(IFERROR(IF(MATCH(IF(Designation[]=$BD$10,CL[],""),CL[],0)&lt;&gt;"",COUNTIF(CL[],"&gt;"&amp;CL[])+1,""),""),ROW(A43)),IF(CL[]&lt;&gt;"",COUNTIF(CL[],"&gt;"&amp;CL[])+1,"0"),0)),"")</f>
        <v/>
      </c>
    </row>
    <row r="53" spans="2:65" x14ac:dyDescent="0.25">
      <c r="B53" s="34">
        <v>3257150100822</v>
      </c>
      <c r="C53" s="164" t="s">
        <v>123</v>
      </c>
      <c r="E53" s="35"/>
      <c r="F53" s="36">
        <v>35</v>
      </c>
      <c r="G53" s="37">
        <v>40</v>
      </c>
      <c r="H53" s="37">
        <v>6</v>
      </c>
      <c r="I53" s="86">
        <v>50.5</v>
      </c>
      <c r="J53" s="79">
        <v>124.2</v>
      </c>
      <c r="K53" s="80"/>
      <c r="M53" s="41">
        <f t="shared" si="17"/>
        <v>2.5012259999999999</v>
      </c>
      <c r="N53" s="42">
        <f t="shared" si="18"/>
        <v>0.80309600000000003</v>
      </c>
      <c r="O53" s="43">
        <f t="shared" si="19"/>
        <v>127.504322</v>
      </c>
      <c r="P53" s="44">
        <f t="shared" si="21"/>
        <v>153.00518640000001</v>
      </c>
      <c r="Q53" s="33">
        <f t="shared" si="20"/>
        <v>0.2</v>
      </c>
      <c r="R53" s="33"/>
      <c r="S53" s="2" t="str">
        <f t="array" ref="S53">IFERROR(INDEX(Designation[],MATCH(0,IF(Designation[]&lt;&gt;"",COUNTIF($S$9:S52,Designation[])),0)),"")</f>
        <v>TH-Tonic Water</v>
      </c>
      <c r="Y53" s="2" t="str" cm="1">
        <f t="array" ref="Y53">IFERROR(INDEX(CL[],MATCH(SMALL(IFERROR(IF(MATCH(IF(ISNUMBER(CL[]),CL[],""),CL[],0)=ROW(CL[])-9,COUNTIF(CL[],"&gt;"&amp;CL[])+1,""),""),ROW(A44)),IF(ISNUMBER(CL[]),COUNTIF(CL[],"&gt;"&amp;CL[])+1,""),0)),"")</f>
        <v/>
      </c>
      <c r="AB53" s="2" t="str" cm="1">
        <f t="array" ref="AB53">IFERROR(INDEX(MID(Designation[],SEARCH("-",Designation[])+1,LEN(Designation[])-SEARCH("-",Designation[])),MATCH(SMALL(IFERROR(IF(MATCH(IF(ISNUMBER(FIND(MJGES01_00028_2!$H$2,Designation[])),Designation[],""),Designation[],0)=ROW(Designation[])-9,COUNTIF(Designation[],"&lt;"&amp;Designation[])+1,""),""),ROW(A44)),IF(Designation[]&lt;&gt;"",COUNTIF(Designation[],"&lt;"&amp;Designation[])+1,""),0)),"")</f>
        <v/>
      </c>
      <c r="AG53" s="2" t="str" cm="1">
        <f t="array" ref="AG53">IFERROR(INDEX(CL[],SMALL(IFERROR(MATCH(IF(MID(Designation[],SEARCH("-",Designation[])+1,LEN(Designation[])-SEARCH("-",Designation[]))=MJGES01_00028_2!$I$2,CL[],""),CL[],0),""),ROW(A44))),"")</f>
        <v/>
      </c>
      <c r="AJ53" s="2" t="str" cm="1">
        <f t="array" ref="AJ53">IFERROR(INDEX(Designation[],SMALL(IFERROR(IF(MATCH(IF(Designation[]&lt;&gt;"",Designation[],""),Designation[],0)=ROW(Designation[])-9,ROW(Designation[])-9,""),""),ROW(A44))),"")</f>
        <v>TH-Tonic Water</v>
      </c>
      <c r="AK53" s="2" t="str">
        <f ca="1"/>
        <v>TH-Tonic Water</v>
      </c>
      <c r="AN53" s="2" t="str" cm="1">
        <f t="array" ref="AN53">IFERROR(INDEX(CL[],MATCH(SMALL(IFERROR(IF(MATCH(IF(ISNUMBER(CL[]),CL[],""),CL[],0)=ROW(CL[])-9,COUNTIF(CL[],"&gt;"&amp;CL[])+1,""),""),ROW(A44)),IF(ISNUMBER(CL[]),COUNTIF(CL[],"&gt;"&amp;CL[])+1,""),0)),"")</f>
        <v/>
      </c>
      <c r="AR53" s="2" t="str" cm="1">
        <f t="array" ref="AR53">IFERROR(INDEX(Designation[],MATCH(SMALL(IFERROR(IF(MATCH(IF(Designation[]&lt;&gt;"",Designation[],""),Designation[],0)=ROW(Designation[])-9,COUNTIF(Designation[],"&lt;"&amp;Designation[])+1,""),""),ROW(A44)),IF(Designation[]&lt;&gt;"",COUNTIF(Designation[],"&lt;"&amp;Designation[])+1),0)),"")</f>
        <v>RHUM-Santiago de Cuba, 25 ans</v>
      </c>
      <c r="AU53" s="2" t="str">
        <f ca="1"/>
        <v>RHUM-Santiago de Cuba, 25 ans</v>
      </c>
      <c r="BA53" s="2" t="str" cm="1">
        <f t="array" ref="BA53">IFERROR(INDEX(Designation[],SMALL(IFERROR(MATCH(IF(ISNUMBER(SEARCH($AZ$10,Designation[])),Designation[],""),Designation[],0),""),ROW(A44))),"")</f>
        <v/>
      </c>
      <c r="BD53" s="2" t="str" cm="1">
        <f t="array" ref="BD53">IFERROR(INDEX(Designation[],MATCH(SMALL(IFERROR(IF(MATCH(IF(ISNUMBER(SEARCH(MJGES01_00028_2!$H$2,Designation[])),Designation[],""),Designation[],0)=ROW(Designation[])-9,COUNTIF(Designation[],"&lt;"&amp;Designation[])+1,""),""),ROW(A44)),IF(Designation[]&lt;&gt;"",COUNTIF(Designation[],"&lt;"&amp;Designation[])+1),0)),"")</f>
        <v/>
      </c>
      <c r="BI53" s="2" t="e">
        <v>#N/A</v>
      </c>
      <c r="BJ53" s="2" t="e">
        <v>#N/A</v>
      </c>
      <c r="BK53" s="164">
        <v>48</v>
      </c>
      <c r="BL53" s="164"/>
      <c r="BM53" t="str" cm="1">
        <f t="array" ref="BM53">IFERROR(INDEX(CL[],MATCH(SMALL(IFERROR(IF(MATCH(IF(Designation[]=$BD$10,CL[],""),CL[],0)&lt;&gt;"",COUNTIF(CL[],"&gt;"&amp;CL[])+1,""),""),ROW(A44)),IF(CL[]&lt;&gt;"",COUNTIF(CL[],"&gt;"&amp;CL[])+1,"0"),0)),"")</f>
        <v/>
      </c>
    </row>
    <row r="54" spans="2:65" x14ac:dyDescent="0.25">
      <c r="B54" s="34">
        <v>3257150101300</v>
      </c>
      <c r="C54" s="164" t="s">
        <v>124</v>
      </c>
      <c r="E54" s="35"/>
      <c r="F54" s="36">
        <v>70</v>
      </c>
      <c r="G54" s="37">
        <v>40</v>
      </c>
      <c r="H54" s="37">
        <v>6</v>
      </c>
      <c r="I54" s="86">
        <v>84</v>
      </c>
      <c r="J54" s="79">
        <v>75.599999999999994</v>
      </c>
      <c r="K54" s="80"/>
      <c r="M54" s="41">
        <f t="shared" si="17"/>
        <v>5.0024519999999999</v>
      </c>
      <c r="N54" s="42">
        <f t="shared" si="18"/>
        <v>1.6061920000000001</v>
      </c>
      <c r="O54" s="43">
        <f t="shared" si="19"/>
        <v>82.208643999999993</v>
      </c>
      <c r="P54" s="44">
        <f t="shared" si="21"/>
        <v>98.650372799999985</v>
      </c>
      <c r="Q54" s="33">
        <f t="shared" si="20"/>
        <v>0.2</v>
      </c>
      <c r="R54" s="33"/>
      <c r="S54" s="2" t="str">
        <f t="array" ref="S54">IFERROR(INDEX(Designation[],MATCH(0,IF(Designation[]&lt;&gt;"",COUNTIF($S$9:S53,Designation[])),0)),"")</f>
        <v>TH-Ginger Ale</v>
      </c>
      <c r="Y54" s="2" t="str" cm="1">
        <f t="array" ref="Y54">IFERROR(INDEX(CL[],MATCH(SMALL(IFERROR(IF(MATCH(IF(ISNUMBER(CL[]),CL[],""),CL[],0)=ROW(CL[])-9,COUNTIF(CL[],"&gt;"&amp;CL[])+1,""),""),ROW(A45)),IF(ISNUMBER(CL[]),COUNTIF(CL[],"&gt;"&amp;CL[])+1,""),0)),"")</f>
        <v/>
      </c>
      <c r="AB54" s="2" t="str" cm="1">
        <f t="array" ref="AB54">IFERROR(INDEX(MID(Designation[],SEARCH("-",Designation[])+1,LEN(Designation[])-SEARCH("-",Designation[])),MATCH(SMALL(IFERROR(IF(MATCH(IF(ISNUMBER(FIND(MJGES01_00028_2!$H$2,Designation[])),Designation[],""),Designation[],0)=ROW(Designation[])-9,COUNTIF(Designation[],"&lt;"&amp;Designation[])+1,""),""),ROW(A45)),IF(Designation[]&lt;&gt;"",COUNTIF(Designation[],"&lt;"&amp;Designation[])+1,""),0)),"")</f>
        <v/>
      </c>
      <c r="AG54" s="2" t="str" cm="1">
        <f t="array" ref="AG54">IFERROR(INDEX(CL[],SMALL(IFERROR(MATCH(IF(MID(Designation[],SEARCH("-",Designation[])+1,LEN(Designation[])-SEARCH("-",Designation[]))=MJGES01_00028_2!$I$2,CL[],""),CL[],0),""),ROW(A45))),"")</f>
        <v/>
      </c>
      <c r="AJ54" s="2" t="str" cm="1">
        <f t="array" ref="AJ54">IFERROR(INDEX(Designation[],SMALL(IFERROR(IF(MATCH(IF(Designation[]&lt;&gt;"",Designation[],""),Designation[],0)=ROW(Designation[])-9,ROW(Designation[])-9,""),""),ROW(A45))),"")</f>
        <v>TH-Ginger Ale</v>
      </c>
      <c r="AK54" s="2" t="str">
        <f ca="1"/>
        <v>TH-Ginger Ale</v>
      </c>
      <c r="AN54" s="2" t="str" cm="1">
        <f t="array" ref="AN54">IFERROR(INDEX(CL[],MATCH(SMALL(IFERROR(IF(MATCH(IF(ISNUMBER(CL[]),CL[],""),CL[],0)=ROW(CL[])-9,COUNTIF(CL[],"&gt;"&amp;CL[])+1,""),""),ROW(A45)),IF(ISNUMBER(CL[]),COUNTIF(CL[],"&gt;"&amp;CL[])+1,""),0)),"")</f>
        <v/>
      </c>
      <c r="AR54" s="2" t="str" cm="1">
        <f t="array" ref="AR54">IFERROR(INDEX(Designation[],MATCH(SMALL(IFERROR(IF(MATCH(IF(Designation[]&lt;&gt;"",Designation[],""),Designation[],0)=ROW(Designation[])-9,COUNTIF(Designation[],"&lt;"&amp;Designation[])+1,""),""),ROW(A45)),IF(Designation[]&lt;&gt;"",COUNTIF(Designation[],"&lt;"&amp;Designation[])+1),0)),"")</f>
        <v>RHUM-Santiago de Cuba, Carta Blanca</v>
      </c>
      <c r="AU54" s="2" t="str">
        <f ca="1"/>
        <v>RHUM-Santiago de Cuba, Carta Blanca</v>
      </c>
      <c r="BA54" s="2" t="str" cm="1">
        <f t="array" ref="BA54">IFERROR(INDEX(Designation[],SMALL(IFERROR(MATCH(IF(ISNUMBER(SEARCH($AZ$10,Designation[])),Designation[],""),Designation[],0),""),ROW(A45))),"")</f>
        <v/>
      </c>
      <c r="BD54" s="2" t="str" cm="1">
        <f t="array" ref="BD54">IFERROR(INDEX(Designation[],MATCH(SMALL(IFERROR(IF(MATCH(IF(ISNUMBER(SEARCH(MJGES01_00028_2!$H$2,Designation[])),Designation[],""),Designation[],0)=ROW(Designation[])-9,COUNTIF(Designation[],"&lt;"&amp;Designation[])+1,""),""),ROW(A45)),IF(Designation[]&lt;&gt;"",COUNTIF(Designation[],"&lt;"&amp;Designation[])+1),0)),"")</f>
        <v/>
      </c>
      <c r="BI54" s="2" t="e">
        <v>#N/A</v>
      </c>
      <c r="BJ54" s="2" t="e">
        <v>#N/A</v>
      </c>
      <c r="BK54" s="164">
        <v>12</v>
      </c>
      <c r="BL54" s="164"/>
      <c r="BM54" t="str" cm="1">
        <f t="array" ref="BM54">IFERROR(INDEX(CL[],MATCH(SMALL(IFERROR(IF(MATCH(IF(Designation[]=$BD$10,CL[],""),CL[],0)&lt;&gt;"",COUNTIF(CL[],"&gt;"&amp;CL[])+1,""),""),ROW(A45)),IF(CL[]&lt;&gt;"",COUNTIF(CL[],"&gt;"&amp;CL[])+1,"0"),0)),"")</f>
        <v/>
      </c>
    </row>
    <row r="55" spans="2:65" x14ac:dyDescent="0.25">
      <c r="B55" s="34">
        <v>3257150100969</v>
      </c>
      <c r="C55" s="164" t="s">
        <v>123</v>
      </c>
      <c r="E55" s="35"/>
      <c r="F55" s="36">
        <v>175</v>
      </c>
      <c r="G55" s="37">
        <v>40</v>
      </c>
      <c r="H55" s="37">
        <v>6</v>
      </c>
      <c r="I55" s="86">
        <v>124.2</v>
      </c>
      <c r="J55" s="79">
        <v>124.2</v>
      </c>
      <c r="K55" s="80"/>
      <c r="M55" s="41">
        <f t="shared" si="17"/>
        <v>12.506129999999999</v>
      </c>
      <c r="N55" s="42">
        <f t="shared" si="18"/>
        <v>4.0154800000000002</v>
      </c>
      <c r="O55" s="43">
        <f t="shared" si="19"/>
        <v>140.72161</v>
      </c>
      <c r="P55" s="44">
        <f t="shared" si="21"/>
        <v>168.86593199999999</v>
      </c>
      <c r="Q55" s="33">
        <f t="shared" si="20"/>
        <v>0.2</v>
      </c>
      <c r="R55" s="33"/>
      <c r="S55" s="2" t="str">
        <f t="array" ref="S55">IFERROR(INDEX(Designation[],MATCH(0,IF(Designation[]&lt;&gt;"",COUNTIF($S$9:S54,Designation[])),0)),"")</f>
        <v>TH-Soda Water</v>
      </c>
      <c r="Y55" s="2" t="str" cm="1">
        <f t="array" ref="Y55">IFERROR(INDEX(CL[],MATCH(SMALL(IFERROR(IF(MATCH(IF(ISNUMBER(CL[]),CL[],""),CL[],0)=ROW(CL[])-9,COUNTIF(CL[],"&gt;"&amp;CL[])+1,""),""),ROW(A46)),IF(ISNUMBER(CL[]),COUNTIF(CL[],"&gt;"&amp;CL[])+1,""),0)),"")</f>
        <v/>
      </c>
      <c r="AB55" s="2" t="str" cm="1">
        <f t="array" ref="AB55">IFERROR(INDEX(MID(Designation[],SEARCH("-",Designation[])+1,LEN(Designation[])-SEARCH("-",Designation[])),MATCH(SMALL(IFERROR(IF(MATCH(IF(ISNUMBER(FIND(MJGES01_00028_2!$H$2,Designation[])),Designation[],""),Designation[],0)=ROW(Designation[])-9,COUNTIF(Designation[],"&lt;"&amp;Designation[])+1,""),""),ROW(A46)),IF(Designation[]&lt;&gt;"",COUNTIF(Designation[],"&lt;"&amp;Designation[])+1,""),0)),"")</f>
        <v/>
      </c>
      <c r="AG55" s="2" t="str" cm="1">
        <f t="array" ref="AG55">IFERROR(INDEX(CL[],SMALL(IFERROR(MATCH(IF(MID(Designation[],SEARCH("-",Designation[])+1,LEN(Designation[])-SEARCH("-",Designation[]))=MJGES01_00028_2!$I$2,CL[],""),CL[],0),""),ROW(A46))),"")</f>
        <v/>
      </c>
      <c r="AJ55" s="2" t="str" cm="1">
        <f t="array" ref="AJ55">IFERROR(INDEX(Designation[],SMALL(IFERROR(IF(MATCH(IF(Designation[]&lt;&gt;"",Designation[],""),Designation[],0)=ROW(Designation[])-9,ROW(Designation[])-9,""),""),ROW(A46))),"")</f>
        <v>TH-Soda Water</v>
      </c>
      <c r="AK55" s="2" t="str">
        <f ca="1"/>
        <v>TH-Soda Water</v>
      </c>
      <c r="AN55" s="2" t="str" cm="1">
        <f t="array" ref="AN55">IFERROR(INDEX(CL[],MATCH(SMALL(IFERROR(IF(MATCH(IF(ISNUMBER(CL[]),CL[],""),CL[],0)=ROW(CL[])-9,COUNTIF(CL[],"&gt;"&amp;CL[])+1,""),""),ROW(A46)),IF(ISNUMBER(CL[]),COUNTIF(CL[],"&gt;"&amp;CL[])+1,""),0)),"")</f>
        <v/>
      </c>
      <c r="AR55" s="2" t="str" cm="1">
        <f t="array" ref="AR55">IFERROR(INDEX(Designation[],MATCH(SMALL(IFERROR(IF(MATCH(IF(Designation[]&lt;&gt;"",Designation[],""),Designation[],0)=ROW(Designation[])-9,COUNTIF(Designation[],"&lt;"&amp;Designation[])+1,""),""),ROW(A46)),IF(Designation[]&lt;&gt;"",COUNTIF(Designation[],"&lt;"&amp;Designation[])+1),0)),"")</f>
        <v>TH-Bitter Lemon</v>
      </c>
      <c r="AU55" s="2" t="str">
        <f ca="1"/>
        <v>TH-Bitter Lemon</v>
      </c>
      <c r="BA55" s="2" t="str" cm="1">
        <f t="array" ref="BA55">IFERROR(INDEX(Designation[],SMALL(IFERROR(MATCH(IF(ISNUMBER(SEARCH($AZ$10,Designation[])),Designation[],""),Designation[],0),""),ROW(A46))),"")</f>
        <v/>
      </c>
      <c r="BD55" s="2" t="str" cm="1">
        <f t="array" ref="BD55">IFERROR(INDEX(Designation[],MATCH(SMALL(IFERROR(IF(MATCH(IF(ISNUMBER(SEARCH(MJGES01_00028_2!$H$2,Designation[])),Designation[],""),Designation[],0)=ROW(Designation[])-9,COUNTIF(Designation[],"&lt;"&amp;Designation[])+1,""),""),ROW(A46)),IF(Designation[]&lt;&gt;"",COUNTIF(Designation[],"&lt;"&amp;Designation[])+1),0)),"")</f>
        <v/>
      </c>
      <c r="BI55" s="2" t="e">
        <v>#N/A</v>
      </c>
      <c r="BJ55" s="2" t="e">
        <v>#N/A</v>
      </c>
      <c r="BK55" s="164">
        <v>1</v>
      </c>
      <c r="BL55" s="164"/>
      <c r="BM55" t="str" cm="1">
        <f t="array" ref="BM55">IFERROR(INDEX(CL[],MATCH(SMALL(IFERROR(IF(MATCH(IF(Designation[]=$BD$10,CL[],""),CL[],0)&lt;&gt;"",COUNTIF(CL[],"&gt;"&amp;CL[])+1,""),""),ROW(A46)),IF(CL[]&lt;&gt;"",COUNTIF(CL[],"&gt;"&amp;CL[])+1,"0"),0)),"")</f>
        <v/>
      </c>
    </row>
    <row r="56" spans="2:65" x14ac:dyDescent="0.25">
      <c r="B56" s="34">
        <v>3257150101737</v>
      </c>
      <c r="C56" s="164" t="s">
        <v>125</v>
      </c>
      <c r="E56" s="35"/>
      <c r="F56" s="36">
        <v>70</v>
      </c>
      <c r="G56" s="37">
        <v>40</v>
      </c>
      <c r="H56" s="37">
        <v>6</v>
      </c>
      <c r="I56" s="86">
        <v>120</v>
      </c>
      <c r="J56" s="79">
        <v>120</v>
      </c>
      <c r="K56" s="80"/>
      <c r="M56" s="41">
        <f t="shared" si="17"/>
        <v>5.0024519999999999</v>
      </c>
      <c r="N56" s="42">
        <f t="shared" si="18"/>
        <v>1.6061920000000001</v>
      </c>
      <c r="O56" s="43">
        <f t="shared" si="19"/>
        <v>126.608644</v>
      </c>
      <c r="P56" s="44">
        <f t="shared" si="21"/>
        <v>151.93037279999999</v>
      </c>
      <c r="Q56" s="33">
        <f t="shared" si="20"/>
        <v>0.2</v>
      </c>
      <c r="R56" s="33"/>
      <c r="S56" s="2" t="str">
        <f t="array" ref="S56">IFERROR(INDEX(Designation[],MATCH(0,IF(Designation[]&lt;&gt;"",COUNTIF($S$9:S55,Designation[])),0)),"")</f>
        <v>TH-Bitter Lemon</v>
      </c>
      <c r="Y56" s="2" t="str" cm="1">
        <f t="array" ref="Y56">IFERROR(INDEX(CL[],MATCH(SMALL(IFERROR(IF(MATCH(IF(ISNUMBER(CL[]),CL[],""),CL[],0)=ROW(CL[])-9,COUNTIF(CL[],"&gt;"&amp;CL[])+1,""),""),ROW(A47)),IF(ISNUMBER(CL[]),COUNTIF(CL[],"&gt;"&amp;CL[])+1,""),0)),"")</f>
        <v/>
      </c>
      <c r="AB56" s="2" t="str" cm="1">
        <f t="array" ref="AB56">IFERROR(INDEX(MID(Designation[],SEARCH("-",Designation[])+1,LEN(Designation[])-SEARCH("-",Designation[])),MATCH(SMALL(IFERROR(IF(MATCH(IF(ISNUMBER(FIND(MJGES01_00028_2!$H$2,Designation[])),Designation[],""),Designation[],0)=ROW(Designation[])-9,COUNTIF(Designation[],"&lt;"&amp;Designation[])+1,""),""),ROW(A47)),IF(Designation[]&lt;&gt;"",COUNTIF(Designation[],"&lt;"&amp;Designation[])+1,""),0)),"")</f>
        <v/>
      </c>
      <c r="AG56" s="2" t="str" cm="1">
        <f t="array" ref="AG56">IFERROR(INDEX(CL[],SMALL(IFERROR(MATCH(IF(MID(Designation[],SEARCH("-",Designation[])+1,LEN(Designation[])-SEARCH("-",Designation[]))=MJGES01_00028_2!$I$2,CL[],""),CL[],0),""),ROW(A47))),"")</f>
        <v/>
      </c>
      <c r="AJ56" s="2" t="str" cm="1">
        <f t="array" ref="AJ56">IFERROR(INDEX(Designation[],SMALL(IFERROR(IF(MATCH(IF(Designation[]&lt;&gt;"",Designation[],""),Designation[],0)=ROW(Designation[])-9,ROW(Designation[])-9,""),""),ROW(A47))),"")</f>
        <v>TH-Bitter Lemon</v>
      </c>
      <c r="AK56" s="2" t="str">
        <f ca="1"/>
        <v>TH-Bitter Lemon</v>
      </c>
      <c r="AN56" s="2" t="str" cm="1">
        <f t="array" ref="AN56">IFERROR(INDEX(CL[],MATCH(SMALL(IFERROR(IF(MATCH(IF(ISNUMBER(CL[]),CL[],""),CL[],0)=ROW(CL[])-9,COUNTIF(CL[],"&gt;"&amp;CL[])+1,""),""),ROW(A47)),IF(ISNUMBER(CL[]),COUNTIF(CL[],"&gt;"&amp;CL[])+1,""),0)),"")</f>
        <v/>
      </c>
      <c r="AR56" s="2" t="str" cm="1">
        <f t="array" ref="AR56">IFERROR(INDEX(Designation[],MATCH(SMALL(IFERROR(IF(MATCH(IF(Designation[]&lt;&gt;"",Designation[],""),Designation[],0)=ROW(Designation[])-9,COUNTIF(Designation[],"&lt;"&amp;Designation[])+1,""),""),ROW(A47)),IF(Designation[]&lt;&gt;"",COUNTIF(Designation[],"&lt;"&amp;Designation[])+1),0)),"")</f>
        <v>TH-Cherry Blossom</v>
      </c>
      <c r="AU56" s="2" t="str">
        <f ca="1"/>
        <v>TH-Cherry Blossom</v>
      </c>
      <c r="BA56" s="2" t="str" cm="1">
        <f t="array" ref="BA56">IFERROR(INDEX(Designation[],SMALL(IFERROR(MATCH(IF(ISNUMBER(SEARCH($AZ$10,Designation[])),Designation[],""),Designation[],0),""),ROW(A47))),"")</f>
        <v/>
      </c>
      <c r="BD56" s="2" t="str" cm="1">
        <f t="array" ref="BD56">IFERROR(INDEX(Designation[],MATCH(SMALL(IFERROR(IF(MATCH(IF(ISNUMBER(SEARCH(MJGES01_00028_2!$H$2,Designation[])),Designation[],""),Designation[],0)=ROW(Designation[])-9,COUNTIF(Designation[],"&lt;"&amp;Designation[])+1,""),""),ROW(A47)),IF(Designation[]&lt;&gt;"",COUNTIF(Designation[],"&lt;"&amp;Designation[])+1),0)),"")</f>
        <v/>
      </c>
      <c r="BI56" s="2" t="e">
        <v>#N/A</v>
      </c>
      <c r="BJ56" s="2" t="e">
        <v>#N/A</v>
      </c>
      <c r="BK56" s="164">
        <v>12</v>
      </c>
      <c r="BL56" s="164"/>
      <c r="BM56" t="str" cm="1">
        <f t="array" ref="BM56">IFERROR(INDEX(CL[],MATCH(SMALL(IFERROR(IF(MATCH(IF(Designation[]=$BD$10,CL[],""),CL[],0)&lt;&gt;"",COUNTIF(CL[],"&gt;"&amp;CL[])+1,""),""),ROW(A47)),IF(CL[]&lt;&gt;"",COUNTIF(CL[],"&gt;"&amp;CL[])+1,"0"),0)),"")</f>
        <v/>
      </c>
    </row>
    <row r="57" spans="2:65" x14ac:dyDescent="0.25">
      <c r="B57" s="34">
        <v>3257150101607</v>
      </c>
      <c r="C57" s="164" t="s">
        <v>126</v>
      </c>
      <c r="E57" s="35"/>
      <c r="F57" s="36">
        <v>70</v>
      </c>
      <c r="G57" s="37">
        <v>40</v>
      </c>
      <c r="H57" s="37">
        <v>4</v>
      </c>
      <c r="I57" s="86">
        <v>460</v>
      </c>
      <c r="J57" s="79">
        <v>460</v>
      </c>
      <c r="K57" s="80"/>
      <c r="M57" s="41">
        <f t="shared" si="17"/>
        <v>5.0024519999999999</v>
      </c>
      <c r="N57" s="42">
        <f t="shared" si="18"/>
        <v>1.6061920000000001</v>
      </c>
      <c r="O57" s="43">
        <f t="shared" si="19"/>
        <v>466.60864400000003</v>
      </c>
      <c r="P57" s="44">
        <f t="shared" si="21"/>
        <v>559.93037279999999</v>
      </c>
      <c r="Q57" s="33">
        <f t="shared" si="20"/>
        <v>0.2</v>
      </c>
      <c r="R57" s="33"/>
      <c r="S57" s="2" t="str">
        <f t="array" ref="S57">IFERROR(INDEX(Designation[],MATCH(0,IF(Designation[]&lt;&gt;"",COUNTIF($S$9:S56,Designation[])),0)),"")</f>
        <v>TH-Cherry Blossom</v>
      </c>
      <c r="Y57" s="2" t="str" cm="1">
        <f t="array" ref="Y57">IFERROR(INDEX(CL[],MATCH(SMALL(IFERROR(IF(MATCH(IF(ISNUMBER(CL[]),CL[],""),CL[],0)=ROW(CL[])-9,COUNTIF(CL[],"&gt;"&amp;CL[])+1,""),""),ROW(A48)),IF(ISNUMBER(CL[]),COUNTIF(CL[],"&gt;"&amp;CL[])+1,""),0)),"")</f>
        <v/>
      </c>
      <c r="AB57" s="2" t="str" cm="1">
        <f t="array" ref="AB57">IFERROR(INDEX(MID(Designation[],SEARCH("-",Designation[])+1,LEN(Designation[])-SEARCH("-",Designation[])),MATCH(SMALL(IFERROR(IF(MATCH(IF(ISNUMBER(FIND(MJGES01_00028_2!$H$2,Designation[])),Designation[],""),Designation[],0)=ROW(Designation[])-9,COUNTIF(Designation[],"&lt;"&amp;Designation[])+1,""),""),ROW(A48)),IF(Designation[]&lt;&gt;"",COUNTIF(Designation[],"&lt;"&amp;Designation[])+1,""),0)),"")</f>
        <v/>
      </c>
      <c r="AG57" s="2" t="str" cm="1">
        <f t="array" ref="AG57">IFERROR(INDEX(CL[],SMALL(IFERROR(MATCH(IF(MID(Designation[],SEARCH("-",Designation[])+1,LEN(Designation[])-SEARCH("-",Designation[]))=MJGES01_00028_2!$I$2,CL[],""),CL[],0),""),ROW(A48))),"")</f>
        <v/>
      </c>
      <c r="AJ57" s="2" t="str" cm="1">
        <f t="array" ref="AJ57">IFERROR(INDEX(Designation[],SMALL(IFERROR(IF(MATCH(IF(Designation[]&lt;&gt;"",Designation[],""),Designation[],0)=ROW(Designation[])-9,ROW(Designation[])-9,""),""),ROW(A48))),"")</f>
        <v>TH-Cherry Blossom</v>
      </c>
      <c r="AK57" s="2" t="str">
        <f ca="1"/>
        <v>TH-Cherry Blossom</v>
      </c>
      <c r="AN57" s="2" t="str" cm="1">
        <f t="array" ref="AN57">IFERROR(INDEX(CL[],MATCH(SMALL(IFERROR(IF(MATCH(IF(ISNUMBER(CL[]),CL[],""),CL[],0)=ROW(CL[])-9,COUNTIF(CL[],"&gt;"&amp;CL[])+1,""),""),ROW(A48)),IF(ISNUMBER(CL[]),COUNTIF(CL[],"&gt;"&amp;CL[])+1,""),0)),"")</f>
        <v/>
      </c>
      <c r="AR57" s="2" t="str" cm="1">
        <f t="array" ref="AR57">IFERROR(INDEX(Designation[],MATCH(SMALL(IFERROR(IF(MATCH(IF(Designation[]&lt;&gt;"",Designation[],""),Designation[],0)=ROW(Designation[])-9,COUNTIF(Designation[],"&lt;"&amp;Designation[])+1,""),""),ROW(A48)),IF(Designation[]&lt;&gt;"",COUNTIF(Designation[],"&lt;"&amp;Designation[])+1),0)),"")</f>
        <v>TH-Elderflower</v>
      </c>
      <c r="AU57" s="2" t="str">
        <f ca="1"/>
        <v>TH-Elderflower</v>
      </c>
      <c r="BA57" s="2" t="str" cm="1">
        <f t="array" ref="BA57">IFERROR(INDEX(Designation[],SMALL(IFERROR(MATCH(IF(ISNUMBER(SEARCH($AZ$10,Designation[])),Designation[],""),Designation[],0),""),ROW(A48))),"")</f>
        <v/>
      </c>
      <c r="BD57" s="2" t="str" cm="1">
        <f t="array" ref="BD57">IFERROR(INDEX(Designation[],MATCH(SMALL(IFERROR(IF(MATCH(IF(ISNUMBER(SEARCH(MJGES01_00028_2!$H$2,Designation[])),Designation[],""),Designation[],0)=ROW(Designation[])-9,COUNTIF(Designation[],"&lt;"&amp;Designation[])+1,""),""),ROW(A48)),IF(Designation[]&lt;&gt;"",COUNTIF(Designation[],"&lt;"&amp;Designation[])+1),0)),"")</f>
        <v/>
      </c>
      <c r="BI57" s="2" t="e">
        <v>#N/A</v>
      </c>
      <c r="BJ57" s="2" t="e">
        <v>#N/A</v>
      </c>
      <c r="BK57" s="164">
        <v>12</v>
      </c>
      <c r="BL57" s="164"/>
      <c r="BM57" t="str" cm="1">
        <f t="array" ref="BM57">IFERROR(INDEX(CL[],MATCH(SMALL(IFERROR(IF(MATCH(IF(Designation[]=$BD$10,CL[],""),CL[],0)&lt;&gt;"",COUNTIF(CL[],"&gt;"&amp;CL[])+1,""),""),ROW(A48)),IF(CL[]&lt;&gt;"",COUNTIF(CL[],"&gt;"&amp;CL[])+1,"0"),0)),"")</f>
        <v/>
      </c>
    </row>
    <row r="58" spans="2:65" x14ac:dyDescent="0.25">
      <c r="B58" s="34">
        <v>3257150100945</v>
      </c>
      <c r="C58" s="164" t="s">
        <v>142</v>
      </c>
      <c r="E58" s="35"/>
      <c r="F58" s="36">
        <v>70</v>
      </c>
      <c r="G58" s="37">
        <v>40</v>
      </c>
      <c r="H58" s="37">
        <v>6</v>
      </c>
      <c r="I58" s="86">
        <v>130</v>
      </c>
      <c r="J58" s="79">
        <v>117</v>
      </c>
      <c r="K58" s="80"/>
      <c r="M58" s="41">
        <f t="shared" si="17"/>
        <v>5.0024519999999999</v>
      </c>
      <c r="N58" s="42">
        <f t="shared" si="18"/>
        <v>1.6061920000000001</v>
      </c>
      <c r="O58" s="43">
        <f t="shared" si="19"/>
        <v>123.608644</v>
      </c>
      <c r="P58" s="44">
        <f t="shared" si="21"/>
        <v>148.33037279999999</v>
      </c>
      <c r="Q58" s="33">
        <f t="shared" si="20"/>
        <v>0.2</v>
      </c>
      <c r="R58" s="33"/>
      <c r="S58" s="2" t="str">
        <f t="array" ref="S58">IFERROR(INDEX(Designation[],MATCH(0,IF(Designation[]&lt;&gt;"",COUNTIF($S$9:S57,Designation[])),0)),"")</f>
        <v>TH-Spicy Ginger Beer</v>
      </c>
      <c r="Y58" s="2" t="str" cm="1">
        <f t="array" ref="Y58">IFERROR(INDEX(CL[],MATCH(SMALL(IFERROR(IF(MATCH(IF(ISNUMBER(CL[]),CL[],""),CL[],0)=ROW(CL[])-9,COUNTIF(CL[],"&gt;"&amp;CL[])+1,""),""),ROW(A49)),IF(ISNUMBER(CL[]),COUNTIF(CL[],"&gt;"&amp;CL[])+1,""),0)),"")</f>
        <v/>
      </c>
      <c r="AB58" s="2" t="str" cm="1">
        <f t="array" ref="AB58">IFERROR(INDEX(MID(Designation[],SEARCH("-",Designation[])+1,LEN(Designation[])-SEARCH("-",Designation[])),MATCH(SMALL(IFERROR(IF(MATCH(IF(ISNUMBER(FIND(MJGES01_00028_2!$H$2,Designation[])),Designation[],""),Designation[],0)=ROW(Designation[])-9,COUNTIF(Designation[],"&lt;"&amp;Designation[])+1,""),""),ROW(A49)),IF(Designation[]&lt;&gt;"",COUNTIF(Designation[],"&lt;"&amp;Designation[])+1,""),0)),"")</f>
        <v/>
      </c>
      <c r="AG58" s="2" t="str" cm="1">
        <f t="array" ref="AG58">IFERROR(INDEX(CL[],SMALL(IFERROR(MATCH(IF(MID(Designation[],SEARCH("-",Designation[])+1,LEN(Designation[])-SEARCH("-",Designation[]))=MJGES01_00028_2!$I$2,CL[],""),CL[],0),""),ROW(A49))),"")</f>
        <v/>
      </c>
      <c r="AJ58" s="2" t="str" cm="1">
        <f t="array" ref="AJ58">IFERROR(INDEX(Designation[],SMALL(IFERROR(IF(MATCH(IF(Designation[]&lt;&gt;"",Designation[],""),Designation[],0)=ROW(Designation[])-9,ROW(Designation[])-9,""),""),ROW(A49))),"")</f>
        <v>TH-Spicy Ginger Beer</v>
      </c>
      <c r="AK58" s="2" t="str">
        <f ca="1"/>
        <v>TH-Spicy Ginger Beer</v>
      </c>
      <c r="AN58" s="2" t="str" cm="1">
        <f t="array" ref="AN58">IFERROR(INDEX(CL[],MATCH(SMALL(IFERROR(IF(MATCH(IF(ISNUMBER(CL[]),CL[],""),CL[],0)=ROW(CL[])-9,COUNTIF(CL[],"&gt;"&amp;CL[])+1,""),""),ROW(A49)),IF(ISNUMBER(CL[]),COUNTIF(CL[],"&gt;"&amp;CL[])+1,""),0)),"")</f>
        <v/>
      </c>
      <c r="AR58" s="2" t="str" cm="1">
        <f t="array" ref="AR58">IFERROR(INDEX(Designation[],MATCH(SMALL(IFERROR(IF(MATCH(IF(Designation[]&lt;&gt;"",Designation[],""),Designation[],0)=ROW(Designation[])-9,COUNTIF(Designation[],"&lt;"&amp;Designation[])+1,""),""),ROW(A49)),IF(Designation[]&lt;&gt;"",COUNTIF(Designation[],"&lt;"&amp;Designation[])+1),0)),"")</f>
        <v>TH-Ginger Ale</v>
      </c>
      <c r="AU58" s="2" t="str">
        <f ca="1"/>
        <v>TH-Ginger Ale</v>
      </c>
      <c r="BA58" s="2" t="str" cm="1">
        <f t="array" ref="BA58">IFERROR(INDEX(Designation[],SMALL(IFERROR(MATCH(IF(ISNUMBER(SEARCH($AZ$10,Designation[])),Designation[],""),Designation[],0),""),ROW(A49))),"")</f>
        <v/>
      </c>
      <c r="BD58" s="2" t="str" cm="1">
        <f t="array" ref="BD58">IFERROR(INDEX(Designation[],MATCH(SMALL(IFERROR(IF(MATCH(IF(ISNUMBER(SEARCH(MJGES01_00028_2!$H$2,Designation[])),Designation[],""),Designation[],0)=ROW(Designation[])-9,COUNTIF(Designation[],"&lt;"&amp;Designation[])+1,""),""),ROW(A49)),IF(Designation[]&lt;&gt;"",COUNTIF(Designation[],"&lt;"&amp;Designation[])+1),0)),"")</f>
        <v/>
      </c>
      <c r="BI58" s="2" t="e">
        <v>#N/A</v>
      </c>
      <c r="BJ58" s="2" t="e">
        <v>#N/A</v>
      </c>
      <c r="BK58" s="164">
        <v>12</v>
      </c>
      <c r="BL58" s="164"/>
      <c r="BM58" t="str" cm="1">
        <f t="array" ref="BM58">IFERROR(INDEX(CL[],MATCH(SMALL(IFERROR(IF(MATCH(IF(Designation[]=$BD$10,CL[],""),CL[],0)&lt;&gt;"",COUNTIF(CL[],"&gt;"&amp;CL[])+1,""),""),ROW(A49)),IF(CL[]&lt;&gt;"",COUNTIF(CL[],"&gt;"&amp;CL[])+1,"0"),0)),"")</f>
        <v/>
      </c>
    </row>
    <row r="59" spans="2:65" x14ac:dyDescent="0.25">
      <c r="B59" s="34">
        <v>3257150100907</v>
      </c>
      <c r="C59" s="164" t="s">
        <v>127</v>
      </c>
      <c r="E59" s="35"/>
      <c r="F59" s="36">
        <v>75</v>
      </c>
      <c r="G59" s="37">
        <v>41</v>
      </c>
      <c r="H59" s="37">
        <v>1</v>
      </c>
      <c r="I59" s="86">
        <v>1839.6</v>
      </c>
      <c r="J59" s="79">
        <v>1795.8</v>
      </c>
      <c r="K59" s="80"/>
      <c r="M59" s="41">
        <f t="shared" si="17"/>
        <v>5.493764249999999</v>
      </c>
      <c r="N59" s="42">
        <f t="shared" si="18"/>
        <v>1.7639429999999998</v>
      </c>
      <c r="O59" s="43">
        <f t="shared" si="19"/>
        <v>1803.0577072499998</v>
      </c>
      <c r="P59" s="44">
        <f t="shared" si="21"/>
        <v>2163.6692487</v>
      </c>
      <c r="Q59" s="33">
        <f t="shared" si="20"/>
        <v>0.2</v>
      </c>
      <c r="R59" s="33"/>
      <c r="S59" s="2" t="str">
        <f t="array" ref="S59">IFERROR(INDEX(Designation[],MATCH(0,IF(Designation[]&lt;&gt;"",COUNTIF($S$9:S58,Designation[])),0)),"")</f>
        <v>TH-Elderflower</v>
      </c>
      <c r="Y59" s="2" t="str" cm="1">
        <f t="array" ref="Y59">IFERROR(INDEX(CL[],MATCH(SMALL(IFERROR(IF(MATCH(IF(ISNUMBER(CL[]),CL[],""),CL[],0)=ROW(CL[])-9,COUNTIF(CL[],"&gt;"&amp;CL[])+1,""),""),ROW(A50)),IF(ISNUMBER(CL[]),COUNTIF(CL[],"&gt;"&amp;CL[])+1,""),0)),"")</f>
        <v/>
      </c>
      <c r="AB59" s="2" t="str" cm="1">
        <f t="array" ref="AB59">IFERROR(INDEX(MID(Designation[],SEARCH("-",Designation[])+1,LEN(Designation[])-SEARCH("-",Designation[])),MATCH(SMALL(IFERROR(IF(MATCH(IF(ISNUMBER(FIND(MJGES01_00028_2!$H$2,Designation[])),Designation[],""),Designation[],0)=ROW(Designation[])-9,COUNTIF(Designation[],"&lt;"&amp;Designation[])+1,""),""),ROW(A50)),IF(Designation[]&lt;&gt;"",COUNTIF(Designation[],"&lt;"&amp;Designation[])+1,""),0)),"")</f>
        <v/>
      </c>
      <c r="AG59" s="2" t="str" cm="1">
        <f t="array" ref="AG59">IFERROR(INDEX(CL[],SMALL(IFERROR(MATCH(IF(MID(Designation[],SEARCH("-",Designation[])+1,LEN(Designation[])-SEARCH("-",Designation[]))=MJGES01_00028_2!$I$2,CL[],""),CL[],0),""),ROW(A50))),"")</f>
        <v/>
      </c>
      <c r="AJ59" s="2" t="str" cm="1">
        <f t="array" ref="AJ59">IFERROR(INDEX(Designation[],SMALL(IFERROR(IF(MATCH(IF(Designation[]&lt;&gt;"",Designation[],""),Designation[],0)=ROW(Designation[])-9,ROW(Designation[])-9,""),""),ROW(A50))),"")</f>
        <v>TH-Elderflower</v>
      </c>
      <c r="AK59" s="2" t="str">
        <f ca="1"/>
        <v>TH-Elderflower</v>
      </c>
      <c r="AN59" s="2" t="str" cm="1">
        <f t="array" ref="AN59">IFERROR(INDEX(CL[],MATCH(SMALL(IFERROR(IF(MATCH(IF(ISNUMBER(CL[]),CL[],""),CL[],0)=ROW(CL[])-9,COUNTIF(CL[],"&gt;"&amp;CL[])+1,""),""),ROW(A50)),IF(ISNUMBER(CL[]),COUNTIF(CL[],"&gt;"&amp;CL[])+1,""),0)),"")</f>
        <v/>
      </c>
      <c r="AR59" s="2" t="str" cm="1">
        <f t="array" ref="AR59">IFERROR(INDEX(Designation[],MATCH(SMALL(IFERROR(IF(MATCH(IF(Designation[]&lt;&gt;"",Designation[],""),Designation[],0)=ROW(Designation[])-9,COUNTIF(Designation[],"&lt;"&amp;Designation[])+1,""),""),ROW(A50)),IF(Designation[]&lt;&gt;"",COUNTIF(Designation[],"&lt;"&amp;Designation[])+1),0)),"")</f>
        <v>TH-Mate Mate</v>
      </c>
      <c r="AU59" s="2" t="str">
        <f ca="1"/>
        <v>TH-Mate Mate</v>
      </c>
      <c r="BA59" s="2" t="str" cm="1">
        <f t="array" ref="BA59">IFERROR(INDEX(Designation[],SMALL(IFERROR(MATCH(IF(ISNUMBER(SEARCH($AZ$10,Designation[])),Designation[],""),Designation[],0),""),ROW(A50))),"")</f>
        <v/>
      </c>
      <c r="BD59" s="2" t="str" cm="1">
        <f t="array" ref="BD59">IFERROR(INDEX(Designation[],MATCH(SMALL(IFERROR(IF(MATCH(IF(ISNUMBER(SEARCH(MJGES01_00028_2!$H$2,Designation[])),Designation[],""),Designation[],0)=ROW(Designation[])-9,COUNTIF(Designation[],"&lt;"&amp;Designation[])+1,""),""),ROW(A50)),IF(Designation[]&lt;&gt;"",COUNTIF(Designation[],"&lt;"&amp;Designation[])+1),0)),"")</f>
        <v/>
      </c>
      <c r="BI59" s="2" t="e">
        <v>#N/A</v>
      </c>
      <c r="BJ59" s="2" t="e">
        <v>#N/A</v>
      </c>
      <c r="BK59" s="164">
        <v>8</v>
      </c>
      <c r="BL59" s="164"/>
      <c r="BM59" t="str" cm="1">
        <f t="array" ref="BM59">IFERROR(INDEX(CL[],MATCH(SMALL(IFERROR(IF(MATCH(IF(Designation[]=$BD$10,CL[],""),CL[],0)&lt;&gt;"",COUNTIF(CL[],"&gt;"&amp;CL[])+1,""),""),ROW(A50)),IF(CL[]&lt;&gt;"",COUNTIF(CL[],"&gt;"&amp;CL[])+1,"0"),0)),"")</f>
        <v/>
      </c>
    </row>
    <row r="60" spans="2:65" x14ac:dyDescent="0.25">
      <c r="B60" s="34">
        <v>3257150102314</v>
      </c>
      <c r="C60" s="164" t="s">
        <v>128</v>
      </c>
      <c r="E60" s="35"/>
      <c r="F60" s="36">
        <v>10</v>
      </c>
      <c r="G60" s="37">
        <v>60</v>
      </c>
      <c r="H60" s="37">
        <v>6</v>
      </c>
      <c r="I60" s="86">
        <v>16.649999999999999</v>
      </c>
      <c r="J60" s="79">
        <v>13.86</v>
      </c>
      <c r="K60" s="80"/>
      <c r="M60" s="41">
        <f t="shared" si="17"/>
        <v>1.0719539999999999</v>
      </c>
      <c r="N60" s="42">
        <f t="shared" si="18"/>
        <v>0.34418399999999993</v>
      </c>
      <c r="O60" s="43">
        <f t="shared" si="19"/>
        <v>15.276138</v>
      </c>
      <c r="P60" s="44">
        <f t="shared" si="21"/>
        <v>18.331365599999998</v>
      </c>
      <c r="Q60" s="33">
        <f t="shared" si="20"/>
        <v>0.2</v>
      </c>
      <c r="R60" s="33"/>
      <c r="S60" s="2" t="str">
        <f t="array" ref="S60">IFERROR(INDEX(Designation[],MATCH(0,IF(Designation[]&lt;&gt;"",COUNTIF($S$9:S59,Designation[])),0)),"")</f>
        <v>TH-Mate Mate</v>
      </c>
      <c r="T60" s="87"/>
      <c r="Y60" s="2" t="str" cm="1">
        <f t="array" ref="Y60">IFERROR(INDEX(CL[],MATCH(SMALL(IFERROR(IF(MATCH(IF(ISNUMBER(CL[]),CL[],""),CL[],0)=ROW(CL[])-9,COUNTIF(CL[],"&gt;"&amp;CL[])+1,""),""),ROW(A51)),IF(ISNUMBER(CL[]),COUNTIF(CL[],"&gt;"&amp;CL[])+1,""),0)),"")</f>
        <v/>
      </c>
      <c r="AB60" s="2" t="str" cm="1">
        <f t="array" ref="AB60">IFERROR(INDEX(MID(Designation[],SEARCH("-",Designation[])+1,LEN(Designation[])-SEARCH("-",Designation[])),MATCH(SMALL(IFERROR(IF(MATCH(IF(ISNUMBER(FIND(MJGES01_00028_2!$H$2,Designation[])),Designation[],""),Designation[],0)=ROW(Designation[])-9,COUNTIF(Designation[],"&lt;"&amp;Designation[])+1,""),""),ROW(A51)),IF(Designation[]&lt;&gt;"",COUNTIF(Designation[],"&lt;"&amp;Designation[])+1,""),0)),"")</f>
        <v/>
      </c>
      <c r="AG60" s="2" t="str" cm="1">
        <f t="array" ref="AG60">IFERROR(INDEX(CL[],SMALL(IFERROR(MATCH(IF(MID(Designation[],SEARCH("-",Designation[])+1,LEN(Designation[])-SEARCH("-",Designation[]))=MJGES01_00028_2!$I$2,CL[],""),CL[],0),""),ROW(A51))),"")</f>
        <v/>
      </c>
      <c r="AJ60" s="2" t="str" cm="1">
        <f t="array" ref="AJ60">IFERROR(INDEX(Designation[],SMALL(IFERROR(IF(MATCH(IF(Designation[]&lt;&gt;"",Designation[],""),Designation[],0)=ROW(Designation[])-9,ROW(Designation[])-9,""),""),ROW(A51))),"")</f>
        <v>TH-Mate Mate</v>
      </c>
      <c r="AK60" s="2" t="str">
        <f ca="1"/>
        <v>TH-Mate Mate</v>
      </c>
      <c r="AN60" s="2" t="str" cm="1">
        <f t="array" ref="AN60">IFERROR(INDEX(CL[],MATCH(SMALL(IFERROR(IF(MATCH(IF(ISNUMBER(CL[]),CL[],""),CL[],0)=ROW(CL[])-9,COUNTIF(CL[],"&gt;"&amp;CL[])+1,""),""),ROW(A51)),IF(ISNUMBER(CL[]),COUNTIF(CL[],"&gt;"&amp;CL[])+1,""),0)),"")</f>
        <v/>
      </c>
      <c r="AR60" s="2" t="str" cm="1">
        <f t="array" ref="AR60">IFERROR(INDEX(Designation[],MATCH(SMALL(IFERROR(IF(MATCH(IF(Designation[]&lt;&gt;"",Designation[],""),Designation[],0)=ROW(Designation[])-9,COUNTIF(Designation[],"&lt;"&amp;Designation[])+1,""),""),ROW(A51)),IF(Designation[]&lt;&gt;"",COUNTIF(Designation[],"&lt;"&amp;Designation[])+1),0)),"")</f>
        <v>TH-Soda Water</v>
      </c>
      <c r="AU60" s="2" t="str">
        <f ca="1"/>
        <v>TH-Soda Water</v>
      </c>
      <c r="BA60" s="2" t="str" cm="1">
        <f t="array" ref="BA60">IFERROR(INDEX(Designation[],SMALL(IFERROR(MATCH(IF(ISNUMBER(SEARCH($AZ$10,Designation[])),Designation[],""),Designation[],0),""),ROW(A51))),"")</f>
        <v/>
      </c>
      <c r="BD60" s="2" t="str" cm="1">
        <f t="array" ref="BD60">IFERROR(INDEX(Designation[],MATCH(SMALL(IFERROR(IF(MATCH(IF(ISNUMBER(SEARCH(MJGES01_00028_2!$H$2,Designation[])),Designation[],""),Designation[],0)=ROW(Designation[])-9,COUNTIF(Designation[],"&lt;"&amp;Designation[])+1,""),""),ROW(A51)),IF(Designation[]&lt;&gt;"",COUNTIF(Designation[],"&lt;"&amp;Designation[])+1),0)),"")</f>
        <v/>
      </c>
      <c r="BI60" s="2" t="e">
        <v>#N/A</v>
      </c>
      <c r="BJ60" s="2" t="e">
        <v>#N/A</v>
      </c>
      <c r="BK60" s="164">
        <v>59</v>
      </c>
      <c r="BL60" s="164"/>
      <c r="BM60" t="str" cm="1">
        <f t="array" ref="BM60">IFERROR(INDEX(CL[],MATCH(SMALL(IFERROR(IF(MATCH(IF(Designation[]=$BD$10,CL[],""),CL[],0)&lt;&gt;"",COUNTIF(CL[],"&gt;"&amp;CL[])+1,""),""),ROW(A51)),IF(CL[]&lt;&gt;"",COUNTIF(CL[],"&gt;"&amp;CL[])+1,"0"),0)),"")</f>
        <v/>
      </c>
    </row>
    <row r="61" spans="2:65" x14ac:dyDescent="0.25">
      <c r="B61" s="34">
        <v>3257150102284</v>
      </c>
      <c r="C61" s="164" t="s">
        <v>129</v>
      </c>
      <c r="E61" s="35"/>
      <c r="F61" s="36">
        <v>10</v>
      </c>
      <c r="G61" s="37">
        <v>60</v>
      </c>
      <c r="H61" s="37">
        <v>6</v>
      </c>
      <c r="I61" s="86">
        <v>23.13</v>
      </c>
      <c r="J61" s="79">
        <v>19.25</v>
      </c>
      <c r="K61" s="80"/>
      <c r="M61" s="41">
        <f t="shared" si="17"/>
        <v>1.0719539999999999</v>
      </c>
      <c r="N61" s="42">
        <f t="shared" si="18"/>
        <v>0.34418399999999993</v>
      </c>
      <c r="O61" s="43">
        <f t="shared" si="19"/>
        <v>20.666137999999997</v>
      </c>
      <c r="P61" s="88">
        <f t="shared" si="21"/>
        <v>24.799365599999994</v>
      </c>
      <c r="Q61" s="33">
        <f t="shared" si="20"/>
        <v>0.2</v>
      </c>
      <c r="R61" s="33"/>
      <c r="S61" s="2" t="str">
        <f t="array" ref="S61">IFERROR(INDEX(Designation[],MATCH(0,IF(Designation[]&lt;&gt;"",COUNTIF($S$9:S60,Designation[])),0)),"")</f>
        <v>BAR ITEM-TAP MACHINE 3 btl</v>
      </c>
      <c r="Y61" s="2" t="str" cm="1">
        <f t="array" ref="Y61">IFERROR(INDEX(CL[],MATCH(SMALL(IFERROR(IF(MATCH(IF(ISNUMBER(CL[]),CL[],""),CL[],0)=ROW(CL[])-9,COUNTIF(CL[],"&gt;"&amp;CL[])+1,""),""),ROW(A52)),IF(ISNUMBER(CL[]),COUNTIF(CL[],"&gt;"&amp;CL[])+1,""),0)),"")</f>
        <v/>
      </c>
      <c r="AB61" s="2" t="str" cm="1">
        <f t="array" ref="AB61">IFERROR(INDEX(MID(Designation[],SEARCH("-",Designation[])+1,LEN(Designation[])-SEARCH("-",Designation[])),MATCH(SMALL(IFERROR(IF(MATCH(IF(ISNUMBER(FIND(MJGES01_00028_2!$H$2,Designation[])),Designation[],""),Designation[],0)=ROW(Designation[])-9,COUNTIF(Designation[],"&lt;"&amp;Designation[])+1,""),""),ROW(A52)),IF(Designation[]&lt;&gt;"",COUNTIF(Designation[],"&lt;"&amp;Designation[])+1,""),0)),"")</f>
        <v/>
      </c>
      <c r="AG61" s="2" t="str" cm="1">
        <f t="array" ref="AG61">IFERROR(INDEX(CL[],SMALL(IFERROR(MATCH(IF(MID(Designation[],SEARCH("-",Designation[])+1,LEN(Designation[])-SEARCH("-",Designation[]))=MJGES01_00028_2!$I$2,CL[],""),CL[],0),""),ROW(A52))),"")</f>
        <v/>
      </c>
      <c r="AJ61" s="2" t="str" cm="1">
        <f t="array" ref="AJ61">IFERROR(INDEX(Designation[],SMALL(IFERROR(IF(MATCH(IF(Designation[]&lt;&gt;"",Designation[],""),Designation[],0)=ROW(Designation[])-9,ROW(Designation[])-9,""),""),ROW(A52))),"")</f>
        <v>BAR ITEM-TAP MACHINE 3 btl</v>
      </c>
      <c r="AK61" s="2" t="str">
        <f ca="1"/>
        <v>BAR ITEM-TAP MACHINE 3 btl</v>
      </c>
      <c r="AN61" s="2" t="str" cm="1">
        <f t="array" ref="AN61">IFERROR(INDEX(CL[],MATCH(SMALL(IFERROR(IF(MATCH(IF(ISNUMBER(CL[]),CL[],""),CL[],0)=ROW(CL[])-9,COUNTIF(CL[],"&gt;"&amp;CL[])+1,""),""),ROW(A52)),IF(ISNUMBER(CL[]),COUNTIF(CL[],"&gt;"&amp;CL[])+1,""),0)),"")</f>
        <v/>
      </c>
      <c r="AR61" s="2" t="str" cm="1">
        <f t="array" ref="AR61">IFERROR(INDEX(Designation[],MATCH(SMALL(IFERROR(IF(MATCH(IF(Designation[]&lt;&gt;"",Designation[],""),Designation[],0)=ROW(Designation[])-9,COUNTIF(Designation[],"&lt;"&amp;Designation[])+1,""),""),ROW(A52)),IF(Designation[]&lt;&gt;"",COUNTIF(Designation[],"&lt;"&amp;Designation[])+1),0)),"")</f>
        <v>TH-Spicy Ginger Beer</v>
      </c>
      <c r="AU61" s="2" t="str">
        <f ca="1"/>
        <v>TH-Spicy Ginger Beer</v>
      </c>
      <c r="BA61" s="2" t="str" cm="1">
        <f t="array" ref="BA61">IFERROR(INDEX(Designation[],SMALL(IFERROR(MATCH(IF(ISNUMBER(SEARCH($AZ$10,Designation[])),Designation[],""),Designation[],0),""),ROW(A52))),"")</f>
        <v/>
      </c>
      <c r="BD61" s="2" t="str" cm="1">
        <f t="array" ref="BD61">IFERROR(INDEX(Designation[],MATCH(SMALL(IFERROR(IF(MATCH(IF(ISNUMBER(SEARCH(MJGES01_00028_2!$H$2,Designation[])),Designation[],""),Designation[],0)=ROW(Designation[])-9,COUNTIF(Designation[],"&lt;"&amp;Designation[])+1,""),""),ROW(A52)),IF(Designation[]&lt;&gt;"",COUNTIF(Designation[],"&lt;"&amp;Designation[])+1),0)),"")</f>
        <v/>
      </c>
      <c r="BI61" s="2" t="e">
        <v>#N/A</v>
      </c>
      <c r="BJ61" s="2" t="e">
        <v>#N/A</v>
      </c>
      <c r="BK61" s="164">
        <v>59</v>
      </c>
      <c r="BL61" s="164"/>
      <c r="BM61" t="str" cm="1">
        <f t="array" ref="BM61">IFERROR(INDEX(CL[],MATCH(SMALL(IFERROR(IF(MATCH(IF(Designation[]=$BD$10,CL[],""),CL[],0)&lt;&gt;"",COUNTIF(CL[],"&gt;"&amp;CL[])+1,""),""),ROW(A52)),IF(CL[]&lt;&gt;"",COUNTIF(CL[],"&gt;"&amp;CL[])+1,"0"),0)),"")</f>
        <v/>
      </c>
    </row>
    <row r="62" spans="2:65" ht="15.75" thickBot="1" x14ac:dyDescent="0.3">
      <c r="B62" s="45">
        <v>3257150100821</v>
      </c>
      <c r="C62" s="172" t="s">
        <v>123</v>
      </c>
      <c r="D62" s="46"/>
      <c r="E62" s="47"/>
      <c r="F62" s="48">
        <v>5</v>
      </c>
      <c r="G62" s="49">
        <v>40</v>
      </c>
      <c r="H62" s="49"/>
      <c r="I62" s="82">
        <v>7.4</v>
      </c>
      <c r="J62" s="83"/>
      <c r="K62" s="84">
        <v>2.04</v>
      </c>
      <c r="M62" s="53">
        <f t="shared" si="17"/>
        <v>0.35731800000000002</v>
      </c>
      <c r="N62" s="54">
        <f t="shared" si="18"/>
        <v>0.114728</v>
      </c>
      <c r="O62" s="55" t="str">
        <f t="shared" si="19"/>
        <v xml:space="preserve"> </v>
      </c>
      <c r="P62" s="88">
        <f t="shared" si="21"/>
        <v>0</v>
      </c>
      <c r="Q62" s="33">
        <f>IF(OR(G62&gt;0,H62="IT"),0.2,IF(ISBLANK(G62)," ",IF(G62&lt;=0,0.055," ")))</f>
        <v>0.2</v>
      </c>
      <c r="R62" s="33"/>
      <c r="S62" s="2" t="str">
        <f t="array" ref="S62">IFERROR(INDEX(Designation[],MATCH(0,IF(Designation[]&lt;&gt;"",COUNTIF($S$9:S61,Designation[])),0)),"")</f>
        <v>BAR ITEM-TAP MACHINE 1 btl</v>
      </c>
      <c r="T62" s="89"/>
      <c r="Y62" s="2" t="str" cm="1">
        <f t="array" ref="Y62">IFERROR(INDEX(CL[],MATCH(SMALL(IFERROR(IF(MATCH(IF(ISNUMBER(CL[]),CL[],""),CL[],0)=ROW(CL[])-9,COUNTIF(CL[],"&gt;"&amp;CL[])+1,""),""),ROW(A53)),IF(ISNUMBER(CL[]),COUNTIF(CL[],"&gt;"&amp;CL[])+1,""),0)),"")</f>
        <v/>
      </c>
      <c r="AB62" s="2" t="str" cm="1">
        <f t="array" ref="AB62">IFERROR(INDEX(MID(Designation[],SEARCH("-",Designation[])+1,LEN(Designation[])-SEARCH("-",Designation[])),MATCH(SMALL(IFERROR(IF(MATCH(IF(ISNUMBER(FIND(MJGES01_00028_2!$H$2,Designation[])),Designation[],""),Designation[],0)=ROW(Designation[])-9,COUNTIF(Designation[],"&lt;"&amp;Designation[])+1,""),""),ROW(A53)),IF(Designation[]&lt;&gt;"",COUNTIF(Designation[],"&lt;"&amp;Designation[])+1,""),0)),"")</f>
        <v/>
      </c>
      <c r="AG62" s="2" t="str" cm="1">
        <f t="array" ref="AG62">IFERROR(INDEX(CL[],SMALL(IFERROR(MATCH(IF(MID(Designation[],SEARCH("-",Designation[])+1,LEN(Designation[])-SEARCH("-",Designation[]))=MJGES01_00028_2!$I$2,CL[],""),CL[],0),""),ROW(A53))),"")</f>
        <v/>
      </c>
      <c r="AJ62" s="2" t="str" cm="1">
        <f t="array" ref="AJ62">IFERROR(INDEX(Designation[],SMALL(IFERROR(IF(MATCH(IF(Designation[]&lt;&gt;"",Designation[],""),Designation[],0)=ROW(Designation[])-9,ROW(Designation[])-9,""),""),ROW(A53))),"")</f>
        <v>BAR ITEM-TAP MACHINE 1 btl</v>
      </c>
      <c r="AK62" s="2" t="str">
        <f ca="1"/>
        <v>BAR ITEM-TAP MACHINE 1 btl</v>
      </c>
      <c r="AN62" s="2" t="str" cm="1">
        <f t="array" ref="AN62">IFERROR(INDEX(CL[],MATCH(SMALL(IFERROR(IF(MATCH(IF(ISNUMBER(CL[]),CL[],""),CL[],0)=ROW(CL[])-9,COUNTIF(CL[],"&gt;"&amp;CL[])+1,""),""),ROW(A53)),IF(ISNUMBER(CL[]),COUNTIF(CL[],"&gt;"&amp;CL[])+1,""),0)),"")</f>
        <v/>
      </c>
      <c r="AR62" s="2" t="str" cm="1">
        <f t="array" ref="AR62">IFERROR(INDEX(Designation[],MATCH(SMALL(IFERROR(IF(MATCH(IF(Designation[]&lt;&gt;"",Designation[],""),Designation[],0)=ROW(Designation[])-9,COUNTIF(Designation[],"&lt;"&amp;Designation[])+1,""),""),ROW(A53)),IF(Designation[]&lt;&gt;"",COUNTIF(Designation[],"&lt;"&amp;Designation[])+1),0)),"")</f>
        <v>TH-Tonic Water</v>
      </c>
      <c r="AU62" s="2" t="str">
        <f ca="1"/>
        <v>TH-Tonic Water</v>
      </c>
      <c r="BA62" s="2" t="str" cm="1">
        <f t="array" ref="BA62">IFERROR(INDEX(Designation[],SMALL(IFERROR(MATCH(IF(ISNUMBER(SEARCH($AZ$10,Designation[])),Designation[],""),Designation[],0),""),ROW(A53))),"")</f>
        <v/>
      </c>
      <c r="BD62" s="2" t="str" cm="1">
        <f t="array" ref="BD62">IFERROR(INDEX(Designation[],MATCH(SMALL(IFERROR(IF(MATCH(IF(ISNUMBER(SEARCH(MJGES01_00028_2!$H$2,Designation[])),Designation[],""),Designation[],0)=ROW(Designation[])-9,COUNTIF(Designation[],"&lt;"&amp;Designation[])+1,""),""),ROW(A53)),IF(Designation[]&lt;&gt;"",COUNTIF(Designation[],"&lt;"&amp;Designation[])+1),0)),"")</f>
        <v/>
      </c>
      <c r="BI62" s="2" t="e">
        <v>#N/A</v>
      </c>
      <c r="BJ62" s="2" t="e">
        <v>#N/A</v>
      </c>
      <c r="BK62" s="164">
        <v>61</v>
      </c>
      <c r="BL62" s="164"/>
      <c r="BM62" t="str" cm="1">
        <f t="array" ref="BM62">IFERROR(INDEX(CL[],MATCH(SMALL(IFERROR(IF(MATCH(IF(Designation[]=$BD$10,CL[],""),CL[],0)&lt;&gt;"",COUNTIF(CL[],"&gt;"&amp;CL[])+1,""),""),ROW(A53)),IF(CL[]&lt;&gt;"",COUNTIF(CL[],"&gt;"&amp;CL[])+1,"0"),0)),"")</f>
        <v/>
      </c>
    </row>
    <row r="63" spans="2:65" ht="16.5" thickTop="1" thickBot="1" x14ac:dyDescent="0.3">
      <c r="B63" s="57"/>
      <c r="F63" s="37"/>
      <c r="G63" s="37"/>
      <c r="H63" s="37"/>
      <c r="I63" s="90"/>
      <c r="J63" s="91"/>
      <c r="K63" s="90"/>
      <c r="M63" s="62"/>
      <c r="N63" s="62"/>
      <c r="O63" s="43"/>
      <c r="P63" s="92"/>
      <c r="S63" s="2" t="str">
        <f t="array" ref="S63">IFERROR(INDEX(Designation[],MATCH(0,IF(Designation[]&lt;&gt;"",COUNTIF($S$9:S62,Designation[])),0)),"")</f>
        <v>BAR ITEM-SG FREEZER</v>
      </c>
      <c r="Y63" s="2" t="str" cm="1">
        <f t="array" ref="Y63">IFERROR(INDEX(CL[],MATCH(SMALL(IFERROR(IF(MATCH(IF(ISNUMBER(CL[]),CL[],""),CL[],0)=ROW(CL[])-9,COUNTIF(CL[],"&gt;"&amp;CL[])+1,""),""),ROW(A54)),IF(ISNUMBER(CL[]),COUNTIF(CL[],"&gt;"&amp;CL[])+1,""),0)),"")</f>
        <v/>
      </c>
      <c r="AB63" s="2" t="str" cm="1">
        <f t="array" ref="AB63">IFERROR(INDEX(MID(Designation[],SEARCH("-",Designation[])+1,LEN(Designation[])-SEARCH("-",Designation[])),MATCH(SMALL(IFERROR(IF(MATCH(IF(ISNUMBER(FIND(MJGES01_00028_2!$H$2,Designation[])),Designation[],""),Designation[],0)=ROW(Designation[])-9,COUNTIF(Designation[],"&lt;"&amp;Designation[])+1,""),""),ROW(A54)),IF(Designation[]&lt;&gt;"",COUNTIF(Designation[],"&lt;"&amp;Designation[])+1,""),0)),"")</f>
        <v/>
      </c>
      <c r="AG63" s="2" t="str" cm="1">
        <f t="array" ref="AG63">IFERROR(INDEX(CL[],SMALL(IFERROR(MATCH(IF(MID(Designation[],SEARCH("-",Designation[])+1,LEN(Designation[])-SEARCH("-",Designation[]))=MJGES01_00028_2!$I$2,CL[],""),CL[],0),""),ROW(A54))),"")</f>
        <v/>
      </c>
      <c r="AJ63" s="2" t="str" cm="1">
        <f t="array" ref="AJ63">IFERROR(INDEX(Designation[],SMALL(IFERROR(IF(MATCH(IF(Designation[]&lt;&gt;"",Designation[],""),Designation[],0)=ROW(Designation[])-9,ROW(Designation[])-9,""),""),ROW(A54))),"")</f>
        <v>BAR ITEM-SG FREEZER</v>
      </c>
      <c r="AK63" s="2" t="str">
        <f ca="1"/>
        <v>BAR ITEM-SG FREEZER</v>
      </c>
      <c r="AN63" s="2" t="str" cm="1">
        <f t="array" ref="AN63">IFERROR(INDEX(CL[],MATCH(SMALL(IFERROR(IF(MATCH(IF(ISNUMBER(CL[]),CL[],""),CL[],0)=ROW(CL[])-9,COUNTIF(CL[],"&gt;"&amp;CL[])+1,""),""),ROW(A54)),IF(ISNUMBER(CL[]),COUNTIF(CL[],"&gt;"&amp;CL[])+1,""),0)),"")</f>
        <v/>
      </c>
      <c r="AR63" s="2" t="str" cm="1">
        <f t="array" ref="AR63">IFERROR(INDEX(Designation[],MATCH(SMALL(IFERROR(IF(MATCH(IF(Designation[]&lt;&gt;"",Designation[],""),Designation[],0)=ROW(Designation[])-9,COUNTIF(Designation[],"&lt;"&amp;Designation[])+1,""),""),ROW(A54)),IF(Designation[]&lt;&gt;"",COUNTIF(Designation[],"&lt;"&amp;Designation[])+1),0)),"")</f>
        <v>VERM-Gerin Rouge</v>
      </c>
      <c r="AU63" s="2" t="str">
        <f ca="1"/>
        <v>VERM-Gerin Rouge</v>
      </c>
      <c r="BA63" s="2" t="str" cm="1">
        <f t="array" ref="BA63">IFERROR(INDEX(Designation[],SMALL(IFERROR(MATCH(IF(ISNUMBER(SEARCH($AZ$10,Designation[])),Designation[],""),Designation[],0),""),ROW(A54))),"")</f>
        <v/>
      </c>
      <c r="BD63" s="2" t="str" cm="1">
        <f t="array" ref="BD63">IFERROR(INDEX(Designation[],MATCH(SMALL(IFERROR(IF(MATCH(IF(ISNUMBER(SEARCH(MJGES01_00028_2!$H$2,Designation[])),Designation[],""),Designation[],0)=ROW(Designation[])-9,COUNTIF(Designation[],"&lt;"&amp;Designation[])+1,""),""),ROW(A54)),IF(Designation[]&lt;&gt;"",COUNTIF(Designation[],"&lt;"&amp;Designation[])+1),0)),"")</f>
        <v/>
      </c>
      <c r="BI63" s="2" t="e">
        <v>#N/A</v>
      </c>
      <c r="BJ63" s="2" t="e">
        <v>#N/A</v>
      </c>
      <c r="BK63" s="164" t="str">
        <v/>
      </c>
      <c r="BL63" s="164"/>
      <c r="BM63" t="str" cm="1">
        <f t="array" ref="BM63">IFERROR(INDEX(CL[],MATCH(SMALL(IFERROR(IF(MATCH(IF(Designation[]=$BD$10,CL[],""),CL[],0)&lt;&gt;"",COUNTIF(CL[],"&gt;"&amp;CL[])+1,""),""),ROW(A54)),IF(CL[]&lt;&gt;"",COUNTIF(CL[],"&gt;"&amp;CL[])+1,"0"),0)),"")</f>
        <v/>
      </c>
    </row>
    <row r="64" spans="2:65" ht="20.25" thickTop="1" thickBot="1" x14ac:dyDescent="0.3">
      <c r="B64" s="74" t="s">
        <v>42</v>
      </c>
      <c r="C64" s="61"/>
      <c r="J64" s="58"/>
      <c r="O64" s="43"/>
      <c r="P64" s="93"/>
      <c r="S64" s="2" t="str">
        <f t="array" ref="S64">IFERROR(INDEX(Designation[],MATCH(0,IF(Designation[]&lt;&gt;"",COUNTIF($S$9:S63,Designation[])),0)),"")</f>
        <v>BAR ITEM-SPEED POURER</v>
      </c>
      <c r="Y64" s="2" t="str" cm="1">
        <f t="array" ref="Y64">IFERROR(INDEX(CL[],MATCH(SMALL(IFERROR(IF(MATCH(IF(ISNUMBER(CL[]),CL[],""),CL[],0)=ROW(CL[])-9,COUNTIF(CL[],"&gt;"&amp;CL[])+1,""),""),ROW(A55)),IF(ISNUMBER(CL[]),COUNTIF(CL[],"&gt;"&amp;CL[])+1,""),0)),"")</f>
        <v/>
      </c>
      <c r="AB64" s="2" t="str" cm="1">
        <f t="array" ref="AB64">IFERROR(INDEX(MID(Designation[],SEARCH("-",Designation[])+1,LEN(Designation[])-SEARCH("-",Designation[])),MATCH(SMALL(IFERROR(IF(MATCH(IF(ISNUMBER(FIND(MJGES01_00028_2!$H$2,Designation[])),Designation[],""),Designation[],0)=ROW(Designation[])-9,COUNTIF(Designation[],"&lt;"&amp;Designation[])+1,""),""),ROW(A55)),IF(Designation[]&lt;&gt;"",COUNTIF(Designation[],"&lt;"&amp;Designation[])+1,""),0)),"")</f>
        <v/>
      </c>
      <c r="AG64" s="2" t="str" cm="1">
        <f t="array" ref="AG64">IFERROR(INDEX(CL[],SMALL(IFERROR(MATCH(IF(MID(Designation[],SEARCH("-",Designation[])+1,LEN(Designation[])-SEARCH("-",Designation[]))=MJGES01_00028_2!$I$2,CL[],""),CL[],0),""),ROW(A55))),"")</f>
        <v/>
      </c>
      <c r="AJ64" s="2" t="str" cm="1">
        <f t="array" ref="AJ64">IFERROR(INDEX(Designation[],SMALL(IFERROR(IF(MATCH(IF(Designation[]&lt;&gt;"",Designation[],""),Designation[],0)=ROW(Designation[])-9,ROW(Designation[])-9,""),""),ROW(A55))),"")</f>
        <v>BAR ITEM-SPEED POURER</v>
      </c>
      <c r="AK64" s="2" t="str">
        <f ca="1"/>
        <v>BAR ITEM-SPEED POURER</v>
      </c>
      <c r="AN64" s="2" t="str" cm="1">
        <f t="array" ref="AN64">IFERROR(INDEX(CL[],MATCH(SMALL(IFERROR(IF(MATCH(IF(ISNUMBER(CL[]),CL[],""),CL[],0)=ROW(CL[])-9,COUNTIF(CL[],"&gt;"&amp;CL[])+1,""),""),ROW(A55)),IF(ISNUMBER(CL[]),COUNTIF(CL[],"&gt;"&amp;CL[])+1,""),0)),"")</f>
        <v/>
      </c>
      <c r="AR64" s="2" t="str" cm="1">
        <f t="array" ref="AR64">IFERROR(INDEX(Designation[],MATCH(SMALL(IFERROR(IF(MATCH(IF(Designation[]&lt;&gt;"",Designation[],""),Designation[],0)=ROW(Designation[])-9,COUNTIF(Designation[],"&lt;"&amp;Designation[])+1,""),""),ROW(A55)),IF(Designation[]&lt;&gt;"",COUNTIF(Designation[],"&lt;"&amp;Designation[])+1),0)),"")</f>
        <v>VERM-Guerin Blanc</v>
      </c>
      <c r="AU64" s="2" t="str">
        <f ca="1"/>
        <v>VERM-Guerin Blanc</v>
      </c>
      <c r="BA64" s="2" t="str" cm="1">
        <f t="array" ref="BA64">IFERROR(INDEX(Designation[],SMALL(IFERROR(MATCH(IF(ISNUMBER(SEARCH($AZ$10,Designation[])),Designation[],""),Designation[],0),""),ROW(A55))),"")</f>
        <v/>
      </c>
      <c r="BD64" s="2" t="str" cm="1">
        <f t="array" ref="BD64">IFERROR(INDEX(Designation[],MATCH(SMALL(IFERROR(IF(MATCH(IF(ISNUMBER(SEARCH(MJGES01_00028_2!$H$2,Designation[])),Designation[],""),Designation[],0)=ROW(Designation[])-9,COUNTIF(Designation[],"&lt;"&amp;Designation[])+1,""),""),ROW(A55)),IF(Designation[]&lt;&gt;"",COUNTIF(Designation[],"&lt;"&amp;Designation[])+1),0)),"")</f>
        <v/>
      </c>
      <c r="BI64" s="2" t="e">
        <v>#N/A</v>
      </c>
      <c r="BJ64" s="2" t="e">
        <v>#N/A</v>
      </c>
      <c r="BK64" s="164" t="str">
        <v/>
      </c>
      <c r="BL64" s="164"/>
      <c r="BM64" t="str" cm="1">
        <f t="array" ref="BM64">IFERROR(INDEX(CL[],MATCH(SMALL(IFERROR(IF(MATCH(IF(Designation[]=$BD$10,CL[],""),CL[],0)&lt;&gt;"",COUNTIF(CL[],"&gt;"&amp;CL[])+1,""),""),ROW(A55)),IF(CL[]&lt;&gt;"",COUNTIF(CL[],"&gt;"&amp;CL[])+1,"0"),0)),"")</f>
        <v/>
      </c>
    </row>
    <row r="65" spans="2:65" ht="15.75" thickTop="1" x14ac:dyDescent="0.25">
      <c r="B65" s="21">
        <v>3257150688009</v>
      </c>
      <c r="C65" s="171" t="s">
        <v>112</v>
      </c>
      <c r="D65" s="22"/>
      <c r="E65" s="23"/>
      <c r="F65" s="24">
        <v>70</v>
      </c>
      <c r="G65" s="25">
        <v>32</v>
      </c>
      <c r="H65" s="25">
        <v>6</v>
      </c>
      <c r="I65" s="75">
        <v>9.23</v>
      </c>
      <c r="J65" s="76">
        <v>7.27</v>
      </c>
      <c r="K65" s="77"/>
      <c r="M65" s="29">
        <f t="shared" ref="M65:M66" si="22">IF(G65&gt;=18,($M$7/10000)*$F65*($G65/100),IF(G65&gt;0,($M$8/10000)*F65,0))</f>
        <v>4.0019615999999996</v>
      </c>
      <c r="N65" s="30">
        <f>IF(G65&gt;18,($N$7/10000)*$F65*($G65/100),0)</f>
        <v>1.2849536000000001</v>
      </c>
      <c r="O65" s="31">
        <f>IF(HLOOKUP($O$5,$I$7:$P$236,ROW()-6,FALSE)&gt;0,HLOOKUP($O$5,$I$7:$P$236,ROW()-6,FALSE)+M65+N65," ")</f>
        <v>12.556915199999999</v>
      </c>
      <c r="P65" s="94">
        <f t="shared" ref="P65:P66" si="23">IF(OR(COUNT(O65)=0,COUNT(Q65)=0),0,O65+(O65*Q65))</f>
        <v>15.068298239999999</v>
      </c>
      <c r="Q65" s="33">
        <f t="shared" ref="Q65" si="24">IF(OR(G65&gt;0,H65="IT"),0.2,IF(ISBLANK(G65)," ",IF(G65&lt;=0,0.055," ")))</f>
        <v>0.2</v>
      </c>
      <c r="R65" s="33"/>
      <c r="S65" s="2" t="str">
        <f t="array" ref="S65">IFERROR(INDEX(Designation[],MATCH(0,IF(Designation[]&lt;&gt;"",COUNTIF($S$9:S64,Designation[])),0)),"")</f>
        <v>BAR ITEM-FREEZER</v>
      </c>
      <c r="Y65" s="2" t="str" cm="1">
        <f t="array" ref="Y65">IFERROR(INDEX(CL[],MATCH(SMALL(IFERROR(IF(MATCH(IF(ISNUMBER(CL[]),CL[],""),CL[],0)=ROW(CL[])-9,COUNTIF(CL[],"&gt;"&amp;CL[])+1,""),""),ROW(A56)),IF(ISNUMBER(CL[]),COUNTIF(CL[],"&gt;"&amp;CL[])+1,""),0)),"")</f>
        <v/>
      </c>
      <c r="AB65" s="2" t="str" cm="1">
        <f t="array" ref="AB65">IFERROR(INDEX(MID(Designation[],SEARCH("-",Designation[])+1,LEN(Designation[])-SEARCH("-",Designation[])),MATCH(SMALL(IFERROR(IF(MATCH(IF(ISNUMBER(FIND(MJGES01_00028_2!$H$2,Designation[])),Designation[],""),Designation[],0)=ROW(Designation[])-9,COUNTIF(Designation[],"&lt;"&amp;Designation[])+1,""),""),ROW(A56)),IF(Designation[]&lt;&gt;"",COUNTIF(Designation[],"&lt;"&amp;Designation[])+1,""),0)),"")</f>
        <v/>
      </c>
      <c r="AG65" s="2" t="str" cm="1">
        <f t="array" ref="AG65">IFERROR(INDEX(CL[],SMALL(IFERROR(MATCH(IF(MID(Designation[],SEARCH("-",Designation[])+1,LEN(Designation[])-SEARCH("-",Designation[]))=MJGES01_00028_2!$I$2,CL[],""),CL[],0),""),ROW(A56))),"")</f>
        <v/>
      </c>
      <c r="AJ65" s="2" t="str" cm="1">
        <f t="array" ref="AJ65">IFERROR(INDEX(Designation[],SMALL(IFERROR(IF(MATCH(IF(Designation[]&lt;&gt;"",Designation[],""),Designation[],0)=ROW(Designation[])-9,ROW(Designation[])-9,""),""),ROW(A56))),"")</f>
        <v>BAR ITEM-FREEZER</v>
      </c>
      <c r="AK65" s="2" t="str">
        <f ca="1"/>
        <v>BAR ITEM-FREEZER</v>
      </c>
      <c r="AN65" s="2" t="str" cm="1">
        <f t="array" ref="AN65">IFERROR(INDEX(CL[],MATCH(SMALL(IFERROR(IF(MATCH(IF(ISNUMBER(CL[]),CL[],""),CL[],0)=ROW(CL[])-9,COUNTIF(CL[],"&gt;"&amp;CL[])+1,""),""),ROW(A56)),IF(ISNUMBER(CL[]),COUNTIF(CL[],"&gt;"&amp;CL[])+1,""),0)),"")</f>
        <v/>
      </c>
      <c r="AR65" s="2" t="str" cm="1">
        <f t="array" ref="AR65">IFERROR(INDEX(Designation[],MATCH(SMALL(IFERROR(IF(MATCH(IF(Designation[]&lt;&gt;"",Designation[],""),Designation[],0)=ROW(Designation[])-9,COUNTIF(Designation[],"&lt;"&amp;Designation[])+1,""),""),ROW(A56)),IF(Designation[]&lt;&gt;"",COUNTIF(Designation[],"&lt;"&amp;Designation[])+1),0)),"")</f>
        <v>VODK-Imperial collection Gold</v>
      </c>
      <c r="AU65" s="2" t="str">
        <f ca="1"/>
        <v>VODK-Imperial collection Gold</v>
      </c>
      <c r="BA65" s="2" t="str" cm="1">
        <f t="array" ref="BA65">IFERROR(INDEX(Designation[],SMALL(IFERROR(MATCH(IF(ISNUMBER(SEARCH($AZ$10,Designation[])),Designation[],""),Designation[],0),""),ROW(A56))),"")</f>
        <v/>
      </c>
      <c r="BD65" s="2" t="str" cm="1">
        <f t="array" ref="BD65">IFERROR(INDEX(Designation[],MATCH(SMALL(IFERROR(IF(MATCH(IF(ISNUMBER(SEARCH(MJGES01_00028_2!$H$2,Designation[])),Designation[],""),Designation[],0)=ROW(Designation[])-9,COUNTIF(Designation[],"&lt;"&amp;Designation[])+1,""),""),ROW(A56)),IF(Designation[]&lt;&gt;"",COUNTIF(Designation[],"&lt;"&amp;Designation[])+1),0)),"")</f>
        <v/>
      </c>
      <c r="BI65" s="2" t="e">
        <v>#N/A</v>
      </c>
      <c r="BJ65" s="2" t="e">
        <v>#N/A</v>
      </c>
      <c r="BK65" s="164">
        <v>12</v>
      </c>
      <c r="BL65" s="164"/>
      <c r="BM65" t="str" cm="1">
        <f t="array" ref="BM65">IFERROR(INDEX(CL[],MATCH(SMALL(IFERROR(IF(MATCH(IF(Designation[]=$BD$10,CL[],""),CL[],0)&lt;&gt;"",COUNTIF(CL[],"&gt;"&amp;CL[])+1,""),""),ROW(A56)),IF(CL[]&lt;&gt;"",COUNTIF(CL[],"&gt;"&amp;CL[])+1,"0"),0)),"")</f>
        <v/>
      </c>
    </row>
    <row r="66" spans="2:65" ht="15.75" thickBot="1" x14ac:dyDescent="0.3">
      <c r="B66" s="45"/>
      <c r="C66" s="46"/>
      <c r="D66" s="46"/>
      <c r="E66" s="47"/>
      <c r="F66" s="48"/>
      <c r="G66" s="49"/>
      <c r="H66" s="49"/>
      <c r="I66" s="95"/>
      <c r="J66" s="83"/>
      <c r="K66" s="84"/>
      <c r="L66" s="46"/>
      <c r="M66" s="53">
        <f t="shared" si="22"/>
        <v>0</v>
      </c>
      <c r="N66" s="54">
        <f>IF(G66&gt;18,($N$7/10000)*$F66*($G66/100),0)</f>
        <v>0</v>
      </c>
      <c r="O66" s="55" t="str">
        <f>IF(HLOOKUP($O$5,$I$7:$P$236,ROW()-6,FALSE)&gt;0,HLOOKUP($O$5,$I$7:$P$236,ROW()-6,FALSE)+M66+N66," ")</f>
        <v xml:space="preserve"> </v>
      </c>
      <c r="P66" s="96">
        <f t="shared" si="23"/>
        <v>0</v>
      </c>
      <c r="Q66" s="33"/>
      <c r="R66" s="33"/>
      <c r="S66" s="2" t="str">
        <f t="array" ref="S66">IFERROR(INDEX(Designation[],MATCH(0,IF(Designation[]&lt;&gt;"",COUNTIF($S$9:S65,Designation[])),0)),"")</f>
        <v/>
      </c>
      <c r="Y66" s="2" t="str" cm="1">
        <f t="array" ref="Y66">IFERROR(INDEX(CL[],MATCH(SMALL(IFERROR(IF(MATCH(IF(ISNUMBER(CL[]),CL[],""),CL[],0)=ROW(CL[])-9,COUNTIF(CL[],"&gt;"&amp;CL[])+1,""),""),ROW(A57)),IF(ISNUMBER(CL[]),COUNTIF(CL[],"&gt;"&amp;CL[])+1,""),0)),"")</f>
        <v/>
      </c>
      <c r="AB66" s="2" t="str" cm="1">
        <f t="array" ref="AB66">IFERROR(INDEX(MID(Designation[],SEARCH("-",Designation[])+1,LEN(Designation[])-SEARCH("-",Designation[])),MATCH(SMALL(IFERROR(IF(MATCH(IF(ISNUMBER(FIND(MJGES01_00028_2!$H$2,Designation[])),Designation[],""),Designation[],0)=ROW(Designation[])-9,COUNTIF(Designation[],"&lt;"&amp;Designation[])+1,""),""),ROW(A57)),IF(Designation[]&lt;&gt;"",COUNTIF(Designation[],"&lt;"&amp;Designation[])+1,""),0)),"")</f>
        <v/>
      </c>
      <c r="AG66" s="2" t="str" cm="1">
        <f t="array" ref="AG66">IFERROR(INDEX(CL[],SMALL(IFERROR(MATCH(IF(MID(Designation[],SEARCH("-",Designation[])+1,LEN(Designation[])-SEARCH("-",Designation[]))=MJGES01_00028_2!$I$2,CL[],""),CL[],0),""),ROW(A57))),"")</f>
        <v/>
      </c>
      <c r="AJ66" s="2" t="str" cm="1">
        <f t="array" ref="AJ66">IFERROR(INDEX(Designation[],SMALL(IFERROR(IF(MATCH(IF(Designation[]&lt;&gt;"",Designation[],""),Designation[],0)=ROW(Designation[])-9,ROW(Designation[])-9,""),""),ROW(A57))),"")</f>
        <v/>
      </c>
      <c r="AN66" s="2" t="str" cm="1">
        <f t="array" ref="AN66">IFERROR(INDEX(CL[],MATCH(SMALL(IFERROR(IF(MATCH(IF(ISNUMBER(CL[]),CL[],""),CL[],0)=ROW(CL[])-9,COUNTIF(CL[],"&gt;"&amp;CL[])+1,""),""),ROW(A57)),IF(ISNUMBER(CL[]),COUNTIF(CL[],"&gt;"&amp;CL[])+1,""),0)),"")</f>
        <v/>
      </c>
      <c r="AR66" s="2" t="str" cm="1">
        <f t="array" ref="AR66">IFERROR(INDEX(Designation[],MATCH(SMALL(IFERROR(IF(MATCH(IF(Designation[]&lt;&gt;"",Designation[],""),Designation[],0)=ROW(Designation[])-9,COUNTIF(Designation[],"&lt;"&amp;Designation[])+1,""),""),ROW(A57)),IF(Designation[]&lt;&gt;"",COUNTIF(Designation[],"&lt;"&amp;Designation[])+1),0)),"")</f>
        <v/>
      </c>
      <c r="BA66" s="2" t="str" cm="1">
        <f t="array" ref="BA66">IFERROR(INDEX(Designation[],SMALL(IFERROR(MATCH(IF(ISNUMBER(SEARCH($AZ$10,Designation[])),Designation[],""),Designation[],0),""),ROW(A57))),"")</f>
        <v/>
      </c>
      <c r="BD66" s="2" t="str" cm="1">
        <f t="array" ref="BD66">IFERROR(INDEX(Designation[],MATCH(SMALL(IFERROR(IF(MATCH(IF(ISNUMBER(SEARCH(MJGES01_00028_2!$H$2,Designation[])),Designation[],""),Designation[],0)=ROW(Designation[])-9,COUNTIF(Designation[],"&lt;"&amp;Designation[])+1,""),""),ROW(A57)),IF(Designation[]&lt;&gt;"",COUNTIF(Designation[],"&lt;"&amp;Designation[])+1),0)),"")</f>
        <v/>
      </c>
      <c r="BI66" s="2" t="e">
        <v>#N/A</v>
      </c>
      <c r="BJ66" s="2" t="e">
        <v>#N/A</v>
      </c>
      <c r="BK66" s="164" t="str">
        <v/>
      </c>
      <c r="BL66" s="164"/>
      <c r="BM66" t="str" cm="1">
        <f t="array" ref="BM66">IFERROR(INDEX(CL[],MATCH(SMALL(IFERROR(IF(MATCH(IF(Designation[]=$BD$10,CL[],""),CL[],0)&lt;&gt;"",COUNTIF(CL[],"&gt;"&amp;CL[])+1,""),""),ROW(A57)),IF(CL[]&lt;&gt;"",COUNTIF(CL[],"&gt;"&amp;CL[])+1,"0"),0)),"")</f>
        <v/>
      </c>
    </row>
    <row r="67" spans="2:65" ht="16.5" thickTop="1" thickBot="1" x14ac:dyDescent="0.3">
      <c r="S67" s="2" t="str">
        <f t="array" ref="S67">IFERROR(INDEX(Designation[],MATCH(0,IF(Designation[]&lt;&gt;"",COUNTIF($S$9:S66,Designation[])),0)),"")</f>
        <v/>
      </c>
      <c r="Y67" s="2" t="str" cm="1">
        <f t="array" ref="Y67">IFERROR(INDEX(CL[],MATCH(SMALL(IFERROR(IF(MATCH(IF(ISNUMBER(CL[]),CL[],""),CL[],0)=ROW(CL[])-9,COUNTIF(CL[],"&gt;"&amp;CL[])+1,""),""),ROW(A58)),IF(ISNUMBER(CL[]),COUNTIF(CL[],"&gt;"&amp;CL[])+1,""),0)),"")</f>
        <v/>
      </c>
      <c r="AB67" s="2" t="str" cm="1">
        <f t="array" ref="AB67">IFERROR(INDEX(MID(Designation[],SEARCH("-",Designation[])+1,LEN(Designation[])-SEARCH("-",Designation[])),MATCH(SMALL(IFERROR(IF(MATCH(IF(ISNUMBER(FIND(MJGES01_00028_2!$H$2,Designation[])),Designation[],""),Designation[],0)=ROW(Designation[])-9,COUNTIF(Designation[],"&lt;"&amp;Designation[])+1,""),""),ROW(A58)),IF(Designation[]&lt;&gt;"",COUNTIF(Designation[],"&lt;"&amp;Designation[])+1,""),0)),"")</f>
        <v/>
      </c>
      <c r="AG67" s="2" t="str" cm="1">
        <f t="array" ref="AG67">IFERROR(INDEX(CL[],SMALL(IFERROR(MATCH(IF(MID(Designation[],SEARCH("-",Designation[])+1,LEN(Designation[])-SEARCH("-",Designation[]))=MJGES01_00028_2!$I$2,CL[],""),CL[],0),""),ROW(A58))),"")</f>
        <v/>
      </c>
      <c r="AJ67" s="2" t="str" cm="1">
        <f t="array" ref="AJ67">IFERROR(INDEX(Designation[],SMALL(IFERROR(IF(MATCH(IF(Designation[]&lt;&gt;"",Designation[],""),Designation[],0)=ROW(Designation[])-9,ROW(Designation[])-9,""),""),ROW(A58))),"")</f>
        <v/>
      </c>
      <c r="AN67" s="2" t="str" cm="1">
        <f t="array" ref="AN67">IFERROR(INDEX(CL[],MATCH(SMALL(IFERROR(IF(MATCH(IF(ISNUMBER(CL[]),CL[],""),CL[],0)=ROW(CL[])-9,COUNTIF(CL[],"&gt;"&amp;CL[])+1,""),""),ROW(A58)),IF(ISNUMBER(CL[]),COUNTIF(CL[],"&gt;"&amp;CL[])+1,""),0)),"")</f>
        <v/>
      </c>
      <c r="AR67" s="2" t="str" cm="1">
        <f t="array" ref="AR67">IFERROR(INDEX(Designation[],MATCH(SMALL(IFERROR(IF(MATCH(IF(Designation[]&lt;&gt;"",Designation[],""),Designation[],0)=ROW(Designation[])-9,COUNTIF(Designation[],"&lt;"&amp;Designation[])+1,""),""),ROW(A58)),IF(Designation[]&lt;&gt;"",COUNTIF(Designation[],"&lt;"&amp;Designation[])+1),0)),"")</f>
        <v/>
      </c>
      <c r="BA67" s="2" t="str" cm="1">
        <f t="array" ref="BA67">IFERROR(INDEX(Designation[],SMALL(IFERROR(MATCH(IF(ISNUMBER(SEARCH($AZ$10,Designation[])),Designation[],""),Designation[],0),""),ROW(A58))),"")</f>
        <v/>
      </c>
      <c r="BD67" s="2" t="str" cm="1">
        <f t="array" ref="BD67">IFERROR(INDEX(Designation[],MATCH(SMALL(IFERROR(IF(MATCH(IF(ISNUMBER(SEARCH(MJGES01_00028_2!$H$2,Designation[])),Designation[],""),Designation[],0)=ROW(Designation[])-9,COUNTIF(Designation[],"&lt;"&amp;Designation[])+1,""),""),ROW(A58)),IF(Designation[]&lt;&gt;"",COUNTIF(Designation[],"&lt;"&amp;Designation[])+1),0)),"")</f>
        <v/>
      </c>
      <c r="BI67" s="2" t="e">
        <v>#N/A</v>
      </c>
      <c r="BJ67" s="2" t="e">
        <v>#N/A</v>
      </c>
      <c r="BK67" s="164" t="str">
        <v/>
      </c>
      <c r="BL67" s="164"/>
      <c r="BM67" t="str" cm="1">
        <f t="array" ref="BM67">IFERROR(INDEX(CL[],MATCH(SMALL(IFERROR(IF(MATCH(IF(Designation[]=$BD$10,CL[],""),CL[],0)&lt;&gt;"",COUNTIF(CL[],"&gt;"&amp;CL[])+1,""),""),ROW(A58)),IF(CL[]&lt;&gt;"",COUNTIF(CL[],"&gt;"&amp;CL[])+1,"0"),0)),"")</f>
        <v/>
      </c>
    </row>
    <row r="68" spans="2:65" ht="20.25" thickTop="1" thickBot="1" x14ac:dyDescent="0.3">
      <c r="B68" s="74" t="s">
        <v>43</v>
      </c>
      <c r="C68" s="61"/>
      <c r="J68" s="58"/>
      <c r="O68" s="43"/>
      <c r="P68" s="93"/>
      <c r="S68" s="2" t="str">
        <f t="array" ref="S68">IFERROR(INDEX(Designation[],MATCH(0,IF(Designation[]&lt;&gt;"",COUNTIF($S$9:S67,Designation[])),0)),"")</f>
        <v/>
      </c>
      <c r="Y68" s="2" t="str" cm="1">
        <f t="array" ref="Y68">IFERROR(INDEX(CL[],MATCH(SMALL(IFERROR(IF(MATCH(IF(ISNUMBER(CL[]),CL[],""),CL[],0)=ROW(CL[])-9,COUNTIF(CL[],"&gt;"&amp;CL[])+1,""),""),ROW(A59)),IF(ISNUMBER(CL[]),COUNTIF(CL[],"&gt;"&amp;CL[])+1,""),0)),"")</f>
        <v/>
      </c>
      <c r="AB68" s="2" t="str" cm="1">
        <f t="array" ref="AB68">IFERROR(INDEX(MID(Designation[],SEARCH("-",Designation[])+1,LEN(Designation[])-SEARCH("-",Designation[])),MATCH(SMALL(IFERROR(IF(MATCH(IF(ISNUMBER(FIND(MJGES01_00028_2!$H$2,Designation[])),Designation[],""),Designation[],0)=ROW(Designation[])-9,COUNTIF(Designation[],"&lt;"&amp;Designation[])+1,""),""),ROW(A59)),IF(Designation[]&lt;&gt;"",COUNTIF(Designation[],"&lt;"&amp;Designation[])+1,""),0)),"")</f>
        <v/>
      </c>
      <c r="AG68" s="2" t="str" cm="1">
        <f t="array" ref="AG68">IFERROR(INDEX(CL[],SMALL(IFERROR(MATCH(IF(MID(Designation[],SEARCH("-",Designation[])+1,LEN(Designation[])-SEARCH("-",Designation[]))=MJGES01_00028_2!$I$2,CL[],""),CL[],0),""),ROW(A59))),"")</f>
        <v/>
      </c>
      <c r="AJ68" s="2" t="str" cm="1">
        <f t="array" ref="AJ68">IFERROR(INDEX(Designation[],SMALL(IFERROR(IF(MATCH(IF(Designation[]&lt;&gt;"",Designation[],""),Designation[],0)=ROW(Designation[])-9,ROW(Designation[])-9,""),""),ROW(A59))),"")</f>
        <v/>
      </c>
      <c r="AN68" s="2" t="str" cm="1">
        <f t="array" ref="AN68">IFERROR(INDEX(CL[],MATCH(SMALL(IFERROR(IF(MATCH(IF(ISNUMBER(CL[]),CL[],""),CL[],0)=ROW(CL[])-9,COUNTIF(CL[],"&gt;"&amp;CL[])+1,""),""),ROW(A59)),IF(ISNUMBER(CL[]),COUNTIF(CL[],"&gt;"&amp;CL[])+1,""),0)),"")</f>
        <v/>
      </c>
      <c r="AR68" s="2" t="str" cm="1">
        <f t="array" ref="AR68">IFERROR(INDEX(Designation[],MATCH(SMALL(IFERROR(IF(MATCH(IF(Designation[]&lt;&gt;"",Designation[],""),Designation[],0)=ROW(Designation[])-9,COUNTIF(Designation[],"&lt;"&amp;Designation[])+1,""),""),ROW(A59)),IF(Designation[]&lt;&gt;"",COUNTIF(Designation[],"&lt;"&amp;Designation[])+1),0)),"")</f>
        <v/>
      </c>
      <c r="BA68" s="2" t="str" cm="1">
        <f t="array" ref="BA68">IFERROR(INDEX(Designation[],SMALL(IFERROR(MATCH(IF(ISNUMBER(SEARCH($AZ$10,Designation[])),Designation[],""),Designation[],0),""),ROW(A59))),"")</f>
        <v/>
      </c>
      <c r="BD68" s="2" t="str" cm="1">
        <f t="array" ref="BD68">IFERROR(INDEX(Designation[],MATCH(SMALL(IFERROR(IF(MATCH(IF(ISNUMBER(SEARCH(MJGES01_00028_2!$H$2,Designation[])),Designation[],""),Designation[],0)=ROW(Designation[])-9,COUNTIF(Designation[],"&lt;"&amp;Designation[])+1,""),""),ROW(A59)),IF(Designation[]&lt;&gt;"",COUNTIF(Designation[],"&lt;"&amp;Designation[])+1),0)),"")</f>
        <v/>
      </c>
      <c r="BI68" s="2" t="e">
        <v>#N/A</v>
      </c>
      <c r="BJ68" s="2" t="e">
        <v>#N/A</v>
      </c>
      <c r="BK68" s="164" t="str">
        <v/>
      </c>
      <c r="BL68" s="164"/>
      <c r="BM68" t="str" cm="1">
        <f t="array" ref="BM68">IFERROR(INDEX(CL[],MATCH(SMALL(IFERROR(IF(MATCH(IF(Designation[]=$BD$10,CL[],""),CL[],0)&lt;&gt;"",COUNTIF(CL[],"&gt;"&amp;CL[])+1,""),""),ROW(A59)),IF(CL[]&lt;&gt;"",COUNTIF(CL[],"&gt;"&amp;CL[])+1,"0"),0)),"")</f>
        <v/>
      </c>
    </row>
    <row r="69" spans="2:65" ht="16.5" thickTop="1" thickBot="1" x14ac:dyDescent="0.3">
      <c r="B69" s="63">
        <v>4260270192645</v>
      </c>
      <c r="C69" s="181" t="s">
        <v>111</v>
      </c>
      <c r="D69" s="64"/>
      <c r="E69" s="65"/>
      <c r="F69" s="66">
        <v>50</v>
      </c>
      <c r="G69" s="67">
        <v>44</v>
      </c>
      <c r="H69" s="67">
        <v>6</v>
      </c>
      <c r="I69" s="97">
        <v>22.86</v>
      </c>
      <c r="J69" s="98">
        <v>20</v>
      </c>
      <c r="K69" s="99">
        <v>20</v>
      </c>
      <c r="L69" s="46"/>
      <c r="M69" s="70">
        <f t="shared" ref="M69" si="25">IF(G69&gt;=18,($M$7/10000)*$F69*($G69/100),IF(G69&gt;0,($M$8/10000)*F69,0))</f>
        <v>3.930498</v>
      </c>
      <c r="N69" s="71">
        <f>IF(G69&gt;18,($N$7/10000)*$F69*($G69/100),0)</f>
        <v>1.262008</v>
      </c>
      <c r="O69" s="72">
        <f>IF(HLOOKUP($O$5,$I$7:$P$236,ROW()-6,FALSE)&gt;0,HLOOKUP($O$5,$I$7:$P$236,ROW()-6,FALSE)+M69+N69," ")</f>
        <v>25.192506000000002</v>
      </c>
      <c r="P69" s="96">
        <f t="shared" ref="P69" si="26">IF(OR(COUNT(O69)=0,COUNT(Q69)=0),0,O69+(O69*Q69))</f>
        <v>30.231007200000001</v>
      </c>
      <c r="Q69" s="33">
        <f t="shared" ref="Q69" si="27">IF(OR(G69&gt;0,H69="IT"),0.2,IF(ISBLANK(G69)," ",IF(G69&lt;=0,0.055," ")))</f>
        <v>0.2</v>
      </c>
      <c r="R69" s="33"/>
      <c r="S69" s="2" t="str">
        <f t="array" ref="S69">IFERROR(INDEX(Designation[],MATCH(0,IF(Designation[]&lt;&gt;"",COUNTIF($S$9:S68,Designation[])),0)),"")</f>
        <v/>
      </c>
      <c r="Y69" s="2" t="str" cm="1">
        <f t="array" ref="Y69">IFERROR(INDEX(CL[],MATCH(SMALL(IFERROR(IF(MATCH(IF(ISNUMBER(CL[]),CL[],""),CL[],0)=ROW(CL[])-9,COUNTIF(CL[],"&gt;"&amp;CL[])+1,""),""),ROW(A60)),IF(ISNUMBER(CL[]),COUNTIF(CL[],"&gt;"&amp;CL[])+1,""),0)),"")</f>
        <v/>
      </c>
      <c r="AB69" s="2" t="str" cm="1">
        <f t="array" ref="AB69">IFERROR(INDEX(MID(Designation[],SEARCH("-",Designation[])+1,LEN(Designation[])-SEARCH("-",Designation[])),MATCH(SMALL(IFERROR(IF(MATCH(IF(ISNUMBER(FIND(MJGES01_00028_2!$H$2,Designation[])),Designation[],""),Designation[],0)=ROW(Designation[])-9,COUNTIF(Designation[],"&lt;"&amp;Designation[])+1,""),""),ROW(A60)),IF(Designation[]&lt;&gt;"",COUNTIF(Designation[],"&lt;"&amp;Designation[])+1,""),0)),"")</f>
        <v/>
      </c>
      <c r="AG69" s="2" t="str" cm="1">
        <f t="array" ref="AG69">IFERROR(INDEX(CL[],SMALL(IFERROR(MATCH(IF(MID(Designation[],SEARCH("-",Designation[])+1,LEN(Designation[])-SEARCH("-",Designation[]))=MJGES01_00028_2!$I$2,CL[],""),CL[],0),""),ROW(A60))),"")</f>
        <v/>
      </c>
      <c r="AJ69" s="2" t="str" cm="1">
        <f t="array" ref="AJ69">IFERROR(INDEX(Designation[],SMALL(IFERROR(IF(MATCH(IF(Designation[]&lt;&gt;"",Designation[],""),Designation[],0)=ROW(Designation[])-9,ROW(Designation[])-9,""),""),ROW(A60))),"")</f>
        <v/>
      </c>
      <c r="AN69" s="2" t="str" cm="1">
        <f t="array" ref="AN69">IFERROR(INDEX(CL[],MATCH(SMALL(IFERROR(IF(MATCH(IF(ISNUMBER(CL[]),CL[],""),CL[],0)=ROW(CL[])-9,COUNTIF(CL[],"&gt;"&amp;CL[])+1,""),""),ROW(A60)),IF(ISNUMBER(CL[]),COUNTIF(CL[],"&gt;"&amp;CL[])+1,""),0)),"")</f>
        <v/>
      </c>
      <c r="AR69" s="2" t="str" cm="1">
        <f t="array" ref="AR69">IFERROR(INDEX(Designation[],MATCH(SMALL(IFERROR(IF(MATCH(IF(Designation[]&lt;&gt;"",Designation[],""),Designation[],0)=ROW(Designation[])-9,COUNTIF(Designation[],"&lt;"&amp;Designation[])+1,""),""),ROW(A60)),IF(Designation[]&lt;&gt;"",COUNTIF(Designation[],"&lt;"&amp;Designation[])+1),0)),"")</f>
        <v/>
      </c>
      <c r="BA69" s="2" t="str" cm="1">
        <f t="array" ref="BA69">IFERROR(INDEX(Designation[],SMALL(IFERROR(MATCH(IF(ISNUMBER(SEARCH($AZ$10,Designation[])),Designation[],""),Designation[],0),""),ROW(A60))),"")</f>
        <v/>
      </c>
      <c r="BD69" s="2" t="str" cm="1">
        <f t="array" ref="BD69">IFERROR(INDEX(Designation[],MATCH(SMALL(IFERROR(IF(MATCH(IF(ISNUMBER(SEARCH(MJGES01_00028_2!$H$2,Designation[])),Designation[],""),Designation[],0)=ROW(Designation[])-9,COUNTIF(Designation[],"&lt;"&amp;Designation[])+1,""),""),ROW(A60)),IF(Designation[]&lt;&gt;"",COUNTIF(Designation[],"&lt;"&amp;Designation[])+1),0)),"")</f>
        <v/>
      </c>
      <c r="BI69" s="2" t="e">
        <v>#N/A</v>
      </c>
      <c r="BJ69" s="2" t="e">
        <v>#N/A</v>
      </c>
      <c r="BK69" s="164">
        <v>44</v>
      </c>
      <c r="BL69" s="164"/>
      <c r="BM69" t="str" cm="1">
        <f t="array" ref="BM69">IFERROR(INDEX(CL[],MATCH(SMALL(IFERROR(IF(MATCH(IF(Designation[]=$BD$10,CL[],""),CL[],0)&lt;&gt;"",COUNTIF(CL[],"&gt;"&amp;CL[])+1,""),""),ROW(A60)),IF(CL[]&lt;&gt;"",COUNTIF(CL[],"&gt;"&amp;CL[])+1,"0"),0)),"")</f>
        <v/>
      </c>
    </row>
    <row r="70" spans="2:65" ht="16.5" thickTop="1" thickBot="1" x14ac:dyDescent="0.3">
      <c r="Y70" s="2" t="str" cm="1">
        <f t="array" ref="Y70">IFERROR(INDEX(CL[],MATCH(SMALL(IFERROR(IF(MATCH(IF(ISNUMBER(CL[]),CL[],""),CL[],0)=ROW(CL[])-9,COUNTIF(CL[],"&gt;"&amp;CL[])+1,""),""),ROW(A61)),IF(ISNUMBER(CL[]),COUNTIF(CL[],"&gt;"&amp;CL[])+1,""),0)),"")</f>
        <v/>
      </c>
      <c r="AB70" s="2" t="str" cm="1">
        <f t="array" ref="AB70">IFERROR(INDEX(MID(Designation[],SEARCH("-",Designation[])+1,LEN(Designation[])-SEARCH("-",Designation[])),MATCH(SMALL(IFERROR(IF(MATCH(IF(ISNUMBER(FIND(MJGES01_00028_2!$H$2,Designation[])),Designation[],""),Designation[],0)=ROW(Designation[])-9,COUNTIF(Designation[],"&lt;"&amp;Designation[])+1,""),""),ROW(A61)),IF(Designation[]&lt;&gt;"",COUNTIF(Designation[],"&lt;"&amp;Designation[])+1,""),0)),"")</f>
        <v/>
      </c>
      <c r="AG70" s="2" t="str" cm="1">
        <f t="array" ref="AG70">IFERROR(INDEX(CL[],SMALL(IFERROR(MATCH(IF(MID(Designation[],SEARCH("-",Designation[])+1,LEN(Designation[])-SEARCH("-",Designation[]))=MJGES01_00028_2!$I$2,CL[],""),CL[],0),""),ROW(A61))),"")</f>
        <v/>
      </c>
      <c r="AJ70" s="2" t="str" cm="1">
        <f t="array" ref="AJ70">IFERROR(INDEX(Designation[],SMALL(IFERROR(IF(MATCH(IF(Designation[]&lt;&gt;"",Designation[],""),Designation[],0)=ROW(Designation[])-9,ROW(Designation[])-9,""),""),ROW(A61))),"")</f>
        <v/>
      </c>
      <c r="AN70" s="2" t="str" cm="1">
        <f t="array" ref="AN70">IFERROR(INDEX(CL[],MATCH(SMALL(IFERROR(IF(MATCH(IF(ISNUMBER(CL[]),CL[],""),CL[],0)=ROW(CL[])-9,COUNTIF(CL[],"&gt;"&amp;CL[])+1,""),""),ROW(A61)),IF(ISNUMBER(CL[]),COUNTIF(CL[],"&gt;"&amp;CL[])+1,""),0)),"")</f>
        <v/>
      </c>
      <c r="AR70" s="2" t="str" cm="1">
        <f t="array" ref="AR70">IFERROR(INDEX(Designation[],MATCH(SMALL(IFERROR(IF(MATCH(IF(Designation[]&lt;&gt;"",Designation[],""),Designation[],0)=ROW(Designation[])-9,COUNTIF(Designation[],"&lt;"&amp;Designation[])+1,""),""),ROW(A61)),IF(Designation[]&lt;&gt;"",COUNTIF(Designation[],"&lt;"&amp;Designation[])+1),0)),"")</f>
        <v/>
      </c>
      <c r="BA70" s="2" t="str" cm="1">
        <f t="array" ref="BA70">IFERROR(INDEX(Designation[],SMALL(IFERROR(MATCH(IF(ISNUMBER(SEARCH($AZ$10,Designation[])),Designation[],""),Designation[],0),""),ROW(A61))),"")</f>
        <v/>
      </c>
      <c r="BD70" s="2" t="str" cm="1">
        <f t="array" ref="BD70">IFERROR(INDEX(Designation[],MATCH(SMALL(IFERROR(IF(MATCH(IF(ISNUMBER(SEARCH(MJGES01_00028_2!$H$2,Designation[])),Designation[],""),Designation[],0)=ROW(Designation[])-9,COUNTIF(Designation[],"&lt;"&amp;Designation[])+1,""),""),ROW(A61)),IF(Designation[]&lt;&gt;"",COUNTIF(Designation[],"&lt;"&amp;Designation[])+1),0)),"")</f>
        <v/>
      </c>
      <c r="BI70" s="2" t="e">
        <v>#N/A</v>
      </c>
      <c r="BJ70" s="2" t="e">
        <v>#N/A</v>
      </c>
      <c r="BK70" s="164" t="str">
        <v/>
      </c>
      <c r="BL70" s="164"/>
      <c r="BM70" t="str" cm="1">
        <f t="array" ref="BM70">IFERROR(INDEX(CL[],MATCH(SMALL(IFERROR(IF(MATCH(IF(Designation[]=$BD$10,CL[],""),CL[],0)&lt;&gt;"",COUNTIF(CL[],"&gt;"&amp;CL[])+1,""),""),ROW(A61)),IF(CL[]&lt;&gt;"",COUNTIF(CL[],"&gt;"&amp;CL[])+1,"0"),0)),"")</f>
        <v/>
      </c>
    </row>
    <row r="71" spans="2:65" ht="20.25" thickTop="1" thickBot="1" x14ac:dyDescent="0.3">
      <c r="B71" s="74" t="s">
        <v>45</v>
      </c>
      <c r="C71" s="61"/>
      <c r="J71" s="58"/>
      <c r="O71" s="43"/>
      <c r="P71" s="93"/>
      <c r="Y71" s="2" t="str" cm="1">
        <f t="array" ref="Y71">IFERROR(INDEX(CL[],MATCH(SMALL(IFERROR(IF(MATCH(IF(ISNUMBER(CL[]),CL[],""),CL[],0)=ROW(CL[])-9,COUNTIF(CL[],"&gt;"&amp;CL[])+1,""),""),ROW(A62)),IF(ISNUMBER(CL[]),COUNTIF(CL[],"&gt;"&amp;CL[])+1,""),0)),"")</f>
        <v/>
      </c>
      <c r="AB71" s="2" t="str" cm="1">
        <f t="array" ref="AB71">IFERROR(INDEX(MID(Designation[],SEARCH("-",Designation[])+1,LEN(Designation[])-SEARCH("-",Designation[])),MATCH(SMALL(IFERROR(IF(MATCH(IF(ISNUMBER(FIND(MJGES01_00028_2!$H$2,Designation[])),Designation[],""),Designation[],0)=ROW(Designation[])-9,COUNTIF(Designation[],"&lt;"&amp;Designation[])+1,""),""),ROW(A62)),IF(Designation[]&lt;&gt;"",COUNTIF(Designation[],"&lt;"&amp;Designation[])+1,""),0)),"")</f>
        <v/>
      </c>
      <c r="AG71" s="2" t="str" cm="1">
        <f t="array" ref="AG71">IFERROR(INDEX(CL[],SMALL(IFERROR(MATCH(IF(MID(Designation[],SEARCH("-",Designation[])+1,LEN(Designation[])-SEARCH("-",Designation[]))=MJGES01_00028_2!$I$2,CL[],""),CL[],0),""),ROW(A62))),"")</f>
        <v/>
      </c>
      <c r="AJ71" s="2" t="str" cm="1">
        <f t="array" ref="AJ71">IFERROR(INDEX(Designation[],SMALL(IFERROR(IF(MATCH(IF(Designation[]&lt;&gt;"",Designation[],""),Designation[],0)=ROW(Designation[])-9,ROW(Designation[])-9,""),""),ROW(A62))),"")</f>
        <v/>
      </c>
      <c r="AN71" s="2" t="str" cm="1">
        <f t="array" ref="AN71">IFERROR(INDEX(CL[],MATCH(SMALL(IFERROR(IF(MATCH(IF(ISNUMBER(CL[]),CL[],""),CL[],0)=ROW(CL[])-9,COUNTIF(CL[],"&gt;"&amp;CL[])+1,""),""),ROW(A62)),IF(ISNUMBER(CL[]),COUNTIF(CL[],"&gt;"&amp;CL[])+1,""),0)),"")</f>
        <v/>
      </c>
      <c r="AR71" s="2" t="str" cm="1">
        <f t="array" ref="AR71">IFERROR(INDEX(Designation[],MATCH(SMALL(IFERROR(IF(MATCH(IF(Designation[]&lt;&gt;"",Designation[],""),Designation[],0)=ROW(Designation[])-9,COUNTIF(Designation[],"&lt;"&amp;Designation[])+1,""),""),ROW(A62)),IF(Designation[]&lt;&gt;"",COUNTIF(Designation[],"&lt;"&amp;Designation[])+1),0)),"")</f>
        <v/>
      </c>
      <c r="BA71" s="2" t="str" cm="1">
        <f t="array" ref="BA71">IFERROR(INDEX(Designation[],SMALL(IFERROR(MATCH(IF(ISNUMBER(SEARCH($AZ$10,Designation[])),Designation[],""),Designation[],0),""),ROW(A62))),"")</f>
        <v/>
      </c>
      <c r="BD71" s="2" t="str" cm="1">
        <f t="array" ref="BD71">IFERROR(INDEX(Designation[],MATCH(SMALL(IFERROR(IF(MATCH(IF(ISNUMBER(SEARCH(MJGES01_00028_2!$H$2,Designation[])),Designation[],""),Designation[],0)=ROW(Designation[])-9,COUNTIF(Designation[],"&lt;"&amp;Designation[])+1,""),""),ROW(A62)),IF(Designation[]&lt;&gt;"",COUNTIF(Designation[],"&lt;"&amp;Designation[])+1),0)),"")</f>
        <v/>
      </c>
      <c r="BI71" s="2" t="e">
        <v>#N/A</v>
      </c>
      <c r="BJ71" s="2" t="e">
        <v>#N/A</v>
      </c>
      <c r="BK71" s="164" t="str">
        <v/>
      </c>
      <c r="BL71" s="164"/>
      <c r="BM71" t="str" cm="1">
        <f t="array" ref="BM71">IFERROR(INDEX(CL[],MATCH(SMALL(IFERROR(IF(MATCH(IF(Designation[]=$BD$10,CL[],""),CL[],0)&lt;&gt;"",COUNTIF(CL[],"&gt;"&amp;CL[])+1,""),""),ROW(A62)),IF(CL[]&lt;&gt;"",COUNTIF(CL[],"&gt;"&amp;CL[])+1,"0"),0)),"")</f>
        <v/>
      </c>
    </row>
    <row r="72" spans="2:65" ht="16.5" thickTop="1" thickBot="1" x14ac:dyDescent="0.3">
      <c r="B72" s="100">
        <v>4260372980010</v>
      </c>
      <c r="C72" s="182" t="s">
        <v>110</v>
      </c>
      <c r="D72" s="101"/>
      <c r="E72" s="102"/>
      <c r="F72" s="103">
        <v>50</v>
      </c>
      <c r="G72" s="104">
        <v>43</v>
      </c>
      <c r="H72" s="104">
        <v>6</v>
      </c>
      <c r="I72" s="105">
        <v>22.86</v>
      </c>
      <c r="J72" s="106">
        <v>20</v>
      </c>
      <c r="K72" s="107"/>
      <c r="L72" s="108"/>
      <c r="M72" s="109">
        <f t="shared" ref="M72" si="28">IF(G72&gt;=18,($M$7/10000)*$F72*($G72/100),IF(G72&gt;0,($M$8/10000)*F72,0))</f>
        <v>3.8411684999999998</v>
      </c>
      <c r="N72" s="110">
        <f>IF(G72&gt;18,($N$7/10000)*$F72*($G72/100),0)</f>
        <v>1.2333259999999999</v>
      </c>
      <c r="O72" s="111">
        <f>IF(HLOOKUP($O$5,$I$7:$P$236,ROW()-6,FALSE)&gt;0,HLOOKUP($O$5,$I$7:$P$236,ROW()-6,FALSE)+M72+N72," ")</f>
        <v>25.0744945</v>
      </c>
      <c r="P72" s="112">
        <f t="shared" ref="P72" si="29">IF(OR(COUNT(O72)=0,COUNT(Q72)=0),0,O72+(O72*Q72))</f>
        <v>30.089393399999999</v>
      </c>
      <c r="Q72" s="33">
        <f t="shared" ref="Q72" si="30">IF(OR(G72&gt;0,H72="IT"),0.2,IF(ISBLANK(G72)," ",IF(G72&lt;=0,0.055," ")))</f>
        <v>0.2</v>
      </c>
      <c r="R72" s="33"/>
      <c r="Y72" s="2" t="str" cm="1">
        <f t="array" ref="Y72">IFERROR(INDEX(CL[],MATCH(SMALL(IFERROR(IF(MATCH(IF(ISNUMBER(CL[]),CL[],""),CL[],0)=ROW(CL[])-9,COUNTIF(CL[],"&gt;"&amp;CL[])+1,""),""),ROW(A63)),IF(ISNUMBER(CL[]),COUNTIF(CL[],"&gt;"&amp;CL[])+1,""),0)),"")</f>
        <v/>
      </c>
      <c r="AB72" s="2" t="str" cm="1">
        <f t="array" ref="AB72">IFERROR(INDEX(MID(Designation[],SEARCH("-",Designation[])+1,LEN(Designation[])-SEARCH("-",Designation[])),MATCH(SMALL(IFERROR(IF(MATCH(IF(ISNUMBER(FIND(MJGES01_00028_2!$H$2,Designation[])),Designation[],""),Designation[],0)=ROW(Designation[])-9,COUNTIF(Designation[],"&lt;"&amp;Designation[])+1,""),""),ROW(A63)),IF(Designation[]&lt;&gt;"",COUNTIF(Designation[],"&lt;"&amp;Designation[])+1,""),0)),"")</f>
        <v/>
      </c>
      <c r="AG72" s="2" t="str" cm="1">
        <f t="array" ref="AG72">IFERROR(INDEX(CL[],SMALL(IFERROR(MATCH(IF(MID(Designation[],SEARCH("-",Designation[])+1,LEN(Designation[])-SEARCH("-",Designation[]))=MJGES01_00028_2!$I$2,CL[],""),CL[],0),""),ROW(A63))),"")</f>
        <v/>
      </c>
      <c r="AJ72" s="2" t="str" cm="1">
        <f t="array" ref="AJ72">IFERROR(INDEX(Designation[],SMALL(IFERROR(IF(MATCH(IF(Designation[]&lt;&gt;"",Designation[],""),Designation[],0)=ROW(Designation[])-9,ROW(Designation[])-9,""),""),ROW(A63))),"")</f>
        <v/>
      </c>
      <c r="AN72" s="2" t="str" cm="1">
        <f t="array" ref="AN72">IFERROR(INDEX(CL[],MATCH(SMALL(IFERROR(IF(MATCH(IF(ISNUMBER(CL[]),CL[],""),CL[],0)=ROW(CL[])-9,COUNTIF(CL[],"&gt;"&amp;CL[])+1,""),""),ROW(A63)),IF(ISNUMBER(CL[]),COUNTIF(CL[],"&gt;"&amp;CL[])+1,""),0)),"")</f>
        <v/>
      </c>
      <c r="AR72" s="2" t="str" cm="1">
        <f t="array" ref="AR72">IFERROR(INDEX(Designation[],MATCH(SMALL(IFERROR(IF(MATCH(IF(Designation[]&lt;&gt;"",Designation[],""),Designation[],0)=ROW(Designation[])-9,COUNTIF(Designation[],"&lt;"&amp;Designation[])+1,""),""),ROW(A63)),IF(Designation[]&lt;&gt;"",COUNTIF(Designation[],"&lt;"&amp;Designation[])+1),0)),"")</f>
        <v/>
      </c>
      <c r="BA72" s="2" t="str" cm="1">
        <f t="array" ref="BA72">IFERROR(INDEX(Designation[],SMALL(IFERROR(MATCH(IF(ISNUMBER(SEARCH($AZ$10,Designation[])),Designation[],""),Designation[],0),""),ROW(A63))),"")</f>
        <v/>
      </c>
      <c r="BD72" s="2" t="str" cm="1">
        <f t="array" ref="BD72">IFERROR(INDEX(Designation[],MATCH(SMALL(IFERROR(IF(MATCH(IF(ISNUMBER(SEARCH(MJGES01_00028_2!$H$2,Designation[])),Designation[],""),Designation[],0)=ROW(Designation[])-9,COUNTIF(Designation[],"&lt;"&amp;Designation[])+1,""),""),ROW(A63)),IF(Designation[]&lt;&gt;"",COUNTIF(Designation[],"&lt;"&amp;Designation[])+1),0)),"")</f>
        <v/>
      </c>
      <c r="BI72" s="2" t="e">
        <v>#N/A</v>
      </c>
      <c r="BJ72" s="2" t="e">
        <v>#N/A</v>
      </c>
      <c r="BK72" s="164">
        <v>44</v>
      </c>
      <c r="BL72" s="164"/>
      <c r="BM72" t="str" cm="1">
        <f t="array" ref="BM72">IFERROR(INDEX(CL[],MATCH(SMALL(IFERROR(IF(MATCH(IF(Designation[]=$BD$10,CL[],""),CL[],0)&lt;&gt;"",COUNTIF(CL[],"&gt;"&amp;CL[])+1,""),""),ROW(A63)),IF(CL[]&lt;&gt;"",COUNTIF(CL[],"&gt;"&amp;CL[])+1,"0"),0)),"")</f>
        <v/>
      </c>
    </row>
    <row r="73" spans="2:65" ht="15.75" thickBot="1" x14ac:dyDescent="0.3">
      <c r="Y73" s="2" t="str" cm="1">
        <f t="array" ref="Y73">IFERROR(INDEX(CL[],MATCH(SMALL(IFERROR(IF(MATCH(IF(ISNUMBER(CL[]),CL[],""),CL[],0)=ROW(CL[])-9,COUNTIF(CL[],"&gt;"&amp;CL[])+1,""),""),ROW(A64)),IF(ISNUMBER(CL[]),COUNTIF(CL[],"&gt;"&amp;CL[])+1,""),0)),"")</f>
        <v/>
      </c>
      <c r="AB73" s="2" t="str" cm="1">
        <f t="array" ref="AB73">IFERROR(INDEX(MID(Designation[],SEARCH("-",Designation[])+1,LEN(Designation[])-SEARCH("-",Designation[])),MATCH(SMALL(IFERROR(IF(MATCH(IF(ISNUMBER(FIND(MJGES01_00028_2!$H$2,Designation[])),Designation[],""),Designation[],0)=ROW(Designation[])-9,COUNTIF(Designation[],"&lt;"&amp;Designation[])+1,""),""),ROW(A64)),IF(Designation[]&lt;&gt;"",COUNTIF(Designation[],"&lt;"&amp;Designation[])+1,""),0)),"")</f>
        <v/>
      </c>
      <c r="AG73" s="2" t="str" cm="1">
        <f t="array" ref="AG73">IFERROR(INDEX(CL[],SMALL(IFERROR(MATCH(IF(MID(Designation[],SEARCH("-",Designation[])+1,LEN(Designation[])-SEARCH("-",Designation[]))=MJGES01_00028_2!$I$2,CL[],""),CL[],0),""),ROW(A64))),"")</f>
        <v/>
      </c>
      <c r="AJ73" s="2" t="str" cm="1">
        <f t="array" ref="AJ73">IFERROR(INDEX(Designation[],SMALL(IFERROR(IF(MATCH(IF(Designation[]&lt;&gt;"",Designation[],""),Designation[],0)=ROW(Designation[])-9,ROW(Designation[])-9,""),""),ROW(A64))),"")</f>
        <v/>
      </c>
      <c r="AN73" s="2" t="str" cm="1">
        <f t="array" ref="AN73">IFERROR(INDEX(CL[],MATCH(SMALL(IFERROR(IF(MATCH(IF(ISNUMBER(CL[]),CL[],""),CL[],0)=ROW(CL[])-9,COUNTIF(CL[],"&gt;"&amp;CL[])+1,""),""),ROW(A64)),IF(ISNUMBER(CL[]),COUNTIF(CL[],"&gt;"&amp;CL[])+1,""),0)),"")</f>
        <v/>
      </c>
      <c r="AR73" s="2" t="str" cm="1">
        <f t="array" ref="AR73">IFERROR(INDEX(Designation[],MATCH(SMALL(IFERROR(IF(MATCH(IF(Designation[]&lt;&gt;"",Designation[],""),Designation[],0)=ROW(Designation[])-9,COUNTIF(Designation[],"&lt;"&amp;Designation[])+1,""),""),ROW(A64)),IF(Designation[]&lt;&gt;"",COUNTIF(Designation[],"&lt;"&amp;Designation[])+1),0)),"")</f>
        <v/>
      </c>
      <c r="BA73" s="2" t="str" cm="1">
        <f t="array" ref="BA73">IFERROR(INDEX(Designation[],SMALL(IFERROR(MATCH(IF(ISNUMBER(SEARCH($AZ$10,Designation[])),Designation[],""),Designation[],0),""),ROW(A64))),"")</f>
        <v/>
      </c>
      <c r="BD73" s="2" t="str" cm="1">
        <f t="array" ref="BD73">IFERROR(INDEX(Designation[],MATCH(SMALL(IFERROR(IF(MATCH(IF(ISNUMBER(SEARCH(MJGES01_00028_2!$H$2,Designation[])),Designation[],""),Designation[],0)=ROW(Designation[])-9,COUNTIF(Designation[],"&lt;"&amp;Designation[])+1,""),""),ROW(A64)),IF(Designation[]&lt;&gt;"",COUNTIF(Designation[],"&lt;"&amp;Designation[])+1),0)),"")</f>
        <v/>
      </c>
      <c r="BI73" s="2" t="e">
        <v>#N/A</v>
      </c>
      <c r="BJ73" s="2" t="e">
        <v>#N/A</v>
      </c>
      <c r="BK73" s="164" t="str">
        <v/>
      </c>
      <c r="BL73" s="164"/>
      <c r="BM73" t="str" cm="1">
        <f t="array" ref="BM73">IFERROR(INDEX(CL[],MATCH(SMALL(IFERROR(IF(MATCH(IF(Designation[]=$BD$10,CL[],""),CL[],0)&lt;&gt;"",COUNTIF(CL[],"&gt;"&amp;CL[])+1,""),""),ROW(A64)),IF(CL[]&lt;&gt;"",COUNTIF(CL[],"&gt;"&amp;CL[])+1,"0"),0)),"")</f>
        <v/>
      </c>
    </row>
    <row r="74" spans="2:65" ht="20.25" thickTop="1" thickBot="1" x14ac:dyDescent="0.3">
      <c r="B74" s="74" t="s">
        <v>46</v>
      </c>
      <c r="C74" s="61"/>
      <c r="J74" s="58"/>
      <c r="O74" s="43"/>
      <c r="P74" s="43"/>
      <c r="Y74" s="2" t="str" cm="1">
        <f t="array" ref="Y74">IFERROR(INDEX(CL[],MATCH(SMALL(IFERROR(IF(MATCH(IF(ISNUMBER(CL[]),CL[],""),CL[],0)=ROW(CL[])-9,COUNTIF(CL[],"&gt;"&amp;CL[])+1,""),""),ROW(A65)),IF(ISNUMBER(CL[]),COUNTIF(CL[],"&gt;"&amp;CL[])+1,""),0)),"")</f>
        <v/>
      </c>
      <c r="AB74" s="2" t="str" cm="1">
        <f t="array" ref="AB74">IFERROR(INDEX(MID(Designation[],SEARCH("-",Designation[])+1,LEN(Designation[])-SEARCH("-",Designation[])),MATCH(SMALL(IFERROR(IF(MATCH(IF(ISNUMBER(FIND(MJGES01_00028_2!$H$2,Designation[])),Designation[],""),Designation[],0)=ROW(Designation[])-9,COUNTIF(Designation[],"&lt;"&amp;Designation[])+1,""),""),ROW(A65)),IF(Designation[]&lt;&gt;"",COUNTIF(Designation[],"&lt;"&amp;Designation[])+1,""),0)),"")</f>
        <v/>
      </c>
      <c r="AG74" s="2" t="str" cm="1">
        <f t="array" ref="AG74">IFERROR(INDEX(CL[],SMALL(IFERROR(MATCH(IF(MID(Designation[],SEARCH("-",Designation[])+1,LEN(Designation[])-SEARCH("-",Designation[]))=MJGES01_00028_2!$I$2,CL[],""),CL[],0),""),ROW(A65))),"")</f>
        <v/>
      </c>
      <c r="AJ74" s="2" t="str" cm="1">
        <f t="array" ref="AJ74">IFERROR(INDEX(Designation[],SMALL(IFERROR(IF(MATCH(IF(Designation[]&lt;&gt;"",Designation[],""),Designation[],0)=ROW(Designation[])-9,ROW(Designation[])-9,""),""),ROW(A65))),"")</f>
        <v/>
      </c>
      <c r="AN74" s="2" t="str" cm="1">
        <f t="array" ref="AN74">IFERROR(INDEX(CL[],MATCH(SMALL(IFERROR(IF(MATCH(IF(ISNUMBER(CL[]),CL[],""),CL[],0)=ROW(CL[])-9,COUNTIF(CL[],"&gt;"&amp;CL[])+1,""),""),ROW(A65)),IF(ISNUMBER(CL[]),COUNTIF(CL[],"&gt;"&amp;CL[])+1,""),0)),"")</f>
        <v/>
      </c>
      <c r="AR74" s="2" t="str" cm="1">
        <f t="array" ref="AR74">IFERROR(INDEX(Designation[],MATCH(SMALL(IFERROR(IF(MATCH(IF(Designation[]&lt;&gt;"",Designation[],""),Designation[],0)=ROW(Designation[])-9,COUNTIF(Designation[],"&lt;"&amp;Designation[])+1,""),""),ROW(A65)),IF(Designation[]&lt;&gt;"",COUNTIF(Designation[],"&lt;"&amp;Designation[])+1),0)),"")</f>
        <v/>
      </c>
      <c r="BA74" s="2" t="str" cm="1">
        <f t="array" ref="BA74">IFERROR(INDEX(Designation[],SMALL(IFERROR(MATCH(IF(ISNUMBER(SEARCH($AZ$10,Designation[])),Designation[],""),Designation[],0),""),ROW(A65))),"")</f>
        <v/>
      </c>
      <c r="BD74" s="2" t="str" cm="1">
        <f t="array" ref="BD74">IFERROR(INDEX(Designation[],MATCH(SMALL(IFERROR(IF(MATCH(IF(ISNUMBER(SEARCH(MJGES01_00028_2!$H$2,Designation[])),Designation[],""),Designation[],0)=ROW(Designation[])-9,COUNTIF(Designation[],"&lt;"&amp;Designation[])+1,""),""),ROW(A65)),IF(Designation[]&lt;&gt;"",COUNTIF(Designation[],"&lt;"&amp;Designation[])+1),0)),"")</f>
        <v/>
      </c>
      <c r="BI74" s="2" t="e">
        <v>#N/A</v>
      </c>
      <c r="BJ74" s="2" t="e">
        <v>#N/A</v>
      </c>
      <c r="BK74" s="164" t="str">
        <v/>
      </c>
      <c r="BL74" s="164"/>
      <c r="BM74" t="str" cm="1">
        <f t="array" ref="BM74">IFERROR(INDEX(CL[],MATCH(SMALL(IFERROR(IF(MATCH(IF(Designation[]=$BD$10,CL[],""),CL[],0)&lt;&gt;"",COUNTIF(CL[],"&gt;"&amp;CL[])+1,""),""),ROW(A65)),IF(CL[]&lt;&gt;"",COUNTIF(CL[],"&gt;"&amp;CL[])+1,"0"),0)),"")</f>
        <v/>
      </c>
    </row>
    <row r="75" spans="2:65" ht="15.75" thickTop="1" x14ac:dyDescent="0.25">
      <c r="B75" s="21">
        <v>3257150673005</v>
      </c>
      <c r="C75" s="171" t="s">
        <v>107</v>
      </c>
      <c r="D75" s="22"/>
      <c r="E75" s="23"/>
      <c r="F75" s="24">
        <v>70</v>
      </c>
      <c r="G75" s="25">
        <v>40</v>
      </c>
      <c r="H75" s="25">
        <v>6</v>
      </c>
      <c r="I75" s="75">
        <v>20.239999999999998</v>
      </c>
      <c r="J75" s="76">
        <v>13.55</v>
      </c>
      <c r="K75" s="77"/>
      <c r="M75" s="29">
        <f t="shared" ref="M75:M86" si="31">IF(G75&gt;=18,($M$7/10000)*$F75*($G75/100),IF(G75&gt;0,($M$8/10000)*F75,0))</f>
        <v>5.0024519999999999</v>
      </c>
      <c r="N75" s="30">
        <f>IF(G75&gt;18,($N$7/10000)*$F75*($G75/100),0)</f>
        <v>1.6061920000000001</v>
      </c>
      <c r="O75" s="31">
        <f>IF(HLOOKUP($O$5,$I$7:$P$236,ROW()-6,FALSE)&gt;0,HLOOKUP($O$5,$I$7:$P$236,ROW()-6,FALSE)+M75+N75," ")</f>
        <v>20.158644000000002</v>
      </c>
      <c r="P75" s="32">
        <f>IF(OR(COUNT(O75)=0,COUNT(Q75)=0),0,O75+(O75*Q75))</f>
        <v>24.190372800000002</v>
      </c>
      <c r="Q75" s="33">
        <f t="shared" ref="Q75:Q77" si="32">IF(OR(G75&gt;0,H75="IT"),0.2,IF(ISBLANK(G75)," ",IF(G75&lt;=0,0.055," ")))</f>
        <v>0.2</v>
      </c>
      <c r="R75" s="33"/>
      <c r="Y75" s="2" t="str" cm="1">
        <f t="array" ref="Y75">IFERROR(INDEX(CL[],MATCH(SMALL(IFERROR(IF(MATCH(IF(ISNUMBER(CL[]),CL[],""),CL[],0)=ROW(CL[])-9,COUNTIF(CL[],"&gt;"&amp;CL[])+1,""),""),ROW(A66)),IF(ISNUMBER(CL[]),COUNTIF(CL[],"&gt;"&amp;CL[])+1,""),0)),"")</f>
        <v/>
      </c>
      <c r="AB75" s="2" t="str" cm="1">
        <f t="array" ref="AB75">IFERROR(INDEX(MID(Designation[],SEARCH("-",Designation[])+1,LEN(Designation[])-SEARCH("-",Designation[])),MATCH(SMALL(IFERROR(IF(MATCH(IF(ISNUMBER(FIND(MJGES01_00028_2!$H$2,Designation[])),Designation[],""),Designation[],0)=ROW(Designation[])-9,COUNTIF(Designation[],"&lt;"&amp;Designation[])+1,""),""),ROW(A66)),IF(Designation[]&lt;&gt;"",COUNTIF(Designation[],"&lt;"&amp;Designation[])+1,""),0)),"")</f>
        <v/>
      </c>
      <c r="AG75" s="2" t="str" cm="1">
        <f t="array" ref="AG75">IFERROR(INDEX(CL[],SMALL(IFERROR(MATCH(IF(MID(Designation[],SEARCH("-",Designation[])+1,LEN(Designation[])-SEARCH("-",Designation[]))=MJGES01_00028_2!$I$2,CL[],""),CL[],0),""),ROW(A66))),"")</f>
        <v/>
      </c>
      <c r="AJ75" s="2" t="str" cm="1">
        <f t="array" ref="AJ75">IFERROR(INDEX(Designation[],SMALL(IFERROR(IF(MATCH(IF(Designation[]&lt;&gt;"",Designation[],""),Designation[],0)=ROW(Designation[])-9,ROW(Designation[])-9,""),""),ROW(A66))),"")</f>
        <v/>
      </c>
      <c r="AN75" s="2" t="str" cm="1">
        <f t="array" ref="AN75">IFERROR(INDEX(CL[],MATCH(SMALL(IFERROR(IF(MATCH(IF(ISNUMBER(CL[]),CL[],""),CL[],0)=ROW(CL[])-9,COUNTIF(CL[],"&gt;"&amp;CL[])+1,""),""),ROW(A66)),IF(ISNUMBER(CL[]),COUNTIF(CL[],"&gt;"&amp;CL[])+1,""),0)),"")</f>
        <v/>
      </c>
      <c r="AR75" s="2" t="str" cm="1">
        <f t="array" ref="AR75">IFERROR(INDEX(Designation[],MATCH(SMALL(IFERROR(IF(MATCH(IF(Designation[]&lt;&gt;"",Designation[],""),Designation[],0)=ROW(Designation[])-9,COUNTIF(Designation[],"&lt;"&amp;Designation[])+1,""),""),ROW(A66)),IF(Designation[]&lt;&gt;"",COUNTIF(Designation[],"&lt;"&amp;Designation[])+1),0)),"")</f>
        <v/>
      </c>
      <c r="BA75" s="2" t="str" cm="1">
        <f t="array" ref="BA75">IFERROR(INDEX(Designation[],SMALL(IFERROR(MATCH(IF(ISNUMBER(SEARCH($AZ$10,Designation[])),Designation[],""),Designation[],0),""),ROW(A66))),"")</f>
        <v/>
      </c>
      <c r="BD75" s="2" t="str" cm="1">
        <f t="array" ref="BD75">IFERROR(INDEX(Designation[],MATCH(SMALL(IFERROR(IF(MATCH(IF(ISNUMBER(SEARCH(MJGES01_00028_2!$H$2,Designation[])),Designation[],""),Designation[],0)=ROW(Designation[])-9,COUNTIF(Designation[],"&lt;"&amp;Designation[])+1,""),""),ROW(A66)),IF(Designation[]&lt;&gt;"",COUNTIF(Designation[],"&lt;"&amp;Designation[])+1),0)),"")</f>
        <v/>
      </c>
      <c r="BI75" s="2" t="e">
        <v>#N/A</v>
      </c>
      <c r="BJ75" s="2" t="e">
        <v>#N/A</v>
      </c>
      <c r="BK75" s="164">
        <v>12</v>
      </c>
      <c r="BL75" s="164"/>
      <c r="BM75" t="str" cm="1">
        <f t="array" ref="BM75">IFERROR(INDEX(CL[],MATCH(SMALL(IFERROR(IF(MATCH(IF(Designation[]=$BD$10,CL[],""),CL[],0)&lt;&gt;"",COUNTIF(CL[],"&gt;"&amp;CL[])+1,""),""),ROW(A66)),IF(CL[]&lt;&gt;"",COUNTIF(CL[],"&gt;"&amp;CL[])+1,"0"),0)),"")</f>
        <v/>
      </c>
    </row>
    <row r="76" spans="2:65" x14ac:dyDescent="0.25">
      <c r="B76" s="34">
        <v>3257150673029</v>
      </c>
      <c r="C76" s="164" t="s">
        <v>108</v>
      </c>
      <c r="E76" s="35"/>
      <c r="F76" s="36">
        <v>70</v>
      </c>
      <c r="G76" s="37">
        <v>44</v>
      </c>
      <c r="H76" s="37">
        <v>6</v>
      </c>
      <c r="I76" s="78">
        <v>16</v>
      </c>
      <c r="J76" s="79">
        <v>10.5</v>
      </c>
      <c r="K76" s="80"/>
      <c r="M76" s="41">
        <f t="shared" si="31"/>
        <v>5.5026971999999992</v>
      </c>
      <c r="N76" s="42">
        <f>IF(G76&gt;18,($N$7/10000)*$F76*($G76/100),0)</f>
        <v>1.7668112</v>
      </c>
      <c r="O76" s="43">
        <f>IF(HLOOKUP($O$5,$I$7:$P$236,ROW()-6,FALSE)&gt;0,HLOOKUP($O$5,$I$7:$P$236,ROW()-6,FALSE)+M76+N76," ")</f>
        <v>17.769508399999999</v>
      </c>
      <c r="P76" s="44">
        <f t="shared" ref="P76:P77" si="33">IF(OR(COUNT(O76)=0,COUNT(Q76)=0),0,O76+(O76*Q76))</f>
        <v>21.323410079999999</v>
      </c>
      <c r="Q76" s="33">
        <f t="shared" si="32"/>
        <v>0.2</v>
      </c>
      <c r="R76" s="33"/>
      <c r="Y76" s="2" t="str" cm="1">
        <f t="array" ref="Y76">IFERROR(INDEX(CL[],MATCH(SMALL(IFERROR(IF(MATCH(IF(ISNUMBER(CL[]),CL[],""),CL[],0)=ROW(CL[])-9,COUNTIF(CL[],"&gt;"&amp;CL[])+1,""),""),ROW(A67)),IF(ISNUMBER(CL[]),COUNTIF(CL[],"&gt;"&amp;CL[])+1,""),0)),"")</f>
        <v/>
      </c>
      <c r="AJ76" s="2" t="str" cm="1">
        <f t="array" ref="AJ76">IFERROR(INDEX(Designation[],SMALL(IFERROR(IF(MATCH(IF(Designation[]&lt;&gt;"",Designation[],""),Designation[],0)=ROW(Designation[])-9,ROW(Designation[])-9,""),""),ROW(A67))),"")</f>
        <v/>
      </c>
      <c r="AN76" s="2" t="str" cm="1">
        <f t="array" ref="AN76">IFERROR(INDEX(CL[],MATCH(SMALL(IFERROR(IF(MATCH(IF(ISNUMBER(CL[]),CL[],""),CL[],0)=ROW(CL[])-9,COUNTIF(CL[],"&gt;"&amp;CL[])+1,""),""),ROW(A67)),IF(ISNUMBER(CL[]),COUNTIF(CL[],"&gt;"&amp;CL[])+1,""),0)),"")</f>
        <v/>
      </c>
      <c r="AR76" s="2" t="str" cm="1">
        <f t="array" ref="AR76">IFERROR(INDEX(Designation[],MATCH(SMALL(IFERROR(IF(MATCH(IF(Designation[]&lt;&gt;"",Designation[],""),Designation[],0)=ROW(Designation[])-9,COUNTIF(Designation[],"&lt;"&amp;Designation[])+1,""),""),ROW(A67)),IF(Designation[]&lt;&gt;"",COUNTIF(Designation[],"&lt;"&amp;Designation[])+1),0)),"")</f>
        <v/>
      </c>
      <c r="BA76" s="2" t="str" cm="1">
        <f t="array" ref="BA76">IFERROR(INDEX(Designation[],SMALL(IFERROR(MATCH(IF(ISNUMBER(SEARCH($AZ$10,Designation[])),Designation[],""),Designation[],0),""),ROW(A67))),"")</f>
        <v/>
      </c>
      <c r="BD76" s="2" t="str" cm="1">
        <f t="array" ref="BD76">IFERROR(INDEX(Designation[],MATCH(SMALL(IFERROR(IF(MATCH(IF(ISNUMBER(SEARCH(MJGES01_00028_2!$H$2,Designation[])),Designation[],""),Designation[],0)=ROW(Designation[])-9,COUNTIF(Designation[],"&lt;"&amp;Designation[])+1,""),""),ROW(A67)),IF(Designation[]&lt;&gt;"",COUNTIF(Designation[],"&lt;"&amp;Designation[])+1),0)),"")</f>
        <v/>
      </c>
      <c r="BI76" s="2" t="e">
        <v>#N/A</v>
      </c>
      <c r="BJ76" s="2" t="e">
        <v>#N/A</v>
      </c>
      <c r="BK76" s="164">
        <v>12</v>
      </c>
      <c r="BL76" s="164"/>
      <c r="BM76" t="str" cm="1">
        <f t="array" ref="BM76">IFERROR(INDEX(CL[],MATCH(SMALL(IFERROR(IF(MATCH(IF(Designation[]=$BD$10,CL[],""),CL[],0)&lt;&gt;"",COUNTIF(CL[],"&gt;"&amp;CL[])+1,""),""),ROW(A67)),IF(CL[]&lt;&gt;"",COUNTIF(CL[],"&gt;"&amp;CL[])+1,"0"),0)),"")</f>
        <v/>
      </c>
    </row>
    <row r="77" spans="2:65" ht="15.75" thickBot="1" x14ac:dyDescent="0.3">
      <c r="B77" s="113">
        <v>3257150673043</v>
      </c>
      <c r="C77" s="183" t="s">
        <v>109</v>
      </c>
      <c r="D77" s="108"/>
      <c r="E77" s="114"/>
      <c r="F77" s="115">
        <v>70</v>
      </c>
      <c r="G77" s="116">
        <v>45</v>
      </c>
      <c r="H77" s="116">
        <v>6</v>
      </c>
      <c r="I77" s="117">
        <v>16</v>
      </c>
      <c r="J77" s="118">
        <v>12.5</v>
      </c>
      <c r="K77" s="119"/>
      <c r="L77" s="108"/>
      <c r="M77" s="120">
        <f t="shared" si="31"/>
        <v>5.6277584999999997</v>
      </c>
      <c r="N77" s="121">
        <f>IF(G77&gt;18,($N$7/10000)*$F77*($G77/100),0)</f>
        <v>1.8069660000000001</v>
      </c>
      <c r="O77" s="122">
        <f>IF(HLOOKUP($O$5,$I$7:$P$236,ROW()-6,FALSE)&gt;0,HLOOKUP($O$5,$I$7:$P$236,ROW()-6,FALSE)+M77+N77," ")</f>
        <v>19.934724499999998</v>
      </c>
      <c r="P77" s="123">
        <f t="shared" si="33"/>
        <v>23.921669399999999</v>
      </c>
      <c r="Q77" s="33">
        <f t="shared" si="32"/>
        <v>0.2</v>
      </c>
      <c r="R77" s="33"/>
      <c r="Y77" s="2" t="str" cm="1">
        <f t="array" ref="Y77">IFERROR(INDEX(CL[],MATCH(SMALL(IFERROR(IF(MATCH(IF(ISNUMBER(CL[]),CL[],""),CL[],0)=ROW(CL[])-9,COUNTIF(CL[],"&gt;"&amp;CL[])+1,""),""),ROW(A68)),IF(ISNUMBER(CL[]),COUNTIF(CL[],"&gt;"&amp;CL[])+1,""),0)),"")</f>
        <v/>
      </c>
      <c r="AN77" s="2" t="str" cm="1">
        <f t="array" ref="AN77">IFERROR(INDEX(CL[],MATCH(SMALL(IFERROR(IF(MATCH(IF(ISNUMBER(CL[]),CL[],""),CL[],0)=ROW(CL[])-9,COUNTIF(CL[],"&gt;"&amp;CL[])+1,""),""),ROW(A68)),IF(ISNUMBER(CL[]),COUNTIF(CL[],"&gt;"&amp;CL[])+1,""),0)),"")</f>
        <v/>
      </c>
      <c r="AR77" s="2" t="str" cm="1">
        <f t="array" ref="AR77">IFERROR(INDEX(Designation[],MATCH(SMALL(IFERROR(IF(MATCH(IF(Designation[]&lt;&gt;"",Designation[],""),Designation[],0)=ROW(Designation[])-9,COUNTIF(Designation[],"&lt;"&amp;Designation[])+1,""),""),ROW(A68)),IF(Designation[]&lt;&gt;"",COUNTIF(Designation[],"&lt;"&amp;Designation[])+1),0)),"")</f>
        <v/>
      </c>
      <c r="BA77" s="2" t="str" cm="1">
        <f t="array" ref="BA77">IFERROR(INDEX(Designation[],SMALL(IFERROR(MATCH(IF(ISNUMBER(SEARCH($AZ$10,Designation[])),Designation[],""),Designation[],0),""),ROW(A68))),"")</f>
        <v/>
      </c>
      <c r="BD77" s="2" t="str" cm="1">
        <f t="array" ref="BD77">IFERROR(INDEX(Designation[],MATCH(SMALL(IFERROR(IF(MATCH(IF(ISNUMBER(SEARCH(MJGES01_00028_2!$H$2,Designation[])),Designation[],""),Designation[],0)=ROW(Designation[])-9,COUNTIF(Designation[],"&lt;"&amp;Designation[])+1,""),""),ROW(A68)),IF(Designation[]&lt;&gt;"",COUNTIF(Designation[],"&lt;"&amp;Designation[])+1),0)),"")</f>
        <v/>
      </c>
      <c r="BI77" s="2" t="e">
        <v>#N/A</v>
      </c>
      <c r="BJ77" s="2" t="e">
        <v>#N/A</v>
      </c>
      <c r="BK77" s="164">
        <v>12</v>
      </c>
      <c r="BL77" s="164"/>
      <c r="BM77" t="str" cm="1">
        <f t="array" ref="BM77">IFERROR(INDEX(CL[],MATCH(SMALL(IFERROR(IF(MATCH(IF(Designation[]=$BD$10,CL[],""),CL[],0)&lt;&gt;"",COUNTIF(CL[],"&gt;"&amp;CL[])+1,""),""),ROW(A68)),IF(CL[]&lt;&gt;"",COUNTIF(CL[],"&gt;"&amp;CL[])+1,"0"),0)),"")</f>
        <v/>
      </c>
    </row>
    <row r="78" spans="2:65" ht="15.75" thickBot="1" x14ac:dyDescent="0.3">
      <c r="B78" s="57"/>
      <c r="F78" s="37"/>
      <c r="G78" s="37"/>
      <c r="H78" s="37"/>
      <c r="I78" s="124"/>
      <c r="J78" s="125"/>
      <c r="K78" s="126"/>
      <c r="M78" s="59"/>
      <c r="N78" s="59"/>
      <c r="O78" s="43"/>
      <c r="P78" s="43"/>
      <c r="Y78" s="2" t="str" cm="1">
        <f t="array" ref="Y78">IFERROR(INDEX(CL[],MATCH(SMALL(IFERROR(IF(MATCH(IF(ISNUMBER(CL[]),CL[],""),CL[],0)=ROW(CL[])-9,COUNTIF(CL[],"&gt;"&amp;CL[])+1,""),""),ROW(A69)),IF(ISNUMBER(CL[]),COUNTIF(CL[],"&gt;"&amp;CL[])+1,""),0)),"")</f>
        <v/>
      </c>
      <c r="AN78" s="2" t="str" cm="1">
        <f t="array" ref="AN78">IFERROR(INDEX(CL[],MATCH(SMALL(IFERROR(IF(MATCH(IF(ISNUMBER(CL[]),CL[],""),CL[],0)=ROW(CL[])-9,COUNTIF(CL[],"&gt;"&amp;CL[])+1,""),""),ROW(A69)),IF(ISNUMBER(CL[]),COUNTIF(CL[],"&gt;"&amp;CL[])+1,""),0)),"")</f>
        <v/>
      </c>
      <c r="AR78" s="2" t="str" cm="1">
        <f t="array" ref="AR78">IFERROR(INDEX(Designation[],MATCH(SMALL(IFERROR(IF(MATCH(IF(Designation[]&lt;&gt;"",Designation[],""),Designation[],0)=ROW(Designation[])-9,COUNTIF(Designation[],"&lt;"&amp;Designation[])+1,""),""),ROW(A69)),IF(Designation[]&lt;&gt;"",COUNTIF(Designation[],"&lt;"&amp;Designation[])+1),0)),"")</f>
        <v/>
      </c>
      <c r="BA78" s="2" t="str" cm="1">
        <f t="array" ref="BA78">IFERROR(INDEX(Designation[],SMALL(IFERROR(MATCH(IF(ISNUMBER(SEARCH($AZ$10,Designation[])),Designation[],""),Designation[],0),""),ROW(A69))),"")</f>
        <v/>
      </c>
      <c r="BD78" s="2" t="str" cm="1">
        <f t="array" ref="BD78">IFERROR(INDEX(Designation[],MATCH(SMALL(IFERROR(IF(MATCH(IF(ISNUMBER(SEARCH(MJGES01_00028_2!$H$2,Designation[])),Designation[],""),Designation[],0)=ROW(Designation[])-9,COUNTIF(Designation[],"&lt;"&amp;Designation[])+1,""),""),ROW(A69)),IF(Designation[]&lt;&gt;"",COUNTIF(Designation[],"&lt;"&amp;Designation[])+1),0)),"")</f>
        <v/>
      </c>
      <c r="BI78" s="2" t="e">
        <v>#N/A</v>
      </c>
      <c r="BJ78" s="2" t="e">
        <v>#N/A</v>
      </c>
      <c r="BK78" s="164" t="str">
        <v/>
      </c>
      <c r="BL78" s="164"/>
      <c r="BM78" t="str" cm="1">
        <f t="array" ref="BM78">IFERROR(INDEX(CL[],MATCH(SMALL(IFERROR(IF(MATCH(IF(Designation[]=$BD$10,CL[],""),CL[],0)&lt;&gt;"",COUNTIF(CL[],"&gt;"&amp;CL[])+1,""),""),ROW(A69)),IF(CL[]&lt;&gt;"",COUNTIF(CL[],"&gt;"&amp;CL[])+1,"0"),0)),"")</f>
        <v/>
      </c>
    </row>
    <row r="79" spans="2:65" ht="20.25" thickTop="1" thickBot="1" x14ac:dyDescent="0.3">
      <c r="B79" s="74" t="s">
        <v>50</v>
      </c>
      <c r="C79" s="61"/>
      <c r="J79" s="58"/>
      <c r="O79" s="43"/>
      <c r="P79" s="43"/>
      <c r="Y79" s="2" t="str" cm="1">
        <f t="array" ref="Y79">IFERROR(INDEX(CL[],MATCH(SMALL(IFERROR(IF(MATCH(IF(ISNUMBER(CL[]),CL[],""),CL[],0)=ROW(CL[])-9,COUNTIF(CL[],"&gt;"&amp;CL[])+1,""),""),ROW(A70)),IF(ISNUMBER(CL[]),COUNTIF(CL[],"&gt;"&amp;CL[])+1,""),0)),"")</f>
        <v/>
      </c>
      <c r="AN79" s="2" t="str" cm="1">
        <f t="array" ref="AN79">IFERROR(INDEX(CL[],MATCH(SMALL(IFERROR(IF(MATCH(IF(ISNUMBER(CL[]),CL[],""),CL[],0)=ROW(CL[])-9,COUNTIF(CL[],"&gt;"&amp;CL[])+1,""),""),ROW(A70)),IF(ISNUMBER(CL[]),COUNTIF(CL[],"&gt;"&amp;CL[])+1,""),0)),"")</f>
        <v/>
      </c>
      <c r="AR79" s="2" t="str" cm="1">
        <f t="array" ref="AR79">IFERROR(INDEX(Designation[],MATCH(SMALL(IFERROR(IF(MATCH(IF(Designation[]&lt;&gt;"",Designation[],""),Designation[],0)=ROW(Designation[])-9,COUNTIF(Designation[],"&lt;"&amp;Designation[])+1,""),""),ROW(A70)),IF(Designation[]&lt;&gt;"",COUNTIF(Designation[],"&lt;"&amp;Designation[])+1),0)),"")</f>
        <v/>
      </c>
      <c r="BA79" s="2" t="str" cm="1">
        <f t="array" ref="BA79">IFERROR(INDEX(Designation[],SMALL(IFERROR(MATCH(IF(ISNUMBER(SEARCH($AZ$10,Designation[])),Designation[],""),Designation[],0),""),ROW(A70))),"")</f>
        <v/>
      </c>
      <c r="BD79" s="2" t="str" cm="1">
        <f t="array" ref="BD79">IFERROR(INDEX(Designation[],MATCH(SMALL(IFERROR(IF(MATCH(IF(ISNUMBER(SEARCH(MJGES01_00028_2!$H$2,Designation[])),Designation[],""),Designation[],0)=ROW(Designation[])-9,COUNTIF(Designation[],"&lt;"&amp;Designation[])+1,""),""),ROW(A70)),IF(Designation[]&lt;&gt;"",COUNTIF(Designation[],"&lt;"&amp;Designation[])+1),0)),"")</f>
        <v/>
      </c>
      <c r="BI79" s="2" t="e">
        <v>#N/A</v>
      </c>
      <c r="BJ79" s="2" t="e">
        <v>#N/A</v>
      </c>
      <c r="BK79" s="164" t="str">
        <v/>
      </c>
      <c r="BL79" s="164"/>
      <c r="BM79" t="str" cm="1">
        <f t="array" ref="BM79">IFERROR(INDEX(CL[],MATCH(SMALL(IFERROR(IF(MATCH(IF(Designation[]=$BD$10,CL[],""),CL[],0)&lt;&gt;"",COUNTIF(CL[],"&gt;"&amp;CL[])+1,""),""),ROW(A70)),IF(CL[]&lt;&gt;"",COUNTIF(CL[],"&gt;"&amp;CL[])+1,"0"),0)),"")</f>
        <v/>
      </c>
    </row>
    <row r="80" spans="2:65" ht="16.5" thickTop="1" thickBot="1" x14ac:dyDescent="0.3">
      <c r="B80" s="100">
        <v>7503016693004</v>
      </c>
      <c r="C80" s="182" t="s">
        <v>106</v>
      </c>
      <c r="D80" s="101"/>
      <c r="E80" s="102"/>
      <c r="F80" s="103">
        <v>70</v>
      </c>
      <c r="G80" s="104">
        <v>40</v>
      </c>
      <c r="H80" s="104">
        <v>6</v>
      </c>
      <c r="I80" s="105">
        <v>19</v>
      </c>
      <c r="J80" s="106">
        <v>18</v>
      </c>
      <c r="K80" s="107"/>
      <c r="L80" s="108"/>
      <c r="M80" s="109">
        <f t="shared" si="31"/>
        <v>5.0024519999999999</v>
      </c>
      <c r="N80" s="110">
        <f>IF(G80&gt;18,($N$7/10000)*$F80*($G80/100),0)</f>
        <v>1.6061920000000001</v>
      </c>
      <c r="O80" s="111">
        <f>IF(HLOOKUP($O$5,$I$7:$P$236,ROW()-6,FALSE)&gt;0,HLOOKUP($O$5,$I$7:$P$236,ROW()-6,FALSE)+M80+N80," ")</f>
        <v>24.608643999999998</v>
      </c>
      <c r="P80" s="127">
        <f>IF(OR(COUNT(O80)=0,COUNT(Q80)=0),0,O80+(O80*Q80))</f>
        <v>29.530372799999999</v>
      </c>
      <c r="Q80" s="33">
        <f t="shared" ref="Q80" si="34">IF(OR(G80&gt;0,H80="IT"),0.2,IF(ISBLANK(G80)," ",IF(G80&lt;=0,0.055," ")))</f>
        <v>0.2</v>
      </c>
      <c r="R80" s="33"/>
      <c r="Y80" s="2" t="str" cm="1">
        <f t="array" ref="Y80">IFERROR(INDEX(CL[],MATCH(SMALL(IFERROR(IF(MATCH(IF(ISNUMBER(CL[]),CL[],""),CL[],0)=ROW(CL[])-9,COUNTIF(CL[],"&gt;"&amp;CL[])+1,""),""),ROW(A71)),IF(ISNUMBER(CL[]),COUNTIF(CL[],"&gt;"&amp;CL[])+1,""),0)),"")</f>
        <v/>
      </c>
      <c r="AN80" s="2" t="str" cm="1">
        <f t="array" ref="AN80">IFERROR(INDEX(CL[],MATCH(SMALL(IFERROR(IF(MATCH(IF(ISNUMBER(CL[]),CL[],""),CL[],0)=ROW(CL[])-9,COUNTIF(CL[],"&gt;"&amp;CL[])+1,""),""),ROW(A71)),IF(ISNUMBER(CL[]),COUNTIF(CL[],"&gt;"&amp;CL[])+1,""),0)),"")</f>
        <v/>
      </c>
      <c r="AR80" s="2" t="str" cm="1">
        <f t="array" ref="AR80">IFERROR(INDEX(Designation[],MATCH(SMALL(IFERROR(IF(MATCH(IF(Designation[]&lt;&gt;"",Designation[],""),Designation[],0)=ROW(Designation[])-9,COUNTIF(Designation[],"&lt;"&amp;Designation[])+1,""),""),ROW(A71)),IF(Designation[]&lt;&gt;"",COUNTIF(Designation[],"&lt;"&amp;Designation[])+1),0)),"")</f>
        <v/>
      </c>
      <c r="BA80" s="2" t="str" cm="1">
        <f t="array" ref="BA80">IFERROR(INDEX(Designation[],SMALL(IFERROR(MATCH(IF(ISNUMBER(SEARCH($AZ$10,Designation[])),Designation[],""),Designation[],0),""),ROW(A71))),"")</f>
        <v/>
      </c>
      <c r="BD80" s="2" t="str" cm="1">
        <f t="array" ref="BD80">IFERROR(INDEX(Designation[],MATCH(SMALL(IFERROR(IF(MATCH(IF(ISNUMBER(SEARCH(MJGES01_00028_2!$H$2,Designation[])),Designation[],""),Designation[],0)=ROW(Designation[])-9,COUNTIF(Designation[],"&lt;"&amp;Designation[])+1,""),""),ROW(A71)),IF(Designation[]&lt;&gt;"",COUNTIF(Designation[],"&lt;"&amp;Designation[])+1),0)),"")</f>
        <v/>
      </c>
      <c r="BI80" s="2">
        <v>3</v>
      </c>
      <c r="BJ80" s="2">
        <v>20</v>
      </c>
      <c r="BK80" s="164">
        <v>12</v>
      </c>
      <c r="BL80" s="164"/>
      <c r="BM80" t="str" cm="1">
        <f t="array" ref="BM80">IFERROR(INDEX(CL[],MATCH(SMALL(IFERROR(IF(MATCH(IF(Designation[]=$BD$10,CL[],""),CL[],0)&lt;&gt;"",COUNTIF(CL[],"&gt;"&amp;CL[])+1,""),""),ROW(A71)),IF(CL[]&lt;&gt;"",COUNTIF(CL[],"&gt;"&amp;CL[])+1,"0"),0)),"")</f>
        <v/>
      </c>
    </row>
    <row r="81" spans="2:65" ht="15.75" thickBot="1" x14ac:dyDescent="0.3">
      <c r="B81" s="57"/>
      <c r="F81" s="37"/>
      <c r="G81" s="37"/>
      <c r="H81" s="37"/>
      <c r="I81" s="124"/>
      <c r="J81" s="125"/>
      <c r="K81" s="126"/>
      <c r="M81" s="59"/>
      <c r="N81" s="59"/>
      <c r="O81" s="43"/>
      <c r="P81" s="43"/>
      <c r="Y81" s="2" t="str" cm="1">
        <f t="array" ref="Y81">IFERROR(INDEX(CL[],MATCH(SMALL(IFERROR(IF(MATCH(IF(ISNUMBER(CL[]),CL[],""),CL[],0)=ROW(CL[])-9,COUNTIF(CL[],"&gt;"&amp;CL[])+1,""),""),ROW(A72)),IF(ISNUMBER(CL[]),COUNTIF(CL[],"&gt;"&amp;CL[])+1,""),0)),"")</f>
        <v/>
      </c>
      <c r="AN81" s="2" t="str" cm="1">
        <f t="array" ref="AN81">IFERROR(INDEX(CL[],MATCH(SMALL(IFERROR(IF(MATCH(IF(ISNUMBER(CL[]),CL[],""),CL[],0)=ROW(CL[])-9,COUNTIF(CL[],"&gt;"&amp;CL[])+1,""),""),ROW(A72)),IF(ISNUMBER(CL[]),COUNTIF(CL[],"&gt;"&amp;CL[])+1,""),0)),"")</f>
        <v/>
      </c>
      <c r="AR81" s="2" t="str" cm="1">
        <f t="array" ref="AR81">IFERROR(INDEX(Designation[],MATCH(SMALL(IFERROR(IF(MATCH(IF(Designation[]&lt;&gt;"",Designation[],""),Designation[],0)=ROW(Designation[])-9,COUNTIF(Designation[],"&lt;"&amp;Designation[])+1,""),""),ROW(A72)),IF(Designation[]&lt;&gt;"",COUNTIF(Designation[],"&lt;"&amp;Designation[])+1),0)),"")</f>
        <v/>
      </c>
      <c r="BA81" s="2" t="str" cm="1">
        <f t="array" ref="BA81">IFERROR(INDEX(Designation[],SMALL(IFERROR(MATCH(IF(ISNUMBER(SEARCH($AZ$10,Designation[])),Designation[],""),Designation[],0),""),ROW(A72))),"")</f>
        <v/>
      </c>
      <c r="BD81" s="2" t="str" cm="1">
        <f t="array" ref="BD81">IFERROR(INDEX(Designation[],MATCH(SMALL(IFERROR(IF(MATCH(IF(ISNUMBER(SEARCH(MJGES01_00028_2!$H$2,Designation[])),Designation[],""),Designation[],0)=ROW(Designation[])-9,COUNTIF(Designation[],"&lt;"&amp;Designation[])+1,""),""),ROW(A72)),IF(Designation[]&lt;&gt;"",COUNTIF(Designation[],"&lt;"&amp;Designation[])+1),0)),"")</f>
        <v/>
      </c>
      <c r="BI81" s="2" t="e">
        <v>#N/A</v>
      </c>
      <c r="BJ81" s="2" t="e">
        <v>#N/A</v>
      </c>
      <c r="BK81" s="164" t="str">
        <v/>
      </c>
      <c r="BL81" s="164"/>
      <c r="BM81" t="str" cm="1">
        <f t="array" ref="BM81">IFERROR(INDEX(CL[],MATCH(SMALL(IFERROR(IF(MATCH(IF(Designation[]=$BD$10,CL[],""),CL[],0)&lt;&gt;"",COUNTIF(CL[],"&gt;"&amp;CL[])+1,""),""),ROW(A72)),IF(CL[]&lt;&gt;"",COUNTIF(CL[],"&gt;"&amp;CL[])+1,"0"),0)),"")</f>
        <v/>
      </c>
    </row>
    <row r="82" spans="2:65" ht="20.25" thickTop="1" thickBot="1" x14ac:dyDescent="0.3">
      <c r="B82" s="74" t="s">
        <v>51</v>
      </c>
      <c r="C82" s="61"/>
      <c r="J82" s="58"/>
      <c r="O82" s="43"/>
      <c r="P82" s="43"/>
      <c r="Y82" s="2" t="str" cm="1">
        <f t="array" ref="Y82">IFERROR(INDEX(CL[],MATCH(SMALL(IFERROR(IF(MATCH(IF(ISNUMBER(CL[]),CL[],""),CL[],0)=ROW(CL[])-9,COUNTIF(CL[],"&gt;"&amp;CL[])+1,""),""),ROW(A73)),IF(ISNUMBER(CL[]),COUNTIF(CL[],"&gt;"&amp;CL[])+1,""),0)),"")</f>
        <v/>
      </c>
      <c r="AN82" s="2" t="str" cm="1">
        <f t="array" ref="AN82">IFERROR(INDEX(CL[],MATCH(SMALL(IFERROR(IF(MATCH(IF(ISNUMBER(CL[]),CL[],""),CL[],0)=ROW(CL[])-9,COUNTIF(CL[],"&gt;"&amp;CL[])+1,""),""),ROW(A73)),IF(ISNUMBER(CL[]),COUNTIF(CL[],"&gt;"&amp;CL[])+1,""),0)),"")</f>
        <v/>
      </c>
      <c r="AR82" s="2" t="str" cm="1">
        <f t="array" ref="AR82">IFERROR(INDEX(Designation[],MATCH(SMALL(IFERROR(IF(MATCH(IF(Designation[]&lt;&gt;"",Designation[],""),Designation[],0)=ROW(Designation[])-9,COUNTIF(Designation[],"&lt;"&amp;Designation[])+1,""),""),ROW(A73)),IF(Designation[]&lt;&gt;"",COUNTIF(Designation[],"&lt;"&amp;Designation[])+1),0)),"")</f>
        <v/>
      </c>
      <c r="BA82" s="2" t="str" cm="1">
        <f t="array" ref="BA82">IFERROR(INDEX(Designation[],SMALL(IFERROR(MATCH(IF(ISNUMBER(SEARCH($AZ$10,Designation[])),Designation[],""),Designation[],0),""),ROW(A73))),"")</f>
        <v/>
      </c>
      <c r="BD82" s="2" t="str" cm="1">
        <f t="array" ref="BD82">IFERROR(INDEX(Designation[],MATCH(SMALL(IFERROR(IF(MATCH(IF(ISNUMBER(SEARCH(MJGES01_00028_2!$H$2,Designation[])),Designation[],""),Designation[],0)=ROW(Designation[])-9,COUNTIF(Designation[],"&lt;"&amp;Designation[])+1,""),""),ROW(A73)),IF(Designation[]&lt;&gt;"",COUNTIF(Designation[],"&lt;"&amp;Designation[])+1),0)),"")</f>
        <v/>
      </c>
      <c r="BI82" s="2" t="e">
        <v>#N/A</v>
      </c>
      <c r="BJ82" s="2" t="e">
        <v>#N/A</v>
      </c>
      <c r="BK82" s="164" t="str">
        <v/>
      </c>
      <c r="BL82" s="164"/>
      <c r="BM82" t="str" cm="1">
        <f t="array" ref="BM82">IFERROR(INDEX(CL[],MATCH(SMALL(IFERROR(IF(MATCH(IF(Designation[]=$BD$10,CL[],""),CL[],0)&lt;&gt;"",COUNTIF(CL[],"&gt;"&amp;CL[])+1,""),""),ROW(A73)),IF(CL[]&lt;&gt;"",COUNTIF(CL[],"&gt;"&amp;CL[])+1,"0"),0)),"")</f>
        <v/>
      </c>
    </row>
    <row r="83" spans="2:65" ht="16.5" thickTop="1" thickBot="1" x14ac:dyDescent="0.3">
      <c r="B83" s="100">
        <v>7503011641413</v>
      </c>
      <c r="C83" s="182" t="s">
        <v>105</v>
      </c>
      <c r="D83" s="101"/>
      <c r="E83" s="102"/>
      <c r="F83" s="103">
        <v>75</v>
      </c>
      <c r="G83" s="104">
        <v>41</v>
      </c>
      <c r="H83" s="104">
        <v>6</v>
      </c>
      <c r="I83" s="105">
        <v>19</v>
      </c>
      <c r="J83" s="106">
        <v>18</v>
      </c>
      <c r="K83" s="107"/>
      <c r="L83" s="108"/>
      <c r="M83" s="109">
        <f t="shared" si="31"/>
        <v>5.493764249999999</v>
      </c>
      <c r="N83" s="110">
        <f>IF(G83&gt;18,($N$7/10000)*$F83*($G83/100),0)</f>
        <v>1.7639429999999998</v>
      </c>
      <c r="O83" s="111">
        <f>IF(HLOOKUP($O$5,$I$7:$P$236,ROW()-6,FALSE)&gt;0,HLOOKUP($O$5,$I$7:$P$236,ROW()-6,FALSE)+M83+N83," ")</f>
        <v>25.257707249999999</v>
      </c>
      <c r="P83" s="127">
        <f>IF(OR(COUNT(O83)=0,COUNT(Q83)=0),0,O83+(O83*Q83))</f>
        <v>30.309248699999998</v>
      </c>
      <c r="Q83" s="33">
        <f t="shared" ref="Q83:Q86" si="35">IF(OR(G83&gt;0,H83="IT"),0.2,IF(ISBLANK(G83)," ",IF(G83&lt;=0,0.055," ")))</f>
        <v>0.2</v>
      </c>
      <c r="R83" s="33"/>
      <c r="Y83" s="2" t="str" cm="1">
        <f t="array" ref="Y83">IFERROR(INDEX(CL[],MATCH(SMALL(IFERROR(IF(MATCH(IF(ISNUMBER(CL[]),CL[],""),CL[],0)=ROW(CL[])-9,COUNTIF(CL[],"&gt;"&amp;CL[])+1,""),""),ROW(A74)),IF(ISNUMBER(CL[]),COUNTIF(CL[],"&gt;"&amp;CL[])+1,""),0)),"")</f>
        <v/>
      </c>
      <c r="AN83" s="2" t="str" cm="1">
        <f t="array" ref="AN83">IFERROR(INDEX(CL[],MATCH(SMALL(IFERROR(IF(MATCH(IF(ISNUMBER(CL[]),CL[],""),CL[],0)=ROW(CL[])-9,COUNTIF(CL[],"&gt;"&amp;CL[])+1,""),""),ROW(A74)),IF(ISNUMBER(CL[]),COUNTIF(CL[],"&gt;"&amp;CL[])+1,""),0)),"")</f>
        <v/>
      </c>
      <c r="AR83" s="2" t="str" cm="1">
        <f t="array" ref="AR83">IFERROR(INDEX(Designation[],MATCH(SMALL(IFERROR(IF(MATCH(IF(Designation[]&lt;&gt;"",Designation[],""),Designation[],0)=ROW(Designation[])-9,COUNTIF(Designation[],"&lt;"&amp;Designation[])+1,""),""),ROW(A74)),IF(Designation[]&lt;&gt;"",COUNTIF(Designation[],"&lt;"&amp;Designation[])+1),0)),"")</f>
        <v/>
      </c>
      <c r="BA83" s="2" t="str" cm="1">
        <f t="array" ref="BA83">IFERROR(INDEX(Designation[],SMALL(IFERROR(MATCH(IF(ISNUMBER(SEARCH($AZ$10,Designation[])),Designation[],""),Designation[],0),""),ROW(A74))),"")</f>
        <v/>
      </c>
      <c r="BD83" s="2" t="str" cm="1">
        <f t="array" ref="BD83">IFERROR(INDEX(Designation[],MATCH(SMALL(IFERROR(IF(MATCH(IF(ISNUMBER(SEARCH(MJGES01_00028_2!$H$2,Designation[])),Designation[],""),Designation[],0)=ROW(Designation[])-9,COUNTIF(Designation[],"&lt;"&amp;Designation[])+1,""),""),ROW(A74)),IF(Designation[]&lt;&gt;"",COUNTIF(Designation[],"&lt;"&amp;Designation[])+1),0)),"")</f>
        <v/>
      </c>
      <c r="BI83" s="2" t="e">
        <v>#N/A</v>
      </c>
      <c r="BJ83" s="2" t="e">
        <v>#N/A</v>
      </c>
      <c r="BK83" s="164">
        <v>8</v>
      </c>
      <c r="BL83" s="164"/>
      <c r="BM83" t="str" cm="1">
        <f t="array" ref="BM83">IFERROR(INDEX(CL[],MATCH(SMALL(IFERROR(IF(MATCH(IF(Designation[]=$BD$10,CL[],""),CL[],0)&lt;&gt;"",COUNTIF(CL[],"&gt;"&amp;CL[])+1,""),""),ROW(A74)),IF(CL[]&lt;&gt;"",COUNTIF(CL[],"&gt;"&amp;CL[])+1,"0"),0)),"")</f>
        <v/>
      </c>
    </row>
    <row r="84" spans="2:65" ht="15.75" thickBot="1" x14ac:dyDescent="0.3">
      <c r="B84" s="57"/>
      <c r="C84" s="128"/>
      <c r="F84" s="37"/>
      <c r="G84" s="37"/>
      <c r="H84" s="37"/>
      <c r="I84" s="129"/>
      <c r="J84" s="125"/>
      <c r="K84" s="126"/>
      <c r="M84" s="59"/>
      <c r="N84" s="59"/>
      <c r="O84" s="43"/>
      <c r="P84" s="130"/>
      <c r="Q84" s="33"/>
      <c r="R84" s="33"/>
      <c r="Y84" s="2" t="str" cm="1">
        <f t="array" ref="Y84">IFERROR(INDEX(CL[],MATCH(SMALL(IFERROR(IF(MATCH(IF(ISNUMBER(CL[]),CL[],""),CL[],0)=ROW(CL[])-9,COUNTIF(CL[],"&gt;"&amp;CL[])+1,""),""),ROW(A75)),IF(ISNUMBER(CL[]),COUNTIF(CL[],"&gt;"&amp;CL[])+1,""),0)),"")</f>
        <v/>
      </c>
      <c r="AN84" s="2" t="str" cm="1">
        <f t="array" ref="AN84">IFERROR(INDEX(CL[],MATCH(SMALL(IFERROR(IF(MATCH(IF(ISNUMBER(CL[]),CL[],""),CL[],0)=ROW(CL[])-9,COUNTIF(CL[],"&gt;"&amp;CL[])+1,""),""),ROW(A75)),IF(ISNUMBER(CL[]),COUNTIF(CL[],"&gt;"&amp;CL[])+1,""),0)),"")</f>
        <v/>
      </c>
      <c r="AR84" s="2" t="str" cm="1">
        <f t="array" ref="AR84">IFERROR(INDEX(Designation[],MATCH(SMALL(IFERROR(IF(MATCH(IF(Designation[]&lt;&gt;"",Designation[],""),Designation[],0)=ROW(Designation[])-9,COUNTIF(Designation[],"&lt;"&amp;Designation[])+1,""),""),ROW(A75)),IF(Designation[]&lt;&gt;"",COUNTIF(Designation[],"&lt;"&amp;Designation[])+1),0)),"")</f>
        <v/>
      </c>
      <c r="BA84" s="2" t="str" cm="1">
        <f t="array" ref="BA84">IFERROR(INDEX(Designation[],SMALL(IFERROR(MATCH(IF(ISNUMBER(SEARCH($AZ$10,Designation[])),Designation[],""),Designation[],0),""),ROW(A75))),"")</f>
        <v/>
      </c>
      <c r="BD84" s="2" t="str" cm="1">
        <f t="array" ref="BD84">IFERROR(INDEX(Designation[],MATCH(SMALL(IFERROR(IF(MATCH(IF(ISNUMBER(SEARCH(MJGES01_00028_2!$H$2,Designation[])),Designation[],""),Designation[],0)=ROW(Designation[])-9,COUNTIF(Designation[],"&lt;"&amp;Designation[])+1,""),""),ROW(A75)),IF(Designation[]&lt;&gt;"",COUNTIF(Designation[],"&lt;"&amp;Designation[])+1),0)),"")</f>
        <v/>
      </c>
      <c r="BI84" s="2" t="e">
        <v>#N/A</v>
      </c>
      <c r="BJ84" s="2" t="e">
        <v>#N/A</v>
      </c>
      <c r="BK84" s="164" t="str">
        <v/>
      </c>
      <c r="BL84" s="164"/>
      <c r="BM84" t="str" cm="1">
        <f t="array" ref="BM84">IFERROR(INDEX(CL[],MATCH(SMALL(IFERROR(IF(MATCH(IF(Designation[]=$BD$10,CL[],""),CL[],0)&lt;&gt;"",COUNTIF(CL[],"&gt;"&amp;CL[])+1,""),""),ROW(A75)),IF(CL[]&lt;&gt;"",COUNTIF(CL[],"&gt;"&amp;CL[])+1,"0"),0)),"")</f>
        <v/>
      </c>
    </row>
    <row r="85" spans="2:65" ht="20.25" thickTop="1" thickBot="1" x14ac:dyDescent="0.3">
      <c r="B85" s="74" t="s">
        <v>53</v>
      </c>
      <c r="C85" s="61"/>
      <c r="J85" s="58"/>
      <c r="O85" s="43"/>
      <c r="P85" s="43"/>
      <c r="Q85" s="33"/>
      <c r="R85" s="33"/>
      <c r="Y85" s="2" t="str" cm="1">
        <f t="array" ref="Y85">IFERROR(INDEX(CL[],MATCH(SMALL(IFERROR(IF(MATCH(IF(ISNUMBER(CL[]),CL[],""),CL[],0)=ROW(CL[])-9,COUNTIF(CL[],"&gt;"&amp;CL[])+1,""),""),ROW(A76)),IF(ISNUMBER(CL[]),COUNTIF(CL[],"&gt;"&amp;CL[])+1,""),0)),"")</f>
        <v/>
      </c>
      <c r="AN85" s="2" t="str" cm="1">
        <f t="array" ref="AN85">IFERROR(INDEX(CL[],MATCH(SMALL(IFERROR(IF(MATCH(IF(ISNUMBER(CL[]),CL[],""),CL[],0)=ROW(CL[])-9,COUNTIF(CL[],"&gt;"&amp;CL[])+1,""),""),ROW(A76)),IF(ISNUMBER(CL[]),COUNTIF(CL[],"&gt;"&amp;CL[])+1,""),0)),"")</f>
        <v/>
      </c>
      <c r="AR85" s="2" t="str" cm="1">
        <f t="array" ref="AR85">IFERROR(INDEX(Designation[],MATCH(SMALL(IFERROR(IF(MATCH(IF(Designation[]&lt;&gt;"",Designation[],""),Designation[],0)=ROW(Designation[])-9,COUNTIF(Designation[],"&lt;"&amp;Designation[])+1,""),""),ROW(A76)),IF(Designation[]&lt;&gt;"",COUNTIF(Designation[],"&lt;"&amp;Designation[])+1),0)),"")</f>
        <v/>
      </c>
      <c r="BA85" s="2" t="str" cm="1">
        <f t="array" ref="BA85">IFERROR(INDEX(Designation[],SMALL(IFERROR(MATCH(IF(ISNUMBER(SEARCH($AZ$10,Designation[])),Designation[],""),Designation[],0),""),ROW(A76))),"")</f>
        <v/>
      </c>
      <c r="BD85" s="2" t="str" cm="1">
        <f t="array" ref="BD85">IFERROR(INDEX(Designation[],MATCH(SMALL(IFERROR(IF(MATCH(IF(ISNUMBER(SEARCH(MJGES01_00028_2!$H$2,Designation[])),Designation[],""),Designation[],0)=ROW(Designation[])-9,COUNTIF(Designation[],"&lt;"&amp;Designation[])+1,""),""),ROW(A76)),IF(Designation[]&lt;&gt;"",COUNTIF(Designation[],"&lt;"&amp;Designation[])+1),0)),"")</f>
        <v/>
      </c>
      <c r="BI85" s="2" t="e">
        <v>#N/A</v>
      </c>
      <c r="BJ85" s="2" t="e">
        <v>#N/A</v>
      </c>
      <c r="BK85" s="164" t="str">
        <v/>
      </c>
      <c r="BL85" s="164"/>
      <c r="BM85" t="str" cm="1">
        <f t="array" ref="BM85">IFERROR(INDEX(CL[],MATCH(SMALL(IFERROR(IF(MATCH(IF(Designation[]=$BD$10,CL[],""),CL[],0)&lt;&gt;"",COUNTIF(CL[],"&gt;"&amp;CL[])+1,""),""),ROW(A76)),IF(CL[]&lt;&gt;"",COUNTIF(CL[],"&gt;"&amp;CL[])+1,"0"),0)),"")</f>
        <v/>
      </c>
    </row>
    <row r="86" spans="2:65" ht="16.5" thickTop="1" thickBot="1" x14ac:dyDescent="0.3">
      <c r="B86" s="100">
        <v>4603514006849</v>
      </c>
      <c r="C86" s="182" t="s">
        <v>104</v>
      </c>
      <c r="D86" s="101"/>
      <c r="E86" s="102"/>
      <c r="F86" s="103">
        <v>100</v>
      </c>
      <c r="G86" s="104">
        <v>40</v>
      </c>
      <c r="H86" s="104">
        <v>6</v>
      </c>
      <c r="I86" s="105">
        <v>7.93</v>
      </c>
      <c r="J86" s="106">
        <v>7.93</v>
      </c>
      <c r="K86" s="107"/>
      <c r="L86" s="108"/>
      <c r="M86" s="109">
        <f t="shared" si="31"/>
        <v>7.1463600000000005</v>
      </c>
      <c r="N86" s="110">
        <f>IF(G86&gt;18,($N$7/10000)*$F86*($G86/100),0)</f>
        <v>2.2945600000000002</v>
      </c>
      <c r="O86" s="111">
        <f>IF(HLOOKUP($O$5,$I$7:$P$236,ROW()-6,FALSE)&gt;0,HLOOKUP($O$5,$I$7:$P$236,ROW()-6,FALSE)+M86+N86," ")</f>
        <v>17.370920000000002</v>
      </c>
      <c r="P86" s="127">
        <f>IF(OR(COUNT(O86)=0,COUNT(Q86)=0),0,O86+(O86*Q86))</f>
        <v>20.845104000000003</v>
      </c>
      <c r="Q86" s="33">
        <f t="shared" si="35"/>
        <v>0.2</v>
      </c>
      <c r="R86" s="33"/>
      <c r="Y86" s="2" t="str" cm="1">
        <f t="array" ref="Y86">IFERROR(INDEX(CL[],MATCH(SMALL(IFERROR(IF(MATCH(IF(ISNUMBER(CL[]),CL[],""),CL[],0)=ROW(CL[])-9,COUNTIF(CL[],"&gt;"&amp;CL[])+1,""),""),ROW(A77)),IF(ISNUMBER(CL[]),COUNTIF(CL[],"&gt;"&amp;CL[])+1,""),0)),"")</f>
        <v/>
      </c>
      <c r="AN86" s="2" t="str" cm="1">
        <f t="array" ref="AN86">IFERROR(INDEX(CL[],MATCH(SMALL(IFERROR(IF(MATCH(IF(ISNUMBER(CL[]),CL[],""),CL[],0)=ROW(CL[])-9,COUNTIF(CL[],"&gt;"&amp;CL[])+1,""),""),ROW(A77)),IF(ISNUMBER(CL[]),COUNTIF(CL[],"&gt;"&amp;CL[])+1,""),0)),"")</f>
        <v/>
      </c>
      <c r="AR86" s="2" t="str" cm="1">
        <f t="array" ref="AR86">IFERROR(INDEX(Designation[],MATCH(SMALL(IFERROR(IF(MATCH(IF(Designation[]&lt;&gt;"",Designation[],""),Designation[],0)=ROW(Designation[])-9,COUNTIF(Designation[],"&lt;"&amp;Designation[])+1,""),""),ROW(A77)),IF(Designation[]&lt;&gt;"",COUNTIF(Designation[],"&lt;"&amp;Designation[])+1),0)),"")</f>
        <v/>
      </c>
      <c r="BA86" s="2" t="str" cm="1">
        <f t="array" ref="BA86">IFERROR(INDEX(Designation[],SMALL(IFERROR(MATCH(IF(ISNUMBER(SEARCH($AZ$10,Designation[])),Designation[],""),Designation[],0),""),ROW(A77))),"")</f>
        <v/>
      </c>
      <c r="BD86" s="2" t="str" cm="1">
        <f t="array" ref="BD86">IFERROR(INDEX(Designation[],MATCH(SMALL(IFERROR(IF(MATCH(IF(ISNUMBER(SEARCH(MJGES01_00028_2!$H$2,Designation[])),Designation[],""),Designation[],0)=ROW(Designation[])-9,COUNTIF(Designation[],"&lt;"&amp;Designation[])+1,""),""),ROW(A77)),IF(Designation[]&lt;&gt;"",COUNTIF(Designation[],"&lt;"&amp;Designation[])+1),0)),"")</f>
        <v/>
      </c>
      <c r="BI86" s="2" t="e">
        <v>#N/A</v>
      </c>
      <c r="BJ86" s="2" t="e">
        <v>#N/A</v>
      </c>
      <c r="BK86" s="164">
        <v>3</v>
      </c>
      <c r="BL86" s="164"/>
      <c r="BM86" t="str" cm="1">
        <f t="array" ref="BM86">IFERROR(INDEX(CL[],MATCH(SMALL(IFERROR(IF(MATCH(IF(Designation[]=$BD$10,CL[],""),CL[],0)&lt;&gt;"",COUNTIF(CL[],"&gt;"&amp;CL[])+1,""),""),ROW(A77)),IF(CL[]&lt;&gt;"",COUNTIF(CL[],"&gt;"&amp;CL[])+1,"0"),0)),"")</f>
        <v/>
      </c>
    </row>
    <row r="87" spans="2:65" x14ac:dyDescent="0.25">
      <c r="B87" s="57"/>
      <c r="C87" s="128"/>
      <c r="F87" s="37"/>
      <c r="G87" s="37"/>
      <c r="H87" s="37"/>
      <c r="I87" s="129"/>
      <c r="J87" s="125"/>
      <c r="K87" s="126"/>
      <c r="M87" s="59"/>
      <c r="N87" s="59"/>
      <c r="O87" s="43"/>
      <c r="P87" s="130"/>
      <c r="Q87" s="33"/>
      <c r="R87" s="33"/>
      <c r="Y87" s="2" t="str" cm="1">
        <f t="array" ref="Y87">IFERROR(INDEX(CL[],MATCH(SMALL(IFERROR(IF(MATCH(IF(ISNUMBER(CL[]),CL[],""),CL[],0)=ROW(CL[])-9,COUNTIF(CL[],"&gt;"&amp;CL[])+1,""),""),ROW(A78)),IF(ISNUMBER(CL[]),COUNTIF(CL[],"&gt;"&amp;CL[])+1,""),0)),"")</f>
        <v/>
      </c>
      <c r="AN87" s="2" t="str" cm="1">
        <f t="array" ref="AN87">IFERROR(INDEX(CL[],MATCH(SMALL(IFERROR(IF(MATCH(IF(ISNUMBER(CL[]),CL[],""),CL[],0)=ROW(CL[])-9,COUNTIF(CL[],"&gt;"&amp;CL[])+1,""),""),ROW(A78)),IF(ISNUMBER(CL[]),COUNTIF(CL[],"&gt;"&amp;CL[])+1,""),0)),"")</f>
        <v/>
      </c>
      <c r="AR87" s="2" t="str" cm="1">
        <f t="array" ref="AR87">IFERROR(INDEX(Designation[],MATCH(SMALL(IFERROR(IF(MATCH(IF(Designation[]&lt;&gt;"",Designation[],""),Designation[],0)=ROW(Designation[])-9,COUNTIF(Designation[],"&lt;"&amp;Designation[])+1,""),""),ROW(A78)),IF(Designation[]&lt;&gt;"",COUNTIF(Designation[],"&lt;"&amp;Designation[])+1),0)),"")</f>
        <v/>
      </c>
      <c r="BA87" s="2" t="str" cm="1">
        <f t="array" ref="BA87">IFERROR(INDEX(Designation[],SMALL(IFERROR(MATCH(IF(ISNUMBER(SEARCH($AZ$10,Designation[])),Designation[],""),Designation[],0),""),ROW(A78))),"")</f>
        <v/>
      </c>
      <c r="BD87" s="2" t="str" cm="1">
        <f t="array" ref="BD87">IFERROR(INDEX(Designation[],MATCH(SMALL(IFERROR(IF(MATCH(IF(ISNUMBER(SEARCH(MJGES01_00028_2!$H$2,Designation[])),Designation[],""),Designation[],0)=ROW(Designation[])-9,COUNTIF(Designation[],"&lt;"&amp;Designation[])+1,""),""),ROW(A78)),IF(Designation[]&lt;&gt;"",COUNTIF(Designation[],"&lt;"&amp;Designation[])+1),0)),"")</f>
        <v/>
      </c>
      <c r="BI87" s="2" t="e">
        <v>#N/A</v>
      </c>
      <c r="BJ87" s="2" t="e">
        <v>#N/A</v>
      </c>
      <c r="BK87" s="164" t="str">
        <v/>
      </c>
      <c r="BL87" s="164"/>
      <c r="BM87" t="str" cm="1">
        <f t="array" ref="BM87">IFERROR(INDEX(CL[],MATCH(SMALL(IFERROR(IF(MATCH(IF(Designation[]=$BD$10,CL[],""),CL[],0)&lt;&gt;"",COUNTIF(CL[],"&gt;"&amp;CL[])+1,""),""),ROW(A78)),IF(CL[]&lt;&gt;"",COUNTIF(CL[],"&gt;"&amp;CL[])+1,"0"),0)),"")</f>
        <v/>
      </c>
    </row>
    <row r="88" spans="2:65" ht="15.75" thickBot="1" x14ac:dyDescent="0.3">
      <c r="Y88" s="2" t="str" cm="1">
        <f t="array" ref="Y88">IFERROR(INDEX(CL[],MATCH(SMALL(IFERROR(IF(MATCH(IF(ISNUMBER(CL[]),CL[],""),CL[],0)=ROW(CL[])-9,COUNTIF(CL[],"&gt;"&amp;CL[])+1,""),""),ROW(A79)),IF(ISNUMBER(CL[]),COUNTIF(CL[],"&gt;"&amp;CL[])+1,""),0)),"")</f>
        <v/>
      </c>
      <c r="AN88" s="2" t="str" cm="1">
        <f t="array" ref="AN88">IFERROR(INDEX(CL[],MATCH(SMALL(IFERROR(IF(MATCH(IF(ISNUMBER(CL[]),CL[],""),CL[],0)=ROW(CL[])-9,COUNTIF(CL[],"&gt;"&amp;CL[])+1,""),""),ROW(A79)),IF(ISNUMBER(CL[]),COUNTIF(CL[],"&gt;"&amp;CL[])+1,""),0)),"")</f>
        <v/>
      </c>
      <c r="AR88" s="2" t="str" cm="1">
        <f t="array" ref="AR88">IFERROR(INDEX(Designation[],MATCH(SMALL(IFERROR(IF(MATCH(IF(Designation[]&lt;&gt;"",Designation[],""),Designation[],0)=ROW(Designation[])-9,COUNTIF(Designation[],"&lt;"&amp;Designation[])+1,""),""),ROW(A79)),IF(Designation[]&lt;&gt;"",COUNTIF(Designation[],"&lt;"&amp;Designation[])+1),0)),"")</f>
        <v/>
      </c>
      <c r="BA88" s="2" t="str" cm="1">
        <f t="array" ref="BA88">IFERROR(INDEX(Designation[],SMALL(IFERROR(MATCH(IF(ISNUMBER(SEARCH($AZ$10,Designation[])),Designation[],""),Designation[],0),""),ROW(A79))),"")</f>
        <v/>
      </c>
      <c r="BD88" s="2" t="str" cm="1">
        <f t="array" ref="BD88">IFERROR(INDEX(Designation[],MATCH(SMALL(IFERROR(IF(MATCH(IF(ISNUMBER(SEARCH(MJGES01_00028_2!$H$2,Designation[])),Designation[],""),Designation[],0)=ROW(Designation[])-9,COUNTIF(Designation[],"&lt;"&amp;Designation[])+1,""),""),ROW(A79)),IF(Designation[]&lt;&gt;"",COUNTIF(Designation[],"&lt;"&amp;Designation[])+1),0)),"")</f>
        <v/>
      </c>
      <c r="BI88" s="2" t="e">
        <v>#N/A</v>
      </c>
      <c r="BJ88" s="2" t="e">
        <v>#N/A</v>
      </c>
      <c r="BK88" s="164" t="str">
        <v/>
      </c>
      <c r="BL88" s="164"/>
      <c r="BM88" t="str" cm="1">
        <f t="array" ref="BM88">IFERROR(INDEX(CL[],MATCH(SMALL(IFERROR(IF(MATCH(IF(Designation[]=$BD$10,CL[],""),CL[],0)&lt;&gt;"",COUNTIF(CL[],"&gt;"&amp;CL[])+1,""),""),ROW(A79)),IF(CL[]&lt;&gt;"",COUNTIF(CL[],"&gt;"&amp;CL[])+1,"0"),0)),"")</f>
        <v/>
      </c>
    </row>
    <row r="89" spans="2:65" ht="20.25" thickTop="1" thickBot="1" x14ac:dyDescent="0.3">
      <c r="B89" s="74" t="s">
        <v>55</v>
      </c>
      <c r="C89" s="61"/>
      <c r="J89" s="58"/>
      <c r="O89" s="43"/>
      <c r="P89" s="43"/>
      <c r="Y89" s="2" t="str" cm="1">
        <f t="array" ref="Y89">IFERROR(INDEX(CL[],MATCH(SMALL(IFERROR(IF(MATCH(IF(ISNUMBER(CL[]),CL[],""),CL[],0)=ROW(CL[])-9,COUNTIF(CL[],"&gt;"&amp;CL[])+1,""),""),ROW(A80)),IF(ISNUMBER(CL[]),COUNTIF(CL[],"&gt;"&amp;CL[])+1,""),0)),"")</f>
        <v/>
      </c>
      <c r="AN89" s="2" t="str" cm="1">
        <f t="array" ref="AN89">IFERROR(INDEX(CL[],MATCH(SMALL(IFERROR(IF(MATCH(IF(ISNUMBER(CL[]),CL[],""),CL[],0)=ROW(CL[])-9,COUNTIF(CL[],"&gt;"&amp;CL[])+1,""),""),ROW(A80)),IF(ISNUMBER(CL[]),COUNTIF(CL[],"&gt;"&amp;CL[])+1,""),0)),"")</f>
        <v/>
      </c>
      <c r="AR89" s="2" t="str" cm="1">
        <f t="array" ref="AR89">IFERROR(INDEX(Designation[],MATCH(SMALL(IFERROR(IF(MATCH(IF(Designation[]&lt;&gt;"",Designation[],""),Designation[],0)=ROW(Designation[])-9,COUNTIF(Designation[],"&lt;"&amp;Designation[])+1,""),""),ROW(A80)),IF(Designation[]&lt;&gt;"",COUNTIF(Designation[],"&lt;"&amp;Designation[])+1),0)),"")</f>
        <v/>
      </c>
      <c r="BA89" s="2" t="str" cm="1">
        <f t="array" ref="BA89">IFERROR(INDEX(Designation[],SMALL(IFERROR(MATCH(IF(ISNUMBER(SEARCH($AZ$10,Designation[])),Designation[],""),Designation[],0),""),ROW(A80))),"")</f>
        <v/>
      </c>
      <c r="BD89" s="2" t="str" cm="1">
        <f t="array" ref="BD89">IFERROR(INDEX(Designation[],MATCH(SMALL(IFERROR(IF(MATCH(IF(ISNUMBER(SEARCH(MJGES01_00028_2!$H$2,Designation[])),Designation[],""),Designation[],0)=ROW(Designation[])-9,COUNTIF(Designation[],"&lt;"&amp;Designation[])+1,""),""),ROW(A80)),IF(Designation[]&lt;&gt;"",COUNTIF(Designation[],"&lt;"&amp;Designation[])+1),0)),"")</f>
        <v/>
      </c>
      <c r="BI89" s="2" t="e">
        <v>#N/A</v>
      </c>
      <c r="BJ89" s="2" t="e">
        <v>#N/A</v>
      </c>
      <c r="BK89" s="164" t="str">
        <v/>
      </c>
      <c r="BL89" s="164"/>
      <c r="BM89" t="str" cm="1">
        <f t="array" ref="BM89">IFERROR(INDEX(CL[],MATCH(SMALL(IFERROR(IF(MATCH(IF(Designation[]=$BD$10,CL[],""),CL[],0)&lt;&gt;"",COUNTIF(CL[],"&gt;"&amp;CL[])+1,""),""),ROW(A80)),IF(CL[]&lt;&gt;"",COUNTIF(CL[],"&gt;"&amp;CL[])+1,"0"),0)),"")</f>
        <v/>
      </c>
    </row>
    <row r="90" spans="2:65" ht="15.75" thickTop="1" x14ac:dyDescent="0.25">
      <c r="B90" s="21">
        <v>3242890008019</v>
      </c>
      <c r="C90" s="171" t="s">
        <v>102</v>
      </c>
      <c r="D90" s="22"/>
      <c r="E90" s="23"/>
      <c r="F90" s="24">
        <v>75</v>
      </c>
      <c r="G90" s="25">
        <v>17</v>
      </c>
      <c r="H90" s="25">
        <v>6</v>
      </c>
      <c r="I90" s="75">
        <v>9.89</v>
      </c>
      <c r="J90" s="76">
        <v>7.74</v>
      </c>
      <c r="K90" s="77"/>
      <c r="M90" s="29">
        <f>IF(G90&gt;=18,($M$7/10000)*$F90*($G90/100),IF(G90&gt;0,($M$8/10000)*F90,0))</f>
        <v>1.4529749999999999</v>
      </c>
      <c r="N90" s="30">
        <f>IF(G90&gt;18,($N$7/10000)*$F90*($G90/100),0)</f>
        <v>0</v>
      </c>
      <c r="O90" s="31">
        <f>IF(HLOOKUP($O$5,$I$7:$P$236,ROW()-6,FALSE)&gt;0,HLOOKUP($O$5,$I$7:$P$236,ROW()-6,FALSE)+M90+N90," ")</f>
        <v>9.1929750000000006</v>
      </c>
      <c r="P90" s="32">
        <f>IF(OR(COUNT(O90)=0,COUNT(Q90)=0),0,O90+(O90*Q90))</f>
        <v>11.03157</v>
      </c>
      <c r="Q90" s="33">
        <f t="shared" ref="Q90:Q91" si="36">IF(OR(G90&gt;0,H90="IT"),0.2,IF(ISBLANK(G90)," ",IF(G90&lt;=0,0.055," ")))</f>
        <v>0.2</v>
      </c>
      <c r="R90" s="33"/>
      <c r="Y90" s="2" t="str" cm="1">
        <f t="array" ref="Y90">IFERROR(INDEX(CL[],MATCH(SMALL(IFERROR(IF(MATCH(IF(ISNUMBER(CL[]),CL[],""),CL[],0)=ROW(CL[])-9,COUNTIF(CL[],"&gt;"&amp;CL[])+1,""),""),ROW(A81)),IF(ISNUMBER(CL[]),COUNTIF(CL[],"&gt;"&amp;CL[])+1,""),0)),"")</f>
        <v/>
      </c>
      <c r="AN90" s="2" t="str" cm="1">
        <f t="array" ref="AN90">IFERROR(INDEX(CL[],MATCH(SMALL(IFERROR(IF(MATCH(IF(ISNUMBER(CL[]),CL[],""),CL[],0)=ROW(CL[])-9,COUNTIF(CL[],"&gt;"&amp;CL[])+1,""),""),ROW(A81)),IF(ISNUMBER(CL[]),COUNTIF(CL[],"&gt;"&amp;CL[])+1,""),0)),"")</f>
        <v/>
      </c>
      <c r="AR90" s="2" t="str" cm="1">
        <f t="array" ref="AR90">IFERROR(INDEX(Designation[],MATCH(SMALL(IFERROR(IF(MATCH(IF(Designation[]&lt;&gt;"",Designation[],""),Designation[],0)=ROW(Designation[])-9,COUNTIF(Designation[],"&lt;"&amp;Designation[])+1,""),""),ROW(A81)),IF(Designation[]&lt;&gt;"",COUNTIF(Designation[],"&lt;"&amp;Designation[])+1),0)),"")</f>
        <v/>
      </c>
      <c r="BA90" s="2" t="str" cm="1">
        <f t="array" ref="BA90">IFERROR(INDEX(Designation[],SMALL(IFERROR(MATCH(IF(ISNUMBER(SEARCH($AZ$10,Designation[])),Designation[],""),Designation[],0),""),ROW(A81))),"")</f>
        <v/>
      </c>
      <c r="BD90" s="2" t="str" cm="1">
        <f t="array" ref="BD90">IFERROR(INDEX(Designation[],MATCH(SMALL(IFERROR(IF(MATCH(IF(ISNUMBER(SEARCH(MJGES01_00028_2!$H$2,Designation[])),Designation[],""),Designation[],0)=ROW(Designation[])-9,COUNTIF(Designation[],"&lt;"&amp;Designation[])+1,""),""),ROW(A81)),IF(Designation[]&lt;&gt;"",COUNTIF(Designation[],"&lt;"&amp;Designation[])+1),0)),"")</f>
        <v/>
      </c>
      <c r="BI90" s="2" t="e">
        <v>#N/A</v>
      </c>
      <c r="BJ90" s="2" t="e">
        <v>#N/A</v>
      </c>
      <c r="BK90" s="164">
        <v>8</v>
      </c>
      <c r="BL90" s="164"/>
      <c r="BM90" t="str" cm="1">
        <f t="array" ref="BM90">IFERROR(INDEX(CL[],MATCH(SMALL(IFERROR(IF(MATCH(IF(Designation[]=$BD$10,CL[],""),CL[],0)&lt;&gt;"",COUNTIF(CL[],"&gt;"&amp;CL[])+1,""),""),ROW(A81)),IF(CL[]&lt;&gt;"",COUNTIF(CL[],"&gt;"&amp;CL[])+1,"0"),0)),"")</f>
        <v/>
      </c>
    </row>
    <row r="91" spans="2:65" ht="15.75" thickBot="1" x14ac:dyDescent="0.3">
      <c r="B91" s="113">
        <v>3242890008026</v>
      </c>
      <c r="C91" s="183" t="s">
        <v>103</v>
      </c>
      <c r="D91" s="108"/>
      <c r="E91" s="114"/>
      <c r="F91" s="115">
        <v>75</v>
      </c>
      <c r="G91" s="116">
        <v>17</v>
      </c>
      <c r="H91" s="116">
        <v>6</v>
      </c>
      <c r="I91" s="131">
        <v>9.89</v>
      </c>
      <c r="J91" s="118">
        <v>7.74</v>
      </c>
      <c r="K91" s="119"/>
      <c r="L91" s="108"/>
      <c r="M91" s="120">
        <f>IF(G91&gt;=18,($M$7/10000)*$F91*($G91/100),IF(G91&gt;0,($M$8/10000)*F91,0))</f>
        <v>1.4529749999999999</v>
      </c>
      <c r="N91" s="121">
        <f>IF(G91&gt;18,($N$7/10000)*$F91*($G91/100),0)</f>
        <v>0</v>
      </c>
      <c r="O91" s="122">
        <f>IF(HLOOKUP($O$5,$I$7:$P$236,ROW()-6,FALSE)&gt;0,HLOOKUP($O$5,$I$7:$P$236,ROW()-6,FALSE)+M91+N91," ")</f>
        <v>9.1929750000000006</v>
      </c>
      <c r="P91" s="123">
        <f>IF(OR(COUNT(O91)=0,COUNT(Q91)=0),0,O91+(O91*Q91))</f>
        <v>11.03157</v>
      </c>
      <c r="Q91" s="33">
        <f t="shared" si="36"/>
        <v>0.2</v>
      </c>
      <c r="R91" s="33"/>
      <c r="Y91" s="2" t="str" cm="1">
        <f t="array" ref="Y91">IFERROR(INDEX(CL[],MATCH(SMALL(IFERROR(IF(MATCH(IF(ISNUMBER(CL[]),CL[],""),CL[],0)=ROW(CL[])-9,COUNTIF(CL[],"&gt;"&amp;CL[])+1,""),""),ROW(A82)),IF(ISNUMBER(CL[]),COUNTIF(CL[],"&gt;"&amp;CL[])+1,""),0)),"")</f>
        <v/>
      </c>
      <c r="AN91" s="2" t="str" cm="1">
        <f t="array" ref="AN91">IFERROR(INDEX(CL[],MATCH(SMALL(IFERROR(IF(MATCH(IF(ISNUMBER(CL[]),CL[],""),CL[],0)=ROW(CL[])-9,COUNTIF(CL[],"&gt;"&amp;CL[])+1,""),""),ROW(A82)),IF(ISNUMBER(CL[]),COUNTIF(CL[],"&gt;"&amp;CL[])+1,""),0)),"")</f>
        <v/>
      </c>
      <c r="AR91" s="2" t="str" cm="1">
        <f t="array" ref="AR91">IFERROR(INDEX(Designation[],MATCH(SMALL(IFERROR(IF(MATCH(IF(Designation[]&lt;&gt;"",Designation[],""),Designation[],0)=ROW(Designation[])-9,COUNTIF(Designation[],"&lt;"&amp;Designation[])+1,""),""),ROW(A82)),IF(Designation[]&lt;&gt;"",COUNTIF(Designation[],"&lt;"&amp;Designation[])+1),0)),"")</f>
        <v/>
      </c>
      <c r="BA91" s="2" t="str" cm="1">
        <f t="array" ref="BA91">IFERROR(INDEX(Designation[],SMALL(IFERROR(MATCH(IF(ISNUMBER(SEARCH($AZ$10,Designation[])),Designation[],""),Designation[],0),""),ROW(A82))),"")</f>
        <v/>
      </c>
      <c r="BD91" s="2" t="str" cm="1">
        <f t="array" ref="BD91">IFERROR(INDEX(Designation[],MATCH(SMALL(IFERROR(IF(MATCH(IF(ISNUMBER(SEARCH(MJGES01_00028_2!$H$2,Designation[])),Designation[],""),Designation[],0)=ROW(Designation[])-9,COUNTIF(Designation[],"&lt;"&amp;Designation[])+1,""),""),ROW(A82)),IF(Designation[]&lt;&gt;"",COUNTIF(Designation[],"&lt;"&amp;Designation[])+1),0)),"")</f>
        <v/>
      </c>
      <c r="BI91" s="2" t="e">
        <v>#N/A</v>
      </c>
      <c r="BJ91" s="2" t="e">
        <v>#N/A</v>
      </c>
      <c r="BK91" s="164">
        <v>8</v>
      </c>
      <c r="BL91" s="164"/>
      <c r="BM91" t="str" cm="1">
        <f t="array" ref="BM91">IFERROR(INDEX(CL[],MATCH(SMALL(IFERROR(IF(MATCH(IF(Designation[]=$BD$10,CL[],""),CL[],0)&lt;&gt;"",COUNTIF(CL[],"&gt;"&amp;CL[])+1,""),""),ROW(A82)),IF(CL[]&lt;&gt;"",COUNTIF(CL[],"&gt;"&amp;CL[])+1,"0"),0)),"")</f>
        <v/>
      </c>
    </row>
    <row r="92" spans="2:65" x14ac:dyDescent="0.25">
      <c r="Y92" s="2" t="str" cm="1">
        <f t="array" ref="Y92">IFERROR(INDEX(CL[],MATCH(SMALL(IFERROR(IF(MATCH(IF(ISNUMBER(CL[]),CL[],""),CL[],0)=ROW(CL[])-9,COUNTIF(CL[],"&gt;"&amp;CL[])+1,""),""),ROW(A83)),IF(ISNUMBER(CL[]),COUNTIF(CL[],"&gt;"&amp;CL[])+1,""),0)),"")</f>
        <v/>
      </c>
      <c r="AN92" s="2" t="str" cm="1">
        <f t="array" ref="AN92">IFERROR(INDEX(CL[],MATCH(SMALL(IFERROR(IF(MATCH(IF(ISNUMBER(CL[]),CL[],""),CL[],0)=ROW(CL[])-9,COUNTIF(CL[],"&gt;"&amp;CL[])+1,""),""),ROW(A83)),IF(ISNUMBER(CL[]),COUNTIF(CL[],"&gt;"&amp;CL[])+1,""),0)),"")</f>
        <v/>
      </c>
      <c r="AR92" s="2" t="str" cm="1">
        <f t="array" ref="AR92">IFERROR(INDEX(Designation[],MATCH(SMALL(IFERROR(IF(MATCH(IF(Designation[]&lt;&gt;"",Designation[],""),Designation[],0)=ROW(Designation[])-9,COUNTIF(Designation[],"&lt;"&amp;Designation[])+1,""),""),ROW(A83)),IF(Designation[]&lt;&gt;"",COUNTIF(Designation[],"&lt;"&amp;Designation[])+1),0)),"")</f>
        <v/>
      </c>
      <c r="BA92" s="2" t="str" cm="1">
        <f t="array" ref="BA92">IFERROR(INDEX(Designation[],SMALL(IFERROR(MATCH(IF(ISNUMBER(SEARCH($AZ$10,Designation[])),Designation[],""),Designation[],0),""),ROW(A83))),"")</f>
        <v/>
      </c>
      <c r="BD92" s="2" t="str" cm="1">
        <f t="array" ref="BD92">IFERROR(INDEX(Designation[],MATCH(SMALL(IFERROR(IF(MATCH(IF(ISNUMBER(SEARCH(MJGES01_00028_2!$H$2,Designation[])),Designation[],""),Designation[],0)=ROW(Designation[])-9,COUNTIF(Designation[],"&lt;"&amp;Designation[])+1,""),""),ROW(A83)),IF(Designation[]&lt;&gt;"",COUNTIF(Designation[],"&lt;"&amp;Designation[])+1),0)),"")</f>
        <v/>
      </c>
      <c r="BI92" s="2" t="e">
        <v>#N/A</v>
      </c>
      <c r="BJ92" s="2" t="e">
        <v>#N/A</v>
      </c>
      <c r="BK92" s="164" t="str">
        <v/>
      </c>
      <c r="BL92" s="164"/>
      <c r="BM92" t="str" cm="1">
        <f t="array" ref="BM92">IFERROR(INDEX(CL[],MATCH(SMALL(IFERROR(IF(MATCH(IF(Designation[]=$BD$10,CL[],""),CL[],0)&lt;&gt;"",COUNTIF(CL[],"&gt;"&amp;CL[])+1,""),""),ROW(A83)),IF(CL[]&lt;&gt;"",COUNTIF(CL[],"&gt;"&amp;CL[])+1,"0"),0)),"")</f>
        <v/>
      </c>
    </row>
    <row r="93" spans="2:65" x14ac:dyDescent="0.25">
      <c r="Y93" s="2" t="str" cm="1">
        <f t="array" ref="Y93">IFERROR(INDEX(CL[],MATCH(SMALL(IFERROR(IF(MATCH(IF(ISNUMBER(CL[]),CL[],""),CL[],0)=ROW(CL[])-9,COUNTIF(CL[],"&gt;"&amp;CL[])+1,""),""),ROW(A84)),IF(ISNUMBER(CL[]),COUNTIF(CL[],"&gt;"&amp;CL[])+1,""),0)),"")</f>
        <v/>
      </c>
      <c r="AN93" s="2" t="str" cm="1">
        <f t="array" ref="AN93">IFERROR(INDEX(CL[],MATCH(SMALL(IFERROR(IF(MATCH(IF(ISNUMBER(CL[]),CL[],""),CL[],0)=ROW(CL[])-9,COUNTIF(CL[],"&gt;"&amp;CL[])+1,""),""),ROW(A84)),IF(ISNUMBER(CL[]),COUNTIF(CL[],"&gt;"&amp;CL[])+1,""),0)),"")</f>
        <v/>
      </c>
      <c r="AR93" s="2" t="str" cm="1">
        <f t="array" ref="AR93">IFERROR(INDEX(Designation[],MATCH(SMALL(IFERROR(IF(MATCH(IF(Designation[]&lt;&gt;"",Designation[],""),Designation[],0)=ROW(Designation[])-9,COUNTIF(Designation[],"&lt;"&amp;Designation[])+1,""),""),ROW(A84)),IF(Designation[]&lt;&gt;"",COUNTIF(Designation[],"&lt;"&amp;Designation[])+1),0)),"")</f>
        <v/>
      </c>
      <c r="BA93" s="2" t="str" cm="1">
        <f t="array" ref="BA93">IFERROR(INDEX(Designation[],SMALL(IFERROR(MATCH(IF(ISNUMBER(SEARCH($AZ$10,Designation[])),Designation[],""),Designation[],0),""),ROW(A84))),"")</f>
        <v/>
      </c>
      <c r="BD93" s="2" t="str" cm="1">
        <f t="array" ref="BD93">IFERROR(INDEX(Designation[],MATCH(SMALL(IFERROR(IF(MATCH(IF(ISNUMBER(SEARCH(MJGES01_00028_2!$H$2,Designation[])),Designation[],""),Designation[],0)=ROW(Designation[])-9,COUNTIF(Designation[],"&lt;"&amp;Designation[])+1,""),""),ROW(A84)),IF(Designation[]&lt;&gt;"",COUNTIF(Designation[],"&lt;"&amp;Designation[])+1),0)),"")</f>
        <v/>
      </c>
      <c r="BI93" s="2" t="e">
        <v>#N/A</v>
      </c>
      <c r="BJ93" s="2" t="e">
        <v>#N/A</v>
      </c>
      <c r="BK93" s="164" t="str">
        <v/>
      </c>
      <c r="BL93" s="164"/>
      <c r="BM93" t="str" cm="1">
        <f t="array" ref="BM93">IFERROR(INDEX(CL[],MATCH(SMALL(IFERROR(IF(MATCH(IF(Designation[]=$BD$10,CL[],""),CL[],0)&lt;&gt;"",COUNTIF(CL[],"&gt;"&amp;CL[])+1,""),""),ROW(A84)),IF(CL[]&lt;&gt;"",COUNTIF(CL[],"&gt;"&amp;CL[])+1,"0"),0)),"")</f>
        <v/>
      </c>
    </row>
    <row r="94" spans="2:65" ht="15.75" thickBot="1" x14ac:dyDescent="0.3">
      <c r="Y94" s="2" t="str" cm="1">
        <f t="array" ref="Y94">IFERROR(INDEX(CL[],MATCH(SMALL(IFERROR(IF(MATCH(IF(ISNUMBER(CL[]),CL[],""),CL[],0)=ROW(CL[])-9,COUNTIF(CL[],"&gt;"&amp;CL[])+1,""),""),ROW(A85)),IF(ISNUMBER(CL[]),COUNTIF(CL[],"&gt;"&amp;CL[])+1,""),0)),"")</f>
        <v/>
      </c>
      <c r="AN94" s="2" t="str" cm="1">
        <f t="array" ref="AN94">IFERROR(INDEX(CL[],MATCH(SMALL(IFERROR(IF(MATCH(IF(ISNUMBER(CL[]),CL[],""),CL[],0)=ROW(CL[])-9,COUNTIF(CL[],"&gt;"&amp;CL[])+1,""),""),ROW(A85)),IF(ISNUMBER(CL[]),COUNTIF(CL[],"&gt;"&amp;CL[])+1,""),0)),"")</f>
        <v/>
      </c>
      <c r="AR94" s="2" t="str" cm="1">
        <f t="array" ref="AR94">IFERROR(INDEX(Designation[],MATCH(SMALL(IFERROR(IF(MATCH(IF(Designation[]&lt;&gt;"",Designation[],""),Designation[],0)=ROW(Designation[])-9,COUNTIF(Designation[],"&lt;"&amp;Designation[])+1,""),""),ROW(A85)),IF(Designation[]&lt;&gt;"",COUNTIF(Designation[],"&lt;"&amp;Designation[])+1),0)),"")</f>
        <v/>
      </c>
      <c r="BA94" s="2" t="str" cm="1">
        <f t="array" ref="BA94">IFERROR(INDEX(Designation[],SMALL(IFERROR(MATCH(IF(ISNUMBER(SEARCH($AZ$10,Designation[])),Designation[],""),Designation[],0),""),ROW(A85))),"")</f>
        <v/>
      </c>
      <c r="BD94" s="2" t="str" cm="1">
        <f t="array" ref="BD94">IFERROR(INDEX(Designation[],MATCH(SMALL(IFERROR(IF(MATCH(IF(ISNUMBER(SEARCH(MJGES01_00028_2!$H$2,Designation[])),Designation[],""),Designation[],0)=ROW(Designation[])-9,COUNTIF(Designation[],"&lt;"&amp;Designation[])+1,""),""),ROW(A85)),IF(Designation[]&lt;&gt;"",COUNTIF(Designation[],"&lt;"&amp;Designation[])+1),0)),"")</f>
        <v/>
      </c>
      <c r="BI94" s="2" t="e">
        <v>#N/A</v>
      </c>
      <c r="BJ94" s="2" t="e">
        <v>#N/A</v>
      </c>
      <c r="BK94" s="164" t="str">
        <v/>
      </c>
      <c r="BL94" s="164"/>
      <c r="BM94" t="str" cm="1">
        <f t="array" ref="BM94">IFERROR(INDEX(CL[],MATCH(SMALL(IFERROR(IF(MATCH(IF(Designation[]=$BD$10,CL[],""),CL[],0)&lt;&gt;"",COUNTIF(CL[],"&gt;"&amp;CL[])+1,""),""),ROW(A85)),IF(CL[]&lt;&gt;"",COUNTIF(CL[],"&gt;"&amp;CL[])+1,"0"),0)),"")</f>
        <v/>
      </c>
    </row>
    <row r="95" spans="2:65" ht="20.25" thickTop="1" thickBot="1" x14ac:dyDescent="0.3">
      <c r="B95" s="74" t="s">
        <v>58</v>
      </c>
      <c r="C95" s="61"/>
      <c r="J95" s="58"/>
      <c r="O95" s="43"/>
      <c r="P95" s="43"/>
      <c r="Y95" s="2" t="str" cm="1">
        <f t="array" ref="Y95">IFERROR(INDEX(CL[],MATCH(SMALL(IFERROR(IF(MATCH(IF(ISNUMBER(CL[]),CL[],""),CL[],0)=ROW(CL[])-9,COUNTIF(CL[],"&gt;"&amp;CL[])+1,""),""),ROW(A86)),IF(ISNUMBER(CL[]),COUNTIF(CL[],"&gt;"&amp;CL[])+1,""),0)),"")</f>
        <v/>
      </c>
      <c r="AN95" s="2" t="str" cm="1">
        <f t="array" ref="AN95">IFERROR(INDEX(CL[],MATCH(SMALL(IFERROR(IF(MATCH(IF(ISNUMBER(CL[]),CL[],""),CL[],0)=ROW(CL[])-9,COUNTIF(CL[],"&gt;"&amp;CL[])+1,""),""),ROW(A86)),IF(ISNUMBER(CL[]),COUNTIF(CL[],"&gt;"&amp;CL[])+1,""),0)),"")</f>
        <v/>
      </c>
      <c r="AR95" s="2" t="str" cm="1">
        <f t="array" ref="AR95">IFERROR(INDEX(Designation[],MATCH(SMALL(IFERROR(IF(MATCH(IF(Designation[]&lt;&gt;"",Designation[],""),Designation[],0)=ROW(Designation[])-9,COUNTIF(Designation[],"&lt;"&amp;Designation[])+1,""),""),ROW(A86)),IF(Designation[]&lt;&gt;"",COUNTIF(Designation[],"&lt;"&amp;Designation[])+1),0)),"")</f>
        <v/>
      </c>
      <c r="BA95" s="2" t="str" cm="1">
        <f t="array" ref="BA95">IFERROR(INDEX(Designation[],SMALL(IFERROR(MATCH(IF(ISNUMBER(SEARCH($AZ$10,Designation[])),Designation[],""),Designation[],0),""),ROW(A86))),"")</f>
        <v/>
      </c>
      <c r="BD95" s="2" t="str" cm="1">
        <f t="array" ref="BD95">IFERROR(INDEX(Designation[],MATCH(SMALL(IFERROR(IF(MATCH(IF(ISNUMBER(SEARCH(MJGES01_00028_2!$H$2,Designation[])),Designation[],""),Designation[],0)=ROW(Designation[])-9,COUNTIF(Designation[],"&lt;"&amp;Designation[])+1,""),""),ROW(A86)),IF(Designation[]&lt;&gt;"",COUNTIF(Designation[],"&lt;"&amp;Designation[])+1),0)),"")</f>
        <v/>
      </c>
      <c r="BI95" s="2" t="e">
        <v>#N/A</v>
      </c>
      <c r="BJ95" s="2" t="e">
        <v>#N/A</v>
      </c>
      <c r="BK95" s="164" t="str">
        <v/>
      </c>
      <c r="BL95" s="164"/>
      <c r="BM95" t="str" cm="1">
        <f t="array" ref="BM95">IFERROR(INDEX(CL[],MATCH(SMALL(IFERROR(IF(MATCH(IF(Designation[]=$BD$10,CL[],""),CL[],0)&lt;&gt;"",COUNTIF(CL[],"&gt;"&amp;CL[])+1,""),""),ROW(A86)),IF(CL[]&lt;&gt;"",COUNTIF(CL[],"&gt;"&amp;CL[])+1,"0"),0)),"")</f>
        <v/>
      </c>
    </row>
    <row r="96" spans="2:65" ht="15.75" thickTop="1" x14ac:dyDescent="0.25">
      <c r="B96" s="21">
        <v>4260310553818</v>
      </c>
      <c r="C96" s="171" t="s">
        <v>91</v>
      </c>
      <c r="D96" s="22"/>
      <c r="E96" s="23"/>
      <c r="F96" s="24">
        <v>20</v>
      </c>
      <c r="G96" s="25">
        <v>0</v>
      </c>
      <c r="H96" s="25">
        <v>24</v>
      </c>
      <c r="I96" s="75">
        <v>0.89</v>
      </c>
      <c r="J96" s="76">
        <v>0.81</v>
      </c>
      <c r="K96" s="77"/>
      <c r="M96" s="29">
        <f t="shared" ref="M96:M114" si="37">IF(G96&gt;=18,($M$7/10000)*$F96*($G96/100),IF(G96&gt;0,($M$8/10000)*F96,0))</f>
        <v>0</v>
      </c>
      <c r="N96" s="30">
        <f t="shared" ref="N96:N104" si="38">IF(G96&gt;18,($N$7/10000)*$F96*($G96/100),0)</f>
        <v>0</v>
      </c>
      <c r="O96" s="31">
        <f t="shared" ref="O96:O104" si="39">IF(HLOOKUP($O$5,$I$7:$P$236,ROW()-6,FALSE)&gt;0,HLOOKUP($O$5,$I$7:$P$236,ROW()-6,FALSE)+M96+N96," ")</f>
        <v>0.81</v>
      </c>
      <c r="P96" s="32">
        <f>IF(OR(COUNT(O96)=0,COUNT(Q96)=0),0,O96+(O96*Q96))</f>
        <v>0.85455000000000003</v>
      </c>
      <c r="Q96" s="33">
        <f t="shared" ref="Q96:Q104" si="40">IF(OR(G96&gt;0,H96="IT"),0.2,IF(ISBLANK(G96)," ",IF(G96&lt;=0,0.055," ")))</f>
        <v>5.5E-2</v>
      </c>
      <c r="R96" s="33"/>
      <c r="Y96" s="2" t="str" cm="1">
        <f t="array" ref="Y96">IFERROR(INDEX(CL[],MATCH(SMALL(IFERROR(IF(MATCH(IF(ISNUMBER(CL[]),CL[],""),CL[],0)=ROW(CL[])-9,COUNTIF(CL[],"&gt;"&amp;CL[])+1,""),""),ROW(A87)),IF(ISNUMBER(CL[]),COUNTIF(CL[],"&gt;"&amp;CL[])+1,""),0)),"")</f>
        <v/>
      </c>
      <c r="AN96" s="2" t="str" cm="1">
        <f t="array" ref="AN96">IFERROR(INDEX(CL[],MATCH(SMALL(IFERROR(IF(MATCH(IF(ISNUMBER(CL[]),CL[],""),CL[],0)=ROW(CL[])-9,COUNTIF(CL[],"&gt;"&amp;CL[])+1,""),""),ROW(A87)),IF(ISNUMBER(CL[]),COUNTIF(CL[],"&gt;"&amp;CL[])+1,""),0)),"")</f>
        <v/>
      </c>
      <c r="AR96" s="2" t="str" cm="1">
        <f t="array" ref="AR96">IFERROR(INDEX(Designation[],MATCH(SMALL(IFERROR(IF(MATCH(IF(Designation[]&lt;&gt;"",Designation[],""),Designation[],0)=ROW(Designation[])-9,COUNTIF(Designation[],"&lt;"&amp;Designation[])+1,""),""),ROW(A87)),IF(Designation[]&lt;&gt;"",COUNTIF(Designation[],"&lt;"&amp;Designation[])+1),0)),"")</f>
        <v/>
      </c>
      <c r="BA96" s="2" t="str" cm="1">
        <f t="array" ref="BA96">IFERROR(INDEX(Designation[],SMALL(IFERROR(MATCH(IF(ISNUMBER(SEARCH($AZ$10,Designation[])),Designation[],""),Designation[],0),""),ROW(A87))),"")</f>
        <v/>
      </c>
      <c r="BD96" s="2" t="str" cm="1">
        <f t="array" ref="BD96">IFERROR(INDEX(Designation[],MATCH(SMALL(IFERROR(IF(MATCH(IF(ISNUMBER(SEARCH(MJGES01_00028_2!$H$2,Designation[])),Designation[],""),Designation[],0)=ROW(Designation[])-9,COUNTIF(Designation[],"&lt;"&amp;Designation[])+1,""),""),ROW(A87)),IF(Designation[]&lt;&gt;"",COUNTIF(Designation[],"&lt;"&amp;Designation[])+1),0)),"")</f>
        <v/>
      </c>
      <c r="BI96" s="2" t="e">
        <v>#N/A</v>
      </c>
      <c r="BJ96" s="2" t="e">
        <v>#N/A</v>
      </c>
      <c r="BK96" s="164">
        <v>51</v>
      </c>
      <c r="BL96" s="164"/>
      <c r="BM96" t="str" cm="1">
        <f t="array" ref="BM96">IFERROR(INDEX(CL[],MATCH(SMALL(IFERROR(IF(MATCH(IF(Designation[]=$BD$10,CL[],""),CL[],0)&lt;&gt;"",COUNTIF(CL[],"&gt;"&amp;CL[])+1,""),""),ROW(A87)),IF(CL[]&lt;&gt;"",COUNTIF(CL[],"&gt;"&amp;CL[])+1,"0"),0)),"")</f>
        <v/>
      </c>
    </row>
    <row r="97" spans="2:65" x14ac:dyDescent="0.25">
      <c r="B97" s="34">
        <v>4260310553832</v>
      </c>
      <c r="C97" s="164" t="s">
        <v>92</v>
      </c>
      <c r="E97" s="35"/>
      <c r="F97" s="36">
        <v>20</v>
      </c>
      <c r="G97" s="37">
        <v>0</v>
      </c>
      <c r="H97" s="37">
        <v>24</v>
      </c>
      <c r="I97" s="78">
        <v>0.89</v>
      </c>
      <c r="J97" s="79">
        <v>0.81</v>
      </c>
      <c r="K97" s="80"/>
      <c r="M97" s="41">
        <f t="shared" si="37"/>
        <v>0</v>
      </c>
      <c r="N97" s="42">
        <f t="shared" si="38"/>
        <v>0</v>
      </c>
      <c r="O97" s="43">
        <f t="shared" si="39"/>
        <v>0.81</v>
      </c>
      <c r="P97" s="44">
        <f t="shared" ref="P97:P104" si="41">IF(OR(COUNT(O97)=0,COUNT(Q97)=0),0,O97+(O97*Q97))</f>
        <v>0.85455000000000003</v>
      </c>
      <c r="Q97" s="33">
        <f t="shared" si="40"/>
        <v>5.5E-2</v>
      </c>
      <c r="R97" s="33"/>
      <c r="Y97" s="2" t="str" cm="1">
        <f t="array" ref="Y97">IFERROR(INDEX(CL[],MATCH(SMALL(IFERROR(IF(MATCH(IF(ISNUMBER(CL[]),CL[],""),CL[],0)=ROW(CL[])-9,COUNTIF(CL[],"&gt;"&amp;CL[])+1,""),""),ROW(A88)),IF(ISNUMBER(CL[]),COUNTIF(CL[],"&gt;"&amp;CL[])+1,""),0)),"")</f>
        <v/>
      </c>
      <c r="AN97" s="2" t="str" cm="1">
        <f t="array" ref="AN97">IFERROR(INDEX(CL[],MATCH(SMALL(IFERROR(IF(MATCH(IF(ISNUMBER(CL[]),CL[],""),CL[],0)=ROW(CL[])-9,COUNTIF(CL[],"&gt;"&amp;CL[])+1,""),""),ROW(A88)),IF(ISNUMBER(CL[]),COUNTIF(CL[],"&gt;"&amp;CL[])+1,""),0)),"")</f>
        <v/>
      </c>
      <c r="AR97" s="2" t="str" cm="1">
        <f t="array" ref="AR97">IFERROR(INDEX(Designation[],MATCH(SMALL(IFERROR(IF(MATCH(IF(Designation[]&lt;&gt;"",Designation[],""),Designation[],0)=ROW(Designation[])-9,COUNTIF(Designation[],"&lt;"&amp;Designation[])+1,""),""),ROW(A88)),IF(Designation[]&lt;&gt;"",COUNTIF(Designation[],"&lt;"&amp;Designation[])+1),0)),"")</f>
        <v/>
      </c>
      <c r="BA97" s="2" t="str" cm="1">
        <f t="array" ref="BA97">IFERROR(INDEX(Designation[],SMALL(IFERROR(MATCH(IF(ISNUMBER(SEARCH($AZ$10,Designation[])),Designation[],""),Designation[],0),""),ROW(A88))),"")</f>
        <v/>
      </c>
      <c r="BD97" s="2" t="str" cm="1">
        <f t="array" ref="BD97">IFERROR(INDEX(Designation[],MATCH(SMALL(IFERROR(IF(MATCH(IF(ISNUMBER(SEARCH(MJGES01_00028_2!$H$2,Designation[])),Designation[],""),Designation[],0)=ROW(Designation[])-9,COUNTIF(Designation[],"&lt;"&amp;Designation[])+1,""),""),ROW(A88)),IF(Designation[]&lt;&gt;"",COUNTIF(Designation[],"&lt;"&amp;Designation[])+1),0)),"")</f>
        <v/>
      </c>
      <c r="BI97" s="2" t="e">
        <v>#N/A</v>
      </c>
      <c r="BJ97" s="2" t="e">
        <v>#N/A</v>
      </c>
      <c r="BK97" s="164">
        <v>51</v>
      </c>
      <c r="BL97" s="164"/>
      <c r="BM97" t="str" cm="1">
        <f t="array" ref="BM97">IFERROR(INDEX(CL[],MATCH(SMALL(IFERROR(IF(MATCH(IF(Designation[]=$BD$10,CL[],""),CL[],0)&lt;&gt;"",COUNTIF(CL[],"&gt;"&amp;CL[])+1,""),""),ROW(A88)),IF(CL[]&lt;&gt;"",COUNTIF(CL[],"&gt;"&amp;CL[])+1,"0"),0)),"")</f>
        <v/>
      </c>
    </row>
    <row r="98" spans="2:65" x14ac:dyDescent="0.25">
      <c r="B98" s="34">
        <v>4260310553856</v>
      </c>
      <c r="C98" s="164" t="s">
        <v>93</v>
      </c>
      <c r="E98" s="35"/>
      <c r="F98" s="36">
        <v>20</v>
      </c>
      <c r="G98" s="37">
        <v>0</v>
      </c>
      <c r="H98" s="37">
        <v>24</v>
      </c>
      <c r="I98" s="78">
        <v>0.89</v>
      </c>
      <c r="J98" s="79">
        <v>0.81</v>
      </c>
      <c r="K98" s="80"/>
      <c r="M98" s="41">
        <f t="shared" si="37"/>
        <v>0</v>
      </c>
      <c r="N98" s="42">
        <f t="shared" si="38"/>
        <v>0</v>
      </c>
      <c r="O98" s="43">
        <f t="shared" si="39"/>
        <v>0.81</v>
      </c>
      <c r="P98" s="44">
        <f t="shared" si="41"/>
        <v>0.85455000000000003</v>
      </c>
      <c r="Q98" s="33">
        <f t="shared" si="40"/>
        <v>5.5E-2</v>
      </c>
      <c r="R98" s="33"/>
      <c r="Y98" s="2" t="str" cm="1">
        <f t="array" ref="Y98">IFERROR(INDEX(CL[],MATCH(SMALL(IFERROR(IF(MATCH(IF(ISNUMBER(CL[]),CL[],""),CL[],0)=ROW(CL[])-9,COUNTIF(CL[],"&gt;"&amp;CL[])+1,""),""),ROW(A89)),IF(ISNUMBER(CL[]),COUNTIF(CL[],"&gt;"&amp;CL[])+1,""),0)),"")</f>
        <v/>
      </c>
      <c r="AN98" s="2" t="str" cm="1">
        <f t="array" ref="AN98">IFERROR(INDEX(CL[],MATCH(SMALL(IFERROR(IF(MATCH(IF(ISNUMBER(CL[]),CL[],""),CL[],0)=ROW(CL[])-9,COUNTIF(CL[],"&gt;"&amp;CL[])+1,""),""),ROW(A89)),IF(ISNUMBER(CL[]),COUNTIF(CL[],"&gt;"&amp;CL[])+1,""),0)),"")</f>
        <v/>
      </c>
      <c r="AR98" s="2" t="str" cm="1">
        <f t="array" ref="AR98">IFERROR(INDEX(Designation[],MATCH(SMALL(IFERROR(IF(MATCH(IF(Designation[]&lt;&gt;"",Designation[],""),Designation[],0)=ROW(Designation[])-9,COUNTIF(Designation[],"&lt;"&amp;Designation[])+1,""),""),ROW(A89)),IF(Designation[]&lt;&gt;"",COUNTIF(Designation[],"&lt;"&amp;Designation[])+1),0)),"")</f>
        <v/>
      </c>
      <c r="BA98" s="2" t="str" cm="1">
        <f t="array" ref="BA98">IFERROR(INDEX(Designation[],SMALL(IFERROR(MATCH(IF(ISNUMBER(SEARCH($AZ$10,Designation[])),Designation[],""),Designation[],0),""),ROW(A89))),"")</f>
        <v/>
      </c>
      <c r="BD98" s="2" t="str" cm="1">
        <f t="array" ref="BD98">IFERROR(INDEX(Designation[],MATCH(SMALL(IFERROR(IF(MATCH(IF(ISNUMBER(SEARCH(MJGES01_00028_2!$H$2,Designation[])),Designation[],""),Designation[],0)=ROW(Designation[])-9,COUNTIF(Designation[],"&lt;"&amp;Designation[])+1,""),""),ROW(A89)),IF(Designation[]&lt;&gt;"",COUNTIF(Designation[],"&lt;"&amp;Designation[])+1),0)),"")</f>
        <v/>
      </c>
      <c r="BI98" s="2" t="e">
        <v>#N/A</v>
      </c>
      <c r="BJ98" s="2" t="e">
        <v>#N/A</v>
      </c>
      <c r="BK98" s="164">
        <v>51</v>
      </c>
      <c r="BL98" s="164"/>
      <c r="BM98" t="str" cm="1">
        <f t="array" ref="BM98">IFERROR(INDEX(CL[],MATCH(SMALL(IFERROR(IF(MATCH(IF(Designation[]=$BD$10,CL[],""),CL[],0)&lt;&gt;"",COUNTIF(CL[],"&gt;"&amp;CL[])+1,""),""),ROW(A89)),IF(CL[]&lt;&gt;"",COUNTIF(CL[],"&gt;"&amp;CL[])+1,"0"),0)),"")</f>
        <v/>
      </c>
    </row>
    <row r="99" spans="2:65" x14ac:dyDescent="0.25">
      <c r="B99" s="34">
        <v>4260310550305</v>
      </c>
      <c r="C99" s="164" t="s">
        <v>94</v>
      </c>
      <c r="E99" s="35"/>
      <c r="F99" s="36">
        <v>20</v>
      </c>
      <c r="G99" s="37">
        <v>0</v>
      </c>
      <c r="H99" s="37">
        <v>24</v>
      </c>
      <c r="I99" s="78">
        <v>0.89</v>
      </c>
      <c r="J99" s="79">
        <v>0.81</v>
      </c>
      <c r="K99" s="80">
        <v>0.75</v>
      </c>
      <c r="M99" s="41">
        <f t="shared" si="37"/>
        <v>0</v>
      </c>
      <c r="N99" s="42">
        <f t="shared" si="38"/>
        <v>0</v>
      </c>
      <c r="O99" s="43">
        <f t="shared" si="39"/>
        <v>0.81</v>
      </c>
      <c r="P99" s="44">
        <f t="shared" si="41"/>
        <v>0.85455000000000003</v>
      </c>
      <c r="Q99" s="33">
        <f t="shared" si="40"/>
        <v>5.5E-2</v>
      </c>
      <c r="R99" s="33"/>
      <c r="Y99" s="2" t="str" cm="1">
        <f t="array" ref="Y99">IFERROR(INDEX(CL[],MATCH(SMALL(IFERROR(IF(MATCH(IF(ISNUMBER(CL[]),CL[],""),CL[],0)=ROW(CL[])-9,COUNTIF(CL[],"&gt;"&amp;CL[])+1,""),""),ROW(A90)),IF(ISNUMBER(CL[]),COUNTIF(CL[],"&gt;"&amp;CL[])+1,""),0)),"")</f>
        <v/>
      </c>
      <c r="AN99" s="2" t="str" cm="1">
        <f t="array" ref="AN99">IFERROR(INDEX(CL[],MATCH(SMALL(IFERROR(IF(MATCH(IF(ISNUMBER(CL[]),CL[],""),CL[],0)=ROW(CL[])-9,COUNTIF(CL[],"&gt;"&amp;CL[])+1,""),""),ROW(A90)),IF(ISNUMBER(CL[]),COUNTIF(CL[],"&gt;"&amp;CL[])+1,""),0)),"")</f>
        <v/>
      </c>
      <c r="AR99" s="2" t="str" cm="1">
        <f t="array" ref="AR99">IFERROR(INDEX(Designation[],MATCH(SMALL(IFERROR(IF(MATCH(IF(Designation[]&lt;&gt;"",Designation[],""),Designation[],0)=ROW(Designation[])-9,COUNTIF(Designation[],"&lt;"&amp;Designation[])+1,""),""),ROW(A90)),IF(Designation[]&lt;&gt;"",COUNTIF(Designation[],"&lt;"&amp;Designation[])+1),0)),"")</f>
        <v/>
      </c>
      <c r="BA99" s="2" t="str" cm="1">
        <f t="array" ref="BA99">IFERROR(INDEX(Designation[],SMALL(IFERROR(MATCH(IF(ISNUMBER(SEARCH($AZ$10,Designation[])),Designation[],""),Designation[],0),""),ROW(A90))),"")</f>
        <v/>
      </c>
      <c r="BD99" s="2" t="str" cm="1">
        <f t="array" ref="BD99">IFERROR(INDEX(Designation[],MATCH(SMALL(IFERROR(IF(MATCH(IF(ISNUMBER(SEARCH(MJGES01_00028_2!$H$2,Designation[])),Designation[],""),Designation[],0)=ROW(Designation[])-9,COUNTIF(Designation[],"&lt;"&amp;Designation[])+1,""),""),ROW(A90)),IF(Designation[]&lt;&gt;"",COUNTIF(Designation[],"&lt;"&amp;Designation[])+1),0)),"")</f>
        <v/>
      </c>
      <c r="BI99" s="2" t="e">
        <v>#N/A</v>
      </c>
      <c r="BJ99" s="2" t="e">
        <v>#N/A</v>
      </c>
      <c r="BK99" s="164">
        <v>51</v>
      </c>
      <c r="BL99" s="164"/>
      <c r="BM99" t="str" cm="1">
        <f t="array" ref="BM99">IFERROR(INDEX(CL[],MATCH(SMALL(IFERROR(IF(MATCH(IF(Designation[]=$BD$10,CL[],""),CL[],0)&lt;&gt;"",COUNTIF(CL[],"&gt;"&amp;CL[])+1,""),""),ROW(A90)),IF(CL[]&lt;&gt;"",COUNTIF(CL[],"&gt;"&amp;CL[])+1,"0"),0)),"")</f>
        <v/>
      </c>
    </row>
    <row r="100" spans="2:65" x14ac:dyDescent="0.25">
      <c r="B100" s="34">
        <v>4260310552941</v>
      </c>
      <c r="C100" s="164" t="s">
        <v>95</v>
      </c>
      <c r="E100" s="35"/>
      <c r="F100" s="36">
        <v>20</v>
      </c>
      <c r="G100" s="37">
        <v>0</v>
      </c>
      <c r="H100" s="37">
        <v>24</v>
      </c>
      <c r="I100" s="78">
        <v>0.89</v>
      </c>
      <c r="J100" s="79">
        <v>0.81</v>
      </c>
      <c r="K100" s="80"/>
      <c r="M100" s="41">
        <f t="shared" si="37"/>
        <v>0</v>
      </c>
      <c r="N100" s="42">
        <f t="shared" si="38"/>
        <v>0</v>
      </c>
      <c r="O100" s="43">
        <f t="shared" si="39"/>
        <v>0.81</v>
      </c>
      <c r="P100" s="44">
        <f t="shared" si="41"/>
        <v>0.85455000000000003</v>
      </c>
      <c r="Q100" s="33">
        <f t="shared" si="40"/>
        <v>5.5E-2</v>
      </c>
      <c r="R100" s="33"/>
      <c r="Y100" s="2" t="str" cm="1">
        <f t="array" ref="Y100">IFERROR(INDEX(CL[],MATCH(SMALL(IFERROR(IF(MATCH(IF(ISNUMBER(CL[]),CL[],""),CL[],0)=ROW(CL[])-9,COUNTIF(CL[],"&gt;"&amp;CL[])+1,""),""),ROW(A91)),IF(ISNUMBER(CL[]),COUNTIF(CL[],"&gt;"&amp;CL[])+1,""),0)),"")</f>
        <v/>
      </c>
      <c r="AN100" s="2" t="str" cm="1">
        <f t="array" ref="AN100">IFERROR(INDEX(CL[],MATCH(SMALL(IFERROR(IF(MATCH(IF(ISNUMBER(CL[]),CL[],""),CL[],0)=ROW(CL[])-9,COUNTIF(CL[],"&gt;"&amp;CL[])+1,""),""),ROW(A91)),IF(ISNUMBER(CL[]),COUNTIF(CL[],"&gt;"&amp;CL[])+1,""),0)),"")</f>
        <v/>
      </c>
      <c r="AR100" s="2" t="str" cm="1">
        <f t="array" ref="AR100">IFERROR(INDEX(Designation[],MATCH(SMALL(IFERROR(IF(MATCH(IF(Designation[]&lt;&gt;"",Designation[],""),Designation[],0)=ROW(Designation[])-9,COUNTIF(Designation[],"&lt;"&amp;Designation[])+1,""),""),ROW(A91)),IF(Designation[]&lt;&gt;"",COUNTIF(Designation[],"&lt;"&amp;Designation[])+1),0)),"")</f>
        <v/>
      </c>
      <c r="BA100" s="2" t="str" cm="1">
        <f t="array" ref="BA100">IFERROR(INDEX(Designation[],SMALL(IFERROR(MATCH(IF(ISNUMBER(SEARCH($AZ$10,Designation[])),Designation[],""),Designation[],0),""),ROW(A91))),"")</f>
        <v/>
      </c>
      <c r="BD100" s="2" t="str" cm="1">
        <f t="array" ref="BD100">IFERROR(INDEX(Designation[],MATCH(SMALL(IFERROR(IF(MATCH(IF(ISNUMBER(SEARCH(MJGES01_00028_2!$H$2,Designation[])),Designation[],""),Designation[],0)=ROW(Designation[])-9,COUNTIF(Designation[],"&lt;"&amp;Designation[])+1,""),""),ROW(A91)),IF(Designation[]&lt;&gt;"",COUNTIF(Designation[],"&lt;"&amp;Designation[])+1),0)),"")</f>
        <v/>
      </c>
      <c r="BI100" s="2" t="e">
        <v>#N/A</v>
      </c>
      <c r="BJ100" s="2" t="e">
        <v>#N/A</v>
      </c>
      <c r="BK100" s="164">
        <v>51</v>
      </c>
      <c r="BL100" s="164"/>
      <c r="BM100" t="str" cm="1">
        <f t="array" ref="BM100">IFERROR(INDEX(CL[],MATCH(SMALL(IFERROR(IF(MATCH(IF(Designation[]=$BD$10,CL[],""),CL[],0)&lt;&gt;"",COUNTIF(CL[],"&gt;"&amp;CL[])+1,""),""),ROW(A91)),IF(CL[]&lt;&gt;"",COUNTIF(CL[],"&gt;"&amp;CL[])+1,"0"),0)),"")</f>
        <v/>
      </c>
    </row>
    <row r="101" spans="2:65" x14ac:dyDescent="0.25">
      <c r="B101" s="34">
        <v>4260310553849</v>
      </c>
      <c r="C101" s="164" t="s">
        <v>96</v>
      </c>
      <c r="E101" s="35"/>
      <c r="F101" s="36">
        <v>20</v>
      </c>
      <c r="G101" s="37">
        <v>0</v>
      </c>
      <c r="H101" s="37">
        <v>24</v>
      </c>
      <c r="I101" s="86">
        <v>0.89</v>
      </c>
      <c r="J101" s="79">
        <v>0.81</v>
      </c>
      <c r="K101" s="80"/>
      <c r="M101" s="41">
        <f t="shared" si="37"/>
        <v>0</v>
      </c>
      <c r="N101" s="42">
        <f t="shared" si="38"/>
        <v>0</v>
      </c>
      <c r="O101" s="43">
        <f t="shared" si="39"/>
        <v>0.81</v>
      </c>
      <c r="P101" s="44">
        <f t="shared" si="41"/>
        <v>0.85455000000000003</v>
      </c>
      <c r="Q101" s="33">
        <f t="shared" si="40"/>
        <v>5.5E-2</v>
      </c>
      <c r="R101" s="33"/>
      <c r="Y101" s="2" t="str" cm="1">
        <f t="array" ref="Y101">IFERROR(INDEX(CL[],MATCH(SMALL(IFERROR(IF(MATCH(IF(ISNUMBER(CL[]),CL[],""),CL[],0)=ROW(CL[])-9,COUNTIF(CL[],"&gt;"&amp;CL[])+1,""),""),ROW(A92)),IF(ISNUMBER(CL[]),COUNTIF(CL[],"&gt;"&amp;CL[])+1,""),0)),"")</f>
        <v/>
      </c>
      <c r="AN101" s="2" t="str" cm="1">
        <f t="array" ref="AN101">IFERROR(INDEX(CL[],MATCH(SMALL(IFERROR(IF(MATCH(IF(ISNUMBER(CL[]),CL[],""),CL[],0)=ROW(CL[])-9,COUNTIF(CL[],"&gt;"&amp;CL[])+1,""),""),ROW(A92)),IF(ISNUMBER(CL[]),COUNTIF(CL[],"&gt;"&amp;CL[])+1,""),0)),"")</f>
        <v/>
      </c>
      <c r="AR101" s="2" t="str" cm="1">
        <f t="array" ref="AR101">IFERROR(INDEX(Designation[],MATCH(SMALL(IFERROR(IF(MATCH(IF(Designation[]&lt;&gt;"",Designation[],""),Designation[],0)=ROW(Designation[])-9,COUNTIF(Designation[],"&lt;"&amp;Designation[])+1,""),""),ROW(A92)),IF(Designation[]&lt;&gt;"",COUNTIF(Designation[],"&lt;"&amp;Designation[])+1),0)),"")</f>
        <v/>
      </c>
      <c r="BA101" s="2" t="str" cm="1">
        <f t="array" ref="BA101">IFERROR(INDEX(Designation[],SMALL(IFERROR(MATCH(IF(ISNUMBER(SEARCH($AZ$10,Designation[])),Designation[],""),Designation[],0),""),ROW(A92))),"")</f>
        <v/>
      </c>
      <c r="BD101" s="2" t="str" cm="1">
        <f t="array" ref="BD101">IFERROR(INDEX(Designation[],MATCH(SMALL(IFERROR(IF(MATCH(IF(ISNUMBER(SEARCH(MJGES01_00028_2!$H$2,Designation[])),Designation[],""),Designation[],0)=ROW(Designation[])-9,COUNTIF(Designation[],"&lt;"&amp;Designation[])+1,""),""),ROW(A92)),IF(Designation[]&lt;&gt;"",COUNTIF(Designation[],"&lt;"&amp;Designation[])+1),0)),"")</f>
        <v/>
      </c>
      <c r="BI101" s="2" t="e">
        <v>#N/A</v>
      </c>
      <c r="BJ101" s="2" t="e">
        <v>#N/A</v>
      </c>
      <c r="BK101" s="164">
        <v>51</v>
      </c>
      <c r="BL101" s="164"/>
      <c r="BM101" t="str" cm="1">
        <f t="array" ref="BM101">IFERROR(INDEX(CL[],MATCH(SMALL(IFERROR(IF(MATCH(IF(Designation[]=$BD$10,CL[],""),CL[],0)&lt;&gt;"",COUNTIF(CL[],"&gt;"&amp;CL[])+1,""),""),ROW(A92)),IF(CL[]&lt;&gt;"",COUNTIF(CL[],"&gt;"&amp;CL[])+1,"0"),0)),"")</f>
        <v/>
      </c>
    </row>
    <row r="102" spans="2:65" x14ac:dyDescent="0.25">
      <c r="B102" s="34">
        <v>4260310553863</v>
      </c>
      <c r="C102" s="164" t="s">
        <v>97</v>
      </c>
      <c r="E102" s="35"/>
      <c r="F102" s="36">
        <v>20</v>
      </c>
      <c r="G102" s="37">
        <v>0</v>
      </c>
      <c r="H102" s="37">
        <v>24</v>
      </c>
      <c r="I102" s="86">
        <v>0.89</v>
      </c>
      <c r="J102" s="79">
        <v>0.81</v>
      </c>
      <c r="K102" s="80"/>
      <c r="M102" s="41">
        <f t="shared" si="37"/>
        <v>0</v>
      </c>
      <c r="N102" s="42">
        <f t="shared" si="38"/>
        <v>0</v>
      </c>
      <c r="O102" s="43">
        <f t="shared" si="39"/>
        <v>0.81</v>
      </c>
      <c r="P102" s="44">
        <f t="shared" si="41"/>
        <v>0.85455000000000003</v>
      </c>
      <c r="Q102" s="33">
        <f t="shared" si="40"/>
        <v>5.5E-2</v>
      </c>
      <c r="R102" s="33"/>
      <c r="Y102" s="2" t="str" cm="1">
        <f t="array" ref="Y102">IFERROR(INDEX(CL[],MATCH(SMALL(IFERROR(IF(MATCH(IF(ISNUMBER(CL[]),CL[],""),CL[],0)=ROW(CL[])-9,COUNTIF(CL[],"&gt;"&amp;CL[])+1,""),""),ROW(A93)),IF(ISNUMBER(CL[]),COUNTIF(CL[],"&gt;"&amp;CL[])+1,""),0)),"")</f>
        <v/>
      </c>
      <c r="AN102" s="2" t="str" cm="1">
        <f t="array" ref="AN102">IFERROR(INDEX(CL[],MATCH(SMALL(IFERROR(IF(MATCH(IF(ISNUMBER(CL[]),CL[],""),CL[],0)=ROW(CL[])-9,COUNTIF(CL[],"&gt;"&amp;CL[])+1,""),""),ROW(A93)),IF(ISNUMBER(CL[]),COUNTIF(CL[],"&gt;"&amp;CL[])+1,""),0)),"")</f>
        <v/>
      </c>
      <c r="AR102" s="2" t="str" cm="1">
        <f t="array" ref="AR102">IFERROR(INDEX(Designation[],MATCH(SMALL(IFERROR(IF(MATCH(IF(Designation[]&lt;&gt;"",Designation[],""),Designation[],0)=ROW(Designation[])-9,COUNTIF(Designation[],"&lt;"&amp;Designation[])+1,""),""),ROW(A93)),IF(Designation[]&lt;&gt;"",COUNTIF(Designation[],"&lt;"&amp;Designation[])+1),0)),"")</f>
        <v/>
      </c>
      <c r="BA102" s="2" t="str" cm="1">
        <f t="array" ref="BA102">IFERROR(INDEX(Designation[],SMALL(IFERROR(MATCH(IF(ISNUMBER(SEARCH($AZ$10,Designation[])),Designation[],""),Designation[],0),""),ROW(A93))),"")</f>
        <v/>
      </c>
      <c r="BD102" s="2" t="str" cm="1">
        <f t="array" ref="BD102">IFERROR(INDEX(Designation[],MATCH(SMALL(IFERROR(IF(MATCH(IF(ISNUMBER(SEARCH(MJGES01_00028_2!$H$2,Designation[])),Designation[],""),Designation[],0)=ROW(Designation[])-9,COUNTIF(Designation[],"&lt;"&amp;Designation[])+1,""),""),ROW(A93)),IF(Designation[]&lt;&gt;"",COUNTIF(Designation[],"&lt;"&amp;Designation[])+1),0)),"")</f>
        <v/>
      </c>
      <c r="BI102" s="2" t="e">
        <v>#N/A</v>
      </c>
      <c r="BJ102" s="2" t="e">
        <v>#N/A</v>
      </c>
      <c r="BK102" s="164">
        <v>51</v>
      </c>
      <c r="BL102" s="164"/>
      <c r="BM102" t="str" cm="1">
        <f t="array" ref="BM102">IFERROR(INDEX(CL[],MATCH(SMALL(IFERROR(IF(MATCH(IF(Designation[]=$BD$10,CL[],""),CL[],0)&lt;&gt;"",COUNTIF(CL[],"&gt;"&amp;CL[])+1,""),""),ROW(A93)),IF(CL[]&lt;&gt;"",COUNTIF(CL[],"&gt;"&amp;CL[])+1,"0"),0)),"")</f>
        <v/>
      </c>
    </row>
    <row r="103" spans="2:65" x14ac:dyDescent="0.25">
      <c r="B103" s="34">
        <v>4260310554785</v>
      </c>
      <c r="C103" s="164" t="s">
        <v>98</v>
      </c>
      <c r="E103" s="35"/>
      <c r="F103" s="36">
        <v>20</v>
      </c>
      <c r="G103" s="37">
        <v>0</v>
      </c>
      <c r="H103" s="37">
        <v>24</v>
      </c>
      <c r="I103" s="86">
        <v>0.89</v>
      </c>
      <c r="J103" s="79">
        <v>0.81</v>
      </c>
      <c r="K103" s="80"/>
      <c r="M103" s="41">
        <f t="shared" si="37"/>
        <v>0</v>
      </c>
      <c r="N103" s="42">
        <f t="shared" si="38"/>
        <v>0</v>
      </c>
      <c r="O103" s="43">
        <f t="shared" si="39"/>
        <v>0.81</v>
      </c>
      <c r="P103" s="44">
        <f t="shared" si="41"/>
        <v>0.85455000000000003</v>
      </c>
      <c r="Q103" s="33">
        <f t="shared" si="40"/>
        <v>5.5E-2</v>
      </c>
      <c r="R103" s="33"/>
      <c r="Y103" s="2" t="str" cm="1">
        <f t="array" ref="Y103">IFERROR(INDEX(CL[],MATCH(SMALL(IFERROR(IF(MATCH(IF(ISNUMBER(CL[]),CL[],""),CL[],0)=ROW(CL[])-9,COUNTIF(CL[],"&gt;"&amp;CL[])+1,""),""),ROW(A94)),IF(ISNUMBER(CL[]),COUNTIF(CL[],"&gt;"&amp;CL[])+1,""),0)),"")</f>
        <v/>
      </c>
      <c r="AN103" s="2" t="str" cm="1">
        <f t="array" ref="AN103">IFERROR(INDEX(CL[],MATCH(SMALL(IFERROR(IF(MATCH(IF(ISNUMBER(CL[]),CL[],""),CL[],0)=ROW(CL[])-9,COUNTIF(CL[],"&gt;"&amp;CL[])+1,""),""),ROW(A94)),IF(ISNUMBER(CL[]),COUNTIF(CL[],"&gt;"&amp;CL[])+1,""),0)),"")</f>
        <v/>
      </c>
      <c r="AR103" s="2" t="str" cm="1">
        <f t="array" ref="AR103">IFERROR(INDEX(Designation[],MATCH(SMALL(IFERROR(IF(MATCH(IF(Designation[]&lt;&gt;"",Designation[],""),Designation[],0)=ROW(Designation[])-9,COUNTIF(Designation[],"&lt;"&amp;Designation[])+1,""),""),ROW(A94)),IF(Designation[]&lt;&gt;"",COUNTIF(Designation[],"&lt;"&amp;Designation[])+1),0)),"")</f>
        <v/>
      </c>
      <c r="BA103" s="2" t="str" cm="1">
        <f t="array" ref="BA103">IFERROR(INDEX(Designation[],SMALL(IFERROR(MATCH(IF(ISNUMBER(SEARCH($AZ$10,Designation[])),Designation[],""),Designation[],0),""),ROW(A94))),"")</f>
        <v/>
      </c>
      <c r="BD103" s="2" t="str" cm="1">
        <f t="array" ref="BD103">IFERROR(INDEX(Designation[],MATCH(SMALL(IFERROR(IF(MATCH(IF(ISNUMBER(SEARCH(MJGES01_00028_2!$H$2,Designation[])),Designation[],""),Designation[],0)=ROW(Designation[])-9,COUNTIF(Designation[],"&lt;"&amp;Designation[])+1,""),""),ROW(A94)),IF(Designation[]&lt;&gt;"",COUNTIF(Designation[],"&lt;"&amp;Designation[])+1),0)),"")</f>
        <v/>
      </c>
      <c r="BI103" s="2" t="e">
        <v>#N/A</v>
      </c>
      <c r="BJ103" s="2" t="e">
        <v>#N/A</v>
      </c>
      <c r="BK103" s="164">
        <v>51</v>
      </c>
      <c r="BL103" s="164"/>
      <c r="BM103" t="str" cm="1">
        <f t="array" ref="BM103">IFERROR(INDEX(CL[],MATCH(SMALL(IFERROR(IF(MATCH(IF(Designation[]=$BD$10,CL[],""),CL[],0)&lt;&gt;"",COUNTIF(CL[],"&gt;"&amp;CL[])+1,""),""),ROW(A94)),IF(CL[]&lt;&gt;"",COUNTIF(CL[],"&gt;"&amp;CL[])+1,"0"),0)),"")</f>
        <v/>
      </c>
    </row>
    <row r="104" spans="2:65" ht="15.75" thickBot="1" x14ac:dyDescent="0.3">
      <c r="B104" s="113">
        <v>4260310553382</v>
      </c>
      <c r="C104" s="183" t="s">
        <v>98</v>
      </c>
      <c r="D104" s="108"/>
      <c r="E104" s="108"/>
      <c r="F104" s="115">
        <v>50</v>
      </c>
      <c r="G104" s="116">
        <v>0</v>
      </c>
      <c r="H104" s="116">
        <v>20</v>
      </c>
      <c r="I104" s="132">
        <v>1.1000000000000001</v>
      </c>
      <c r="J104" s="118">
        <v>1</v>
      </c>
      <c r="K104" s="119"/>
      <c r="L104" s="108"/>
      <c r="M104" s="120">
        <f t="shared" si="37"/>
        <v>0</v>
      </c>
      <c r="N104" s="121">
        <f t="shared" si="38"/>
        <v>0</v>
      </c>
      <c r="O104" s="122">
        <f t="shared" si="39"/>
        <v>1</v>
      </c>
      <c r="P104" s="123">
        <f t="shared" si="41"/>
        <v>1.0549999999999999</v>
      </c>
      <c r="Q104" s="33">
        <f t="shared" si="40"/>
        <v>5.5E-2</v>
      </c>
      <c r="R104" s="33"/>
      <c r="Y104" s="2" t="str" cm="1">
        <f t="array" ref="Y104">IFERROR(INDEX(CL[],MATCH(SMALL(IFERROR(IF(MATCH(IF(ISNUMBER(CL[]),CL[],""),CL[],0)=ROW(CL[])-9,COUNTIF(CL[],"&gt;"&amp;CL[])+1,""),""),ROW(A95)),IF(ISNUMBER(CL[]),COUNTIF(CL[],"&gt;"&amp;CL[])+1,""),0)),"")</f>
        <v/>
      </c>
      <c r="AN104" s="2" t="str" cm="1">
        <f t="array" ref="AN104">IFERROR(INDEX(CL[],MATCH(SMALL(IFERROR(IF(MATCH(IF(ISNUMBER(CL[]),CL[],""),CL[],0)=ROW(CL[])-9,COUNTIF(CL[],"&gt;"&amp;CL[])+1,""),""),ROW(A95)),IF(ISNUMBER(CL[]),COUNTIF(CL[],"&gt;"&amp;CL[])+1,""),0)),"")</f>
        <v/>
      </c>
      <c r="AR104" s="2" t="str" cm="1">
        <f t="array" ref="AR104">IFERROR(INDEX(Designation[],MATCH(SMALL(IFERROR(IF(MATCH(IF(Designation[]&lt;&gt;"",Designation[],""),Designation[],0)=ROW(Designation[])-9,COUNTIF(Designation[],"&lt;"&amp;Designation[])+1,""),""),ROW(A95)),IF(Designation[]&lt;&gt;"",COUNTIF(Designation[],"&lt;"&amp;Designation[])+1),0)),"")</f>
        <v/>
      </c>
      <c r="BA104" s="2" t="str" cm="1">
        <f t="array" ref="BA104">IFERROR(INDEX(Designation[],SMALL(IFERROR(MATCH(IF(ISNUMBER(SEARCH($AZ$10,Designation[])),Designation[],""),Designation[],0),""),ROW(A95))),"")</f>
        <v/>
      </c>
      <c r="BD104" s="2" t="str" cm="1">
        <f t="array" ref="BD104">IFERROR(INDEX(Designation[],MATCH(SMALL(IFERROR(IF(MATCH(IF(ISNUMBER(SEARCH(MJGES01_00028_2!$H$2,Designation[])),Designation[],""),Designation[],0)=ROW(Designation[])-9,COUNTIF(Designation[],"&lt;"&amp;Designation[])+1,""),""),ROW(A95)),IF(Designation[]&lt;&gt;"",COUNTIF(Designation[],"&lt;"&amp;Designation[])+1),0)),"")</f>
        <v/>
      </c>
      <c r="BI104" s="2" t="e">
        <v>#N/A</v>
      </c>
      <c r="BJ104" s="2" t="e">
        <v>#N/A</v>
      </c>
      <c r="BK104" s="164">
        <v>44</v>
      </c>
      <c r="BL104" s="164"/>
      <c r="BM104" t="str" cm="1">
        <f t="array" ref="BM104">IFERROR(INDEX(CL[],MATCH(SMALL(IFERROR(IF(MATCH(IF(Designation[]=$BD$10,CL[],""),CL[],0)&lt;&gt;"",COUNTIF(CL[],"&gt;"&amp;CL[])+1,""),""),ROW(A95)),IF(CL[]&lt;&gt;"",COUNTIF(CL[],"&gt;"&amp;CL[])+1,"0"),0)),"")</f>
        <v/>
      </c>
    </row>
    <row r="105" spans="2:65" x14ac:dyDescent="0.25">
      <c r="Y105" s="2" t="str" cm="1">
        <f t="array" ref="Y105">IFERROR(INDEX(CL[],MATCH(SMALL(IFERROR(IF(MATCH(IF(ISNUMBER(CL[]),CL[],""),CL[],0)=ROW(CL[])-9,COUNTIF(CL[],"&gt;"&amp;CL[])+1,""),""),ROW(A96)),IF(ISNUMBER(CL[]),COUNTIF(CL[],"&gt;"&amp;CL[])+1,""),0)),"")</f>
        <v/>
      </c>
      <c r="AN105" s="2" t="str" cm="1">
        <f t="array" ref="AN105">IFERROR(INDEX(CL[],MATCH(SMALL(IFERROR(IF(MATCH(IF(ISNUMBER(CL[]),CL[],""),CL[],0)=ROW(CL[])-9,COUNTIF(CL[],"&gt;"&amp;CL[])+1,""),""),ROW(A96)),IF(ISNUMBER(CL[]),COUNTIF(CL[],"&gt;"&amp;CL[])+1,""),0)),"")</f>
        <v/>
      </c>
      <c r="AR105" s="2" t="str" cm="1">
        <f t="array" ref="AR105">IFERROR(INDEX(Designation[],MATCH(SMALL(IFERROR(IF(MATCH(IF(Designation[]&lt;&gt;"",Designation[],""),Designation[],0)=ROW(Designation[])-9,COUNTIF(Designation[],"&lt;"&amp;Designation[])+1,""),""),ROW(A96)),IF(Designation[]&lt;&gt;"",COUNTIF(Designation[],"&lt;"&amp;Designation[])+1),0)),"")</f>
        <v/>
      </c>
      <c r="BA105" s="2" t="str" cm="1">
        <f t="array" ref="BA105">IFERROR(INDEX(Designation[],SMALL(IFERROR(MATCH(IF(ISNUMBER(SEARCH($AZ$10,Designation[])),Designation[],""),Designation[],0),""),ROW(A96))),"")</f>
        <v/>
      </c>
      <c r="BD105" s="2" t="str" cm="1">
        <f t="array" ref="BD105">IFERROR(INDEX(Designation[],MATCH(SMALL(IFERROR(IF(MATCH(IF(ISNUMBER(SEARCH(MJGES01_00028_2!$H$2,Designation[])),Designation[],""),Designation[],0)=ROW(Designation[])-9,COUNTIF(Designation[],"&lt;"&amp;Designation[])+1,""),""),ROW(A96)),IF(Designation[]&lt;&gt;"",COUNTIF(Designation[],"&lt;"&amp;Designation[])+1),0)),"")</f>
        <v/>
      </c>
      <c r="BI105" s="2" t="e">
        <v>#N/A</v>
      </c>
      <c r="BJ105" s="2" t="e">
        <v>#N/A</v>
      </c>
      <c r="BK105" s="164" t="str">
        <v/>
      </c>
      <c r="BL105" s="164"/>
      <c r="BM105" t="str" cm="1">
        <f t="array" ref="BM105">IFERROR(INDEX(CL[],MATCH(SMALL(IFERROR(IF(MATCH(IF(Designation[]=$BD$10,CL[],""),CL[],0)&lt;&gt;"",COUNTIF(CL[],"&gt;"&amp;CL[])+1,""),""),ROW(A96)),IF(CL[]&lt;&gt;"",COUNTIF(CL[],"&gt;"&amp;CL[])+1,"0"),0)),"")</f>
        <v/>
      </c>
    </row>
    <row r="106" spans="2:65" x14ac:dyDescent="0.25">
      <c r="Y106" s="2" t="str" cm="1">
        <f t="array" ref="Y106">IFERROR(INDEX(CL[],MATCH(SMALL(IFERROR(IF(MATCH(IF(ISNUMBER(CL[]),CL[],""),CL[],0)=ROW(CL[])-9,COUNTIF(CL[],"&gt;"&amp;CL[])+1,""),""),ROW(A97)),IF(ISNUMBER(CL[]),COUNTIF(CL[],"&gt;"&amp;CL[])+1,""),0)),"")</f>
        <v/>
      </c>
      <c r="AN106" s="2" t="str" cm="1">
        <f t="array" ref="AN106">IFERROR(INDEX(CL[],MATCH(SMALL(IFERROR(IF(MATCH(IF(ISNUMBER(CL[]),CL[],""),CL[],0)=ROW(CL[])-9,COUNTIF(CL[],"&gt;"&amp;CL[])+1,""),""),ROW(A97)),IF(ISNUMBER(CL[]),COUNTIF(CL[],"&gt;"&amp;CL[])+1,""),0)),"")</f>
        <v/>
      </c>
      <c r="AR106" s="2" t="str" cm="1">
        <f t="array" ref="AR106">IFERROR(INDEX(Designation[],MATCH(SMALL(IFERROR(IF(MATCH(IF(Designation[]&lt;&gt;"",Designation[],""),Designation[],0)=ROW(Designation[])-9,COUNTIF(Designation[],"&lt;"&amp;Designation[])+1,""),""),ROW(A97)),IF(Designation[]&lt;&gt;"",COUNTIF(Designation[],"&lt;"&amp;Designation[])+1),0)),"")</f>
        <v/>
      </c>
      <c r="BA106" s="2" t="str" cm="1">
        <f t="array" ref="BA106">IFERROR(INDEX(Designation[],SMALL(IFERROR(MATCH(IF(ISNUMBER(SEARCH($AZ$10,Designation[])),Designation[],""),Designation[],0),""),ROW(A97))),"")</f>
        <v/>
      </c>
      <c r="BD106" s="2" t="str" cm="1">
        <f t="array" ref="BD106">IFERROR(INDEX(Designation[],MATCH(SMALL(IFERROR(IF(MATCH(IF(ISNUMBER(SEARCH(MJGES01_00028_2!$H$2,Designation[])),Designation[],""),Designation[],0)=ROW(Designation[])-9,COUNTIF(Designation[],"&lt;"&amp;Designation[])+1,""),""),ROW(A97)),IF(Designation[]&lt;&gt;"",COUNTIF(Designation[],"&lt;"&amp;Designation[])+1),0)),"")</f>
        <v/>
      </c>
      <c r="BI106" s="2" t="e">
        <v>#N/A</v>
      </c>
      <c r="BJ106" s="2" t="e">
        <v>#N/A</v>
      </c>
      <c r="BK106" s="164" t="str">
        <v/>
      </c>
      <c r="BL106" s="164"/>
      <c r="BM106" t="str" cm="1">
        <f t="array" ref="BM106">IFERROR(INDEX(CL[],MATCH(SMALL(IFERROR(IF(MATCH(IF(Designation[]=$BD$10,CL[],""),CL[],0)&lt;&gt;"",COUNTIF(CL[],"&gt;"&amp;CL[])+1,""),""),ROW(A97)),IF(CL[]&lt;&gt;"",COUNTIF(CL[],"&gt;"&amp;CL[])+1,"0"),0)),"")</f>
        <v/>
      </c>
    </row>
    <row r="107" spans="2:65" x14ac:dyDescent="0.25">
      <c r="Y107" s="2" t="str" cm="1">
        <f t="array" ref="Y107">IFERROR(INDEX(CL[],MATCH(SMALL(IFERROR(IF(MATCH(IF(ISNUMBER(CL[]),CL[],""),CL[],0)=ROW(CL[])-9,COUNTIF(CL[],"&gt;"&amp;CL[])+1,""),""),ROW(A98)),IF(ISNUMBER(CL[]),COUNTIF(CL[],"&gt;"&amp;CL[])+1,""),0)),"")</f>
        <v/>
      </c>
      <c r="AN107" s="2" t="str" cm="1">
        <f t="array" ref="AN107">IFERROR(INDEX(CL[],MATCH(SMALL(IFERROR(IF(MATCH(IF(ISNUMBER(CL[]),CL[],""),CL[],0)=ROW(CL[])-9,COUNTIF(CL[],"&gt;"&amp;CL[])+1,""),""),ROW(A98)),IF(ISNUMBER(CL[]),COUNTIF(CL[],"&gt;"&amp;CL[])+1,""),0)),"")</f>
        <v/>
      </c>
      <c r="AR107" s="2" t="str" cm="1">
        <f t="array" ref="AR107">IFERROR(INDEX(Designation[],MATCH(SMALL(IFERROR(IF(MATCH(IF(Designation[]&lt;&gt;"",Designation[],""),Designation[],0)=ROW(Designation[])-9,COUNTIF(Designation[],"&lt;"&amp;Designation[])+1,""),""),ROW(A98)),IF(Designation[]&lt;&gt;"",COUNTIF(Designation[],"&lt;"&amp;Designation[])+1),0)),"")</f>
        <v/>
      </c>
      <c r="BA107" s="2" t="str" cm="1">
        <f t="array" ref="BA107">IFERROR(INDEX(Designation[],SMALL(IFERROR(MATCH(IF(ISNUMBER(SEARCH($AZ$10,Designation[])),Designation[],""),Designation[],0),""),ROW(A98))),"")</f>
        <v/>
      </c>
      <c r="BD107" s="2" t="str" cm="1">
        <f t="array" ref="BD107">IFERROR(INDEX(Designation[],MATCH(SMALL(IFERROR(IF(MATCH(IF(ISNUMBER(SEARCH(MJGES01_00028_2!$H$2,Designation[])),Designation[],""),Designation[],0)=ROW(Designation[])-9,COUNTIF(Designation[],"&lt;"&amp;Designation[])+1,""),""),ROW(A98)),IF(Designation[]&lt;&gt;"",COUNTIF(Designation[],"&lt;"&amp;Designation[])+1),0)),"")</f>
        <v/>
      </c>
      <c r="BI107" s="2" t="e">
        <v>#N/A</v>
      </c>
      <c r="BJ107" s="2" t="e">
        <v>#N/A</v>
      </c>
      <c r="BK107" s="164" t="str">
        <v/>
      </c>
      <c r="BL107" s="164"/>
      <c r="BM107" t="str" cm="1">
        <f t="array" ref="BM107">IFERROR(INDEX(CL[],MATCH(SMALL(IFERROR(IF(MATCH(IF(Designation[]=$BD$10,CL[],""),CL[],0)&lt;&gt;"",COUNTIF(CL[],"&gt;"&amp;CL[])+1,""),""),ROW(A98)),IF(CL[]&lt;&gt;"",COUNTIF(CL[],"&gt;"&amp;CL[])+1,"0"),0)),"")</f>
        <v/>
      </c>
    </row>
    <row r="108" spans="2:65" ht="15.75" thickBot="1" x14ac:dyDescent="0.3">
      <c r="Y108" s="2" t="str" cm="1">
        <f t="array" ref="Y108">IFERROR(INDEX(CL[],MATCH(SMALL(IFERROR(IF(MATCH(IF(ISNUMBER(CL[]),CL[],""),CL[],0)=ROW(CL[])-9,COUNTIF(CL[],"&gt;"&amp;CL[])+1,""),""),ROW(A99)),IF(ISNUMBER(CL[]),COUNTIF(CL[],"&gt;"&amp;CL[])+1,""),0)),"")</f>
        <v/>
      </c>
      <c r="AN108" s="2" t="str" cm="1">
        <f t="array" ref="AN108">IFERROR(INDEX(CL[],MATCH(SMALL(IFERROR(IF(MATCH(IF(ISNUMBER(CL[]),CL[],""),CL[],0)=ROW(CL[])-9,COUNTIF(CL[],"&gt;"&amp;CL[])+1,""),""),ROW(A99)),IF(ISNUMBER(CL[]),COUNTIF(CL[],"&gt;"&amp;CL[])+1,""),0)),"")</f>
        <v/>
      </c>
      <c r="AR108" s="2" t="str" cm="1">
        <f t="array" ref="AR108">IFERROR(INDEX(Designation[],MATCH(SMALL(IFERROR(IF(MATCH(IF(Designation[]&lt;&gt;"",Designation[],""),Designation[],0)=ROW(Designation[])-9,COUNTIF(Designation[],"&lt;"&amp;Designation[])+1,""),""),ROW(A99)),IF(Designation[]&lt;&gt;"",COUNTIF(Designation[],"&lt;"&amp;Designation[])+1),0)),"")</f>
        <v/>
      </c>
      <c r="BA108" s="2" t="str" cm="1">
        <f t="array" ref="BA108">IFERROR(INDEX(Designation[],SMALL(IFERROR(MATCH(IF(ISNUMBER(SEARCH($AZ$10,Designation[])),Designation[],""),Designation[],0),""),ROW(A99))),"")</f>
        <v/>
      </c>
      <c r="BD108" s="2" t="str" cm="1">
        <f t="array" ref="BD108">IFERROR(INDEX(Designation[],MATCH(SMALL(IFERROR(IF(MATCH(IF(ISNUMBER(SEARCH(MJGES01_00028_2!$H$2,Designation[])),Designation[],""),Designation[],0)=ROW(Designation[])-9,COUNTIF(Designation[],"&lt;"&amp;Designation[])+1,""),""),ROW(A99)),IF(Designation[]&lt;&gt;"",COUNTIF(Designation[],"&lt;"&amp;Designation[])+1),0)),"")</f>
        <v/>
      </c>
      <c r="BI108" s="2" t="e">
        <v>#N/A</v>
      </c>
      <c r="BJ108" s="2" t="e">
        <v>#N/A</v>
      </c>
      <c r="BK108" s="164" t="str">
        <v/>
      </c>
      <c r="BL108" s="164"/>
      <c r="BM108" t="str" cm="1">
        <f t="array" ref="BM108">IFERROR(INDEX(CL[],MATCH(SMALL(IFERROR(IF(MATCH(IF(Designation[]=$BD$10,CL[],""),CL[],0)&lt;&gt;"",COUNTIF(CL[],"&gt;"&amp;CL[])+1,""),""),ROW(A99)),IF(CL[]&lt;&gt;"",COUNTIF(CL[],"&gt;"&amp;CL[])+1,"0"),0)),"")</f>
        <v/>
      </c>
    </row>
    <row r="109" spans="2:65" ht="20.25" thickTop="1" thickBot="1" x14ac:dyDescent="0.3">
      <c r="B109" s="133" t="s">
        <v>67</v>
      </c>
      <c r="C109" s="134"/>
      <c r="D109" s="65"/>
      <c r="F109" s="135" t="s">
        <v>68</v>
      </c>
      <c r="G109" s="136"/>
      <c r="J109" s="58"/>
      <c r="O109" s="43"/>
      <c r="P109" s="43"/>
      <c r="Y109" s="2" t="str" cm="1">
        <f t="array" ref="Y109">IFERROR(INDEX(CL[],MATCH(SMALL(IFERROR(IF(MATCH(IF(ISNUMBER(CL[]),CL[],""),CL[],0)=ROW(CL[])-9,COUNTIF(CL[],"&gt;"&amp;CL[])+1,""),""),ROW(A100)),IF(ISNUMBER(CL[]),COUNTIF(CL[],"&gt;"&amp;CL[])+1,""),0)),"")</f>
        <v/>
      </c>
      <c r="AN109" s="2" t="str" cm="1">
        <f t="array" ref="AN109">IFERROR(INDEX(CL[],MATCH(SMALL(IFERROR(IF(MATCH(IF(ISNUMBER(CL[]),CL[],""),CL[],0)=ROW(CL[])-9,COUNTIF(CL[],"&gt;"&amp;CL[])+1,""),""),ROW(A100)),IF(ISNUMBER(CL[]),COUNTIF(CL[],"&gt;"&amp;CL[])+1,""),0)),"")</f>
        <v/>
      </c>
      <c r="AR109" s="2" t="str" cm="1">
        <f t="array" ref="AR109">IFERROR(INDEX(Designation[],MATCH(SMALL(IFERROR(IF(MATCH(IF(Designation[]&lt;&gt;"",Designation[],""),Designation[],0)=ROW(Designation[])-9,COUNTIF(Designation[],"&lt;"&amp;Designation[])+1,""),""),ROW(A100)),IF(Designation[]&lt;&gt;"",COUNTIF(Designation[],"&lt;"&amp;Designation[])+1),0)),"")</f>
        <v/>
      </c>
      <c r="BA109" s="2" t="str" cm="1">
        <f t="array" ref="BA109">IFERROR(INDEX(Designation[],SMALL(IFERROR(MATCH(IF(ISNUMBER(SEARCH($AZ$10,Designation[])),Designation[],""),Designation[],0),""),ROW(A100))),"")</f>
        <v/>
      </c>
      <c r="BD109" s="2" t="str" cm="1">
        <f t="array" ref="BD109">IFERROR(INDEX(Designation[],MATCH(SMALL(IFERROR(IF(MATCH(IF(ISNUMBER(SEARCH(MJGES01_00028_2!$H$2,Designation[])),Designation[],""),Designation[],0)=ROW(Designation[])-9,COUNTIF(Designation[],"&lt;"&amp;Designation[])+1,""),""),ROW(A100)),IF(Designation[]&lt;&gt;"",COUNTIF(Designation[],"&lt;"&amp;Designation[])+1),0)),"")</f>
        <v/>
      </c>
      <c r="BI109" s="2" t="e">
        <v>#N/A</v>
      </c>
      <c r="BJ109" s="2" t="e">
        <v>#N/A</v>
      </c>
      <c r="BK109" s="164">
        <v>1</v>
      </c>
      <c r="BL109" s="164"/>
      <c r="BM109" t="str" cm="1">
        <f t="array" ref="BM109">IFERROR(INDEX(CL[],MATCH(SMALL(IFERROR(IF(MATCH(IF(Designation[]=$BD$10,CL[],""),CL[],0)&lt;&gt;"",COUNTIF(CL[],"&gt;"&amp;CL[])+1,""),""),ROW(A100)),IF(CL[]&lt;&gt;"",COUNTIF(CL[],"&gt;"&amp;CL[])+1,"0"),0)),"")</f>
        <v/>
      </c>
    </row>
    <row r="110" spans="2:65" ht="15.75" thickTop="1" x14ac:dyDescent="0.25">
      <c r="B110" s="34">
        <v>121</v>
      </c>
      <c r="C110" s="137" t="s">
        <v>1359</v>
      </c>
      <c r="D110" s="138"/>
      <c r="E110" s="139"/>
      <c r="F110" s="140"/>
      <c r="G110" s="141"/>
      <c r="H110" s="25" t="s">
        <v>70</v>
      </c>
      <c r="I110" s="75">
        <v>299</v>
      </c>
      <c r="J110" s="142">
        <v>299</v>
      </c>
      <c r="K110" s="77">
        <v>299</v>
      </c>
      <c r="M110" s="29">
        <f t="shared" si="37"/>
        <v>0</v>
      </c>
      <c r="N110" s="30">
        <f>IF(G110&gt;18,($N$7/10000)*$F110*($G110/100),0)</f>
        <v>0</v>
      </c>
      <c r="O110" s="31">
        <f>IF(HLOOKUP($O$5,$I$7:$P$236,ROW()-6,FALSE)&gt;0,HLOOKUP($O$5,$I$7:$P$236,ROW()-6,FALSE)+M110+N110," ")</f>
        <v>299</v>
      </c>
      <c r="P110" s="32">
        <f>IF(OR(COUNT(O110)=0,COUNT(Q110)=0),0,O110+(O110*Q110))</f>
        <v>358.8</v>
      </c>
      <c r="Q110" s="33">
        <f>IF(OR(G110&gt;0,H110="IT"),0.2,IF(ISBLANK(G110)," ",IF(G110&lt;=0,0.055," ")))</f>
        <v>0.2</v>
      </c>
      <c r="R110" s="33"/>
      <c r="S110" s="85"/>
      <c r="Y110" s="2" t="str" cm="1">
        <f t="array" ref="Y110">IFERROR(INDEX(CL[],MATCH(SMALL(IFERROR(IF(MATCH(IF(ISNUMBER(CL[]),CL[],""),CL[],0)=ROW(CL[])-9,COUNTIF(CL[],"&gt;"&amp;CL[])+1,""),""),ROW(A101)),IF(ISNUMBER(CL[]),COUNTIF(CL[],"&gt;"&amp;CL[])+1,""),0)),"")</f>
        <v/>
      </c>
      <c r="AN110" s="2" t="str" cm="1">
        <f t="array" ref="AN110">IFERROR(INDEX(CL[],MATCH(SMALL(IFERROR(IF(MATCH(IF(ISNUMBER(CL[]),CL[],""),CL[],0)=ROW(CL[])-9,COUNTIF(CL[],"&gt;"&amp;CL[])+1,""),""),ROW(A101)),IF(ISNUMBER(CL[]),COUNTIF(CL[],"&gt;"&amp;CL[])+1,""),0)),"")</f>
        <v/>
      </c>
      <c r="AR110" s="2" t="str" cm="1">
        <f t="array" ref="AR110">IFERROR(INDEX(Designation[],MATCH(SMALL(IFERROR(IF(MATCH(IF(Designation[]&lt;&gt;"",Designation[],""),Designation[],0)=ROW(Designation[])-9,COUNTIF(Designation[],"&lt;"&amp;Designation[])+1,""),""),ROW(A101)),IF(Designation[]&lt;&gt;"",COUNTIF(Designation[],"&lt;"&amp;Designation[])+1),0)),"")</f>
        <v/>
      </c>
      <c r="BA110" s="2" t="str" cm="1">
        <f t="array" ref="BA110">IFERROR(INDEX(Designation[],SMALL(IFERROR(MATCH(IF(ISNUMBER(SEARCH($AZ$10,Designation[])),Designation[],""),Designation[],0),""),ROW(A101))),"")</f>
        <v/>
      </c>
      <c r="BD110" s="2" t="str" cm="1">
        <f t="array" ref="BD110">IFERROR(INDEX(Designation[],MATCH(SMALL(IFERROR(IF(MATCH(IF(ISNUMBER(SEARCH(MJGES01_00028_2!$H$2,Designation[])),Designation[],""),Designation[],0)=ROW(Designation[])-9,COUNTIF(Designation[],"&lt;"&amp;Designation[])+1,""),""),ROW(A101)),IF(Designation[]&lt;&gt;"",COUNTIF(Designation[],"&lt;"&amp;Designation[])+1),0)),"")</f>
        <v/>
      </c>
      <c r="BI110" s="2" t="e">
        <v>#N/A</v>
      </c>
      <c r="BJ110" s="2" t="e">
        <v>#N/A</v>
      </c>
      <c r="BK110" s="164" t="str">
        <v/>
      </c>
      <c r="BL110" s="164"/>
      <c r="BM110" t="str" cm="1">
        <f t="array" ref="BM110">IFERROR(INDEX(CL[],MATCH(SMALL(IFERROR(IF(MATCH(IF(Designation[]=$BD$10,CL[],""),CL[],0)&lt;&gt;"",COUNTIF(CL[],"&gt;"&amp;CL[])+1,""),""),ROW(A101)),IF(CL[]&lt;&gt;"",COUNTIF(CL[],"&gt;"&amp;CL[])+1,"0"),0)),"")</f>
        <v/>
      </c>
    </row>
    <row r="111" spans="2:65" x14ac:dyDescent="0.25">
      <c r="B111" s="34">
        <v>122</v>
      </c>
      <c r="C111" s="137" t="s">
        <v>1360</v>
      </c>
      <c r="D111" s="138"/>
      <c r="E111" s="143"/>
      <c r="F111" s="144"/>
      <c r="G111" s="145"/>
      <c r="H111" s="37" t="s">
        <v>70</v>
      </c>
      <c r="I111" s="78">
        <v>299</v>
      </c>
      <c r="J111" s="146">
        <v>299</v>
      </c>
      <c r="K111" s="80">
        <v>299</v>
      </c>
      <c r="M111" s="41">
        <f t="shared" si="37"/>
        <v>0</v>
      </c>
      <c r="N111" s="42">
        <f>IF(G111&gt;18,($N$7/10000)*$F111*($G111/100),0)</f>
        <v>0</v>
      </c>
      <c r="O111" s="43">
        <f>IF(HLOOKUP($O$5,$I$7:$P$236,ROW()-6,FALSE)&gt;0,HLOOKUP($O$5,$I$7:$P$236,ROW()-6,FALSE)+M111+N111," ")</f>
        <v>299</v>
      </c>
      <c r="P111" s="44">
        <f t="shared" ref="P111:P114" si="42">IF(OR(COUNT(O111)=0,COUNT(Q111)=0),0,O111+(O111*Q111))</f>
        <v>358.8</v>
      </c>
      <c r="Q111" s="33">
        <f t="shared" ref="Q111:Q114" si="43">IF(OR(G111&gt;0,H111="IT"),0.2,IF(ISBLANK(G111)," ",IF(G111&lt;=0,0.055," ")))</f>
        <v>0.2</v>
      </c>
      <c r="R111" s="33"/>
      <c r="Y111" s="2" t="str" cm="1">
        <f t="array" ref="Y111">IFERROR(INDEX(CL[],MATCH(SMALL(IFERROR(IF(MATCH(IF(ISNUMBER(CL[]),CL[],""),CL[],0)=ROW(CL[])-9,COUNTIF(CL[],"&gt;"&amp;CL[])+1,""),""),ROW(A102)),IF(ISNUMBER(CL[]),COUNTIF(CL[],"&gt;"&amp;CL[])+1,""),0)),"")</f>
        <v/>
      </c>
      <c r="AN111" s="2" t="str" cm="1">
        <f t="array" ref="AN111">IFERROR(INDEX(CL[],MATCH(SMALL(IFERROR(IF(MATCH(IF(ISNUMBER(CL[]),CL[],""),CL[],0)=ROW(CL[])-9,COUNTIF(CL[],"&gt;"&amp;CL[])+1,""),""),ROW(A102)),IF(ISNUMBER(CL[]),COUNTIF(CL[],"&gt;"&amp;CL[])+1,""),0)),"")</f>
        <v/>
      </c>
      <c r="AR111" s="2" t="str" cm="1">
        <f t="array" ref="AR111">IFERROR(INDEX(Designation[],MATCH(SMALL(IFERROR(IF(MATCH(IF(Designation[]&lt;&gt;"",Designation[],""),Designation[],0)=ROW(Designation[])-9,COUNTIF(Designation[],"&lt;"&amp;Designation[])+1,""),""),ROW(A102)),IF(Designation[]&lt;&gt;"",COUNTIF(Designation[],"&lt;"&amp;Designation[])+1),0)),"")</f>
        <v/>
      </c>
      <c r="BA111" s="2" t="str" cm="1">
        <f t="array" ref="BA111">IFERROR(INDEX(Designation[],SMALL(IFERROR(MATCH(IF(ISNUMBER(SEARCH($AZ$10,Designation[])),Designation[],""),Designation[],0),""),ROW(A102))),"")</f>
        <v/>
      </c>
      <c r="BD111" s="2" t="str" cm="1">
        <f t="array" ref="BD111">IFERROR(INDEX(Designation[],MATCH(SMALL(IFERROR(IF(MATCH(IF(ISNUMBER(SEARCH(MJGES01_00028_2!$H$2,Designation[])),Designation[],""),Designation[],0)=ROW(Designation[])-9,COUNTIF(Designation[],"&lt;"&amp;Designation[])+1,""),""),ROW(A102)),IF(Designation[]&lt;&gt;"",COUNTIF(Designation[],"&lt;"&amp;Designation[])+1),0)),"")</f>
        <v/>
      </c>
      <c r="BI111" s="2" t="e">
        <v>#N/A</v>
      </c>
      <c r="BJ111" s="2" t="e">
        <v>#N/A</v>
      </c>
      <c r="BK111" s="164" t="str">
        <v/>
      </c>
      <c r="BL111" s="164"/>
      <c r="BM111" t="str" cm="1">
        <f t="array" ref="BM111">IFERROR(INDEX(CL[],MATCH(SMALL(IFERROR(IF(MATCH(IF(Designation[]=$BD$10,CL[],""),CL[],0)&lt;&gt;"",COUNTIF(CL[],"&gt;"&amp;CL[])+1,""),""),ROW(A102)),IF(CL[]&lt;&gt;"",COUNTIF(CL[],"&gt;"&amp;CL[])+1,"0"),0)),"")</f>
        <v/>
      </c>
    </row>
    <row r="112" spans="2:65" x14ac:dyDescent="0.25">
      <c r="B112" s="34">
        <v>123</v>
      </c>
      <c r="C112" s="137" t="s">
        <v>1361</v>
      </c>
      <c r="D112" s="138"/>
      <c r="E112" s="143"/>
      <c r="F112" s="144"/>
      <c r="G112" s="145"/>
      <c r="H112" s="37" t="s">
        <v>70</v>
      </c>
      <c r="I112" s="78">
        <v>139</v>
      </c>
      <c r="J112" s="146">
        <v>139</v>
      </c>
      <c r="K112" s="80">
        <v>139</v>
      </c>
      <c r="M112" s="41">
        <f t="shared" si="37"/>
        <v>0</v>
      </c>
      <c r="N112" s="42">
        <f>IF(G112&gt;18,($N$7/10000)*$F112*($G112/100),0)</f>
        <v>0</v>
      </c>
      <c r="O112" s="43">
        <f>IF(HLOOKUP($O$5,$I$7:$P$236,ROW()-6,FALSE)&gt;0,HLOOKUP($O$5,$I$7:$P$236,ROW()-6,FALSE)+M112+N112," ")</f>
        <v>139</v>
      </c>
      <c r="P112" s="44">
        <f t="shared" si="42"/>
        <v>166.8</v>
      </c>
      <c r="Q112" s="33">
        <f t="shared" si="43"/>
        <v>0.2</v>
      </c>
      <c r="R112" s="33"/>
      <c r="Y112" s="2" t="str" cm="1">
        <f t="array" ref="Y112">IFERROR(INDEX(CL[],MATCH(SMALL(IFERROR(IF(MATCH(IF(ISNUMBER(CL[]),CL[],""),CL[],0)=ROW(CL[])-9,COUNTIF(CL[],"&gt;"&amp;CL[])+1,""),""),ROW(A103)),IF(ISNUMBER(CL[]),COUNTIF(CL[],"&gt;"&amp;CL[])+1,""),0)),"")</f>
        <v/>
      </c>
      <c r="AN112" s="2" t="str" cm="1">
        <f t="array" ref="AN112">IFERROR(INDEX(CL[],MATCH(SMALL(IFERROR(IF(MATCH(IF(ISNUMBER(CL[]),CL[],""),CL[],0)=ROW(CL[])-9,COUNTIF(CL[],"&gt;"&amp;CL[])+1,""),""),ROW(A103)),IF(ISNUMBER(CL[]),COUNTIF(CL[],"&gt;"&amp;CL[])+1,""),0)),"")</f>
        <v/>
      </c>
      <c r="AR112" s="2" t="str" cm="1">
        <f t="array" ref="AR112">IFERROR(INDEX(Designation[],MATCH(SMALL(IFERROR(IF(MATCH(IF(Designation[]&lt;&gt;"",Designation[],""),Designation[],0)=ROW(Designation[])-9,COUNTIF(Designation[],"&lt;"&amp;Designation[])+1,""),""),ROW(A103)),IF(Designation[]&lt;&gt;"",COUNTIF(Designation[],"&lt;"&amp;Designation[])+1),0)),"")</f>
        <v/>
      </c>
      <c r="BA112" s="2" t="str" cm="1">
        <f t="array" ref="BA112">IFERROR(INDEX(Designation[],SMALL(IFERROR(MATCH(IF(ISNUMBER(SEARCH($AZ$10,Designation[])),Designation[],""),Designation[],0),""),ROW(A103))),"")</f>
        <v/>
      </c>
      <c r="BD112" s="2" t="str" cm="1">
        <f t="array" ref="BD112">IFERROR(INDEX(Designation[],MATCH(SMALL(IFERROR(IF(MATCH(IF(ISNUMBER(SEARCH(MJGES01_00028_2!$H$2,Designation[])),Designation[],""),Designation[],0)=ROW(Designation[])-9,COUNTIF(Designation[],"&lt;"&amp;Designation[])+1,""),""),ROW(A103)),IF(Designation[]&lt;&gt;"",COUNTIF(Designation[],"&lt;"&amp;Designation[])+1),0)),"")</f>
        <v/>
      </c>
      <c r="BI112" s="2" t="e">
        <v>#N/A</v>
      </c>
      <c r="BJ112" s="2" t="e">
        <v>#N/A</v>
      </c>
      <c r="BK112" s="164" t="str">
        <v/>
      </c>
      <c r="BL112" s="164"/>
      <c r="BM112" t="str" cm="1">
        <f t="array" ref="BM112">IFERROR(INDEX(CL[],MATCH(SMALL(IFERROR(IF(MATCH(IF(Designation[]=$BD$10,CL[],""),CL[],0)&lt;&gt;"",COUNTIF(CL[],"&gt;"&amp;CL[])+1,""),""),ROW(A103)),IF(CL[]&lt;&gt;"",COUNTIF(CL[],"&gt;"&amp;CL[])+1,"0"),0)),"")</f>
        <v/>
      </c>
    </row>
    <row r="113" spans="2:65" x14ac:dyDescent="0.25">
      <c r="B113" s="34">
        <v>124</v>
      </c>
      <c r="C113" s="137" t="s">
        <v>1362</v>
      </c>
      <c r="D113" s="138"/>
      <c r="E113" s="143"/>
      <c r="F113" s="144"/>
      <c r="G113" s="145"/>
      <c r="H113" s="37" t="s">
        <v>70</v>
      </c>
      <c r="I113" s="78">
        <v>249</v>
      </c>
      <c r="J113" s="146">
        <v>249</v>
      </c>
      <c r="K113" s="80">
        <v>249</v>
      </c>
      <c r="M113" s="41">
        <f t="shared" si="37"/>
        <v>0</v>
      </c>
      <c r="N113" s="42">
        <f>IF(G113&gt;18,($N$7/10000)*$F113*($G113/100),0)</f>
        <v>0</v>
      </c>
      <c r="O113" s="43">
        <f>IF(HLOOKUP($O$5,$I$7:$P$236,ROW()-6,FALSE)&gt;0,HLOOKUP($O$5,$I$7:$P$236,ROW()-6,FALSE)+M113+N113," ")</f>
        <v>249</v>
      </c>
      <c r="P113" s="44">
        <f t="shared" si="42"/>
        <v>298.8</v>
      </c>
      <c r="Q113" s="33">
        <f t="shared" si="43"/>
        <v>0.2</v>
      </c>
      <c r="R113" s="33"/>
      <c r="Y113" s="2" t="str" cm="1">
        <f t="array" ref="Y113">IFERROR(INDEX(CL[],MATCH(SMALL(IFERROR(IF(MATCH(IF(ISNUMBER(CL[]),CL[],""),CL[],0)=ROW(CL[])-9,COUNTIF(CL[],"&gt;"&amp;CL[])+1,""),""),ROW(A104)),IF(ISNUMBER(CL[]),COUNTIF(CL[],"&gt;"&amp;CL[])+1,""),0)),"")</f>
        <v/>
      </c>
      <c r="AN113" s="2" t="str" cm="1">
        <f t="array" ref="AN113">IFERROR(INDEX(CL[],MATCH(SMALL(IFERROR(IF(MATCH(IF(ISNUMBER(CL[]),CL[],""),CL[],0)=ROW(CL[])-9,COUNTIF(CL[],"&gt;"&amp;CL[])+1,""),""),ROW(A104)),IF(ISNUMBER(CL[]),COUNTIF(CL[],"&gt;"&amp;CL[])+1,""),0)),"")</f>
        <v/>
      </c>
      <c r="AR113" s="2" t="str" cm="1">
        <f t="array" ref="AR113">IFERROR(INDEX(Designation[],MATCH(SMALL(IFERROR(IF(MATCH(IF(Designation[]&lt;&gt;"",Designation[],""),Designation[],0)=ROW(Designation[])-9,COUNTIF(Designation[],"&lt;"&amp;Designation[])+1,""),""),ROW(A104)),IF(Designation[]&lt;&gt;"",COUNTIF(Designation[],"&lt;"&amp;Designation[])+1),0)),"")</f>
        <v/>
      </c>
      <c r="BA113" s="2" t="str" cm="1">
        <f t="array" ref="BA113">IFERROR(INDEX(Designation[],SMALL(IFERROR(MATCH(IF(ISNUMBER(SEARCH($AZ$10,Designation[])),Designation[],""),Designation[],0),""),ROW(A104))),"")</f>
        <v/>
      </c>
      <c r="BD113" s="2" t="str" cm="1">
        <f t="array" ref="BD113">IFERROR(INDEX(Designation[],MATCH(SMALL(IFERROR(IF(MATCH(IF(ISNUMBER(SEARCH(MJGES01_00028_2!$H$2,Designation[])),Designation[],""),Designation[],0)=ROW(Designation[])-9,COUNTIF(Designation[],"&lt;"&amp;Designation[])+1,""),""),ROW(A104)),IF(Designation[]&lt;&gt;"",COUNTIF(Designation[],"&lt;"&amp;Designation[])+1),0)),"")</f>
        <v/>
      </c>
      <c r="BI113" s="2" t="e">
        <v>#N/A</v>
      </c>
      <c r="BJ113" s="2" t="e">
        <v>#N/A</v>
      </c>
      <c r="BK113" s="164" t="str">
        <v/>
      </c>
      <c r="BL113" s="164"/>
      <c r="BM113" t="str" cm="1">
        <f t="array" ref="BM113">IFERROR(INDEX(CL[],MATCH(SMALL(IFERROR(IF(MATCH(IF(Designation[]=$BD$10,CL[],""),CL[],0)&lt;&gt;"",COUNTIF(CL[],"&gt;"&amp;CL[])+1,""),""),ROW(A104)),IF(CL[]&lt;&gt;"",COUNTIF(CL[],"&gt;"&amp;CL[])+1,"0"),0)),"")</f>
        <v/>
      </c>
    </row>
    <row r="114" spans="2:65" ht="15.75" thickBot="1" x14ac:dyDescent="0.3">
      <c r="B114" s="113">
        <v>125</v>
      </c>
      <c r="C114" s="137" t="s">
        <v>1363</v>
      </c>
      <c r="D114" s="147"/>
      <c r="E114" s="148"/>
      <c r="F114" s="144"/>
      <c r="G114" s="149"/>
      <c r="H114" s="116" t="s">
        <v>70</v>
      </c>
      <c r="I114" s="131">
        <v>139</v>
      </c>
      <c r="J114" s="150">
        <v>139</v>
      </c>
      <c r="K114" s="119">
        <v>139</v>
      </c>
      <c r="L114" s="108"/>
      <c r="M114" s="120">
        <f t="shared" si="37"/>
        <v>0</v>
      </c>
      <c r="N114" s="121">
        <f>IF(G114&gt;18,($N$7/10000)*$F114*($G114/100),0)</f>
        <v>0</v>
      </c>
      <c r="O114" s="122">
        <f>IF(HLOOKUP($O$5,$I$7:$P$236,ROW()-6,FALSE)&gt;0,HLOOKUP($O$5,$I$7:$P$236,ROW()-6,FALSE)+M114+N114," ")</f>
        <v>139</v>
      </c>
      <c r="P114" s="123">
        <f t="shared" si="42"/>
        <v>166.8</v>
      </c>
      <c r="Q114" s="33">
        <f t="shared" si="43"/>
        <v>0.2</v>
      </c>
      <c r="R114" s="33"/>
      <c r="Y114" s="2" t="str" cm="1">
        <f t="array" ref="Y114">IFERROR(INDEX(CL[],MATCH(SMALL(IFERROR(IF(MATCH(IF(ISNUMBER(CL[]),CL[],""),CL[],0)=ROW(CL[])-9,COUNTIF(CL[],"&gt;"&amp;CL[])+1,""),""),ROW(A105)),IF(ISNUMBER(CL[]),COUNTIF(CL[],"&gt;"&amp;CL[])+1,""),0)),"")</f>
        <v/>
      </c>
      <c r="AN114" s="2" t="str" cm="1">
        <f t="array" ref="AN114">IFERROR(INDEX(CL[],MATCH(SMALL(IFERROR(IF(MATCH(IF(ISNUMBER(CL[]),CL[],""),CL[],0)=ROW(CL[])-9,COUNTIF(CL[],"&gt;"&amp;CL[])+1,""),""),ROW(A105)),IF(ISNUMBER(CL[]),COUNTIF(CL[],"&gt;"&amp;CL[])+1,""),0)),"")</f>
        <v/>
      </c>
      <c r="AR114" s="2" t="str" cm="1">
        <f t="array" ref="AR114">IFERROR(INDEX(Designation[],MATCH(SMALL(IFERROR(IF(MATCH(IF(Designation[]&lt;&gt;"",Designation[],""),Designation[],0)=ROW(Designation[])-9,COUNTIF(Designation[],"&lt;"&amp;Designation[])+1,""),""),ROW(A105)),IF(Designation[]&lt;&gt;"",COUNTIF(Designation[],"&lt;"&amp;Designation[])+1),0)),"")</f>
        <v/>
      </c>
      <c r="BA114" s="2" t="str" cm="1">
        <f t="array" ref="BA114">IFERROR(INDEX(Designation[],SMALL(IFERROR(MATCH(IF(ISNUMBER(SEARCH($AZ$10,Designation[])),Designation[],""),Designation[],0),""),ROW(A105))),"")</f>
        <v/>
      </c>
      <c r="BD114" s="2" t="str" cm="1">
        <f t="array" ref="BD114">IFERROR(INDEX(Designation[],MATCH(SMALL(IFERROR(IF(MATCH(IF(ISNUMBER(SEARCH(MJGES01_00028_2!$H$2,Designation[])),Designation[],""),Designation[],0)=ROW(Designation[])-9,COUNTIF(Designation[],"&lt;"&amp;Designation[])+1,""),""),ROW(A105)),IF(Designation[]&lt;&gt;"",COUNTIF(Designation[],"&lt;"&amp;Designation[])+1),0)),"")</f>
        <v/>
      </c>
      <c r="BI114" s="2" t="e">
        <v>#N/A</v>
      </c>
      <c r="BJ114" s="2" t="e">
        <v>#N/A</v>
      </c>
      <c r="BK114" s="164" t="str">
        <v/>
      </c>
      <c r="BL114" s="164"/>
      <c r="BM114" t="str" cm="1">
        <f t="array" ref="BM114">IFERROR(INDEX(CL[],MATCH(SMALL(IFERROR(IF(MATCH(IF(Designation[]=$BD$10,CL[],""),CL[],0)&lt;&gt;"",COUNTIF(CL[],"&gt;"&amp;CL[])+1,""),""),ROW(A105)),IF(CL[]&lt;&gt;"",COUNTIF(CL[],"&gt;"&amp;CL[])+1,"0"),0)),"")</f>
        <v/>
      </c>
    </row>
    <row r="115" spans="2:65" x14ac:dyDescent="0.25">
      <c r="C115" s="167"/>
    </row>
    <row r="116" spans="2:65" x14ac:dyDescent="0.25">
      <c r="C116" s="168"/>
    </row>
  </sheetData>
  <mergeCells count="10">
    <mergeCell ref="B1:Q2"/>
    <mergeCell ref="M5:N5"/>
    <mergeCell ref="O5:P5"/>
    <mergeCell ref="BI8:BN8"/>
    <mergeCell ref="BI9:BM9"/>
    <mergeCell ref="BA8:BF8"/>
    <mergeCell ref="BA9:BC9"/>
    <mergeCell ref="BD9:BF9"/>
    <mergeCell ref="AB9:AD9"/>
    <mergeCell ref="AB8:AH8"/>
  </mergeCells>
  <conditionalFormatting sqref="Q10:R114">
    <cfRule type="expression" dxfId="17" priority="1">
      <formula>SUMPRODUCT(N(ISNUMBER(SEARCH(2,Q10))))</formula>
    </cfRule>
    <cfRule type="expression" dxfId="16" priority="2">
      <formula>SUMPRODUCT(N(ISNUMBER(SEARCH(5,Q10))))</formula>
    </cfRule>
  </conditionalFormatting>
  <dataValidations count="6">
    <dataValidation type="list" allowBlank="1" showInputMessage="1" showErrorMessage="1" promptTitle="TARIFICATION" prompt="Choisir tarification pour calcul tarif HT et TTC" sqref="O5:P5" xr:uid="{00000000-0002-0000-0100-000000000000}">
      <formula1>"CHR,GROS,GMS"</formula1>
    </dataValidation>
    <dataValidation type="list" allowBlank="1" showInputMessage="1" showErrorMessage="1" sqref="BE12" xr:uid="{264EB5C4-B65F-4E1F-9D7E-1A0C0FF27CBB}">
      <formula1>OFFSET(Designation_Liste_Alpha,,,COUNTIF(Designation_Liste_Alpha,"*?"))</formula1>
    </dataValidation>
    <dataValidation type="list" allowBlank="1" showInputMessage="1" showErrorMessage="1" sqref="BQ9 BO10" xr:uid="{E024AC51-F9D0-4132-BF89-9A44A72A3683}">
      <formula1>OFFSET(CL_Liste_Filtrée,,,COUNTIF(CL_Liste_Filtrée,"&gt;"&amp;0))</formula1>
    </dataValidation>
    <dataValidation type="list" allowBlank="1" showInputMessage="1" showErrorMessage="1" sqref="AZ10 AA10" xr:uid="{734F2FE4-033D-4027-BAD5-9CC855D0BFC1}">
      <formula1>"JGR,LIQU,RHUM,COGN,GIN,MEZC,VODK,VERM,TH,BAR ITEM"</formula1>
    </dataValidation>
    <dataValidation type="list" allowBlank="1" showInputMessage="1" showErrorMessage="1" sqref="BH10" xr:uid="{262C558B-DA9E-496F-8EC1-2D8A4487B785}">
      <formula1>OFFSET(Désignation_selon_Catégorie,,,COUNTIF(Désignation_selon_Catégorie,"*?"))</formula1>
    </dataValidation>
    <dataValidation type="list" allowBlank="1" showInputMessage="1" showErrorMessage="1" sqref="AF10" xr:uid="{E69646A4-57BC-40FC-9D1D-015FB3EB8D6D}">
      <formula1>OFFSET(Désign_selon_Cat_Stxt,,,COUNTIF(Désign_selon_Cat_Stxt,"*?"))</formula1>
    </dataValidation>
  </dataValidations>
  <pageMargins left="0.7" right="0.7" top="0.75" bottom="0.75" header="0.3" footer="0.3"/>
  <pageSetup paperSize="9" orientation="landscape" r:id="rId1"/>
  <legacyDrawing r:id="rId2"/>
  <tableParts count="2">
    <tablePart r:id="rId3"/>
    <tablePart r:id="rId4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100-000001000000}">
          <x14:formula1>
            <xm:f>'D:\Dropbox\PRO\SECTEUR REGION CENTRE\STATISTIQUES VENTES - REGION CENTRE\2020\[STATS - REGION CENTRE SH since 2016 01- test regroup marques - 2020 0223.xlsx]Table_indices_Taxes_Alcool'!#REF!</xm:f>
          </x14:formula1>
          <xm:sqref>M5:N5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52"/>
  <sheetViews>
    <sheetView tabSelected="1" view="pageLayout" topLeftCell="A13" zoomScale="115" zoomScaleNormal="100" zoomScalePageLayoutView="115" workbookViewId="0">
      <selection activeCell="D19" sqref="D19"/>
    </sheetView>
  </sheetViews>
  <sheetFormatPr baseColWidth="10" defaultColWidth="11.42578125" defaultRowHeight="15" x14ac:dyDescent="0.25"/>
  <cols>
    <col min="1" max="1" width="12.7109375" customWidth="1"/>
    <col min="2" max="2" width="6.140625" customWidth="1"/>
    <col min="3" max="3" width="5.5703125" bestFit="1" customWidth="1"/>
    <col min="4" max="4" width="28.5703125" customWidth="1"/>
    <col min="5" max="5" width="3.85546875" customWidth="1"/>
    <col min="6" max="9" width="4" customWidth="1"/>
    <col min="10" max="10" width="3.7109375" customWidth="1"/>
    <col min="11" max="11" width="5" customWidth="1"/>
    <col min="12" max="13" width="7" customWidth="1"/>
    <col min="14" max="14" width="8.7109375" customWidth="1"/>
  </cols>
  <sheetData>
    <row r="1" spans="1:14" x14ac:dyDescent="0.25">
      <c r="A1" s="155"/>
      <c r="B1" s="155"/>
      <c r="C1" s="155"/>
    </row>
    <row r="2" spans="1:14" x14ac:dyDescent="0.25">
      <c r="A2" s="155"/>
      <c r="B2" s="155"/>
      <c r="C2" s="155"/>
      <c r="D2" s="155"/>
      <c r="E2" s="155"/>
      <c r="F2" s="250" t="s">
        <v>154</v>
      </c>
      <c r="G2" s="251"/>
      <c r="H2" s="251"/>
      <c r="I2" s="251"/>
      <c r="J2" s="251"/>
      <c r="K2" s="251"/>
      <c r="L2" s="252"/>
    </row>
    <row r="3" spans="1:14" x14ac:dyDescent="0.25">
      <c r="A3" s="155"/>
      <c r="B3" s="155"/>
      <c r="C3" s="155"/>
      <c r="D3" s="155"/>
      <c r="E3" s="155"/>
      <c r="F3" s="253" t="str">
        <f>IFERROR(VLOOKUP(Facture!$F$2,#REF!,2,FALSE),"")</f>
        <v/>
      </c>
      <c r="G3" s="254"/>
      <c r="H3" s="254"/>
      <c r="I3" s="254"/>
      <c r="J3" s="254"/>
      <c r="K3" s="254"/>
      <c r="L3" s="255"/>
    </row>
    <row r="4" spans="1:14" x14ac:dyDescent="0.25">
      <c r="A4" s="155"/>
      <c r="B4" s="155"/>
      <c r="C4" s="155"/>
      <c r="D4" s="155"/>
      <c r="E4" s="155"/>
      <c r="F4" s="253" t="str">
        <f>IFERROR(VLOOKUP(Facture!$F$2,#REF!,3,FALSE)&amp;" "&amp;VLOOKUP(Facture!$F$2,#REF!,4,FALSE),"")</f>
        <v/>
      </c>
      <c r="G4" s="254"/>
      <c r="H4" s="254"/>
      <c r="I4" s="254"/>
      <c r="J4" s="254"/>
      <c r="K4" s="254"/>
      <c r="L4" s="255"/>
    </row>
    <row r="5" spans="1:14" x14ac:dyDescent="0.25">
      <c r="A5" s="155"/>
      <c r="B5" s="155"/>
      <c r="C5" s="155"/>
      <c r="D5" s="155"/>
      <c r="E5" s="155"/>
      <c r="F5" s="256" t="str">
        <f>IFERROR(INDEX(#REF!,MATCH(Facture!F2,#REF!,0),6),"")</f>
        <v/>
      </c>
      <c r="G5" s="257"/>
      <c r="H5" s="257"/>
      <c r="I5" s="257"/>
      <c r="J5" s="257"/>
      <c r="K5" s="257"/>
      <c r="L5" s="258"/>
    </row>
    <row r="6" spans="1:14" x14ac:dyDescent="0.25">
      <c r="A6" s="155"/>
      <c r="B6" s="155"/>
      <c r="C6" s="155"/>
      <c r="F6" s="155"/>
      <c r="G6" s="155"/>
      <c r="H6" s="155"/>
      <c r="I6" s="155"/>
    </row>
    <row r="7" spans="1:14" x14ac:dyDescent="0.25">
      <c r="A7" s="155"/>
      <c r="B7" s="155"/>
      <c r="C7" s="155"/>
      <c r="G7" s="154"/>
      <c r="H7" s="155"/>
      <c r="I7" s="155"/>
      <c r="J7" s="152"/>
      <c r="K7" s="153"/>
      <c r="L7" s="155"/>
    </row>
    <row r="8" spans="1:14" x14ac:dyDescent="0.25">
      <c r="G8" s="154"/>
      <c r="H8" s="155"/>
      <c r="I8" s="155"/>
      <c r="J8" s="155"/>
      <c r="K8" s="156"/>
      <c r="L8" s="155"/>
    </row>
    <row r="9" spans="1:14" x14ac:dyDescent="0.25">
      <c r="A9" s="160"/>
      <c r="B9" s="160"/>
      <c r="C9" s="160"/>
      <c r="D9" s="153"/>
      <c r="E9" s="155"/>
      <c r="G9" s="154"/>
      <c r="H9" s="155"/>
      <c r="I9" s="155"/>
      <c r="J9" s="155"/>
      <c r="K9" s="156"/>
      <c r="L9" s="155"/>
    </row>
    <row r="10" spans="1:14" x14ac:dyDescent="0.25">
      <c r="A10" s="161"/>
      <c r="B10" s="161"/>
      <c r="C10" s="161"/>
      <c r="D10" s="156"/>
      <c r="E10" s="155"/>
      <c r="G10" s="154"/>
      <c r="H10" s="155"/>
      <c r="I10" s="155"/>
      <c r="J10" s="155"/>
      <c r="K10" s="156"/>
      <c r="L10" s="155"/>
    </row>
    <row r="11" spans="1:14" x14ac:dyDescent="0.25">
      <c r="A11" s="154"/>
      <c r="B11" s="155"/>
      <c r="C11" s="153"/>
      <c r="D11" s="156"/>
      <c r="E11" s="155"/>
      <c r="G11" s="157"/>
      <c r="H11" s="158"/>
      <c r="I11" s="158"/>
      <c r="J11" s="158"/>
      <c r="K11" s="159"/>
      <c r="L11" s="155"/>
    </row>
    <row r="12" spans="1:14" x14ac:dyDescent="0.25">
      <c r="A12" s="157"/>
      <c r="B12" s="158"/>
      <c r="C12" s="159"/>
      <c r="D12" s="159"/>
      <c r="E12" s="155"/>
    </row>
    <row r="14" spans="1:14" x14ac:dyDescent="0.25">
      <c r="A14" s="151"/>
      <c r="B14" s="152"/>
      <c r="C14" s="153"/>
      <c r="D14" s="160"/>
      <c r="E14" s="152"/>
      <c r="F14" s="152"/>
      <c r="G14" s="152"/>
      <c r="H14" s="153"/>
      <c r="I14" s="152"/>
      <c r="J14" s="153"/>
      <c r="K14" s="152"/>
      <c r="L14" s="152"/>
      <c r="M14" s="152"/>
      <c r="N14" s="153"/>
    </row>
    <row r="15" spans="1:14" x14ac:dyDescent="0.25">
      <c r="A15" s="157"/>
      <c r="B15" s="158"/>
      <c r="C15" s="159"/>
      <c r="D15" s="161"/>
      <c r="E15" s="158"/>
      <c r="F15" s="158"/>
      <c r="G15" s="158"/>
      <c r="H15" s="159"/>
      <c r="I15" s="158"/>
      <c r="J15" s="159"/>
      <c r="K15" s="158"/>
      <c r="L15" s="158"/>
      <c r="M15" s="223"/>
      <c r="N15" s="159"/>
    </row>
    <row r="16" spans="1:14" ht="15.75" thickBot="1" x14ac:dyDescent="0.3"/>
    <row r="17" spans="1:16" x14ac:dyDescent="0.25">
      <c r="A17" s="191" t="s">
        <v>76</v>
      </c>
      <c r="B17" s="192" t="s">
        <v>76</v>
      </c>
      <c r="C17" s="193"/>
      <c r="D17" s="194"/>
      <c r="E17" s="193"/>
      <c r="F17" s="195" t="s">
        <v>84</v>
      </c>
      <c r="G17" s="196"/>
      <c r="H17" s="194"/>
      <c r="I17" s="194"/>
      <c r="J17" s="194"/>
      <c r="K17" s="194"/>
      <c r="L17" s="194"/>
      <c r="M17" s="193"/>
      <c r="N17" s="197" t="s">
        <v>82</v>
      </c>
    </row>
    <row r="18" spans="1:16" ht="15.75" thickBot="1" x14ac:dyDescent="0.3">
      <c r="A18" s="198" t="s">
        <v>75</v>
      </c>
      <c r="B18" s="199" t="s">
        <v>77</v>
      </c>
      <c r="C18" s="200" t="s">
        <v>1383</v>
      </c>
      <c r="D18" s="201" t="s">
        <v>78</v>
      </c>
      <c r="E18" s="200" t="s">
        <v>1384</v>
      </c>
      <c r="F18" s="201" t="s">
        <v>79</v>
      </c>
      <c r="G18" s="201" t="s">
        <v>80</v>
      </c>
      <c r="H18" s="201" t="s">
        <v>4</v>
      </c>
      <c r="I18" s="201" t="s">
        <v>88</v>
      </c>
      <c r="J18" s="201" t="s">
        <v>86</v>
      </c>
      <c r="K18" s="201" t="s">
        <v>81</v>
      </c>
      <c r="L18" s="201" t="s">
        <v>8</v>
      </c>
      <c r="M18" s="202" t="s">
        <v>87</v>
      </c>
      <c r="N18" s="203" t="s">
        <v>83</v>
      </c>
    </row>
    <row r="19" spans="1:16" x14ac:dyDescent="0.25">
      <c r="A19" s="205" t="str" cm="1">
        <f t="array" ref="A19">IFERROR(INDEX(Grille_Tarifs_Modulable!$B$10:$B$114,MATCH(Tableau19[[#This Row],[Désignation]]&amp;Tableau19[[#This Row],[Cat]],Designation[[#All],[Colonne1]]&amp;CL[[#All],[Colonne1]],0)),"")</f>
        <v/>
      </c>
      <c r="B19" s="170"/>
      <c r="C19" s="170" t="s">
        <v>1375</v>
      </c>
      <c r="D19" s="179" t="s">
        <v>1390</v>
      </c>
      <c r="E19" s="170">
        <v>70</v>
      </c>
      <c r="F19" s="175" t="e">
        <f>INT((B19*C19)/10000)</f>
        <v>#VALUE!</v>
      </c>
      <c r="G19" s="175" t="e">
        <f>INT((B19*C19-10000*Tableau19[[#This Row],[HL]])/100)</f>
        <v>#VALUE!</v>
      </c>
      <c r="H19" s="175" t="e">
        <f>INT((B19*C19)-10000*Tableau19[[#This Row],[HL]]-100*Tableau19[[#This Row],[L]])</f>
        <v>#VALUE!</v>
      </c>
      <c r="I19" s="175" t="str">
        <f>IFERROR(INDEX(Grille_Tarifs_Modulable!$G$10:$G$114,MATCH(Tableau19[[#This Row],[Désignation]],Designation[[#All],[Colonne1]],0)),"")</f>
        <v/>
      </c>
      <c r="J19" s="170" t="s">
        <v>13</v>
      </c>
      <c r="K19" s="206" t="str">
        <f>IFERROR(IF(INDEX(Grille_Tarifs_Modulable!$B$10:$K$114,MATCH(Tableau19[[#This Row],[Code]],Grille_Tarifs_Modulable!$B$10:$B$114,0),MATCH(Tableau19[[#This Row],[TRF]],Grille_Tarifs_Modulable!$B$7:$K$7,0))&gt;0,INDEX(Grille_Tarifs_Modulable!$B$10:$K$114,MATCH(Tableau19[[#This Row],[Code]],Grille_Tarifs_Modulable!$B$10:$B$114,0),MATCH(Tableau19[[#This Row],[TRF]],Grille_Tarifs_Modulable!$B$7:$K$7,0)),""),"")</f>
        <v/>
      </c>
      <c r="L19" s="176" t="str">
        <f>IFERROR(INDEX(Grille_Tarifs_Modulable!$B$9:$N$114,MATCH(Tableau19[[#This Row],[Code]],Grille_Tarifs_Modulable!$B$9:$B$114,0),12)*Tableau19[[#This Row],[Cols]],"")</f>
        <v/>
      </c>
      <c r="M19" s="178" t="str">
        <f>IFERROR(INDEX(Grille_Tarifs_Modulable!$B$9:$N$114,MATCH(Tableau19[[#This Row],[Code]],Grille_Tarifs_Modulable!$B$9:$B$114,0),13)*Tableau19[[#This Row],[Cols]],"")</f>
        <v/>
      </c>
      <c r="N19" s="177" t="str">
        <f>IFERROR(Tableau19[[#This Row],[Cols]]*Tableau19[[#This Row],[PU]]+Tableau19[[#This Row],[Droits]]+Tableau19[[#This Row],[Vign.(s)]],"")</f>
        <v/>
      </c>
      <c r="P19" t="str">
        <f ca="1">OFFSET(D19,,-1)</f>
        <v>COGN</v>
      </c>
    </row>
    <row r="20" spans="1:16" x14ac:dyDescent="0.25">
      <c r="A20" s="204" t="str" cm="1">
        <f t="array" ref="A20">IFERROR(INDEX(Grille_Tarifs_Modulable!$B$10:$B$114,MATCH(Tableau19[[#This Row],[Désignation]]&amp;Tableau19[[#This Row],[Cat]],Designation[[#All],[Colonne1]]&amp;CL[[#All],[Colonne1]],0)),"")</f>
        <v/>
      </c>
      <c r="B20" s="170"/>
      <c r="C20" s="170" t="s">
        <v>1374</v>
      </c>
      <c r="D20" s="179"/>
      <c r="E20" s="170">
        <v>100</v>
      </c>
      <c r="F20" s="175" t="e">
        <f>INT((B20*C20)/10000)</f>
        <v>#VALUE!</v>
      </c>
      <c r="G20" s="175" t="e">
        <f>INT((B20*C20-10000*Tableau19[[#This Row],[HL]])/100)</f>
        <v>#VALUE!</v>
      </c>
      <c r="H20" s="175" t="e">
        <f>INT((B20*C20)-10000*Tableau19[[#This Row],[HL]]-100*Tableau19[[#This Row],[L]])</f>
        <v>#VALUE!</v>
      </c>
      <c r="I20" s="222" t="str">
        <f>IFERROR(INDEX(Grille_Tarifs_Modulable!$G$10:$G$114,MATCH(Tableau19[[#This Row],[Désignation]],Designation[[#All],[Colonne1]],0)),"")</f>
        <v/>
      </c>
      <c r="J20" s="170"/>
      <c r="K20" s="206" t="str">
        <f>IFERROR(IF(INDEX(Grille_Tarifs_Modulable!$B$10:$K$114,MATCH(Tableau19[[#This Row],[Code]],Grille_Tarifs_Modulable!$B$10:$B$114,0),MATCH(Tableau19[[#This Row],[TRF]],Grille_Tarifs_Modulable!$B$7:$K$7,0))&gt;0,INDEX(Grille_Tarifs_Modulable!$B$10:$K$114,MATCH(Tableau19[[#This Row],[Code]],Grille_Tarifs_Modulable!$B$10:$B$114,0),MATCH(Tableau19[[#This Row],[TRF]],Grille_Tarifs_Modulable!$B$7:$K$7,0)),""),"")</f>
        <v/>
      </c>
      <c r="L20" s="176" t="str">
        <f>IFERROR(INDEX(Grille_Tarifs_Modulable!$B$9:$N$114,MATCH(Tableau19[[#This Row],[Code]],Grille_Tarifs_Modulable!$B$9:$B$114,0),12)*Tableau19[[#This Row],[Cols]],"")</f>
        <v/>
      </c>
      <c r="M20" s="178" t="str">
        <f>IFERROR(INDEX(Grille_Tarifs_Modulable!$B$9:$N$114,MATCH(Tableau19[[#This Row],[Code]],Grille_Tarifs_Modulable!$B$9:$B$114,0),13)*Tableau19[[#This Row],[Cols]],"")</f>
        <v/>
      </c>
      <c r="N20" s="177" t="str">
        <f>IFERROR(Tableau19[[#This Row],[Cols]]*Tableau19[[#This Row],[PU]]+Tableau19[[#This Row],[Droits]]+Tableau19[[#This Row],[Vign.(s)]],"")</f>
        <v/>
      </c>
    </row>
    <row r="21" spans="1:16" x14ac:dyDescent="0.25">
      <c r="A21" s="204"/>
      <c r="B21" s="170"/>
      <c r="C21" s="170"/>
      <c r="D21" s="179"/>
      <c r="E21" s="179"/>
      <c r="F21" s="175"/>
      <c r="G21" s="175"/>
      <c r="H21" s="175"/>
      <c r="I21" s="175"/>
      <c r="J21" s="170"/>
      <c r="K21" s="206"/>
      <c r="L21" s="176"/>
      <c r="M21" s="178"/>
      <c r="N21" s="177"/>
    </row>
    <row r="22" spans="1:16" x14ac:dyDescent="0.25">
      <c r="A22" s="204"/>
      <c r="B22" s="170"/>
      <c r="C22" s="170"/>
      <c r="D22" s="179"/>
      <c r="E22" s="179"/>
      <c r="F22" s="175"/>
      <c r="G22" s="175"/>
      <c r="H22" s="175"/>
      <c r="I22" s="175"/>
      <c r="J22" s="170"/>
      <c r="K22" s="206"/>
      <c r="L22" s="176"/>
      <c r="M22" s="178"/>
      <c r="N22" s="177"/>
    </row>
    <row r="23" spans="1:16" x14ac:dyDescent="0.25">
      <c r="A23" s="204"/>
      <c r="B23" s="170"/>
      <c r="C23" s="170"/>
      <c r="D23" s="179"/>
      <c r="E23" s="179"/>
      <c r="F23" s="175"/>
      <c r="G23" s="175"/>
      <c r="H23" s="175"/>
      <c r="I23" s="175"/>
      <c r="J23" s="170"/>
      <c r="K23" s="206"/>
      <c r="L23" s="176"/>
      <c r="M23" s="178"/>
      <c r="N23" s="177"/>
    </row>
    <row r="24" spans="1:16" x14ac:dyDescent="0.25">
      <c r="A24" s="204"/>
      <c r="B24" s="170"/>
      <c r="C24" s="170"/>
      <c r="D24" s="180"/>
      <c r="E24" s="180"/>
      <c r="F24" s="175"/>
      <c r="G24" s="175"/>
      <c r="H24" s="175"/>
      <c r="I24" s="175"/>
      <c r="J24" s="170"/>
      <c r="K24" s="206"/>
      <c r="L24" s="176"/>
      <c r="M24" s="178"/>
      <c r="N24" s="177"/>
    </row>
    <row r="25" spans="1:16" x14ac:dyDescent="0.25">
      <c r="A25" s="204"/>
      <c r="B25" s="170"/>
      <c r="C25" s="170"/>
      <c r="D25" s="179"/>
      <c r="E25" s="179"/>
      <c r="F25" s="175"/>
      <c r="G25" s="175"/>
      <c r="H25" s="175"/>
      <c r="I25" s="175"/>
      <c r="J25" s="170"/>
      <c r="K25" s="206"/>
      <c r="L25" s="176"/>
      <c r="M25" s="178"/>
      <c r="N25" s="177"/>
    </row>
    <row r="26" spans="1:16" x14ac:dyDescent="0.25">
      <c r="A26" s="204"/>
      <c r="B26" s="170"/>
      <c r="C26" s="170"/>
      <c r="D26" s="179"/>
      <c r="E26" s="179"/>
      <c r="F26" s="175"/>
      <c r="G26" s="175"/>
      <c r="H26" s="175"/>
      <c r="I26" s="175"/>
      <c r="J26" s="170"/>
      <c r="K26" s="206"/>
      <c r="L26" s="176"/>
      <c r="M26" s="178"/>
      <c r="N26" s="177"/>
    </row>
    <row r="27" spans="1:16" x14ac:dyDescent="0.25">
      <c r="A27" s="204"/>
      <c r="B27" s="170"/>
      <c r="C27" s="170"/>
      <c r="D27" s="179"/>
      <c r="E27" s="179"/>
      <c r="F27" s="175"/>
      <c r="G27" s="175"/>
      <c r="H27" s="175"/>
      <c r="I27" s="175"/>
      <c r="J27" s="170"/>
      <c r="K27" s="206"/>
      <c r="L27" s="176"/>
      <c r="M27" s="178"/>
      <c r="N27" s="177"/>
    </row>
    <row r="28" spans="1:16" x14ac:dyDescent="0.25">
      <c r="A28" s="204"/>
      <c r="B28" s="170"/>
      <c r="C28" s="170"/>
      <c r="D28" s="179"/>
      <c r="E28" s="179"/>
      <c r="F28" s="175"/>
      <c r="G28" s="175"/>
      <c r="H28" s="175"/>
      <c r="I28" s="175"/>
      <c r="J28" s="170"/>
      <c r="K28" s="206"/>
      <c r="L28" s="176"/>
      <c r="M28" s="178"/>
      <c r="N28" s="177"/>
    </row>
    <row r="29" spans="1:16" x14ac:dyDescent="0.25">
      <c r="A29" s="204"/>
      <c r="B29" s="170"/>
      <c r="C29" s="170"/>
      <c r="D29" s="179"/>
      <c r="E29" s="179"/>
      <c r="F29" s="175"/>
      <c r="G29" s="175"/>
      <c r="H29" s="175"/>
      <c r="I29" s="175"/>
      <c r="J29" s="170"/>
      <c r="K29" s="206"/>
      <c r="L29" s="176"/>
      <c r="M29" s="178"/>
      <c r="N29" s="177"/>
    </row>
    <row r="30" spans="1:16" x14ac:dyDescent="0.25">
      <c r="A30" s="204"/>
      <c r="B30" s="170"/>
      <c r="C30" s="170"/>
      <c r="D30" s="179"/>
      <c r="E30" s="179"/>
      <c r="F30" s="175"/>
      <c r="G30" s="175"/>
      <c r="H30" s="175"/>
      <c r="I30" s="175"/>
      <c r="J30" s="170"/>
      <c r="K30" s="206"/>
      <c r="L30" s="176"/>
      <c r="M30" s="178"/>
      <c r="N30" s="177"/>
    </row>
    <row r="31" spans="1:16" x14ac:dyDescent="0.25">
      <c r="A31" s="204"/>
      <c r="B31" s="170"/>
      <c r="C31" s="170"/>
      <c r="D31" s="179"/>
      <c r="E31" s="179"/>
      <c r="F31" s="175"/>
      <c r="G31" s="175"/>
      <c r="H31" s="175"/>
      <c r="I31" s="175"/>
      <c r="J31" s="170"/>
      <c r="K31" s="206"/>
      <c r="L31" s="176"/>
      <c r="M31" s="178"/>
      <c r="N31" s="177"/>
    </row>
    <row r="32" spans="1:16" x14ac:dyDescent="0.25">
      <c r="A32" s="204"/>
      <c r="B32" s="170"/>
      <c r="C32" s="170"/>
      <c r="D32" s="179"/>
      <c r="E32" s="179"/>
      <c r="F32" s="174"/>
      <c r="G32" s="174"/>
      <c r="H32" s="174"/>
      <c r="I32" s="173"/>
      <c r="J32" s="163"/>
      <c r="K32" s="169"/>
      <c r="L32" s="176"/>
      <c r="M32" s="178"/>
      <c r="N32" s="177"/>
    </row>
    <row r="33" spans="1:14" x14ac:dyDescent="0.25">
      <c r="A33" s="174"/>
      <c r="B33" s="170"/>
      <c r="C33" s="170"/>
      <c r="D33" s="179"/>
      <c r="E33" s="179"/>
      <c r="F33" s="174"/>
      <c r="G33" s="174"/>
      <c r="H33" s="174"/>
      <c r="I33" s="163"/>
      <c r="J33" s="163"/>
      <c r="K33" s="169"/>
      <c r="L33" s="176"/>
      <c r="M33" s="163"/>
      <c r="N33" s="163"/>
    </row>
    <row r="34" spans="1:14" x14ac:dyDescent="0.25">
      <c r="A34" s="174"/>
      <c r="B34" s="170"/>
      <c r="C34" s="170"/>
      <c r="D34" s="179"/>
      <c r="E34" s="179"/>
      <c r="F34" s="174"/>
      <c r="G34" s="174"/>
      <c r="H34" s="174"/>
      <c r="I34" s="163"/>
      <c r="J34" s="163"/>
      <c r="K34" s="169"/>
      <c r="L34" s="176"/>
      <c r="M34" s="163"/>
      <c r="N34" s="163"/>
    </row>
    <row r="35" spans="1:14" x14ac:dyDescent="0.25">
      <c r="A35" s="174"/>
      <c r="B35" s="170"/>
      <c r="C35" s="170"/>
      <c r="D35" s="179"/>
      <c r="E35" s="179"/>
      <c r="F35" s="174"/>
      <c r="G35" s="174"/>
      <c r="H35" s="174"/>
      <c r="I35" s="163"/>
      <c r="J35" s="163"/>
      <c r="K35" s="163"/>
      <c r="L35" s="176"/>
      <c r="M35" s="163"/>
      <c r="N35" s="163"/>
    </row>
    <row r="36" spans="1:14" x14ac:dyDescent="0.25">
      <c r="J36" s="162"/>
    </row>
    <row r="39" spans="1:14" x14ac:dyDescent="0.25">
      <c r="A39" s="211" t="s">
        <v>99</v>
      </c>
      <c r="B39" s="218" t="s">
        <v>100</v>
      </c>
      <c r="C39" s="218"/>
      <c r="D39" s="213" t="s">
        <v>101</v>
      </c>
      <c r="E39" s="213"/>
      <c r="F39" s="212" t="s">
        <v>12</v>
      </c>
      <c r="G39" s="207"/>
      <c r="M39" s="158"/>
      <c r="N39" s="158"/>
    </row>
    <row r="40" spans="1:14" x14ac:dyDescent="0.25">
      <c r="A40" s="214">
        <v>0.2</v>
      </c>
      <c r="B40" s="209"/>
      <c r="C40" s="209">
        <v>0</v>
      </c>
      <c r="D40" s="216">
        <f>SUMIF(Tableau19[Deg°],"&gt;"&amp;0,(Tableau19[HT]))</f>
        <v>0</v>
      </c>
      <c r="E40" s="216"/>
      <c r="F40" s="259">
        <f>D40*A40</f>
        <v>0</v>
      </c>
      <c r="G40" s="260"/>
      <c r="I40" s="263" t="s">
        <v>139</v>
      </c>
      <c r="J40" s="264"/>
      <c r="K40" s="264"/>
      <c r="L40" s="264"/>
      <c r="M40" s="265" t="str">
        <f>ROUND(SUMPRODUCT(Tableau19[Cols],Tableau19[Cat],Tableau19[Deg°])/100/100,2)&amp;" Lap"</f>
        <v>0 Lap</v>
      </c>
      <c r="N40" s="266"/>
    </row>
    <row r="41" spans="1:14" x14ac:dyDescent="0.25">
      <c r="A41" s="215">
        <v>5.5E-2</v>
      </c>
      <c r="B41" s="210"/>
      <c r="C41" s="210">
        <v>0</v>
      </c>
      <c r="D41" s="217">
        <f>SUMIF(Tableau19[Deg°],"="&amp;0,Tableau19[HT])</f>
        <v>0</v>
      </c>
      <c r="E41" s="217"/>
      <c r="F41" s="261">
        <f>D41*A41</f>
        <v>0</v>
      </c>
      <c r="G41" s="262"/>
    </row>
    <row r="43" spans="1:14" x14ac:dyDescent="0.25">
      <c r="A43" s="267" t="s">
        <v>146</v>
      </c>
      <c r="B43" s="268"/>
      <c r="C43" s="268"/>
      <c r="D43" s="269"/>
      <c r="E43" s="274"/>
      <c r="G43" s="267" t="s">
        <v>143</v>
      </c>
      <c r="H43" s="268"/>
      <c r="I43" s="268"/>
      <c r="J43" s="269"/>
      <c r="L43" s="267" t="s">
        <v>145</v>
      </c>
      <c r="M43" s="268"/>
      <c r="N43" s="269"/>
    </row>
    <row r="44" spans="1:14" x14ac:dyDescent="0.25">
      <c r="A44" s="154" t="s">
        <v>147</v>
      </c>
      <c r="B44" s="155" t="s">
        <v>8</v>
      </c>
      <c r="C44" s="155" t="s">
        <v>148</v>
      </c>
      <c r="D44" s="220" t="s">
        <v>149</v>
      </c>
      <c r="E44" s="275"/>
      <c r="G44" s="154"/>
      <c r="H44" s="155"/>
      <c r="I44" s="155"/>
      <c r="J44" s="156"/>
      <c r="L44" s="154"/>
      <c r="M44" s="155"/>
      <c r="N44" s="156"/>
    </row>
    <row r="45" spans="1:14" x14ac:dyDescent="0.25">
      <c r="A45" s="208">
        <f>SUMPRODUCT(Tableau19[Cols],Tableau19[PU])</f>
        <v>0</v>
      </c>
      <c r="B45" s="219">
        <f>SUM(Tableau19[Droits])</f>
        <v>0</v>
      </c>
      <c r="C45" s="219">
        <f>SUM(Tableau19[Vign.(s)])</f>
        <v>0</v>
      </c>
      <c r="D45" s="221">
        <f>SUM(Tableau19[HT])</f>
        <v>0</v>
      </c>
      <c r="E45" s="276"/>
      <c r="G45" s="154"/>
      <c r="H45" s="245">
        <f>SUMIFS(Tableau19[HT],Tableau19[Deg°],"&gt;0")*0.2+SUMIFS(Tableau19[HT],Tableau19[Deg°],"0")*0.055</f>
        <v>0</v>
      </c>
      <c r="I45" s="245"/>
      <c r="J45" s="156"/>
      <c r="L45" s="154"/>
      <c r="M45" s="248" t="str">
        <f>ROUND(D45+H45,2)&amp;" EURO"</f>
        <v>0 EURO</v>
      </c>
      <c r="N45" s="249"/>
    </row>
    <row r="46" spans="1:14" x14ac:dyDescent="0.25">
      <c r="A46" s="157"/>
      <c r="B46" s="158"/>
      <c r="C46" s="158"/>
      <c r="D46" s="159"/>
      <c r="E46" s="155"/>
      <c r="G46" s="157"/>
      <c r="H46" s="158"/>
      <c r="I46" s="158"/>
      <c r="J46" s="159"/>
      <c r="L46" s="157"/>
      <c r="M46" s="158"/>
      <c r="N46" s="159"/>
    </row>
    <row r="48" spans="1:14" x14ac:dyDescent="0.25">
      <c r="A48" s="246" t="s">
        <v>144</v>
      </c>
      <c r="B48" s="247"/>
      <c r="C48" s="247"/>
      <c r="D48" s="247"/>
      <c r="E48" s="233"/>
      <c r="F48" s="184"/>
      <c r="G48" s="184"/>
      <c r="H48" s="185"/>
    </row>
    <row r="49" spans="1:8" x14ac:dyDescent="0.25">
      <c r="A49" s="186"/>
      <c r="B49" s="155"/>
      <c r="C49" s="155"/>
      <c r="D49" s="155"/>
      <c r="E49" s="155"/>
      <c r="F49" s="155"/>
      <c r="G49" s="155"/>
      <c r="H49" s="187"/>
    </row>
    <row r="50" spans="1:8" x14ac:dyDescent="0.25">
      <c r="A50" s="186"/>
      <c r="B50" s="155"/>
      <c r="C50" s="155"/>
      <c r="D50" s="155"/>
      <c r="E50" s="155"/>
      <c r="F50" s="155"/>
      <c r="G50" s="155"/>
      <c r="H50" s="187"/>
    </row>
    <row r="51" spans="1:8" x14ac:dyDescent="0.25">
      <c r="A51" s="188"/>
      <c r="B51" s="189"/>
      <c r="C51" s="189"/>
      <c r="D51" s="189"/>
      <c r="E51" s="189"/>
      <c r="F51" s="189"/>
      <c r="G51" s="189"/>
      <c r="H51" s="190"/>
    </row>
    <row r="52" spans="1:8" x14ac:dyDescent="0.25">
      <c r="A52" s="188"/>
      <c r="B52" s="189"/>
      <c r="C52" s="189"/>
      <c r="D52" s="189"/>
      <c r="E52" s="189"/>
      <c r="F52" s="189"/>
      <c r="G52" s="189"/>
      <c r="H52" s="190"/>
    </row>
  </sheetData>
  <mergeCells count="14">
    <mergeCell ref="H45:I45"/>
    <mergeCell ref="A48:D48"/>
    <mergeCell ref="M45:N45"/>
    <mergeCell ref="F2:L2"/>
    <mergeCell ref="F3:L3"/>
    <mergeCell ref="F4:L4"/>
    <mergeCell ref="F5:L5"/>
    <mergeCell ref="F40:G40"/>
    <mergeCell ref="F41:G41"/>
    <mergeCell ref="I40:L40"/>
    <mergeCell ref="M40:N40"/>
    <mergeCell ref="L43:N43"/>
    <mergeCell ref="G43:J43"/>
    <mergeCell ref="A43:D43"/>
  </mergeCells>
  <phoneticPr fontId="16" type="noConversion"/>
  <dataValidations count="5">
    <dataValidation type="list" allowBlank="1" showInputMessage="1" showErrorMessage="1" sqref="J19:J20" xr:uid="{00000000-0002-0000-0000-000000000000}">
      <formula1>"CHR,GROS,GMS"</formula1>
    </dataValidation>
    <dataValidation type="list" allowBlank="1" showInputMessage="1" showErrorMessage="1" sqref="F2:L2" xr:uid="{5353C619-8C0B-482F-A901-DF0B35FD6764}">
      <formula1>OFFSET(Noms_Ebt,1,,COUNTIF(Noms_Ebt,"*?"))</formula1>
    </dataValidation>
    <dataValidation type="list" allowBlank="1" showInputMessage="1" showErrorMessage="1" sqref="C19:C20" xr:uid="{C1C3F8BE-7CEB-4375-AACB-AD46686ABA19}">
      <formula1>"JGR,LIQU,RHUM,COGN,GIN,MEZC,VODK,VERM,TH,BAR ITEM"</formula1>
    </dataValidation>
    <dataValidation type="list" allowBlank="1" showInputMessage="1" showErrorMessage="1" sqref="E19:E20" xr:uid="{8377DB0F-4F02-450B-B673-05F57295EF4A}">
      <formula1>OFFSET(Facture_Cont,,,COUNTIF(Facture_Cont,"&gt;"&amp;0))</formula1>
    </dataValidation>
    <dataValidation type="list" allowBlank="1" showInputMessage="1" showErrorMessage="1" sqref="D19:D20" xr:uid="{6217540C-8E11-4803-ACEE-A73A0AE0C06D}">
      <formula1>OFFSET(Facture_Designation,,,COUNTIF(Facture_Designation,"*?"))</formula1>
    </dataValidation>
  </dataValidations>
  <pageMargins left="0.23622047244094491" right="0.23622047244094491" top="0.74803149606299213" bottom="0.74803149606299213" header="0.31496062992125984" footer="0.31496062992125984"/>
  <pageSetup paperSize="9" orientation="portrait" horizontalDpi="1200" verticalDpi="1200" r:id="rId1"/>
  <headerFooter>
    <oddHeader xml:space="preserve">&amp;L&amp;G
</oddHeader>
  </headerFooter>
  <legacyDrawingHF r:id="rId2"/>
  <tableParts count="1"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E8FFDC3-0904-45D6-A17E-2644BD857631}">
  <dimension ref="A2:I101"/>
  <sheetViews>
    <sheetView zoomScale="85" zoomScaleNormal="85" workbookViewId="0">
      <selection activeCell="B3" sqref="B3"/>
    </sheetView>
  </sheetViews>
  <sheetFormatPr baseColWidth="10" defaultRowHeight="15" x14ac:dyDescent="0.25"/>
  <cols>
    <col min="2" max="3" width="34" bestFit="1" customWidth="1"/>
    <col min="4" max="4" width="34" customWidth="1"/>
  </cols>
  <sheetData>
    <row r="2" spans="1:9" ht="15.75" thickBot="1" x14ac:dyDescent="0.3">
      <c r="A2" s="277" t="s">
        <v>1382</v>
      </c>
      <c r="B2" s="277" t="s">
        <v>1385</v>
      </c>
      <c r="C2" s="277" t="s">
        <v>1370</v>
      </c>
      <c r="D2" s="277" t="s">
        <v>1386</v>
      </c>
      <c r="E2" s="277" t="s">
        <v>1388</v>
      </c>
      <c r="F2" s="277" t="s">
        <v>1370</v>
      </c>
      <c r="G2" s="277" t="s">
        <v>1389</v>
      </c>
    </row>
    <row r="3" spans="1:9" ht="15.75" thickBot="1" x14ac:dyDescent="0.3">
      <c r="A3" s="278" t="s">
        <v>1374</v>
      </c>
      <c r="B3" t="str" cm="1">
        <f t="array" ref="B3">IFERROR(INDEX(MID(Designation[],SEARCH("-",Designation[])+1,LEN(Designation[])-SEARCH("-",Designation[])),MATCH(SMALL(IFERROR(IF(MATCH(IF(ISNUMBER(FIND($A$3,Designation[])),Designation[],""),Designation[],0)=ROW(Designation[])-9,COUNTIF(Designation[],"&lt;"&amp;Designation[])+1,""),""),ROW(A1)),IF(Designation[]&lt;&gt;"",COUNTIF(Designation[],"&lt;"&amp;Designation[])+1,""),0)),"")</f>
        <v>Santiago de Cuba Anejo</v>
      </c>
      <c r="C3" t="str" cm="1">
        <f t="array" aca="1" ref="C3:C7" ca="1">OFFSET(Facture_Designation,,,COUNTIF(Facture_Designation,"*?"))</f>
        <v>Santiago de Cuba Anejo</v>
      </c>
      <c r="D3" s="278" t="s">
        <v>1391</v>
      </c>
      <c r="E3" cm="1">
        <f t="array" ref="E3">IFERROR(INDEX(CL[],MATCH(SMALL(IFERROR(IF(MATCH(IF(MID(Designation[],SEARCH("-",Designation[])+1,LEN(Designation[])-SEARCH("-",Designation[]))=Facture!D19,CL[],""),CL[],0)&lt;&gt;"",COUNTIF(CL[],"&gt;"&amp;CL[])+1,""),""),ROW(A1)),IF(CL[]&lt;&gt;"",COUNTIF(CL[],"&gt;"&amp;CL[])+1,""),0)),"")</f>
        <v>50</v>
      </c>
      <c r="F3" cm="1">
        <f t="array" aca="1" ref="F3" ca="1">OFFSET(Facture_Cont,,,COUNTIF(Facture_Cont,"&gt;"&amp;0))</f>
        <v>50</v>
      </c>
      <c r="G3" s="278">
        <v>2</v>
      </c>
    </row>
    <row r="4" spans="1:9" x14ac:dyDescent="0.25">
      <c r="B4" t="str" cm="1">
        <f t="array" ref="B4">IFERROR(INDEX(MID(Designation[],SEARCH("-",Designation[])+1,LEN(Designation[])-SEARCH("-",Designation[])),MATCH(SMALL(IFERROR(IF(MATCH(IF(ISNUMBER(FIND($A$3,Designation[])),Designation[],""),Designation[],0)=ROW(Designation[])-9,COUNTIF(Designation[],"&lt;"&amp;Designation[])+1,""),""),ROW(A2)),IF(Designation[]&lt;&gt;"",COUNTIF(Designation[],"&lt;"&amp;Designation[])+1,""),0)),"")</f>
        <v>Santiago de Cuba, 12 ans</v>
      </c>
      <c r="C4" t="str">
        <f ca="1"/>
        <v>Santiago de Cuba, 12 ans</v>
      </c>
      <c r="E4" t="str" cm="1">
        <f t="array" ref="E4">IFERROR(INDEX(CL[],MATCH(SMALL(IFERROR(IF(MATCH(IF(MID(Designation[],SEARCH("-",Designation[])+1,LEN(Designation[])-SEARCH("-",Designation[]))=Facture!$D$19,CL[],""),CL[],0)&lt;&gt;"",COUNTIF(CL[],"&gt;"&amp;CL[])+1,""),""),ROW(A2)),IF(CL[]&lt;&gt;"",COUNTIF(CL[],"&gt;"&amp;CL[])+1,""),0)),"")</f>
        <v/>
      </c>
    </row>
    <row r="5" spans="1:9" x14ac:dyDescent="0.25">
      <c r="B5" t="str" cm="1">
        <f t="array" ref="B5">IFERROR(INDEX(MID(Designation[],SEARCH("-",Designation[])+1,LEN(Designation[])-SEARCH("-",Designation[])),MATCH(SMALL(IFERROR(IF(MATCH(IF(ISNUMBER(FIND($A$3,Designation[])),Designation[],""),Designation[],0)=ROW(Designation[])-9,COUNTIF(Designation[],"&lt;"&amp;Designation[])+1,""),""),ROW(A3)),IF(Designation[]&lt;&gt;"",COUNTIF(Designation[],"&lt;"&amp;Designation[])+1,""),0)),"")</f>
        <v>Santiago de Cuba, 20 ans</v>
      </c>
      <c r="C5" t="str">
        <f ca="1"/>
        <v>Santiago de Cuba, 20 ans</v>
      </c>
      <c r="E5" t="str" cm="1">
        <f t="array" ref="E5">IFERROR(INDEX(CL[],MATCH(SMALL(IFERROR(IF(MATCH(IF(MID(Designation[],SEARCH("-",Designation[])+1,LEN(Designation[])-SEARCH("-",Designation[]))=Facture!$D$19,CL[],""),CL[],0)&lt;&gt;"",COUNTIF(CL[],"&gt;"&amp;CL[])+1,""),""),ROW(A3)),IF(CL[]&lt;&gt;"",COUNTIF(CL[],"&gt;"&amp;CL[])+1,""),0)),"")</f>
        <v/>
      </c>
    </row>
    <row r="6" spans="1:9" x14ac:dyDescent="0.25">
      <c r="B6" t="str" cm="1">
        <f t="array" ref="B6">IFERROR(INDEX(MID(Designation[],SEARCH("-",Designation[])+1,LEN(Designation[])-SEARCH("-",Designation[])),MATCH(SMALL(IFERROR(IF(MATCH(IF(ISNUMBER(FIND($A$3,Designation[])),Designation[],""),Designation[],0)=ROW(Designation[])-9,COUNTIF(Designation[],"&lt;"&amp;Designation[])+1,""),""),ROW(A4)),IF(Designation[]&lt;&gt;"",COUNTIF(Designation[],"&lt;"&amp;Designation[])+1,""),0)),"")</f>
        <v>Santiago de Cuba, 25 ans</v>
      </c>
      <c r="C6" t="str">
        <f ca="1"/>
        <v>Santiago de Cuba, 25 ans</v>
      </c>
      <c r="E6" t="str" cm="1">
        <f t="array" ref="E6">IFERROR(INDEX(CL[],MATCH(SMALL(IFERROR(IF(MATCH(IF(MID(Designation[],SEARCH("-",Designation[])+1,LEN(Designation[])-SEARCH("-",Designation[]))=Facture!$D$19,CL[],""),CL[],0)&lt;&gt;"",COUNTIF(CL[],"&gt;"&amp;CL[])+1,""),""),ROW(A4)),IF(CL[]&lt;&gt;"",COUNTIF(CL[],"&gt;"&amp;CL[])+1,""),0)),"")</f>
        <v/>
      </c>
      <c r="H6">
        <v>3</v>
      </c>
      <c r="I6" cm="1">
        <f t="array" aca="1" ref="I6" ca="1">OFFSET(I6,,-1,,)</f>
        <v>3</v>
      </c>
    </row>
    <row r="7" spans="1:9" x14ac:dyDescent="0.25">
      <c r="B7" t="str" cm="1">
        <f t="array" ref="B7">IFERROR(INDEX(MID(Designation[],SEARCH("-",Designation[])+1,LEN(Designation[])-SEARCH("-",Designation[])),MATCH(SMALL(IFERROR(IF(MATCH(IF(ISNUMBER(FIND($A$3,Designation[])),Designation[],""),Designation[],0)=ROW(Designation[])-9,COUNTIF(Designation[],"&lt;"&amp;Designation[])+1,""),""),ROW(A5)),IF(Designation[]&lt;&gt;"",COUNTIF(Designation[],"&lt;"&amp;Designation[])+1,""),0)),"")</f>
        <v>Santiago de Cuba, Carta Blanca</v>
      </c>
      <c r="C7" t="str">
        <f ca="1"/>
        <v>Santiago de Cuba, Carta Blanca</v>
      </c>
      <c r="E7" t="str" cm="1">
        <f t="array" ref="E7">IFERROR(INDEX(CL[],MATCH(SMALL(IFERROR(IF(MATCH(IF(MID(Designation[],SEARCH("-",Designation[])+1,LEN(Designation[])-SEARCH("-",Designation[]))=Facture!$D$19,CL[],""),CL[],0)&lt;&gt;"",COUNTIF(CL[],"&gt;"&amp;CL[])+1,""),""),ROW(A5)),IF(CL[]&lt;&gt;"",COUNTIF(CL[],"&gt;"&amp;CL[])+1,""),0)),"")</f>
        <v/>
      </c>
    </row>
    <row r="8" spans="1:9" x14ac:dyDescent="0.25">
      <c r="B8" t="str" cm="1">
        <f t="array" ref="B8">IFERROR(INDEX(MID(Designation[],SEARCH("-",Designation[])+1,LEN(Designation[])-SEARCH("-",Designation[])),MATCH(SMALL(IFERROR(IF(MATCH(IF(ISNUMBER(FIND($A$3,Designation[])),Designation[],""),Designation[],0)=ROW(Designation[])-9,COUNTIF(Designation[],"&lt;"&amp;Designation[])+1,""),""),ROW(A6)),IF(Designation[]&lt;&gt;"",COUNTIF(Designation[],"&lt;"&amp;Designation[])+1,""),0)),"")</f>
        <v/>
      </c>
      <c r="E8" t="str" cm="1">
        <f t="array" ref="E8">IFERROR(INDEX(CL[],MATCH(SMALL(IFERROR(IF(MATCH(IF(MID(Designation[],SEARCH("-",Designation[])+1,LEN(Designation[])-SEARCH("-",Designation[]))=Facture!$D$19,CL[],""),CL[],0)&lt;&gt;"",COUNTIF(CL[],"&gt;"&amp;CL[])+1,""),""),ROW(A6)),IF(CL[]&lt;&gt;"",COUNTIF(CL[],"&gt;"&amp;CL[])+1,""),0)),"")</f>
        <v/>
      </c>
    </row>
    <row r="9" spans="1:9" x14ac:dyDescent="0.25">
      <c r="B9" t="str" cm="1">
        <f t="array" ref="B9">IFERROR(INDEX(MID(Designation[],SEARCH("-",Designation[])+1,LEN(Designation[])-SEARCH("-",Designation[])),MATCH(SMALL(IFERROR(IF(MATCH(IF(ISNUMBER(FIND($A$3,Designation[])),Designation[],""),Designation[],0)=ROW(Designation[])-9,COUNTIF(Designation[],"&lt;"&amp;Designation[])+1,""),""),ROW(A7)),IF(Designation[]&lt;&gt;"",COUNTIF(Designation[],"&lt;"&amp;Designation[])+1,""),0)),"")</f>
        <v/>
      </c>
      <c r="E9" t="str" cm="1">
        <f t="array" ref="E9">IFERROR(INDEX(CL[],MATCH(SMALL(IFERROR(IF(MATCH(IF(MID(Designation[],SEARCH("-",Designation[])+1,LEN(Designation[])-SEARCH("-",Designation[]))=Facture!$D$19,CL[],""),CL[],0)&lt;&gt;"",COUNTIF(CL[],"&gt;"&amp;CL[])+1,""),""),ROW(A7)),IF(CL[]&lt;&gt;"",COUNTIF(CL[],"&gt;"&amp;CL[])+1,""),0)),"")</f>
        <v/>
      </c>
    </row>
    <row r="10" spans="1:9" x14ac:dyDescent="0.25">
      <c r="B10" t="str" cm="1">
        <f t="array" ref="B10">IFERROR(INDEX(MID(Designation[],SEARCH("-",Designation[])+1,LEN(Designation[])-SEARCH("-",Designation[])),MATCH(SMALL(IFERROR(IF(MATCH(IF(ISNUMBER(FIND($A$3,Designation[])),Designation[],""),Designation[],0)=ROW(Designation[])-9,COUNTIF(Designation[],"&lt;"&amp;Designation[])+1,""),""),ROW(A8)),IF(Designation[]&lt;&gt;"",COUNTIF(Designation[],"&lt;"&amp;Designation[])+1,""),0)),"")</f>
        <v/>
      </c>
      <c r="E10" t="str" cm="1">
        <f t="array" ref="E10">IFERROR(INDEX(CL[],MATCH(SMALL(IFERROR(IF(MATCH(IF(MID(Designation[],SEARCH("-",Designation[])+1,LEN(Designation[])-SEARCH("-",Designation[]))=Facture!$D$19,CL[],""),CL[],0)&lt;&gt;"",COUNTIF(CL[],"&gt;"&amp;CL[])+1,""),""),ROW(A8)),IF(CL[]&lt;&gt;"",COUNTIF(CL[],"&gt;"&amp;CL[])+1,""),0)),"")</f>
        <v/>
      </c>
    </row>
    <row r="11" spans="1:9" x14ac:dyDescent="0.25">
      <c r="B11" t="str" cm="1">
        <f t="array" ref="B11">IFERROR(INDEX(MID(Designation[],SEARCH("-",Designation[])+1,LEN(Designation[])-SEARCH("-",Designation[])),MATCH(SMALL(IFERROR(IF(MATCH(IF(ISNUMBER(FIND($A$3,Designation[])),Designation[],""),Designation[],0)=ROW(Designation[])-9,COUNTIF(Designation[],"&lt;"&amp;Designation[])+1,""),""),ROW(A9)),IF(Designation[]&lt;&gt;"",COUNTIF(Designation[],"&lt;"&amp;Designation[])+1,""),0)),"")</f>
        <v/>
      </c>
      <c r="E11" t="str" cm="1">
        <f t="array" ref="E11">IFERROR(INDEX(CL[],MATCH(SMALL(IFERROR(IF(MATCH(IF(MID(Designation[],SEARCH("-",Designation[])+1,LEN(Designation[])-SEARCH("-",Designation[]))=Facture!$D$19,CL[],""),CL[],0)&lt;&gt;"",COUNTIF(CL[],"&gt;"&amp;CL[])+1,""),""),ROW(A9)),IF(CL[]&lt;&gt;"",COUNTIF(CL[],"&gt;"&amp;CL[])+1,""),0)),"")</f>
        <v/>
      </c>
    </row>
    <row r="12" spans="1:9" x14ac:dyDescent="0.25">
      <c r="B12" t="str" cm="1">
        <f t="array" ref="B12">IFERROR(INDEX(MID(Designation[],SEARCH("-",Designation[])+1,LEN(Designation[])-SEARCH("-",Designation[])),MATCH(SMALL(IFERROR(IF(MATCH(IF(ISNUMBER(FIND($A$3,Designation[])),Designation[],""),Designation[],0)=ROW(Designation[])-9,COUNTIF(Designation[],"&lt;"&amp;Designation[])+1,""),""),ROW(A10)),IF(Designation[]&lt;&gt;"",COUNTIF(Designation[],"&lt;"&amp;Designation[])+1,""),0)),"")</f>
        <v/>
      </c>
      <c r="E12" t="str" cm="1">
        <f t="array" ref="E12">IFERROR(INDEX(CL[],MATCH(SMALL(IFERROR(IF(MATCH(IF(MID(Designation[],SEARCH("-",Designation[])+1,LEN(Designation[])-SEARCH("-",Designation[]))=Facture!$D$19,CL[],""),CL[],0)&lt;&gt;"",COUNTIF(CL[],"&gt;"&amp;CL[])+1,""),""),ROW(A10)),IF(CL[]&lt;&gt;"",COUNTIF(CL[],"&gt;"&amp;CL[])+1,""),0)),"")</f>
        <v/>
      </c>
    </row>
    <row r="13" spans="1:9" x14ac:dyDescent="0.25">
      <c r="B13" t="str" cm="1">
        <f t="array" ref="B13">IFERROR(INDEX(MID(Designation[],SEARCH("-",Designation[])+1,LEN(Designation[])-SEARCH("-",Designation[])),MATCH(SMALL(IFERROR(IF(MATCH(IF(ISNUMBER(FIND($A$3,Designation[])),Designation[],""),Designation[],0)=ROW(Designation[])-9,COUNTIF(Designation[],"&lt;"&amp;Designation[])+1,""),""),ROW(A11)),IF(Designation[]&lt;&gt;"",COUNTIF(Designation[],"&lt;"&amp;Designation[])+1,""),0)),"")</f>
        <v/>
      </c>
      <c r="E13" t="str" cm="1">
        <f t="array" ref="E13">IFERROR(INDEX(CL[],MATCH(SMALL(IFERROR(IF(MATCH(IF(MID(Designation[],SEARCH("-",Designation[])+1,LEN(Designation[])-SEARCH("-",Designation[]))=Facture!$D$19,CL[],""),CL[],0)&lt;&gt;"",COUNTIF(CL[],"&gt;"&amp;CL[])+1,""),""),ROW(A11)),IF(CL[]&lt;&gt;"",COUNTIF(CL[],"&gt;"&amp;CL[])+1,""),0)),"")</f>
        <v/>
      </c>
    </row>
    <row r="14" spans="1:9" x14ac:dyDescent="0.25">
      <c r="B14" t="str" cm="1">
        <f t="array" ref="B14">IFERROR(INDEX(MID(Designation[],SEARCH("-",Designation[])+1,LEN(Designation[])-SEARCH("-",Designation[])),MATCH(SMALL(IFERROR(IF(MATCH(IF(ISNUMBER(FIND($A$3,Designation[])),Designation[],""),Designation[],0)=ROW(Designation[])-9,COUNTIF(Designation[],"&lt;"&amp;Designation[])+1,""),""),ROW(A12)),IF(Designation[]&lt;&gt;"",COUNTIF(Designation[],"&lt;"&amp;Designation[])+1,""),0)),"")</f>
        <v/>
      </c>
      <c r="E14" t="str" cm="1">
        <f t="array" ref="E14">IFERROR(INDEX(CL[],MATCH(SMALL(IFERROR(IF(MATCH(IF(MID(Designation[],SEARCH("-",Designation[])+1,LEN(Designation[])-SEARCH("-",Designation[]))=Facture!$D$19,CL[],""),CL[],0)&lt;&gt;"",COUNTIF(CL[],"&gt;"&amp;CL[])+1,""),""),ROW(A12)),IF(CL[]&lt;&gt;"",COUNTIF(CL[],"&gt;"&amp;CL[])+1,""),0)),"")</f>
        <v/>
      </c>
    </row>
    <row r="15" spans="1:9" x14ac:dyDescent="0.25">
      <c r="B15" t="str" cm="1">
        <f t="array" ref="B15">IFERROR(INDEX(MID(Designation[],SEARCH("-",Designation[])+1,LEN(Designation[])-SEARCH("-",Designation[])),MATCH(SMALL(IFERROR(IF(MATCH(IF(ISNUMBER(FIND($A$3,Designation[])),Designation[],""),Designation[],0)=ROW(Designation[])-9,COUNTIF(Designation[],"&lt;"&amp;Designation[])+1,""),""),ROW(A13)),IF(Designation[]&lt;&gt;"",COUNTIF(Designation[],"&lt;"&amp;Designation[])+1,""),0)),"")</f>
        <v/>
      </c>
      <c r="E15" t="str" cm="1">
        <f t="array" ref="E15">IFERROR(INDEX(CL[],MATCH(SMALL(IFERROR(IF(MATCH(IF(MID(Designation[],SEARCH("-",Designation[])+1,LEN(Designation[])-SEARCH("-",Designation[]))=Facture!$D$19,CL[],""),CL[],0)&lt;&gt;"",COUNTIF(CL[],"&gt;"&amp;CL[])+1,""),""),ROW(A13)),IF(CL[]&lt;&gt;"",COUNTIF(CL[],"&gt;"&amp;CL[])+1,""),0)),"")</f>
        <v/>
      </c>
    </row>
    <row r="16" spans="1:9" x14ac:dyDescent="0.25">
      <c r="B16" t="str" cm="1">
        <f t="array" ref="B16">IFERROR(INDEX(MID(Designation[],SEARCH("-",Designation[])+1,LEN(Designation[])-SEARCH("-",Designation[])),MATCH(SMALL(IFERROR(IF(MATCH(IF(ISNUMBER(FIND($A$3,Designation[])),Designation[],""),Designation[],0)=ROW(Designation[])-9,COUNTIF(Designation[],"&lt;"&amp;Designation[])+1,""),""),ROW(A14)),IF(Designation[]&lt;&gt;"",COUNTIF(Designation[],"&lt;"&amp;Designation[])+1,""),0)),"")</f>
        <v/>
      </c>
      <c r="E16" t="str" cm="1">
        <f t="array" ref="E16">IFERROR(INDEX(CL[],MATCH(SMALL(IFERROR(IF(MATCH(IF(MID(Designation[],SEARCH("-",Designation[])+1,LEN(Designation[])-SEARCH("-",Designation[]))=Facture!$D$19,CL[],""),CL[],0)&lt;&gt;"",COUNTIF(CL[],"&gt;"&amp;CL[])+1,""),""),ROW(A14)),IF(CL[]&lt;&gt;"",COUNTIF(CL[],"&gt;"&amp;CL[])+1,""),0)),"")</f>
        <v/>
      </c>
    </row>
    <row r="17" spans="2:5" x14ac:dyDescent="0.25">
      <c r="B17" t="str" cm="1">
        <f t="array" ref="B17">IFERROR(INDEX(MID(Designation[],SEARCH("-",Designation[])+1,LEN(Designation[])-SEARCH("-",Designation[])),MATCH(SMALL(IFERROR(IF(MATCH(IF(ISNUMBER(FIND($A$3,Designation[])),Designation[],""),Designation[],0)=ROW(Designation[])-9,COUNTIF(Designation[],"&lt;"&amp;Designation[])+1,""),""),ROW(A15)),IF(Designation[]&lt;&gt;"",COUNTIF(Designation[],"&lt;"&amp;Designation[])+1,""),0)),"")</f>
        <v/>
      </c>
      <c r="E17" t="str" cm="1">
        <f t="array" ref="E17">IFERROR(INDEX(CL[],MATCH(SMALL(IFERROR(IF(MATCH(IF(MID(Designation[],SEARCH("-",Designation[])+1,LEN(Designation[])-SEARCH("-",Designation[]))=Facture!$D$19,CL[],""),CL[],0)&lt;&gt;"",COUNTIF(CL[],"&gt;"&amp;CL[])+1,""),""),ROW(A15)),IF(CL[]&lt;&gt;"",COUNTIF(CL[],"&gt;"&amp;CL[])+1,""),0)),"")</f>
        <v/>
      </c>
    </row>
    <row r="18" spans="2:5" x14ac:dyDescent="0.25">
      <c r="B18" t="str" cm="1">
        <f t="array" ref="B18">IFERROR(INDEX(MID(Designation[],SEARCH("-",Designation[])+1,LEN(Designation[])-SEARCH("-",Designation[])),MATCH(SMALL(IFERROR(IF(MATCH(IF(ISNUMBER(FIND($A$3,Designation[])),Designation[],""),Designation[],0)=ROW(Designation[])-9,COUNTIF(Designation[],"&lt;"&amp;Designation[])+1,""),""),ROW(A16)),IF(Designation[]&lt;&gt;"",COUNTIF(Designation[],"&lt;"&amp;Designation[])+1,""),0)),"")</f>
        <v/>
      </c>
    </row>
    <row r="19" spans="2:5" x14ac:dyDescent="0.25">
      <c r="B19" t="str" cm="1">
        <f t="array" ref="B19">IFERROR(INDEX(MID(Designation[],SEARCH("-",Designation[])+1,LEN(Designation[])-SEARCH("-",Designation[])),MATCH(SMALL(IFERROR(IF(MATCH(IF(ISNUMBER(FIND($A$3,Designation[])),Designation[],""),Designation[],0)=ROW(Designation[])-9,COUNTIF(Designation[],"&lt;"&amp;Designation[])+1,""),""),ROW(A17)),IF(Designation[]&lt;&gt;"",COUNTIF(Designation[],"&lt;"&amp;Designation[])+1,""),0)),"")</f>
        <v/>
      </c>
    </row>
    <row r="20" spans="2:5" x14ac:dyDescent="0.25">
      <c r="B20" t="str" cm="1">
        <f t="array" ref="B20">IFERROR(INDEX(MID(Designation[],SEARCH("-",Designation[])+1,LEN(Designation[])-SEARCH("-",Designation[])),MATCH(SMALL(IFERROR(IF(MATCH(IF(ISNUMBER(FIND($A$3,Designation[])),Designation[],""),Designation[],0)=ROW(Designation[])-9,COUNTIF(Designation[],"&lt;"&amp;Designation[])+1,""),""),ROW(A18)),IF(Designation[]&lt;&gt;"",COUNTIF(Designation[],"&lt;"&amp;Designation[])+1,""),0)),"")</f>
        <v/>
      </c>
    </row>
    <row r="21" spans="2:5" x14ac:dyDescent="0.25">
      <c r="B21" t="str" cm="1">
        <f t="array" ref="B21">IFERROR(INDEX(MID(Designation[],SEARCH("-",Designation[])+1,LEN(Designation[])-SEARCH("-",Designation[])),MATCH(SMALL(IFERROR(IF(MATCH(IF(ISNUMBER(FIND($A$3,Designation[])),Designation[],""),Designation[],0)=ROW(Designation[])-9,COUNTIF(Designation[],"&lt;"&amp;Designation[])+1,""),""),ROW(A19)),IF(Designation[]&lt;&gt;"",COUNTIF(Designation[],"&lt;"&amp;Designation[])+1,""),0)),"")</f>
        <v/>
      </c>
    </row>
    <row r="22" spans="2:5" x14ac:dyDescent="0.25">
      <c r="B22" t="str" cm="1">
        <f t="array" ref="B22">IFERROR(INDEX(MID(Designation[],SEARCH("-",Designation[])+1,LEN(Designation[])-SEARCH("-",Designation[])),MATCH(SMALL(IFERROR(IF(MATCH(IF(ISNUMBER(FIND($A$3,Designation[])),Designation[],""),Designation[],0)=ROW(Designation[])-9,COUNTIF(Designation[],"&lt;"&amp;Designation[])+1,""),""),ROW(A20)),IF(Designation[]&lt;&gt;"",COUNTIF(Designation[],"&lt;"&amp;Designation[])+1,""),0)),"")</f>
        <v/>
      </c>
    </row>
    <row r="23" spans="2:5" x14ac:dyDescent="0.25">
      <c r="B23" t="str" cm="1">
        <f t="array" ref="B23">IFERROR(INDEX(MID(Designation[],SEARCH("-",Designation[])+1,LEN(Designation[])-SEARCH("-",Designation[])),MATCH(SMALL(IFERROR(IF(MATCH(IF(ISNUMBER(FIND($A$3,Designation[])),Designation[],""),Designation[],0)=ROW(Designation[])-9,COUNTIF(Designation[],"&lt;"&amp;Designation[])+1,""),""),ROW(A21)),IF(Designation[]&lt;&gt;"",COUNTIF(Designation[],"&lt;"&amp;Designation[])+1,""),0)),"")</f>
        <v/>
      </c>
    </row>
    <row r="24" spans="2:5" x14ac:dyDescent="0.25">
      <c r="B24" t="str" cm="1">
        <f t="array" ref="B24">IFERROR(INDEX(MID(Designation[],SEARCH("-",Designation[])+1,LEN(Designation[])-SEARCH("-",Designation[])),MATCH(SMALL(IFERROR(IF(MATCH(IF(ISNUMBER(FIND($A$3,Designation[])),Designation[],""),Designation[],0)=ROW(Designation[])-9,COUNTIF(Designation[],"&lt;"&amp;Designation[])+1,""),""),ROW(A22)),IF(Designation[]&lt;&gt;"",COUNTIF(Designation[],"&lt;"&amp;Designation[])+1,""),0)),"")</f>
        <v/>
      </c>
    </row>
    <row r="25" spans="2:5" x14ac:dyDescent="0.25">
      <c r="B25" t="str" cm="1">
        <f t="array" ref="B25">IFERROR(INDEX(MID(Designation[],SEARCH("-",Designation[])+1,LEN(Designation[])-SEARCH("-",Designation[])),MATCH(SMALL(IFERROR(IF(MATCH(IF(ISNUMBER(FIND($A$3,Designation[])),Designation[],""),Designation[],0)=ROW(Designation[])-9,COUNTIF(Designation[],"&lt;"&amp;Designation[])+1,""),""),ROW(A23)),IF(Designation[]&lt;&gt;"",COUNTIF(Designation[],"&lt;"&amp;Designation[])+1,""),0)),"")</f>
        <v/>
      </c>
    </row>
    <row r="26" spans="2:5" x14ac:dyDescent="0.25">
      <c r="B26" t="str" cm="1">
        <f t="array" ref="B26">IFERROR(INDEX(MID(Designation[],SEARCH("-",Designation[])+1,LEN(Designation[])-SEARCH("-",Designation[])),MATCH(SMALL(IFERROR(IF(MATCH(IF(ISNUMBER(FIND($A$3,Designation[])),Designation[],""),Designation[],0)=ROW(Designation[])-9,COUNTIF(Designation[],"&lt;"&amp;Designation[])+1,""),""),ROW(A24)),IF(Designation[]&lt;&gt;"",COUNTIF(Designation[],"&lt;"&amp;Designation[])+1,""),0)),"")</f>
        <v/>
      </c>
    </row>
    <row r="27" spans="2:5" x14ac:dyDescent="0.25">
      <c r="B27" t="str" cm="1">
        <f t="array" ref="B27">IFERROR(INDEX(MID(Designation[],SEARCH("-",Designation[])+1,LEN(Designation[])-SEARCH("-",Designation[])),MATCH(SMALL(IFERROR(IF(MATCH(IF(ISNUMBER(FIND($A$3,Designation[])),Designation[],""),Designation[],0)=ROW(Designation[])-9,COUNTIF(Designation[],"&lt;"&amp;Designation[])+1,""),""),ROW(A25)),IF(Designation[]&lt;&gt;"",COUNTIF(Designation[],"&lt;"&amp;Designation[])+1,""),0)),"")</f>
        <v/>
      </c>
    </row>
    <row r="28" spans="2:5" x14ac:dyDescent="0.25">
      <c r="B28" t="str" cm="1">
        <f t="array" ref="B28">IFERROR(INDEX(MID(Designation[],SEARCH("-",Designation[])+1,LEN(Designation[])-SEARCH("-",Designation[])),MATCH(SMALL(IFERROR(IF(MATCH(IF(ISNUMBER(FIND($A$3,Designation[])),Designation[],""),Designation[],0)=ROW(Designation[])-9,COUNTIF(Designation[],"&lt;"&amp;Designation[])+1,""),""),ROW(A26)),IF(Designation[]&lt;&gt;"",COUNTIF(Designation[],"&lt;"&amp;Designation[])+1,""),0)),"")</f>
        <v/>
      </c>
    </row>
    <row r="29" spans="2:5" x14ac:dyDescent="0.25">
      <c r="B29" t="str" cm="1">
        <f t="array" ref="B29">IFERROR(INDEX(MID(Designation[],SEARCH("-",Designation[])+1,LEN(Designation[])-SEARCH("-",Designation[])),MATCH(SMALL(IFERROR(IF(MATCH(IF(ISNUMBER(FIND($A$3,Designation[])),Designation[],""),Designation[],0)=ROW(Designation[])-9,COUNTIF(Designation[],"&lt;"&amp;Designation[])+1,""),""),ROW(A27)),IF(Designation[]&lt;&gt;"",COUNTIF(Designation[],"&lt;"&amp;Designation[])+1,""),0)),"")</f>
        <v/>
      </c>
    </row>
    <row r="30" spans="2:5" x14ac:dyDescent="0.25">
      <c r="B30" t="str" cm="1">
        <f t="array" ref="B30">IFERROR(INDEX(MID(Designation[],SEARCH("-",Designation[])+1,LEN(Designation[])-SEARCH("-",Designation[])),MATCH(SMALL(IFERROR(IF(MATCH(IF(ISNUMBER(FIND($A$3,Designation[])),Designation[],""),Designation[],0)=ROW(Designation[])-9,COUNTIF(Designation[],"&lt;"&amp;Designation[])+1,""),""),ROW(A28)),IF(Designation[]&lt;&gt;"",COUNTIF(Designation[],"&lt;"&amp;Designation[])+1,""),0)),"")</f>
        <v/>
      </c>
    </row>
    <row r="31" spans="2:5" x14ac:dyDescent="0.25">
      <c r="B31" t="str" cm="1">
        <f t="array" ref="B31">IFERROR(INDEX(MID(Designation[],SEARCH("-",Designation[])+1,LEN(Designation[])-SEARCH("-",Designation[])),MATCH(SMALL(IFERROR(IF(MATCH(IF(ISNUMBER(FIND($A$3,Designation[])),Designation[],""),Designation[],0)=ROW(Designation[])-9,COUNTIF(Designation[],"&lt;"&amp;Designation[])+1,""),""),ROW(A29)),IF(Designation[]&lt;&gt;"",COUNTIF(Designation[],"&lt;"&amp;Designation[])+1,""),0)),"")</f>
        <v/>
      </c>
    </row>
    <row r="32" spans="2:5" x14ac:dyDescent="0.25">
      <c r="B32" t="str" cm="1">
        <f t="array" ref="B32">IFERROR(INDEX(MID(Designation[],SEARCH("-",Designation[])+1,LEN(Designation[])-SEARCH("-",Designation[])),MATCH(SMALL(IFERROR(IF(MATCH(IF(ISNUMBER(FIND($A$3,Designation[])),Designation[],""),Designation[],0)=ROW(Designation[])-9,COUNTIF(Designation[],"&lt;"&amp;Designation[])+1,""),""),ROW(A30)),IF(Designation[]&lt;&gt;"",COUNTIF(Designation[],"&lt;"&amp;Designation[])+1,""),0)),"")</f>
        <v/>
      </c>
    </row>
    <row r="33" spans="2:2" x14ac:dyDescent="0.25">
      <c r="B33" t="str" cm="1">
        <f t="array" ref="B33">IFERROR(INDEX(MID(Designation[],SEARCH("-",Designation[])+1,LEN(Designation[])-SEARCH("-",Designation[])),MATCH(SMALL(IFERROR(IF(MATCH(IF(ISNUMBER(FIND($A$3,Designation[])),Designation[],""),Designation[],0)=ROW(Designation[])-9,COUNTIF(Designation[],"&lt;"&amp;Designation[])+1,""),""),ROW(A31)),IF(Designation[]&lt;&gt;"",COUNTIF(Designation[],"&lt;"&amp;Designation[])+1,""),0)),"")</f>
        <v/>
      </c>
    </row>
    <row r="34" spans="2:2" x14ac:dyDescent="0.25">
      <c r="B34" t="str" cm="1">
        <f t="array" ref="B34">IFERROR(INDEX(MID(Designation[],SEARCH("-",Designation[])+1,LEN(Designation[])-SEARCH("-",Designation[])),MATCH(SMALL(IFERROR(IF(MATCH(IF(ISNUMBER(FIND($A$3,Designation[])),Designation[],""),Designation[],0)=ROW(Designation[])-9,COUNTIF(Designation[],"&lt;"&amp;Designation[])+1,""),""),ROW(A32)),IF(Designation[]&lt;&gt;"",COUNTIF(Designation[],"&lt;"&amp;Designation[])+1,""),0)),"")</f>
        <v/>
      </c>
    </row>
    <row r="35" spans="2:2" x14ac:dyDescent="0.25">
      <c r="B35" t="str" cm="1">
        <f t="array" ref="B35">IFERROR(INDEX(MID(Designation[],SEARCH("-",Designation[])+1,LEN(Designation[])-SEARCH("-",Designation[])),MATCH(SMALL(IFERROR(IF(MATCH(IF(ISNUMBER(FIND($A$3,Designation[])),Designation[],""),Designation[],0)=ROW(Designation[])-9,COUNTIF(Designation[],"&lt;"&amp;Designation[])+1,""),""),ROW(A33)),IF(Designation[]&lt;&gt;"",COUNTIF(Designation[],"&lt;"&amp;Designation[])+1,""),0)),"")</f>
        <v/>
      </c>
    </row>
    <row r="36" spans="2:2" x14ac:dyDescent="0.25">
      <c r="B36" t="str" cm="1">
        <f t="array" ref="B36">IFERROR(INDEX(MID(Designation[],SEARCH("-",Designation[])+1,LEN(Designation[])-SEARCH("-",Designation[])),MATCH(SMALL(IFERROR(IF(MATCH(IF(ISNUMBER(FIND($A$3,Designation[])),Designation[],""),Designation[],0)=ROW(Designation[])-9,COUNTIF(Designation[],"&lt;"&amp;Designation[])+1,""),""),ROW(A34)),IF(Designation[]&lt;&gt;"",COUNTIF(Designation[],"&lt;"&amp;Designation[])+1,""),0)),"")</f>
        <v/>
      </c>
    </row>
    <row r="37" spans="2:2" x14ac:dyDescent="0.25">
      <c r="B37" t="str" cm="1">
        <f t="array" ref="B37">IFERROR(INDEX(MID(Designation[],SEARCH("-",Designation[])+1,LEN(Designation[])-SEARCH("-",Designation[])),MATCH(SMALL(IFERROR(IF(MATCH(IF(ISNUMBER(FIND($A$3,Designation[])),Designation[],""),Designation[],0)=ROW(Designation[])-9,COUNTIF(Designation[],"&lt;"&amp;Designation[])+1,""),""),ROW(A35)),IF(Designation[]&lt;&gt;"",COUNTIF(Designation[],"&lt;"&amp;Designation[])+1,""),0)),"")</f>
        <v/>
      </c>
    </row>
    <row r="38" spans="2:2" x14ac:dyDescent="0.25">
      <c r="B38" t="str" cm="1">
        <f t="array" ref="B38">IFERROR(INDEX(MID(Designation[],SEARCH("-",Designation[])+1,LEN(Designation[])-SEARCH("-",Designation[])),MATCH(SMALL(IFERROR(IF(MATCH(IF(ISNUMBER(FIND($A$3,Designation[])),Designation[],""),Designation[],0)=ROW(Designation[])-9,COUNTIF(Designation[],"&lt;"&amp;Designation[])+1,""),""),ROW(A36)),IF(Designation[]&lt;&gt;"",COUNTIF(Designation[],"&lt;"&amp;Designation[])+1,""),0)),"")</f>
        <v/>
      </c>
    </row>
    <row r="39" spans="2:2" x14ac:dyDescent="0.25">
      <c r="B39" t="str" cm="1">
        <f t="array" ref="B39">IFERROR(INDEX(MID(Designation[],SEARCH("-",Designation[])+1,LEN(Designation[])-SEARCH("-",Designation[])),MATCH(SMALL(IFERROR(IF(MATCH(IF(ISNUMBER(FIND($A$3,Designation[])),Designation[],""),Designation[],0)=ROW(Designation[])-9,COUNTIF(Designation[],"&lt;"&amp;Designation[])+1,""),""),ROW(A37)),IF(Designation[]&lt;&gt;"",COUNTIF(Designation[],"&lt;"&amp;Designation[])+1,""),0)),"")</f>
        <v/>
      </c>
    </row>
    <row r="40" spans="2:2" x14ac:dyDescent="0.25">
      <c r="B40" t="str" cm="1">
        <f t="array" ref="B40">IFERROR(INDEX(MID(Designation[],SEARCH("-",Designation[])+1,LEN(Designation[])-SEARCH("-",Designation[])),MATCH(SMALL(IFERROR(IF(MATCH(IF(ISNUMBER(FIND($A$3,Designation[])),Designation[],""),Designation[],0)=ROW(Designation[])-9,COUNTIF(Designation[],"&lt;"&amp;Designation[])+1,""),""),ROW(A38)),IF(Designation[]&lt;&gt;"",COUNTIF(Designation[],"&lt;"&amp;Designation[])+1,""),0)),"")</f>
        <v/>
      </c>
    </row>
    <row r="41" spans="2:2" x14ac:dyDescent="0.25">
      <c r="B41" t="str" cm="1">
        <f t="array" ref="B41">IFERROR(INDEX(MID(Designation[],SEARCH("-",Designation[])+1,LEN(Designation[])-SEARCH("-",Designation[])),MATCH(SMALL(IFERROR(IF(MATCH(IF(ISNUMBER(FIND($A$3,Designation[])),Designation[],""),Designation[],0)=ROW(Designation[])-9,COUNTIF(Designation[],"&lt;"&amp;Designation[])+1,""),""),ROW(A39)),IF(Designation[]&lt;&gt;"",COUNTIF(Designation[],"&lt;"&amp;Designation[])+1,""),0)),"")</f>
        <v/>
      </c>
    </row>
    <row r="42" spans="2:2" x14ac:dyDescent="0.25">
      <c r="B42" t="str" cm="1">
        <f t="array" ref="B42">IFERROR(INDEX(MID(Designation[],SEARCH("-",Designation[])+1,LEN(Designation[])-SEARCH("-",Designation[])),MATCH(SMALL(IFERROR(IF(MATCH(IF(ISNUMBER(FIND($A$3,Designation[])),Designation[],""),Designation[],0)=ROW(Designation[])-9,COUNTIF(Designation[],"&lt;"&amp;Designation[])+1,""),""),ROW(A40)),IF(Designation[]&lt;&gt;"",COUNTIF(Designation[],"&lt;"&amp;Designation[])+1,""),0)),"")</f>
        <v/>
      </c>
    </row>
    <row r="43" spans="2:2" x14ac:dyDescent="0.25">
      <c r="B43" t="str" cm="1">
        <f t="array" ref="B43">IFERROR(INDEX(MID(Designation[],SEARCH("-",Designation[])+1,LEN(Designation[])-SEARCH("-",Designation[])),MATCH(SMALL(IFERROR(IF(MATCH(IF(ISNUMBER(FIND($A$3,Designation[])),Designation[],""),Designation[],0)=ROW(Designation[])-9,COUNTIF(Designation[],"&lt;"&amp;Designation[])+1,""),""),ROW(A41)),IF(Designation[]&lt;&gt;"",COUNTIF(Designation[],"&lt;"&amp;Designation[])+1,""),0)),"")</f>
        <v/>
      </c>
    </row>
    <row r="44" spans="2:2" x14ac:dyDescent="0.25">
      <c r="B44" t="str" cm="1">
        <f t="array" ref="B44">IFERROR(INDEX(MID(Designation[],SEARCH("-",Designation[])+1,LEN(Designation[])-SEARCH("-",Designation[])),MATCH(SMALL(IFERROR(IF(MATCH(IF(ISNUMBER(FIND($A$3,Designation[])),Designation[],""),Designation[],0)=ROW(Designation[])-9,COUNTIF(Designation[],"&lt;"&amp;Designation[])+1,""),""),ROW(A42)),IF(Designation[]&lt;&gt;"",COUNTIF(Designation[],"&lt;"&amp;Designation[])+1,""),0)),"")</f>
        <v/>
      </c>
    </row>
    <row r="45" spans="2:2" x14ac:dyDescent="0.25">
      <c r="B45" t="str" cm="1">
        <f t="array" ref="B45">IFERROR(INDEX(MID(Designation[],SEARCH("-",Designation[])+1,LEN(Designation[])-SEARCH("-",Designation[])),MATCH(SMALL(IFERROR(IF(MATCH(IF(ISNUMBER(FIND($A$3,Designation[])),Designation[],""),Designation[],0)=ROW(Designation[])-9,COUNTIF(Designation[],"&lt;"&amp;Designation[])+1,""),""),ROW(A43)),IF(Designation[]&lt;&gt;"",COUNTIF(Designation[],"&lt;"&amp;Designation[])+1,""),0)),"")</f>
        <v/>
      </c>
    </row>
    <row r="46" spans="2:2" x14ac:dyDescent="0.25">
      <c r="B46" t="str" cm="1">
        <f t="array" ref="B46">IFERROR(INDEX(MID(Designation[],SEARCH("-",Designation[])+1,LEN(Designation[])-SEARCH("-",Designation[])),MATCH(SMALL(IFERROR(IF(MATCH(IF(ISNUMBER(FIND($A$3,Designation[])),Designation[],""),Designation[],0)=ROW(Designation[])-9,COUNTIF(Designation[],"&lt;"&amp;Designation[])+1,""),""),ROW(A44)),IF(Designation[]&lt;&gt;"",COUNTIF(Designation[],"&lt;"&amp;Designation[])+1,""),0)),"")</f>
        <v/>
      </c>
    </row>
    <row r="47" spans="2:2" x14ac:dyDescent="0.25">
      <c r="B47" t="str" cm="1">
        <f t="array" ref="B47">IFERROR(INDEX(MID(Designation[],SEARCH("-",Designation[])+1,LEN(Designation[])-SEARCH("-",Designation[])),MATCH(SMALL(IFERROR(IF(MATCH(IF(ISNUMBER(FIND($A$3,Designation[])),Designation[],""),Designation[],0)=ROW(Designation[])-9,COUNTIF(Designation[],"&lt;"&amp;Designation[])+1,""),""),ROW(A45)),IF(Designation[]&lt;&gt;"",COUNTIF(Designation[],"&lt;"&amp;Designation[])+1,""),0)),"")</f>
        <v/>
      </c>
    </row>
    <row r="48" spans="2:2" x14ac:dyDescent="0.25">
      <c r="B48" t="str" cm="1">
        <f t="array" ref="B48">IFERROR(INDEX(MID(Designation[],SEARCH("-",Designation[])+1,LEN(Designation[])-SEARCH("-",Designation[])),MATCH(SMALL(IFERROR(IF(MATCH(IF(ISNUMBER(FIND($A$3,Designation[])),Designation[],""),Designation[],0)=ROW(Designation[])-9,COUNTIF(Designation[],"&lt;"&amp;Designation[])+1,""),""),ROW(A46)),IF(Designation[]&lt;&gt;"",COUNTIF(Designation[],"&lt;"&amp;Designation[])+1,""),0)),"")</f>
        <v/>
      </c>
    </row>
    <row r="49" spans="2:2" x14ac:dyDescent="0.25">
      <c r="B49" t="str" cm="1">
        <f t="array" ref="B49">IFERROR(INDEX(MID(Designation[],SEARCH("-",Designation[])+1,LEN(Designation[])-SEARCH("-",Designation[])),MATCH(SMALL(IFERROR(IF(MATCH(IF(ISNUMBER(FIND($A$3,Designation[])),Designation[],""),Designation[],0)=ROW(Designation[])-9,COUNTIF(Designation[],"&lt;"&amp;Designation[])+1,""),""),ROW(A47)),IF(Designation[]&lt;&gt;"",COUNTIF(Designation[],"&lt;"&amp;Designation[])+1,""),0)),"")</f>
        <v/>
      </c>
    </row>
    <row r="50" spans="2:2" x14ac:dyDescent="0.25">
      <c r="B50" t="str" cm="1">
        <f t="array" ref="B50">IFERROR(INDEX(MID(Designation[],SEARCH("-",Designation[])+1,LEN(Designation[])-SEARCH("-",Designation[])),MATCH(SMALL(IFERROR(IF(MATCH(IF(ISNUMBER(FIND($A$3,Designation[])),Designation[],""),Designation[],0)=ROW(Designation[])-9,COUNTIF(Designation[],"&lt;"&amp;Designation[])+1,""),""),ROW(A48)),IF(Designation[]&lt;&gt;"",COUNTIF(Designation[],"&lt;"&amp;Designation[])+1,""),0)),"")</f>
        <v/>
      </c>
    </row>
    <row r="51" spans="2:2" x14ac:dyDescent="0.25">
      <c r="B51" t="str" cm="1">
        <f t="array" ref="B51">IFERROR(INDEX(MID(Designation[],SEARCH("-",Designation[])+1,LEN(Designation[])-SEARCH("-",Designation[])),MATCH(SMALL(IFERROR(IF(MATCH(IF(ISNUMBER(FIND($A$3,Designation[])),Designation[],""),Designation[],0)=ROW(Designation[])-9,COUNTIF(Designation[],"&lt;"&amp;Designation[])+1,""),""),ROW(A49)),IF(Designation[]&lt;&gt;"",COUNTIF(Designation[],"&lt;"&amp;Designation[])+1,""),0)),"")</f>
        <v/>
      </c>
    </row>
    <row r="52" spans="2:2" x14ac:dyDescent="0.25">
      <c r="B52" t="str" cm="1">
        <f t="array" ref="B52">IFERROR(INDEX(MID(Designation[],SEARCH("-",Designation[])+1,LEN(Designation[])-SEARCH("-",Designation[])),MATCH(SMALL(IFERROR(IF(MATCH(IF(ISNUMBER(FIND($A$3,Designation[])),Designation[],""),Designation[],0)=ROW(Designation[])-9,COUNTIF(Designation[],"&lt;"&amp;Designation[])+1,""),""),ROW(A50)),IF(Designation[]&lt;&gt;"",COUNTIF(Designation[],"&lt;"&amp;Designation[])+1,""),0)),"")</f>
        <v/>
      </c>
    </row>
    <row r="53" spans="2:2" x14ac:dyDescent="0.25">
      <c r="B53" t="str" cm="1">
        <f t="array" ref="B53">IFERROR(INDEX(MID(Designation[],SEARCH("-",Designation[])+1,LEN(Designation[])-SEARCH("-",Designation[])),MATCH(SMALL(IFERROR(IF(MATCH(IF(ISNUMBER(FIND($A$3,Designation[])),Designation[],""),Designation[],0)=ROW(Designation[])-9,COUNTIF(Designation[],"&lt;"&amp;Designation[])+1,""),""),ROW(A51)),IF(Designation[]&lt;&gt;"",COUNTIF(Designation[],"&lt;"&amp;Designation[])+1,""),0)),"")</f>
        <v/>
      </c>
    </row>
    <row r="54" spans="2:2" x14ac:dyDescent="0.25">
      <c r="B54" t="str" cm="1">
        <f t="array" ref="B54">IFERROR(INDEX(MID(Designation[],SEARCH("-",Designation[])+1,LEN(Designation[])-SEARCH("-",Designation[])),MATCH(SMALL(IFERROR(IF(MATCH(IF(ISNUMBER(FIND($A$3,Designation[])),Designation[],""),Designation[],0)=ROW(Designation[])-9,COUNTIF(Designation[],"&lt;"&amp;Designation[])+1,""),""),ROW(A52)),IF(Designation[]&lt;&gt;"",COUNTIF(Designation[],"&lt;"&amp;Designation[])+1,""),0)),"")</f>
        <v/>
      </c>
    </row>
    <row r="55" spans="2:2" x14ac:dyDescent="0.25">
      <c r="B55" t="str" cm="1">
        <f t="array" ref="B55">IFERROR(INDEX(MID(Designation[],SEARCH("-",Designation[])+1,LEN(Designation[])-SEARCH("-",Designation[])),MATCH(SMALL(IFERROR(IF(MATCH(IF(ISNUMBER(FIND($A$3,Designation[])),Designation[],""),Designation[],0)=ROW(Designation[])-9,COUNTIF(Designation[],"&lt;"&amp;Designation[])+1,""),""),ROW(A53)),IF(Designation[]&lt;&gt;"",COUNTIF(Designation[],"&lt;"&amp;Designation[])+1,""),0)),"")</f>
        <v/>
      </c>
    </row>
    <row r="56" spans="2:2" x14ac:dyDescent="0.25">
      <c r="B56" t="str" cm="1">
        <f t="array" ref="B56">IFERROR(INDEX(MID(Designation[],SEARCH("-",Designation[])+1,LEN(Designation[])-SEARCH("-",Designation[])),MATCH(SMALL(IFERROR(IF(MATCH(IF(ISNUMBER(FIND($A$3,Designation[])),Designation[],""),Designation[],0)=ROW(Designation[])-9,COUNTIF(Designation[],"&lt;"&amp;Designation[])+1,""),""),ROW(A54)),IF(Designation[]&lt;&gt;"",COUNTIF(Designation[],"&lt;"&amp;Designation[])+1,""),0)),"")</f>
        <v/>
      </c>
    </row>
    <row r="57" spans="2:2" x14ac:dyDescent="0.25">
      <c r="B57" t="str" cm="1">
        <f t="array" ref="B57">IFERROR(INDEX(MID(Designation[],SEARCH("-",Designation[])+1,LEN(Designation[])-SEARCH("-",Designation[])),MATCH(SMALL(IFERROR(IF(MATCH(IF(ISNUMBER(FIND($A$3,Designation[])),Designation[],""),Designation[],0)=ROW(Designation[])-9,COUNTIF(Designation[],"&lt;"&amp;Designation[])+1,""),""),ROW(A55)),IF(Designation[]&lt;&gt;"",COUNTIF(Designation[],"&lt;"&amp;Designation[])+1,""),0)),"")</f>
        <v/>
      </c>
    </row>
    <row r="58" spans="2:2" x14ac:dyDescent="0.25">
      <c r="B58" t="str" cm="1">
        <f t="array" ref="B58">IFERROR(INDEX(MID(Designation[],SEARCH("-",Designation[])+1,LEN(Designation[])-SEARCH("-",Designation[])),MATCH(SMALL(IFERROR(IF(MATCH(IF(ISNUMBER(FIND($A$3,Designation[])),Designation[],""),Designation[],0)=ROW(Designation[])-9,COUNTIF(Designation[],"&lt;"&amp;Designation[])+1,""),""),ROW(A56)),IF(Designation[]&lt;&gt;"",COUNTIF(Designation[],"&lt;"&amp;Designation[])+1,""),0)),"")</f>
        <v/>
      </c>
    </row>
    <row r="59" spans="2:2" x14ac:dyDescent="0.25">
      <c r="B59" t="str" cm="1">
        <f t="array" ref="B59">IFERROR(INDEX(MID(Designation[],SEARCH("-",Designation[])+1,LEN(Designation[])-SEARCH("-",Designation[])),MATCH(SMALL(IFERROR(IF(MATCH(IF(ISNUMBER(FIND($A$3,Designation[])),Designation[],""),Designation[],0)=ROW(Designation[])-9,COUNTIF(Designation[],"&lt;"&amp;Designation[])+1,""),""),ROW(A57)),IF(Designation[]&lt;&gt;"",COUNTIF(Designation[],"&lt;"&amp;Designation[])+1,""),0)),"")</f>
        <v/>
      </c>
    </row>
    <row r="60" spans="2:2" x14ac:dyDescent="0.25">
      <c r="B60" t="str" cm="1">
        <f t="array" ref="B60">IFERROR(INDEX(MID(Designation[],SEARCH("-",Designation[])+1,LEN(Designation[])-SEARCH("-",Designation[])),MATCH(SMALL(IFERROR(IF(MATCH(IF(ISNUMBER(FIND($A$3,Designation[])),Designation[],""),Designation[],0)=ROW(Designation[])-9,COUNTIF(Designation[],"&lt;"&amp;Designation[])+1,""),""),ROW(A58)),IF(Designation[]&lt;&gt;"",COUNTIF(Designation[],"&lt;"&amp;Designation[])+1,""),0)),"")</f>
        <v/>
      </c>
    </row>
    <row r="61" spans="2:2" x14ac:dyDescent="0.25">
      <c r="B61" t="str" cm="1">
        <f t="array" ref="B61">IFERROR(INDEX(MID(Designation[],SEARCH("-",Designation[])+1,LEN(Designation[])-SEARCH("-",Designation[])),MATCH(SMALL(IFERROR(IF(MATCH(IF(ISNUMBER(FIND($A$3,Designation[])),Designation[],""),Designation[],0)=ROW(Designation[])-9,COUNTIF(Designation[],"&lt;"&amp;Designation[])+1,""),""),ROW(A59)),IF(Designation[]&lt;&gt;"",COUNTIF(Designation[],"&lt;"&amp;Designation[])+1,""),0)),"")</f>
        <v/>
      </c>
    </row>
    <row r="62" spans="2:2" x14ac:dyDescent="0.25">
      <c r="B62" t="str" cm="1">
        <f t="array" ref="B62">IFERROR(INDEX(MID(Designation[],SEARCH("-",Designation[])+1,LEN(Designation[])-SEARCH("-",Designation[])),MATCH(SMALL(IFERROR(IF(MATCH(IF(ISNUMBER(FIND($A$3,Designation[])),Designation[],""),Designation[],0)=ROW(Designation[])-9,COUNTIF(Designation[],"&lt;"&amp;Designation[])+1,""),""),ROW(A60)),IF(Designation[]&lt;&gt;"",COUNTIF(Designation[],"&lt;"&amp;Designation[])+1,""),0)),"")</f>
        <v/>
      </c>
    </row>
    <row r="63" spans="2:2" x14ac:dyDescent="0.25">
      <c r="B63" t="str" cm="1">
        <f t="array" ref="B63">IFERROR(INDEX(MID(Designation[],SEARCH("-",Designation[])+1,LEN(Designation[])-SEARCH("-",Designation[])),MATCH(SMALL(IFERROR(IF(MATCH(IF(ISNUMBER(FIND($A$3,Designation[])),Designation[],""),Designation[],0)=ROW(Designation[])-9,COUNTIF(Designation[],"&lt;"&amp;Designation[])+1,""),""),ROW(A61)),IF(Designation[]&lt;&gt;"",COUNTIF(Designation[],"&lt;"&amp;Designation[])+1,""),0)),"")</f>
        <v/>
      </c>
    </row>
    <row r="64" spans="2:2" x14ac:dyDescent="0.25">
      <c r="B64" t="str" cm="1">
        <f t="array" ref="B64">IFERROR(INDEX(MID(Designation[],SEARCH("-",Designation[])+1,LEN(Designation[])-SEARCH("-",Designation[])),MATCH(SMALL(IFERROR(IF(MATCH(IF(ISNUMBER(FIND($A$3,Designation[])),Designation[],""),Designation[],0)=ROW(Designation[])-9,COUNTIF(Designation[],"&lt;"&amp;Designation[])+1,""),""),ROW(A62)),IF(Designation[]&lt;&gt;"",COUNTIF(Designation[],"&lt;"&amp;Designation[])+1,""),0)),"")</f>
        <v/>
      </c>
    </row>
    <row r="65" spans="2:2" x14ac:dyDescent="0.25">
      <c r="B65" t="str" cm="1">
        <f t="array" ref="B65">IFERROR(INDEX(MID(Designation[],SEARCH("-",Designation[])+1,LEN(Designation[])-SEARCH("-",Designation[])),MATCH(SMALL(IFERROR(IF(MATCH(IF(ISNUMBER(FIND($A$3,Designation[])),Designation[],""),Designation[],0)=ROW(Designation[])-9,COUNTIF(Designation[],"&lt;"&amp;Designation[])+1,""),""),ROW(A63)),IF(Designation[]&lt;&gt;"",COUNTIF(Designation[],"&lt;"&amp;Designation[])+1,""),0)),"")</f>
        <v/>
      </c>
    </row>
    <row r="66" spans="2:2" x14ac:dyDescent="0.25">
      <c r="B66" t="str" cm="1">
        <f t="array" ref="B66">IFERROR(INDEX(MID(Designation[],SEARCH("-",Designation[])+1,LEN(Designation[])-SEARCH("-",Designation[])),MATCH(SMALL(IFERROR(IF(MATCH(IF(ISNUMBER(FIND($A$3,Designation[])),Designation[],""),Designation[],0)=ROW(Designation[])-9,COUNTIF(Designation[],"&lt;"&amp;Designation[])+1,""),""),ROW(A64)),IF(Designation[]&lt;&gt;"",COUNTIF(Designation[],"&lt;"&amp;Designation[])+1,""),0)),"")</f>
        <v/>
      </c>
    </row>
    <row r="67" spans="2:2" x14ac:dyDescent="0.25">
      <c r="B67" t="str" cm="1">
        <f t="array" ref="B67">IFERROR(INDEX(MID(Designation[],SEARCH("-",Designation[])+1,LEN(Designation[])-SEARCH("-",Designation[])),MATCH(SMALL(IFERROR(IF(MATCH(IF(ISNUMBER(FIND($A$3,Designation[])),Designation[],""),Designation[],0)=ROW(Designation[])-9,COUNTIF(Designation[],"&lt;"&amp;Designation[])+1,""),""),ROW(A65)),IF(Designation[]&lt;&gt;"",COUNTIF(Designation[],"&lt;"&amp;Designation[])+1,""),0)),"")</f>
        <v/>
      </c>
    </row>
    <row r="68" spans="2:2" x14ac:dyDescent="0.25">
      <c r="B68" t="str" cm="1">
        <f t="array" ref="B68">IFERROR(INDEX(MID(Designation[],SEARCH("-",Designation[])+1,LEN(Designation[])-SEARCH("-",Designation[])),MATCH(SMALL(IFERROR(IF(MATCH(IF(ISNUMBER(FIND($A$3,Designation[])),Designation[],""),Designation[],0)=ROW(Designation[])-9,COUNTIF(Designation[],"&lt;"&amp;Designation[])+1,""),""),ROW(A66)),IF(Designation[]&lt;&gt;"",COUNTIF(Designation[],"&lt;"&amp;Designation[])+1,""),0)),"")</f>
        <v/>
      </c>
    </row>
    <row r="69" spans="2:2" x14ac:dyDescent="0.25">
      <c r="B69" t="str" cm="1">
        <f t="array" ref="B69">IFERROR(INDEX(MID(Designation[],SEARCH("-",Designation[])+1,LEN(Designation[])-SEARCH("-",Designation[])),MATCH(SMALL(IFERROR(IF(MATCH(IF(ISNUMBER(FIND($A$3,Designation[])),Designation[],""),Designation[],0)=ROW(Designation[])-9,COUNTIF(Designation[],"&lt;"&amp;Designation[])+1,""),""),ROW(A67)),IF(Designation[]&lt;&gt;"",COUNTIF(Designation[],"&lt;"&amp;Designation[])+1,""),0)),"")</f>
        <v/>
      </c>
    </row>
    <row r="70" spans="2:2" x14ac:dyDescent="0.25">
      <c r="B70" t="str" cm="1">
        <f t="array" ref="B70">IFERROR(INDEX(MID(Designation[],SEARCH("-",Designation[])+1,LEN(Designation[])-SEARCH("-",Designation[])),MATCH(SMALL(IFERROR(IF(MATCH(IF(ISNUMBER(FIND($A$3,Designation[])),Designation[],""),Designation[],0)=ROW(Designation[])-9,COUNTIF(Designation[],"&lt;"&amp;Designation[])+1,""),""),ROW(A68)),IF(Designation[]&lt;&gt;"",COUNTIF(Designation[],"&lt;"&amp;Designation[])+1,""),0)),"")</f>
        <v/>
      </c>
    </row>
    <row r="71" spans="2:2" x14ac:dyDescent="0.25">
      <c r="B71" t="str" cm="1">
        <f t="array" ref="B71">IFERROR(INDEX(MID(Designation[],SEARCH("-",Designation[])+1,LEN(Designation[])-SEARCH("-",Designation[])),MATCH(SMALL(IFERROR(IF(MATCH(IF(ISNUMBER(FIND($A$3,Designation[])),Designation[],""),Designation[],0)=ROW(Designation[])-9,COUNTIF(Designation[],"&lt;"&amp;Designation[])+1,""),""),ROW(A69)),IF(Designation[]&lt;&gt;"",COUNTIF(Designation[],"&lt;"&amp;Designation[])+1,""),0)),"")</f>
        <v/>
      </c>
    </row>
    <row r="72" spans="2:2" x14ac:dyDescent="0.25">
      <c r="B72" t="str" cm="1">
        <f t="array" ref="B72">IFERROR(INDEX(MID(Designation[],SEARCH("-",Designation[])+1,LEN(Designation[])-SEARCH("-",Designation[])),MATCH(SMALL(IFERROR(IF(MATCH(IF(ISNUMBER(FIND($A$3,Designation[])),Designation[],""),Designation[],0)=ROW(Designation[])-9,COUNTIF(Designation[],"&lt;"&amp;Designation[])+1,""),""),ROW(A70)),IF(Designation[]&lt;&gt;"",COUNTIF(Designation[],"&lt;"&amp;Designation[])+1,""),0)),"")</f>
        <v/>
      </c>
    </row>
    <row r="73" spans="2:2" x14ac:dyDescent="0.25">
      <c r="B73" t="str" cm="1">
        <f t="array" ref="B73">IFERROR(INDEX(MID(Designation[],SEARCH("-",Designation[])+1,LEN(Designation[])-SEARCH("-",Designation[])),MATCH(SMALL(IFERROR(IF(MATCH(IF(ISNUMBER(FIND($A$3,Designation[])),Designation[],""),Designation[],0)=ROW(Designation[])-9,COUNTIF(Designation[],"&lt;"&amp;Designation[])+1,""),""),ROW(A71)),IF(Designation[]&lt;&gt;"",COUNTIF(Designation[],"&lt;"&amp;Designation[])+1,""),0)),"")</f>
        <v/>
      </c>
    </row>
    <row r="74" spans="2:2" x14ac:dyDescent="0.25">
      <c r="B74" t="str" cm="1">
        <f t="array" ref="B74">IFERROR(INDEX(MID(Designation[],SEARCH("-",Designation[])+1,LEN(Designation[])-SEARCH("-",Designation[])),MATCH(SMALL(IFERROR(IF(MATCH(IF(ISNUMBER(FIND($A$3,Designation[])),Designation[],""),Designation[],0)=ROW(Designation[])-9,COUNTIF(Designation[],"&lt;"&amp;Designation[])+1,""),""),ROW(A72)),IF(Designation[]&lt;&gt;"",COUNTIF(Designation[],"&lt;"&amp;Designation[])+1,""),0)),"")</f>
        <v/>
      </c>
    </row>
    <row r="75" spans="2:2" x14ac:dyDescent="0.25">
      <c r="B75" t="str" cm="1">
        <f t="array" ref="B75">IFERROR(INDEX(MID(Designation[],SEARCH("-",Designation[])+1,LEN(Designation[])-SEARCH("-",Designation[])),MATCH(SMALL(IFERROR(IF(MATCH(IF(ISNUMBER(FIND($A$3,Designation[])),Designation[],""),Designation[],0)=ROW(Designation[])-9,COUNTIF(Designation[],"&lt;"&amp;Designation[])+1,""),""),ROW(A73)),IF(Designation[]&lt;&gt;"",COUNTIF(Designation[],"&lt;"&amp;Designation[])+1,""),0)),"")</f>
        <v/>
      </c>
    </row>
    <row r="76" spans="2:2" x14ac:dyDescent="0.25">
      <c r="B76" t="str" cm="1">
        <f t="array" ref="B76">IFERROR(INDEX(MID(Designation[],SEARCH("-",Designation[])+1,LEN(Designation[])-SEARCH("-",Designation[])),MATCH(SMALL(IFERROR(IF(MATCH(IF(ISNUMBER(FIND($A$3,Designation[])),Designation[],""),Designation[],0)=ROW(Designation[])-9,COUNTIF(Designation[],"&lt;"&amp;Designation[])+1,""),""),ROW(A74)),IF(Designation[]&lt;&gt;"",COUNTIF(Designation[],"&lt;"&amp;Designation[])+1,""),0)),"")</f>
        <v/>
      </c>
    </row>
    <row r="77" spans="2:2" x14ac:dyDescent="0.25">
      <c r="B77" t="str" cm="1">
        <f t="array" ref="B77">IFERROR(INDEX(MID(Designation[],SEARCH("-",Designation[])+1,LEN(Designation[])-SEARCH("-",Designation[])),MATCH(SMALL(IFERROR(IF(MATCH(IF(ISNUMBER(FIND($A$3,Designation[])),Designation[],""),Designation[],0)=ROW(Designation[])-9,COUNTIF(Designation[],"&lt;"&amp;Designation[])+1,""),""),ROW(A75)),IF(Designation[]&lt;&gt;"",COUNTIF(Designation[],"&lt;"&amp;Designation[])+1,""),0)),"")</f>
        <v/>
      </c>
    </row>
    <row r="78" spans="2:2" x14ac:dyDescent="0.25">
      <c r="B78" t="str" cm="1">
        <f t="array" ref="B78">IFERROR(INDEX(MID(Designation[],SEARCH("-",Designation[])+1,LEN(Designation[])-SEARCH("-",Designation[])),MATCH(SMALL(IFERROR(IF(MATCH(IF(ISNUMBER(FIND($A$3,Designation[])),Designation[],""),Designation[],0)=ROW(Designation[])-9,COUNTIF(Designation[],"&lt;"&amp;Designation[])+1,""),""),ROW(A76)),IF(Designation[]&lt;&gt;"",COUNTIF(Designation[],"&lt;"&amp;Designation[])+1,""),0)),"")</f>
        <v/>
      </c>
    </row>
    <row r="79" spans="2:2" x14ac:dyDescent="0.25">
      <c r="B79" t="str" cm="1">
        <f t="array" ref="B79">IFERROR(INDEX(MID(Designation[],SEARCH("-",Designation[])+1,LEN(Designation[])-SEARCH("-",Designation[])),MATCH(SMALL(IFERROR(IF(MATCH(IF(ISNUMBER(FIND($A$3,Designation[])),Designation[],""),Designation[],0)=ROW(Designation[])-9,COUNTIF(Designation[],"&lt;"&amp;Designation[])+1,""),""),ROW(A77)),IF(Designation[]&lt;&gt;"",COUNTIF(Designation[],"&lt;"&amp;Designation[])+1,""),0)),"")</f>
        <v/>
      </c>
    </row>
    <row r="80" spans="2:2" x14ac:dyDescent="0.25">
      <c r="B80" t="str" cm="1">
        <f t="array" ref="B80">IFERROR(INDEX(MID(Designation[],SEARCH("-",Designation[])+1,LEN(Designation[])-SEARCH("-",Designation[])),MATCH(SMALL(IFERROR(IF(MATCH(IF(ISNUMBER(FIND($A$3,Designation[])),Designation[],""),Designation[],0)=ROW(Designation[])-9,COUNTIF(Designation[],"&lt;"&amp;Designation[])+1,""),""),ROW(A78)),IF(Designation[]&lt;&gt;"",COUNTIF(Designation[],"&lt;"&amp;Designation[])+1,""),0)),"")</f>
        <v/>
      </c>
    </row>
    <row r="81" spans="2:2" x14ac:dyDescent="0.25">
      <c r="B81" t="str" cm="1">
        <f t="array" ref="B81">IFERROR(INDEX(MID(Designation[],SEARCH("-",Designation[])+1,LEN(Designation[])-SEARCH("-",Designation[])),MATCH(SMALL(IFERROR(IF(MATCH(IF(ISNUMBER(FIND($A$3,Designation[])),Designation[],""),Designation[],0)=ROW(Designation[])-9,COUNTIF(Designation[],"&lt;"&amp;Designation[])+1,""),""),ROW(A79)),IF(Designation[]&lt;&gt;"",COUNTIF(Designation[],"&lt;"&amp;Designation[])+1,""),0)),"")</f>
        <v/>
      </c>
    </row>
    <row r="82" spans="2:2" x14ac:dyDescent="0.25">
      <c r="B82" t="str" cm="1">
        <f t="array" ref="B82">IFERROR(INDEX(MID(Designation[],SEARCH("-",Designation[])+1,LEN(Designation[])-SEARCH("-",Designation[])),MATCH(SMALL(IFERROR(IF(MATCH(IF(ISNUMBER(FIND($A$3,Designation[])),Designation[],""),Designation[],0)=ROW(Designation[])-9,COUNTIF(Designation[],"&lt;"&amp;Designation[])+1,""),""),ROW(A80)),IF(Designation[]&lt;&gt;"",COUNTIF(Designation[],"&lt;"&amp;Designation[])+1,""),0)),"")</f>
        <v/>
      </c>
    </row>
    <row r="83" spans="2:2" x14ac:dyDescent="0.25">
      <c r="B83" t="str" cm="1">
        <f t="array" ref="B83">IFERROR(INDEX(MID(Designation[],SEARCH("-",Designation[])+1,LEN(Designation[])-SEARCH("-",Designation[])),MATCH(SMALL(IFERROR(IF(MATCH(IF(ISNUMBER(FIND($A$3,Designation[])),Designation[],""),Designation[],0)=ROW(Designation[])-9,COUNTIF(Designation[],"&lt;"&amp;Designation[])+1,""),""),ROW(A81)),IF(Designation[]&lt;&gt;"",COUNTIF(Designation[],"&lt;"&amp;Designation[])+1,""),0)),"")</f>
        <v/>
      </c>
    </row>
    <row r="84" spans="2:2" x14ac:dyDescent="0.25">
      <c r="B84" t="str" cm="1">
        <f t="array" ref="B84">IFERROR(INDEX(MID(Designation[],SEARCH("-",Designation[])+1,LEN(Designation[])-SEARCH("-",Designation[])),MATCH(SMALL(IFERROR(IF(MATCH(IF(ISNUMBER(FIND($A$3,Designation[])),Designation[],""),Designation[],0)=ROW(Designation[])-9,COUNTIF(Designation[],"&lt;"&amp;Designation[])+1,""),""),ROW(A82)),IF(Designation[]&lt;&gt;"",COUNTIF(Designation[],"&lt;"&amp;Designation[])+1,""),0)),"")</f>
        <v/>
      </c>
    </row>
    <row r="85" spans="2:2" x14ac:dyDescent="0.25">
      <c r="B85" t="str" cm="1">
        <f t="array" ref="B85">IFERROR(INDEX(MID(Designation[],SEARCH("-",Designation[])+1,LEN(Designation[])-SEARCH("-",Designation[])),MATCH(SMALL(IFERROR(IF(MATCH(IF(ISNUMBER(FIND($A$3,Designation[])),Designation[],""),Designation[],0)=ROW(Designation[])-9,COUNTIF(Designation[],"&lt;"&amp;Designation[])+1,""),""),ROW(A83)),IF(Designation[]&lt;&gt;"",COUNTIF(Designation[],"&lt;"&amp;Designation[])+1,""),0)),"")</f>
        <v/>
      </c>
    </row>
    <row r="86" spans="2:2" x14ac:dyDescent="0.25">
      <c r="B86" t="str" cm="1">
        <f t="array" ref="B86">IFERROR(INDEX(MID(Designation[],SEARCH("-",Designation[])+1,LEN(Designation[])-SEARCH("-",Designation[])),MATCH(SMALL(IFERROR(IF(MATCH(IF(ISNUMBER(FIND($A$3,Designation[])),Designation[],""),Designation[],0)=ROW(Designation[])-9,COUNTIF(Designation[],"&lt;"&amp;Designation[])+1,""),""),ROW(A84)),IF(Designation[]&lt;&gt;"",COUNTIF(Designation[],"&lt;"&amp;Designation[])+1,""),0)),"")</f>
        <v/>
      </c>
    </row>
    <row r="87" spans="2:2" x14ac:dyDescent="0.25">
      <c r="B87" t="str" cm="1">
        <f t="array" ref="B87">IFERROR(INDEX(MID(Designation[],SEARCH("-",Designation[])+1,LEN(Designation[])-SEARCH("-",Designation[])),MATCH(SMALL(IFERROR(IF(MATCH(IF(ISNUMBER(FIND($A$3,Designation[])),Designation[],""),Designation[],0)=ROW(Designation[])-9,COUNTIF(Designation[],"&lt;"&amp;Designation[])+1,""),""),ROW(A85)),IF(Designation[]&lt;&gt;"",COUNTIF(Designation[],"&lt;"&amp;Designation[])+1,""),0)),"")</f>
        <v/>
      </c>
    </row>
    <row r="88" spans="2:2" x14ac:dyDescent="0.25">
      <c r="B88" t="str" cm="1">
        <f t="array" ref="B88">IFERROR(INDEX(MID(Designation[],SEARCH("-",Designation[])+1,LEN(Designation[])-SEARCH("-",Designation[])),MATCH(SMALL(IFERROR(IF(MATCH(IF(ISNUMBER(FIND($A$3,Designation[])),Designation[],""),Designation[],0)=ROW(Designation[])-9,COUNTIF(Designation[],"&lt;"&amp;Designation[])+1,""),""),ROW(A86)),IF(Designation[]&lt;&gt;"",COUNTIF(Designation[],"&lt;"&amp;Designation[])+1,""),0)),"")</f>
        <v/>
      </c>
    </row>
    <row r="89" spans="2:2" x14ac:dyDescent="0.25">
      <c r="B89" t="str" cm="1">
        <f t="array" ref="B89">IFERROR(INDEX(MID(Designation[],SEARCH("-",Designation[])+1,LEN(Designation[])-SEARCH("-",Designation[])),MATCH(SMALL(IFERROR(IF(MATCH(IF(ISNUMBER(FIND($A$3,Designation[])),Designation[],""),Designation[],0)=ROW(Designation[])-9,COUNTIF(Designation[],"&lt;"&amp;Designation[])+1,""),""),ROW(A87)),IF(Designation[]&lt;&gt;"",COUNTIF(Designation[],"&lt;"&amp;Designation[])+1,""),0)),"")</f>
        <v/>
      </c>
    </row>
    <row r="90" spans="2:2" x14ac:dyDescent="0.25">
      <c r="B90" t="str" cm="1">
        <f t="array" ref="B90">IFERROR(INDEX(MID(Designation[],SEARCH("-",Designation[])+1,LEN(Designation[])-SEARCH("-",Designation[])),MATCH(SMALL(IFERROR(IF(MATCH(IF(ISNUMBER(FIND($A$3,Designation[])),Designation[],""),Designation[],0)=ROW(Designation[])-9,COUNTIF(Designation[],"&lt;"&amp;Designation[])+1,""),""),ROW(A88)),IF(Designation[]&lt;&gt;"",COUNTIF(Designation[],"&lt;"&amp;Designation[])+1,""),0)),"")</f>
        <v/>
      </c>
    </row>
    <row r="91" spans="2:2" x14ac:dyDescent="0.25">
      <c r="B91" t="str" cm="1">
        <f t="array" ref="B91">IFERROR(INDEX(MID(Designation[],SEARCH("-",Designation[])+1,LEN(Designation[])-SEARCH("-",Designation[])),MATCH(SMALL(IFERROR(IF(MATCH(IF(ISNUMBER(FIND($A$3,Designation[])),Designation[],""),Designation[],0)=ROW(Designation[])-9,COUNTIF(Designation[],"&lt;"&amp;Designation[])+1,""),""),ROW(A89)),IF(Designation[]&lt;&gt;"",COUNTIF(Designation[],"&lt;"&amp;Designation[])+1,""),0)),"")</f>
        <v/>
      </c>
    </row>
    <row r="92" spans="2:2" x14ac:dyDescent="0.25">
      <c r="B92" t="str" cm="1">
        <f t="array" ref="B92">IFERROR(INDEX(MID(Designation[],SEARCH("-",Designation[])+1,LEN(Designation[])-SEARCH("-",Designation[])),MATCH(SMALL(IFERROR(IF(MATCH(IF(ISNUMBER(FIND($A$3,Designation[])),Designation[],""),Designation[],0)=ROW(Designation[])-9,COUNTIF(Designation[],"&lt;"&amp;Designation[])+1,""),""),ROW(A90)),IF(Designation[]&lt;&gt;"",COUNTIF(Designation[],"&lt;"&amp;Designation[])+1,""),0)),"")</f>
        <v/>
      </c>
    </row>
    <row r="93" spans="2:2" x14ac:dyDescent="0.25">
      <c r="B93" t="str" cm="1">
        <f t="array" ref="B93">IFERROR(INDEX(MID(Designation[],SEARCH("-",Designation[])+1,LEN(Designation[])-SEARCH("-",Designation[])),MATCH(SMALL(IFERROR(IF(MATCH(IF(ISNUMBER(FIND($A$3,Designation[])),Designation[],""),Designation[],0)=ROW(Designation[])-9,COUNTIF(Designation[],"&lt;"&amp;Designation[])+1,""),""),ROW(A91)),IF(Designation[]&lt;&gt;"",COUNTIF(Designation[],"&lt;"&amp;Designation[])+1,""),0)),"")</f>
        <v/>
      </c>
    </row>
    <row r="94" spans="2:2" x14ac:dyDescent="0.25">
      <c r="B94" t="str" cm="1">
        <f t="array" ref="B94">IFERROR(INDEX(MID(Designation[],SEARCH("-",Designation[])+1,LEN(Designation[])-SEARCH("-",Designation[])),MATCH(SMALL(IFERROR(IF(MATCH(IF(ISNUMBER(FIND($A$3,Designation[])),Designation[],""),Designation[],0)=ROW(Designation[])-9,COUNTIF(Designation[],"&lt;"&amp;Designation[])+1,""),""),ROW(A92)),IF(Designation[]&lt;&gt;"",COUNTIF(Designation[],"&lt;"&amp;Designation[])+1,""),0)),"")</f>
        <v/>
      </c>
    </row>
    <row r="95" spans="2:2" x14ac:dyDescent="0.25">
      <c r="B95" t="str" cm="1">
        <f t="array" ref="B95">IFERROR(INDEX(MID(Designation[],SEARCH("-",Designation[])+1,LEN(Designation[])-SEARCH("-",Designation[])),MATCH(SMALL(IFERROR(IF(MATCH(IF(ISNUMBER(FIND($A$3,Designation[])),Designation[],""),Designation[],0)=ROW(Designation[])-9,COUNTIF(Designation[],"&lt;"&amp;Designation[])+1,""),""),ROW(A93)),IF(Designation[]&lt;&gt;"",COUNTIF(Designation[],"&lt;"&amp;Designation[])+1,""),0)),"")</f>
        <v/>
      </c>
    </row>
    <row r="96" spans="2:2" x14ac:dyDescent="0.25">
      <c r="B96" t="str" cm="1">
        <f t="array" ref="B96">IFERROR(INDEX(MID(Designation[],SEARCH("-",Designation[])+1,LEN(Designation[])-SEARCH("-",Designation[])),MATCH(SMALL(IFERROR(IF(MATCH(IF(ISNUMBER(FIND($A$3,Designation[])),Designation[],""),Designation[],0)=ROW(Designation[])-9,COUNTIF(Designation[],"&lt;"&amp;Designation[])+1,""),""),ROW(A94)),IF(Designation[]&lt;&gt;"",COUNTIF(Designation[],"&lt;"&amp;Designation[])+1,""),0)),"")</f>
        <v/>
      </c>
    </row>
    <row r="97" spans="2:2" x14ac:dyDescent="0.25">
      <c r="B97" t="str" cm="1">
        <f t="array" ref="B97">IFERROR(INDEX(MID(Designation[],SEARCH("-",Designation[])+1,LEN(Designation[])-SEARCH("-",Designation[])),MATCH(SMALL(IFERROR(IF(MATCH(IF(ISNUMBER(FIND($A$3,Designation[])),Designation[],""),Designation[],0)=ROW(Designation[])-9,COUNTIF(Designation[],"&lt;"&amp;Designation[])+1,""),""),ROW(A95)),IF(Designation[]&lt;&gt;"",COUNTIF(Designation[],"&lt;"&amp;Designation[])+1,""),0)),"")</f>
        <v/>
      </c>
    </row>
    <row r="98" spans="2:2" x14ac:dyDescent="0.25">
      <c r="B98" t="str" cm="1">
        <f t="array" ref="B98">IFERROR(INDEX(MID(Designation[],SEARCH("-",Designation[])+1,LEN(Designation[])-SEARCH("-",Designation[])),MATCH(SMALL(IFERROR(IF(MATCH(IF(ISNUMBER(FIND($A$3,Designation[])),Designation[],""),Designation[],0)=ROW(Designation[])-9,COUNTIF(Designation[],"&lt;"&amp;Designation[])+1,""),""),ROW(A96)),IF(Designation[]&lt;&gt;"",COUNTIF(Designation[],"&lt;"&amp;Designation[])+1,""),0)),"")</f>
        <v/>
      </c>
    </row>
    <row r="99" spans="2:2" x14ac:dyDescent="0.25">
      <c r="B99" t="str" cm="1">
        <f t="array" ref="B99">IFERROR(INDEX(MID(Designation[],SEARCH("-",Designation[])+1,LEN(Designation[])-SEARCH("-",Designation[])),MATCH(SMALL(IFERROR(IF(MATCH(IF(ISNUMBER(FIND($A$3,Designation[])),Designation[],""),Designation[],0)=ROW(Designation[])-9,COUNTIF(Designation[],"&lt;"&amp;Designation[])+1,""),""),ROW(A97)),IF(Designation[]&lt;&gt;"",COUNTIF(Designation[],"&lt;"&amp;Designation[])+1,""),0)),"")</f>
        <v/>
      </c>
    </row>
    <row r="100" spans="2:2" x14ac:dyDescent="0.25">
      <c r="B100" t="str" cm="1">
        <f t="array" ref="B100">IFERROR(INDEX(MID(Designation[],SEARCH("-",Designation[])+1,LEN(Designation[])-SEARCH("-",Designation[])),MATCH(SMALL(IFERROR(IF(MATCH(IF(ISNUMBER(FIND($A$3,Designation[])),Designation[],""),Designation[],0)=ROW(Designation[])-9,COUNTIF(Designation[],"&lt;"&amp;Designation[])+1,""),""),ROW(A98)),IF(Designation[]&lt;&gt;"",COUNTIF(Designation[],"&lt;"&amp;Designation[])+1,""),0)),"")</f>
        <v/>
      </c>
    </row>
    <row r="101" spans="2:2" x14ac:dyDescent="0.25">
      <c r="B101" t="str" cm="1">
        <f t="array" ref="B101">IFERROR(INDEX(MID(Designation[],SEARCH("-",Designation[])+1,LEN(Designation[])-SEARCH("-",Designation[])),MATCH(SMALL(IFERROR(IF(MATCH(IF(ISNUMBER(FIND($A$3,Designation[])),Designation[],""),Designation[],0)=ROW(Designation[])-9,COUNTIF(Designation[],"&lt;"&amp;Designation[])+1,""),""),ROW(A99)),IF(Designation[]&lt;&gt;"",COUNTIF(Designation[],"&lt;"&amp;Designation[])+1,""),0)),"")</f>
        <v/>
      </c>
    </row>
  </sheetData>
  <dataValidations disablePrompts="1" count="2">
    <dataValidation type="list" allowBlank="1" showInputMessage="1" showErrorMessage="1" sqref="D3" xr:uid="{9F9333A8-4809-48CD-80AE-3572A0F1E07A}">
      <formula1>OFFSET(Facture_Designation,,,COUNTIF(Facture_Designation,"*?"))</formula1>
    </dataValidation>
    <dataValidation type="list" allowBlank="1" showInputMessage="1" showErrorMessage="1" sqref="G3" xr:uid="{6610F62E-E4EB-4ACF-986C-2C1824154B31}">
      <formula1>OFFSET(Facture_Cont,,,COUNTIF(Facture_Cont,"&gt;"&amp;0))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9</vt:i4>
      </vt:variant>
    </vt:vector>
  </HeadingPairs>
  <TitlesOfParts>
    <vt:vector size="13" baseType="lpstr">
      <vt:lpstr>MJGES01_00028_2</vt:lpstr>
      <vt:lpstr>Grille_Tarifs_Modulable</vt:lpstr>
      <vt:lpstr>Facture</vt:lpstr>
      <vt:lpstr>Listes  déroulantes</vt:lpstr>
      <vt:lpstr>CL_liste</vt:lpstr>
      <vt:lpstr>CL_Liste_Filtrée</vt:lpstr>
      <vt:lpstr>CL_selon_Cat_Stxt</vt:lpstr>
      <vt:lpstr>Désign_selon_Cat_Stxt</vt:lpstr>
      <vt:lpstr>Désignation_liste</vt:lpstr>
      <vt:lpstr>Designation_Liste_Alpha</vt:lpstr>
      <vt:lpstr>Désignation_selon_Catégorie</vt:lpstr>
      <vt:lpstr>Facture_Cont</vt:lpstr>
      <vt:lpstr>Facture_Designation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s.haugmard</dc:creator>
  <cp:lastModifiedBy>s.haugmard</cp:lastModifiedBy>
  <cp:lastPrinted>2020-04-18T12:10:14Z</cp:lastPrinted>
  <dcterms:created xsi:type="dcterms:W3CDTF">2020-04-15T07:51:58Z</dcterms:created>
  <dcterms:modified xsi:type="dcterms:W3CDTF">2020-04-25T21:38:43Z</dcterms:modified>
</cp:coreProperties>
</file>