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2.xml" ContentType="application/vnd.openxmlformats-officedocument.drawing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01"/>
  <workbookPr filterPrivacy="1" codeName="ThisWorkbook"/>
  <xr:revisionPtr revIDLastSave="0" documentId="13_ncr:1_{4F67ED33-6222-4633-95D5-86B44F2BDA9A}" xr6:coauthVersionLast="38" xr6:coauthVersionMax="38" xr10:uidLastSave="{00000000-0000-0000-0000-000000000000}"/>
  <bookViews>
    <workbookView xWindow="0" yWindow="0" windowWidth="22260" windowHeight="12645" activeTab="2" xr2:uid="{00000000-000D-0000-FFFF-FFFF00000000}"/>
  </bookViews>
  <sheets>
    <sheet name="TB" sheetId="1" r:id="rId1"/>
    <sheet name="bal" sheetId="5" r:id="rId2"/>
    <sheet name="bal mens " sheetId="6" r:id="rId3"/>
    <sheet name="Feuil2" sheetId="2" r:id="rId4"/>
    <sheet name="Feuil3" sheetId="3" r:id="rId5"/>
    <sheet name="Feuil4" sheetId="4" r:id="rId6"/>
  </sheets>
  <externalReferences>
    <externalReference r:id="rId7"/>
    <externalReference r:id="rId8"/>
    <externalReference r:id="rId9"/>
    <externalReference r:id="rId10"/>
    <externalReference r:id="rId11"/>
    <externalReference r:id="rId12"/>
  </externalReferences>
  <calcPr calcId="179021" iterate="1" iterateDelta="1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M27" i="6" l="1"/>
  <c r="L27" i="6"/>
  <c r="K27" i="6"/>
  <c r="J27" i="6"/>
  <c r="I27" i="6"/>
  <c r="H27" i="6"/>
  <c r="G27" i="6"/>
  <c r="F27" i="6"/>
  <c r="E27" i="6"/>
  <c r="D27" i="6"/>
  <c r="C27" i="6"/>
  <c r="B27" i="6"/>
  <c r="M26" i="6"/>
  <c r="L26" i="6"/>
  <c r="K26" i="6"/>
  <c r="J26" i="6"/>
  <c r="I26" i="6"/>
  <c r="H26" i="6"/>
  <c r="G26" i="6"/>
  <c r="F26" i="6"/>
  <c r="E26" i="6"/>
  <c r="D26" i="6"/>
  <c r="C26" i="6"/>
  <c r="B26" i="6"/>
  <c r="M23" i="6"/>
  <c r="L23" i="6"/>
  <c r="K23" i="6"/>
  <c r="J23" i="6"/>
  <c r="I23" i="6"/>
  <c r="H23" i="6"/>
  <c r="G23" i="6"/>
  <c r="F23" i="6"/>
  <c r="E23" i="6"/>
  <c r="D23" i="6"/>
  <c r="C23" i="6"/>
  <c r="B23" i="6"/>
  <c r="M22" i="6"/>
  <c r="L22" i="6"/>
  <c r="K22" i="6"/>
  <c r="J22" i="6"/>
  <c r="I22" i="6"/>
  <c r="H22" i="6"/>
  <c r="G22" i="6"/>
  <c r="F22" i="6"/>
  <c r="E22" i="6"/>
  <c r="D22" i="6"/>
  <c r="C22" i="6"/>
  <c r="B22" i="6"/>
  <c r="M4" i="6"/>
  <c r="L4" i="6"/>
  <c r="K4" i="6"/>
  <c r="J4" i="6"/>
  <c r="I4" i="6"/>
  <c r="H4" i="6"/>
  <c r="G4" i="6"/>
  <c r="F4" i="6"/>
  <c r="E4" i="6"/>
  <c r="D4" i="6"/>
  <c r="C4" i="6"/>
  <c r="B4" i="6"/>
  <c r="M3" i="6"/>
  <c r="L3" i="6"/>
  <c r="K3" i="6"/>
  <c r="J3" i="6"/>
  <c r="I3" i="6"/>
  <c r="H3" i="6"/>
  <c r="G3" i="6"/>
  <c r="F3" i="6"/>
  <c r="E3" i="6"/>
  <c r="D3" i="6"/>
  <c r="C3" i="6"/>
  <c r="B3" i="6"/>
  <c r="N4" i="6" l="1"/>
  <c r="N3" i="6"/>
  <c r="AA8" i="4" l="1"/>
  <c r="AB8" i="4"/>
  <c r="E8" i="4"/>
  <c r="F8" i="4"/>
  <c r="G8" i="4"/>
  <c r="H8" i="4"/>
  <c r="I8" i="4"/>
  <c r="J8" i="4"/>
  <c r="K8" i="4"/>
  <c r="L8" i="4"/>
  <c r="M8" i="4"/>
  <c r="N8" i="4"/>
  <c r="O8" i="4"/>
  <c r="Q8" i="4"/>
  <c r="R8" i="4"/>
  <c r="S8" i="4"/>
  <c r="T8" i="4"/>
  <c r="U8" i="4"/>
  <c r="V8" i="4"/>
  <c r="W8" i="4"/>
  <c r="X8" i="4"/>
  <c r="Y8" i="4"/>
  <c r="Z8" i="4"/>
  <c r="D8" i="4"/>
  <c r="F27" i="2" l="1"/>
  <c r="F26" i="2"/>
  <c r="F25" i="2"/>
  <c r="K25" i="2" s="1"/>
  <c r="K26" i="2" l="1"/>
  <c r="K27" i="2" s="1"/>
  <c r="E27" i="2"/>
  <c r="E26" i="2"/>
  <c r="E25" i="2"/>
  <c r="E24" i="2"/>
  <c r="E23" i="2"/>
  <c r="E22" i="2"/>
  <c r="E21" i="2"/>
  <c r="E20" i="2"/>
  <c r="E19" i="2"/>
  <c r="E18" i="2"/>
  <c r="E17" i="2"/>
  <c r="E16" i="2"/>
  <c r="B31" i="6" l="1"/>
  <c r="B30" i="6"/>
  <c r="M25" i="6"/>
  <c r="C25" i="6"/>
  <c r="D25" i="6"/>
  <c r="E25" i="6"/>
  <c r="F25" i="6"/>
  <c r="G25" i="6"/>
  <c r="H25" i="6"/>
  <c r="I25" i="6"/>
  <c r="J25" i="6"/>
  <c r="K25" i="6"/>
  <c r="L25" i="6"/>
  <c r="B25" i="6"/>
  <c r="C18" i="6"/>
  <c r="D18" i="6"/>
  <c r="E18" i="6"/>
  <c r="F18" i="6"/>
  <c r="G18" i="6"/>
  <c r="H18" i="6"/>
  <c r="I18" i="6"/>
  <c r="J18" i="6"/>
  <c r="K18" i="6"/>
  <c r="L18" i="6"/>
  <c r="M18" i="6"/>
  <c r="B18" i="6"/>
  <c r="C14" i="6"/>
  <c r="D14" i="6"/>
  <c r="E14" i="6"/>
  <c r="F14" i="6"/>
  <c r="G14" i="6"/>
  <c r="H14" i="6"/>
  <c r="I14" i="6"/>
  <c r="J14" i="6"/>
  <c r="K14" i="6"/>
  <c r="L14" i="6"/>
  <c r="M14" i="6"/>
  <c r="B14" i="6"/>
  <c r="C7" i="6"/>
  <c r="D7" i="6"/>
  <c r="E7" i="6"/>
  <c r="F7" i="6"/>
  <c r="G7" i="6"/>
  <c r="H7" i="6"/>
  <c r="I7" i="6"/>
  <c r="J7" i="6"/>
  <c r="K7" i="6"/>
  <c r="L7" i="6"/>
  <c r="M7" i="6"/>
  <c r="B7" i="6"/>
  <c r="M5" i="6"/>
  <c r="L5" i="6"/>
  <c r="K5" i="6"/>
  <c r="J5" i="6"/>
  <c r="I5" i="6"/>
  <c r="H5" i="6"/>
  <c r="G5" i="6"/>
  <c r="F5" i="6"/>
  <c r="E5" i="6"/>
  <c r="D5" i="6"/>
  <c r="C5" i="6"/>
  <c r="B5" i="6"/>
  <c r="B10" i="6" s="1"/>
  <c r="B9" i="6"/>
  <c r="B8" i="6"/>
  <c r="C10" i="6" l="1"/>
  <c r="D10" i="6"/>
  <c r="E10" i="6" s="1"/>
  <c r="F10" i="6" s="1"/>
  <c r="G10" i="6" s="1"/>
  <c r="H10" i="6" s="1"/>
  <c r="I10" i="6" s="1"/>
  <c r="J10" i="6" s="1"/>
  <c r="K10" i="6" s="1"/>
  <c r="L10" i="6" s="1"/>
  <c r="M10" i="6" s="1"/>
  <c r="N5" i="6"/>
  <c r="J16" i="6"/>
  <c r="J15" i="6"/>
  <c r="C31" i="6"/>
  <c r="D31" i="6" s="1"/>
  <c r="E31" i="6" s="1"/>
  <c r="F31" i="6" s="1"/>
  <c r="G31" i="6" s="1"/>
  <c r="H31" i="6" s="1"/>
  <c r="I31" i="6" s="1"/>
  <c r="J31" i="6" s="1"/>
  <c r="K31" i="6" s="1"/>
  <c r="L31" i="6" s="1"/>
  <c r="M31" i="6" s="1"/>
  <c r="C30" i="6"/>
  <c r="D30" i="6" s="1"/>
  <c r="E30" i="6" s="1"/>
  <c r="F30" i="6" s="1"/>
  <c r="G30" i="6" s="1"/>
  <c r="H30" i="6" s="1"/>
  <c r="I30" i="6" s="1"/>
  <c r="J30" i="6" s="1"/>
  <c r="K30" i="6" s="1"/>
  <c r="L30" i="6" s="1"/>
  <c r="M30" i="6" s="1"/>
  <c r="C16" i="6"/>
  <c r="G16" i="6"/>
  <c r="K16" i="6"/>
  <c r="F15" i="6"/>
  <c r="I15" i="6"/>
  <c r="M15" i="6"/>
  <c r="E15" i="6"/>
  <c r="F16" i="6"/>
  <c r="G15" i="6"/>
  <c r="D16" i="6"/>
  <c r="H15" i="6"/>
  <c r="L15" i="6"/>
  <c r="I16" i="6"/>
  <c r="M16" i="6"/>
  <c r="C15" i="6"/>
  <c r="K15" i="6"/>
  <c r="H16" i="6"/>
  <c r="L16" i="6"/>
  <c r="D15" i="6"/>
  <c r="E16" i="6"/>
  <c r="B16" i="6"/>
  <c r="B20" i="6" s="1"/>
  <c r="B15" i="6"/>
  <c r="B19" i="6" s="1"/>
  <c r="C8" i="6"/>
  <c r="C9" i="6"/>
  <c r="F20" i="6" l="1"/>
  <c r="K20" i="6"/>
  <c r="D20" i="6"/>
  <c r="H20" i="6"/>
  <c r="I20" i="6"/>
  <c r="J20" i="6"/>
  <c r="G20" i="6"/>
  <c r="L20" i="6"/>
  <c r="C19" i="6"/>
  <c r="D19" i="6" s="1"/>
  <c r="E19" i="6" s="1"/>
  <c r="F19" i="6" s="1"/>
  <c r="G19" i="6" s="1"/>
  <c r="H19" i="6" s="1"/>
  <c r="I19" i="6" s="1"/>
  <c r="J19" i="6" s="1"/>
  <c r="K19" i="6" s="1"/>
  <c r="L19" i="6" s="1"/>
  <c r="M19" i="6" s="1"/>
  <c r="M20" i="6"/>
  <c r="E20" i="6"/>
  <c r="C20" i="6"/>
  <c r="D8" i="6"/>
  <c r="D9" i="6"/>
  <c r="E8" i="6" l="1"/>
  <c r="E9" i="6"/>
  <c r="F171" i="5"/>
  <c r="F172" i="5"/>
  <c r="F173" i="5"/>
  <c r="F174" i="5"/>
  <c r="F175" i="5"/>
  <c r="F176" i="5"/>
  <c r="F177" i="5"/>
  <c r="F8" i="6" l="1"/>
  <c r="F9" i="6"/>
  <c r="L8" i="2"/>
  <c r="K8" i="2"/>
  <c r="I7" i="2"/>
  <c r="G8" i="6" l="1"/>
  <c r="G9" i="6"/>
  <c r="J9" i="2"/>
  <c r="I9" i="2"/>
  <c r="H8" i="6" l="1"/>
  <c r="H9" i="6"/>
  <c r="F3" i="5"/>
  <c r="F4" i="5"/>
  <c r="F5" i="5"/>
  <c r="F6" i="5"/>
  <c r="F7" i="5"/>
  <c r="F8" i="5"/>
  <c r="F9" i="5"/>
  <c r="F10" i="5"/>
  <c r="F11" i="5"/>
  <c r="F12" i="5"/>
  <c r="F13" i="5"/>
  <c r="F14" i="5"/>
  <c r="F15" i="5"/>
  <c r="F16" i="5"/>
  <c r="F17" i="5"/>
  <c r="F18" i="5"/>
  <c r="F19" i="5"/>
  <c r="F20" i="5"/>
  <c r="F21" i="5"/>
  <c r="F22" i="5"/>
  <c r="F23" i="5"/>
  <c r="F24" i="5"/>
  <c r="F25" i="5"/>
  <c r="F26" i="5"/>
  <c r="F27" i="5"/>
  <c r="F28" i="5"/>
  <c r="F29" i="5"/>
  <c r="F30" i="5"/>
  <c r="F31" i="5"/>
  <c r="F32" i="5"/>
  <c r="F33" i="5"/>
  <c r="F34" i="5"/>
  <c r="F35" i="5"/>
  <c r="F36" i="5"/>
  <c r="F37" i="5"/>
  <c r="F38" i="5"/>
  <c r="F39" i="5"/>
  <c r="F40" i="5"/>
  <c r="F41" i="5"/>
  <c r="F42" i="5"/>
  <c r="F43" i="5"/>
  <c r="F44" i="5"/>
  <c r="F45" i="5"/>
  <c r="F46" i="5"/>
  <c r="F47" i="5"/>
  <c r="F48" i="5"/>
  <c r="F49" i="5"/>
  <c r="F50" i="5"/>
  <c r="F51" i="5"/>
  <c r="F52" i="5"/>
  <c r="F53" i="5"/>
  <c r="F54" i="5"/>
  <c r="F55" i="5"/>
  <c r="F56" i="5"/>
  <c r="F57" i="5"/>
  <c r="F58" i="5"/>
  <c r="F59" i="5"/>
  <c r="F60" i="5"/>
  <c r="F61" i="5"/>
  <c r="F62" i="5"/>
  <c r="F63" i="5"/>
  <c r="F64" i="5"/>
  <c r="F65" i="5"/>
  <c r="F66" i="5"/>
  <c r="F67" i="5"/>
  <c r="F68" i="5"/>
  <c r="F69" i="5"/>
  <c r="F70" i="5"/>
  <c r="F71" i="5"/>
  <c r="F72" i="5"/>
  <c r="F73" i="5"/>
  <c r="F74" i="5"/>
  <c r="F75" i="5"/>
  <c r="F76" i="5"/>
  <c r="F77" i="5"/>
  <c r="F78" i="5"/>
  <c r="F79" i="5"/>
  <c r="F80" i="5"/>
  <c r="F81" i="5"/>
  <c r="F82" i="5"/>
  <c r="F83" i="5"/>
  <c r="F84" i="5"/>
  <c r="F85" i="5"/>
  <c r="F86" i="5"/>
  <c r="F87" i="5"/>
  <c r="F88" i="5"/>
  <c r="F89" i="5"/>
  <c r="F90" i="5"/>
  <c r="F91" i="5"/>
  <c r="F92" i="5"/>
  <c r="F93" i="5"/>
  <c r="F94" i="5"/>
  <c r="F95" i="5"/>
  <c r="F96" i="5"/>
  <c r="F97" i="5"/>
  <c r="F98" i="5"/>
  <c r="F99" i="5"/>
  <c r="F100" i="5"/>
  <c r="F101" i="5"/>
  <c r="F102" i="5"/>
  <c r="F103" i="5"/>
  <c r="F104" i="5"/>
  <c r="F105" i="5"/>
  <c r="F106" i="5"/>
  <c r="F107" i="5"/>
  <c r="F108" i="5"/>
  <c r="F109" i="5"/>
  <c r="F110" i="5"/>
  <c r="F111" i="5"/>
  <c r="F112" i="5"/>
  <c r="F113" i="5"/>
  <c r="F114" i="5"/>
  <c r="F115" i="5"/>
  <c r="F116" i="5"/>
  <c r="F117" i="5"/>
  <c r="F118" i="5"/>
  <c r="F119" i="5"/>
  <c r="F120" i="5"/>
  <c r="F121" i="5"/>
  <c r="F122" i="5"/>
  <c r="F123" i="5"/>
  <c r="F124" i="5"/>
  <c r="F125" i="5"/>
  <c r="F126" i="5"/>
  <c r="F127" i="5"/>
  <c r="F128" i="5"/>
  <c r="F129" i="5"/>
  <c r="F130" i="5"/>
  <c r="F131" i="5"/>
  <c r="F132" i="5"/>
  <c r="F133" i="5"/>
  <c r="F134" i="5"/>
  <c r="F135" i="5"/>
  <c r="F136" i="5"/>
  <c r="F137" i="5"/>
  <c r="F138" i="5"/>
  <c r="F139" i="5"/>
  <c r="F140" i="5"/>
  <c r="F141" i="5"/>
  <c r="F142" i="5"/>
  <c r="F143" i="5"/>
  <c r="F144" i="5"/>
  <c r="F145" i="5"/>
  <c r="F146" i="5"/>
  <c r="F147" i="5"/>
  <c r="F148" i="5"/>
  <c r="F149" i="5"/>
  <c r="F150" i="5"/>
  <c r="F151" i="5"/>
  <c r="F152" i="5"/>
  <c r="F153" i="5"/>
  <c r="F154" i="5"/>
  <c r="F155" i="5"/>
  <c r="F156" i="5"/>
  <c r="F157" i="5"/>
  <c r="F158" i="5"/>
  <c r="F159" i="5"/>
  <c r="F160" i="5"/>
  <c r="F161" i="5"/>
  <c r="F162" i="5"/>
  <c r="F163" i="5"/>
  <c r="F164" i="5"/>
  <c r="F165" i="5"/>
  <c r="F166" i="5"/>
  <c r="F167" i="5"/>
  <c r="F168" i="5"/>
  <c r="F169" i="5"/>
  <c r="F170" i="5"/>
  <c r="F2" i="5"/>
  <c r="I8" i="6" l="1"/>
  <c r="I9" i="6"/>
  <c r="O22" i="1"/>
  <c r="M22" i="1"/>
  <c r="J20" i="1"/>
  <c r="D20" i="1"/>
  <c r="J8" i="6" l="1"/>
  <c r="J9" i="6"/>
  <c r="E12" i="2"/>
  <c r="K8" i="6" l="1"/>
  <c r="K9" i="6"/>
  <c r="G12" i="2"/>
  <c r="L8" i="6" l="1"/>
  <c r="L9" i="6"/>
  <c r="H12" i="2"/>
  <c r="M8" i="6" l="1"/>
  <c r="M9" i="6"/>
  <c r="I12" i="2"/>
  <c r="J4" i="4" l="1"/>
  <c r="I4" i="4"/>
  <c r="H4" i="4"/>
  <c r="G4" i="4"/>
  <c r="F4" i="4"/>
  <c r="E4" i="4"/>
  <c r="K4" i="4" l="1"/>
  <c r="L4" i="4" l="1"/>
  <c r="M4" i="4" l="1"/>
  <c r="N4" i="4" l="1"/>
  <c r="O4" i="4" l="1"/>
  <c r="D4" i="2" l="1"/>
  <c r="D2" i="2"/>
  <c r="P4" i="4" l="1"/>
  <c r="J16" i="2" l="1"/>
  <c r="J17" i="2" l="1"/>
  <c r="J18" i="2" s="1"/>
  <c r="J19" i="2" s="1"/>
  <c r="J20" i="2" s="1"/>
  <c r="J21" i="2" s="1"/>
  <c r="J22" i="2" s="1"/>
  <c r="J23" i="2" s="1"/>
  <c r="J24" i="2" s="1"/>
  <c r="J25" i="2" s="1"/>
  <c r="J26" i="2" s="1"/>
  <c r="J27" i="2" s="1"/>
  <c r="L27" i="2" s="1"/>
  <c r="L29" i="2" s="1"/>
  <c r="E29" i="2"/>
  <c r="C27" i="2"/>
  <c r="C26" i="2"/>
  <c r="C25" i="2"/>
  <c r="C24" i="2"/>
  <c r="C23" i="2"/>
  <c r="C22" i="2"/>
  <c r="C21" i="2"/>
  <c r="C20" i="2"/>
  <c r="C19" i="2"/>
  <c r="C18" i="2"/>
  <c r="C17" i="2"/>
  <c r="C16" i="2"/>
  <c r="H16" i="2" s="1"/>
  <c r="D4" i="3" l="1"/>
  <c r="H17" i="2"/>
  <c r="H18" i="2" s="1"/>
  <c r="H19" i="2" s="1"/>
  <c r="H20" i="2" s="1"/>
  <c r="H21" i="2" s="1"/>
  <c r="H22" i="2" s="1"/>
  <c r="H23" i="2" s="1"/>
  <c r="H24" i="2" s="1"/>
  <c r="D3" i="3" s="1"/>
  <c r="C29" i="2"/>
  <c r="D13" i="3" l="1"/>
  <c r="D15" i="3" s="1"/>
  <c r="H25" i="2"/>
  <c r="H26" i="2" s="1"/>
  <c r="H27" i="2" s="1"/>
  <c r="D27" i="2"/>
  <c r="D26" i="2"/>
  <c r="D25" i="2"/>
  <c r="D24" i="2"/>
  <c r="D23" i="2"/>
  <c r="D22" i="2"/>
  <c r="D21" i="2"/>
  <c r="D20" i="2"/>
  <c r="D19" i="2"/>
  <c r="D18" i="2"/>
  <c r="D17" i="2"/>
  <c r="D16" i="2"/>
  <c r="I16" i="2" s="1"/>
  <c r="I17" i="2" l="1"/>
  <c r="I18" i="2" s="1"/>
  <c r="I19" i="2" s="1"/>
  <c r="I20" i="2" s="1"/>
  <c r="I21" i="2" s="1"/>
  <c r="I22" i="2" s="1"/>
  <c r="I23" i="2" s="1"/>
  <c r="I24" i="2" s="1"/>
  <c r="D29" i="2"/>
  <c r="I25" i="2" l="1"/>
  <c r="I26" i="2" s="1"/>
  <c r="I27" i="2" s="1"/>
  <c r="H6" i="2"/>
  <c r="H7" i="2" l="1"/>
  <c r="M7" i="2" l="1"/>
  <c r="K7" i="2"/>
  <c r="L7" i="2" s="1"/>
  <c r="N7" i="2" l="1"/>
  <c r="O7" i="2" s="1"/>
  <c r="P7" i="2" s="1"/>
  <c r="Q7" i="2" s="1"/>
  <c r="R7" i="2" s="1"/>
  <c r="S7" i="2" s="1"/>
  <c r="T7" i="2" s="1"/>
  <c r="U7" i="2" s="1"/>
  <c r="V7" i="2" s="1"/>
  <c r="W7" i="2" s="1"/>
  <c r="X7" i="2" s="1"/>
  <c r="E3" i="4"/>
  <c r="F3" i="4"/>
  <c r="G3" i="4" l="1"/>
  <c r="H3" i="4" l="1"/>
  <c r="J3" i="4" l="1"/>
  <c r="I3" i="4"/>
  <c r="K3" i="4"/>
  <c r="L3" i="4" l="1"/>
  <c r="F12" i="2" l="1"/>
  <c r="M3" i="4"/>
  <c r="O3" i="4" l="1"/>
  <c r="N3" i="4"/>
  <c r="P3" i="4"/>
  <c r="J5" i="2" l="1"/>
  <c r="L5" i="2" l="1"/>
  <c r="N5" i="2" s="1"/>
  <c r="D3" i="2" l="1"/>
  <c r="D5" i="2" l="1"/>
  <c r="D9" i="2" s="1"/>
  <c r="AB7" i="4" l="1"/>
  <c r="AB10" i="4" s="1"/>
  <c r="AB12" i="4" s="1"/>
  <c r="Q7" i="4"/>
  <c r="Q10" i="4" s="1"/>
  <c r="T7" i="4"/>
  <c r="T10" i="4" s="1"/>
  <c r="U7" i="4"/>
  <c r="U10" i="4" s="1"/>
  <c r="X7" i="4"/>
  <c r="X10" i="4" s="1"/>
  <c r="Y7" i="4"/>
  <c r="Y10" i="4" s="1"/>
  <c r="T12" i="4" l="1"/>
  <c r="X12" i="4"/>
  <c r="W7" i="4"/>
  <c r="W10" i="4" s="1"/>
  <c r="W12" i="4" s="1"/>
  <c r="R7" i="4"/>
  <c r="R10" i="4" s="1"/>
  <c r="S7" i="4"/>
  <c r="S10" i="4" s="1"/>
  <c r="S12" i="4" s="1"/>
  <c r="Z7" i="4"/>
  <c r="Z10" i="4" s="1"/>
  <c r="Y12" i="4" s="1"/>
  <c r="V7" i="4"/>
  <c r="V10" i="4" s="1"/>
  <c r="V12" i="4" s="1"/>
  <c r="AA7" i="4"/>
  <c r="AA10" i="4" s="1"/>
  <c r="AA12" i="4" s="1"/>
  <c r="R12" i="4" l="1"/>
  <c r="Q12" i="4"/>
  <c r="Y13" i="4"/>
  <c r="Z12" i="4"/>
  <c r="AB13" i="4" s="1"/>
  <c r="U12" i="4"/>
  <c r="V13" i="4" s="1"/>
  <c r="O7" i="4" l="1"/>
  <c r="O10" i="4" s="1"/>
  <c r="O12" i="4" s="1"/>
  <c r="N7" i="4"/>
  <c r="N10" i="4" s="1"/>
  <c r="M7" i="4"/>
  <c r="M10" i="4" s="1"/>
  <c r="M12" i="4" s="1"/>
  <c r="L7" i="4"/>
  <c r="L10" i="4" s="1"/>
  <c r="K7" i="4"/>
  <c r="K10" i="4" s="1"/>
  <c r="J7" i="4"/>
  <c r="J10" i="4" s="1"/>
  <c r="I7" i="4"/>
  <c r="I10" i="4" s="1"/>
  <c r="H7" i="4"/>
  <c r="H10" i="4" s="1"/>
  <c r="G7" i="4"/>
  <c r="G10" i="4" s="1"/>
  <c r="F7" i="4"/>
  <c r="F10" i="4" s="1"/>
  <c r="E7" i="4"/>
  <c r="E10" i="4" s="1"/>
  <c r="D7" i="4"/>
  <c r="D10" i="4" s="1"/>
  <c r="N12" i="4" l="1"/>
</calcChain>
</file>

<file path=xl/sharedStrings.xml><?xml version="1.0" encoding="utf-8"?>
<sst xmlns="http://schemas.openxmlformats.org/spreadsheetml/2006/main" count="263" uniqueCount="242">
  <si>
    <t>carnet cde net en €</t>
  </si>
  <si>
    <t>FACTURATION POSSIBLE A DATE</t>
  </si>
  <si>
    <t>Effectif</t>
  </si>
  <si>
    <t>Nbre UO</t>
  </si>
  <si>
    <t>TAUX FACT</t>
  </si>
  <si>
    <t>CA POSSIBLE</t>
  </si>
  <si>
    <t>carnet en mois</t>
  </si>
  <si>
    <t>REOUR DEVIS</t>
  </si>
  <si>
    <t>en mois</t>
  </si>
  <si>
    <t>date devis</t>
  </si>
  <si>
    <t>titre</t>
  </si>
  <si>
    <t>titre2</t>
  </si>
  <si>
    <t>titre 3</t>
  </si>
  <si>
    <t>MAJ/SEM</t>
  </si>
  <si>
    <t>MOIS</t>
  </si>
  <si>
    <t>ACOMPTES</t>
  </si>
  <si>
    <t>FACTURES</t>
  </si>
  <si>
    <t>BUDGET</t>
  </si>
  <si>
    <t>Realisé</t>
  </si>
  <si>
    <t>Budget</t>
  </si>
  <si>
    <t>bon</t>
  </si>
  <si>
    <t>moyen</t>
  </si>
  <si>
    <t>mauvais</t>
  </si>
  <si>
    <t>vide</t>
  </si>
  <si>
    <t xml:space="preserve">valeur </t>
  </si>
  <si>
    <t>aiguille</t>
  </si>
  <si>
    <t>restant</t>
  </si>
  <si>
    <t>ACTIONS CIALES à prévoir au</t>
  </si>
  <si>
    <t>janv</t>
  </si>
  <si>
    <t>févr</t>
  </si>
  <si>
    <t>mars</t>
  </si>
  <si>
    <t>avr</t>
  </si>
  <si>
    <t>mai</t>
  </si>
  <si>
    <t>juin</t>
  </si>
  <si>
    <t>juil</t>
  </si>
  <si>
    <t>août</t>
  </si>
  <si>
    <t>sept</t>
  </si>
  <si>
    <t>oct</t>
  </si>
  <si>
    <t>nov</t>
  </si>
  <si>
    <t>déc</t>
  </si>
  <si>
    <t xml:space="preserve">PREVU </t>
  </si>
  <si>
    <t xml:space="preserve">REEL </t>
  </si>
  <si>
    <t>l</t>
  </si>
  <si>
    <t>m</t>
  </si>
  <si>
    <t>rouge</t>
  </si>
  <si>
    <t>&lt;= 1</t>
  </si>
  <si>
    <t>&gt;1 et &lt;1.5</t>
  </si>
  <si>
    <t>jaune</t>
  </si>
  <si>
    <t>vert</t>
  </si>
  <si>
    <t>&gt;=1.5</t>
  </si>
  <si>
    <t>TRESO</t>
  </si>
  <si>
    <t>AUTORISATIONS</t>
  </si>
  <si>
    <t>Libellé</t>
  </si>
  <si>
    <t>Capital souscrit-appelé, versé</t>
  </si>
  <si>
    <t>Réserve légale</t>
  </si>
  <si>
    <t>Autres réserves</t>
  </si>
  <si>
    <t>Report à nouveau (solde débiteur)</t>
  </si>
  <si>
    <t>Empunt 1291362 LIGNE CT</t>
  </si>
  <si>
    <t>Ech prt 10 000 €SMC</t>
  </si>
  <si>
    <t>Emprunt 10 K€ SMC outils informatiq</t>
  </si>
  <si>
    <t>Prêt n°SG 40 K€ 217354001608</t>
  </si>
  <si>
    <t>Avances conditionnées de l'état</t>
  </si>
  <si>
    <t>Pigeur n°1</t>
  </si>
  <si>
    <t>Architecture d'intérieur garde corp</t>
  </si>
  <si>
    <t>Architecture d'intérieur</t>
  </si>
  <si>
    <t>Pigueur n°2</t>
  </si>
  <si>
    <t>Concessions et droits similaires</t>
  </si>
  <si>
    <t>Matériel industriel</t>
  </si>
  <si>
    <t>Matériel de transport</t>
  </si>
  <si>
    <t>Matériel de bureau</t>
  </si>
  <si>
    <t>Immobilisat. corp. en cours Pigeur2</t>
  </si>
  <si>
    <t>Immo. corporelles en cours Pigeur 3</t>
  </si>
  <si>
    <t>Parts sociales</t>
  </si>
  <si>
    <t>Dépôts et cautionnements</t>
  </si>
  <si>
    <t>Amortis. frais recherche &amp; dévelop.</t>
  </si>
  <si>
    <t>Amortis. Architecture garde corps</t>
  </si>
  <si>
    <t>Amort Architecture d'intérieur</t>
  </si>
  <si>
    <t>Amort. Pigeur n°2</t>
  </si>
  <si>
    <t>Amortis. concess. &amp; droits simil.</t>
  </si>
  <si>
    <t>Amortis.matér. outillage</t>
  </si>
  <si>
    <t>Amortis. matériel de transport</t>
  </si>
  <si>
    <t>Amortis. matér.bureau et informat.</t>
  </si>
  <si>
    <t>Stocks matières premières</t>
  </si>
  <si>
    <t>Fournitures A, B, C...</t>
  </si>
  <si>
    <t>Stocks matières consommables</t>
  </si>
  <si>
    <t>Travaux en cours</t>
  </si>
  <si>
    <t>Fournisseurs</t>
  </si>
  <si>
    <t>Fournisseurs - fact. non parvenues</t>
  </si>
  <si>
    <t>Clients</t>
  </si>
  <si>
    <t>Clients - acomptes sur commandes</t>
  </si>
  <si>
    <t>Personnel - rémunérations dues</t>
  </si>
  <si>
    <t>Dettes provis. pr congés à payer</t>
  </si>
  <si>
    <t>Personnel - autres charges à payer</t>
  </si>
  <si>
    <t>Sécurité sociale</t>
  </si>
  <si>
    <t>Caisse de retraite salariés</t>
  </si>
  <si>
    <t>Mutuelle</t>
  </si>
  <si>
    <t>Charges sociales s/congés à payer</t>
  </si>
  <si>
    <t>Etat - impôts sur les bénéfices</t>
  </si>
  <si>
    <t>TVA à décaisser</t>
  </si>
  <si>
    <t>TVA déductible s/immobilisations</t>
  </si>
  <si>
    <t>TVA déductible s/aut.biens et sces</t>
  </si>
  <si>
    <t>Crédit de TVA à reporter</t>
  </si>
  <si>
    <t>tva collectée 20%</t>
  </si>
  <si>
    <t>tva collectée 10 %</t>
  </si>
  <si>
    <t>TVA sur factures non parvenues</t>
  </si>
  <si>
    <t>Etat - autres charges à payer</t>
  </si>
  <si>
    <t>c/c Mr CASTEL Guy</t>
  </si>
  <si>
    <t>c/c Mme FRANCES</t>
  </si>
  <si>
    <t>c/c Mlle CASTEL Sandra</t>
  </si>
  <si>
    <t>Retenue de garantie</t>
  </si>
  <si>
    <t>Divers - produits à recevoir</t>
  </si>
  <si>
    <t>Charges constatées d'avance</t>
  </si>
  <si>
    <t>cca COT TNS</t>
  </si>
  <si>
    <t>opcvm</t>
  </si>
  <si>
    <t>Banque CA</t>
  </si>
  <si>
    <t>Banque SMC</t>
  </si>
  <si>
    <t>Société générale</t>
  </si>
  <si>
    <t>Affacturage cga</t>
  </si>
  <si>
    <t>Gaz Arcal posre à souder</t>
  </si>
  <si>
    <t>Achats MP</t>
  </si>
  <si>
    <t>Achats MP chaudronnerie indus</t>
  </si>
  <si>
    <t>achats MP Plaisance</t>
  </si>
  <si>
    <t>Achats de matieres consommables</t>
  </si>
  <si>
    <t>Achats de fournitures consommables</t>
  </si>
  <si>
    <t>Variat. stocks Mat. premières/fourn</t>
  </si>
  <si>
    <t>Variation stock MP</t>
  </si>
  <si>
    <t>Sous traitance</t>
  </si>
  <si>
    <t>sous traitance chaudronnerie</t>
  </si>
  <si>
    <t>sous traitance plaisance</t>
  </si>
  <si>
    <t>Electricité</t>
  </si>
  <si>
    <t>Gaz Arcal poste à souder</t>
  </si>
  <si>
    <t>Carburant</t>
  </si>
  <si>
    <t>Achats de petit équipement</t>
  </si>
  <si>
    <t>Produits d'entretien</t>
  </si>
  <si>
    <t>Achats fournitures administratives</t>
  </si>
  <si>
    <t>Vêtements de travail</t>
  </si>
  <si>
    <t>Leasing Grenke matériels</t>
  </si>
  <si>
    <t>Locations</t>
  </si>
  <si>
    <t>Locations atelier</t>
  </si>
  <si>
    <t>Locations matériel</t>
  </si>
  <si>
    <t>Locations de matériel de transport</t>
  </si>
  <si>
    <t>Locations véhicule</t>
  </si>
  <si>
    <t>Location télésurveillance</t>
  </si>
  <si>
    <t>Charges locatives &amp; copropriété</t>
  </si>
  <si>
    <t>Entretien et réparations</t>
  </si>
  <si>
    <t>Entretien sur biens mobiliers</t>
  </si>
  <si>
    <t>Entretien du matériel de transport</t>
  </si>
  <si>
    <t>Maintenance</t>
  </si>
  <si>
    <t>Primes d'assurance</t>
  </si>
  <si>
    <t>Assurances prêts</t>
  </si>
  <si>
    <t>Documentation générale</t>
  </si>
  <si>
    <t>Frais de colloques, de séminaires</t>
  </si>
  <si>
    <t>Personnel intérimaire</t>
  </si>
  <si>
    <t>Honoraires</t>
  </si>
  <si>
    <t>Honoraire juridiques</t>
  </si>
  <si>
    <t>Frais d'actes et contentieux</t>
  </si>
  <si>
    <t>Publicité</t>
  </si>
  <si>
    <t>Cadeaux à la clientèle</t>
  </si>
  <si>
    <t>Transports sur achats</t>
  </si>
  <si>
    <t>Voyages et déplacements</t>
  </si>
  <si>
    <t>Réceptions</t>
  </si>
  <si>
    <t>Frais postaux</t>
  </si>
  <si>
    <t>Téléphone</t>
  </si>
  <si>
    <t>Commissions affacturage</t>
  </si>
  <si>
    <t>Prestations de services bancaires</t>
  </si>
  <si>
    <t>Commissions d'affacturage</t>
  </si>
  <si>
    <t>Cotisation professionnelle</t>
  </si>
  <si>
    <t>Formation continue (organisme)</t>
  </si>
  <si>
    <t>Taxe d'apprentissage (verst libér.)</t>
  </si>
  <si>
    <t>Contribut° économique territoriale</t>
  </si>
  <si>
    <t>Taxes foncières</t>
  </si>
  <si>
    <t>Autres droits</t>
  </si>
  <si>
    <t>Salaires appointements</t>
  </si>
  <si>
    <t>Salaires administrateurs gérance</t>
  </si>
  <si>
    <t>Congés payés</t>
  </si>
  <si>
    <t>Prévoyance TNS</t>
  </si>
  <si>
    <t>RSI COTISATION</t>
  </si>
  <si>
    <t>Cotisations à l'URSSAF</t>
  </si>
  <si>
    <t>Cotisations retraites (salariés)</t>
  </si>
  <si>
    <t>Cotisations Prévoyance</t>
  </si>
  <si>
    <t>Mutuelle gérant</t>
  </si>
  <si>
    <t>Médecine du travail et pharmacie</t>
  </si>
  <si>
    <t>Crédit d'impôt compétitivité entrep</t>
  </si>
  <si>
    <t>Charges diverses gestion courante</t>
  </si>
  <si>
    <t>Intérêts des emprunts et dettes</t>
  </si>
  <si>
    <t>Intérêts bancaires</t>
  </si>
  <si>
    <t>Intérêts/finacement factoring</t>
  </si>
  <si>
    <t>Pénalités et amendes</t>
  </si>
  <si>
    <t>Charges sur exercices antérieurs</t>
  </si>
  <si>
    <t>Dot. amort. s/immobil. incorporel.</t>
  </si>
  <si>
    <t>Dot. amort. s/immobil. corporel.</t>
  </si>
  <si>
    <t>Crédit d'impôt recherche</t>
  </si>
  <si>
    <t>Crédit d'impôt formation</t>
  </si>
  <si>
    <t>Travaux chaudronnerie</t>
  </si>
  <si>
    <t>travaux plaisance</t>
  </si>
  <si>
    <t>Autres produits activités annexes</t>
  </si>
  <si>
    <t>Variations travaux en cours</t>
  </si>
  <si>
    <t>Production immobilisée</t>
  </si>
  <si>
    <t>Subventions d'exploitation</t>
  </si>
  <si>
    <t>Produits divers gestion courante</t>
  </si>
  <si>
    <t>Produits cessions éléments d'actif</t>
  </si>
  <si>
    <t>Transfert de charges d'exploitation</t>
  </si>
  <si>
    <t>solde bq</t>
  </si>
  <si>
    <t>Compte</t>
  </si>
  <si>
    <t>Bénéfice</t>
  </si>
  <si>
    <t>Perte</t>
  </si>
  <si>
    <t>Emprunts 913043 27500 € CA</t>
  </si>
  <si>
    <t>Emprunts ets de crédit à + 5 ans</t>
  </si>
  <si>
    <t>Emprunt Crédit coop 50 K€</t>
  </si>
  <si>
    <t>Instal.gales, agenct, aménagt.div.</t>
  </si>
  <si>
    <t>Immo. corporelles en cours  Archit.</t>
  </si>
  <si>
    <t>clients affacturage</t>
  </si>
  <si>
    <t>Clients - factures à établir</t>
  </si>
  <si>
    <t>Retenue de garantie bibby</t>
  </si>
  <si>
    <t>Autres comptes débiteurs/créditeurs</t>
  </si>
  <si>
    <t>Compte général d'attente</t>
  </si>
  <si>
    <t>Crédit Coopératif</t>
  </si>
  <si>
    <t>Affacturage Bibby</t>
  </si>
  <si>
    <t>Virements internes</t>
  </si>
  <si>
    <t>Créance affacturage SMC</t>
  </si>
  <si>
    <t>Créance affacturage Crédit Coopérat</t>
  </si>
  <si>
    <t>Prélèvements de matières</t>
  </si>
  <si>
    <t>Achats d'études et prestations</t>
  </si>
  <si>
    <t>Eau</t>
  </si>
  <si>
    <t>Redevances crédit-bail mat. transp.</t>
  </si>
  <si>
    <t>Locations de matériel technique</t>
  </si>
  <si>
    <t>Impôts indirects</t>
  </si>
  <si>
    <t>E-VIR SEPA salaire guy E-VIR SEPA</t>
  </si>
  <si>
    <t>Indemnités et avantages divers</t>
  </si>
  <si>
    <t>Compte de bilan</t>
  </si>
  <si>
    <t>UO AFFECTEES</t>
  </si>
  <si>
    <t>UO POSSIBLES</t>
  </si>
  <si>
    <t>BUDGET UO</t>
  </si>
  <si>
    <t>UO DISPO</t>
  </si>
  <si>
    <t>VENTES</t>
  </si>
  <si>
    <t>budget</t>
  </si>
  <si>
    <t>mensuelles</t>
  </si>
  <si>
    <t>cumulées</t>
  </si>
  <si>
    <t>marge</t>
  </si>
  <si>
    <t>ACHATS</t>
  </si>
  <si>
    <t>Masse salariales</t>
  </si>
  <si>
    <t>PREVI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</si>
</sst>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* #,##0.00\ &quot;€&quot;_-;\-* #,##0.00\ &quot;€&quot;_-;_-* &quot;-&quot;??\ &quot;€&quot;_-;_-@_-"/>
    <numFmt numFmtId="164" formatCode="0.0"/>
    <numFmt numFmtId="165" formatCode="d/m/yy;@"/>
    <numFmt numFmtId="166" formatCode="#,##0.00;[Red]\-#,##0.00"/>
    <numFmt numFmtId="167" formatCode="#,##0.0"/>
  </numFmts>
  <fonts count="17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20"/>
      <color rgb="FFFF0000"/>
      <name val="Calibri"/>
      <family val="2"/>
      <scheme val="minor"/>
    </font>
    <font>
      <b/>
      <sz val="20"/>
      <name val="Calibri"/>
      <family val="2"/>
      <scheme val="minor"/>
    </font>
    <font>
      <b/>
      <sz val="20"/>
      <color theme="9" tint="-0.249977111117893"/>
      <name val="Calibri"/>
      <family val="2"/>
      <scheme val="minor"/>
    </font>
    <font>
      <sz val="36"/>
      <color theme="1"/>
      <name val="Wingdings"/>
      <charset val="2"/>
    </font>
    <font>
      <b/>
      <sz val="22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sz val="12"/>
      <color rgb="FF4D4D4D"/>
      <name val="Arial"/>
      <family val="2"/>
    </font>
    <font>
      <sz val="9.35"/>
      <color rgb="FF303030"/>
      <name val="Consolas"/>
      <family val="3"/>
    </font>
    <font>
      <sz val="10"/>
      <name val="Times New Roman"/>
      <family val="1"/>
    </font>
    <font>
      <sz val="10"/>
      <name val="MS Sans Serif"/>
    </font>
  </fonts>
  <fills count="7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-0.249977111117893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rgb="FFE6E6E6"/>
      </left>
      <right style="medium">
        <color rgb="FFE6E6E6"/>
      </right>
      <top style="medium">
        <color rgb="FFE6E6E6"/>
      </top>
      <bottom style="medium">
        <color rgb="FFE6E6E6"/>
      </bottom>
      <diagonal/>
    </border>
  </borders>
  <cellStyleXfs count="4">
    <xf numFmtId="0" fontId="0" fillId="0" borderId="0"/>
    <xf numFmtId="9" fontId="6" fillId="0" borderId="0" applyFont="0" applyFill="0" applyBorder="0" applyAlignment="0" applyProtection="0"/>
    <xf numFmtId="0" fontId="6" fillId="0" borderId="0"/>
    <xf numFmtId="166" fontId="16" fillId="0" borderId="0" applyFont="0" applyFill="0" applyBorder="0" applyAlignment="0" applyProtection="0"/>
  </cellStyleXfs>
  <cellXfs count="59">
    <xf numFmtId="0" fontId="0" fillId="0" borderId="0" xfId="0"/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1" fontId="0" fillId="0" borderId="0" xfId="0" applyNumberFormat="1" applyBorder="1"/>
    <xf numFmtId="0" fontId="0" fillId="0" borderId="1" xfId="0" applyBorder="1"/>
    <xf numFmtId="0" fontId="0" fillId="0" borderId="8" xfId="0" applyBorder="1" applyAlignment="1">
      <alignment horizontal="center"/>
    </xf>
    <xf numFmtId="3" fontId="0" fillId="0" borderId="2" xfId="0" applyNumberFormat="1" applyBorder="1"/>
    <xf numFmtId="3" fontId="0" fillId="0" borderId="8" xfId="0" applyNumberFormat="1" applyBorder="1"/>
    <xf numFmtId="3" fontId="1" fillId="3" borderId="3" xfId="0" applyNumberFormat="1" applyFont="1" applyFill="1" applyBorder="1"/>
    <xf numFmtId="0" fontId="5" fillId="0" borderId="0" xfId="0" applyFont="1"/>
    <xf numFmtId="14" fontId="2" fillId="4" borderId="0" xfId="0" applyNumberFormat="1" applyFont="1" applyFill="1"/>
    <xf numFmtId="0" fontId="2" fillId="4" borderId="0" xfId="0" applyFont="1" applyFill="1"/>
    <xf numFmtId="0" fontId="2" fillId="4" borderId="0" xfId="0" applyFont="1" applyFill="1" applyAlignment="1">
      <alignment horizontal="center"/>
    </xf>
    <xf numFmtId="0" fontId="0" fillId="0" borderId="0" xfId="0" applyBorder="1"/>
    <xf numFmtId="0" fontId="0" fillId="0" borderId="0" xfId="0" applyBorder="1" applyAlignment="1">
      <alignment horizontal="center"/>
    </xf>
    <xf numFmtId="4" fontId="0" fillId="0" borderId="0" xfId="0" applyNumberFormat="1"/>
    <xf numFmtId="9" fontId="0" fillId="0" borderId="0" xfId="0" applyNumberFormat="1"/>
    <xf numFmtId="9" fontId="0" fillId="0" borderId="0" xfId="1" applyFont="1"/>
    <xf numFmtId="165" fontId="7" fillId="0" borderId="0" xfId="0" applyNumberFormat="1" applyFont="1"/>
    <xf numFmtId="4" fontId="8" fillId="0" borderId="0" xfId="0" applyNumberFormat="1" applyFont="1"/>
    <xf numFmtId="164" fontId="9" fillId="0" borderId="0" xfId="0" applyNumberFormat="1" applyFont="1"/>
    <xf numFmtId="3" fontId="0" fillId="0" borderId="0" xfId="0" applyNumberFormat="1"/>
    <xf numFmtId="0" fontId="10" fillId="0" borderId="0" xfId="0" applyFont="1" applyAlignment="1">
      <alignment horizontal="center" vertical="center"/>
    </xf>
    <xf numFmtId="0" fontId="0" fillId="4" borderId="0" xfId="0" applyFill="1"/>
    <xf numFmtId="0" fontId="13" fillId="0" borderId="0" xfId="0" applyFont="1"/>
    <xf numFmtId="0" fontId="14" fillId="0" borderId="12" xfId="0" applyFont="1" applyBorder="1" applyAlignment="1">
      <alignment horizontal="left" vertical="center" wrapText="1" indent="1"/>
    </xf>
    <xf numFmtId="14" fontId="0" fillId="0" borderId="0" xfId="0" applyNumberFormat="1"/>
    <xf numFmtId="166" fontId="15" fillId="0" borderId="0" xfId="3" applyFont="1" applyAlignment="1">
      <alignment horizontal="center"/>
    </xf>
    <xf numFmtId="1" fontId="0" fillId="0" borderId="0" xfId="0" applyNumberFormat="1"/>
    <xf numFmtId="166" fontId="15" fillId="0" borderId="0" xfId="3" applyFont="1"/>
    <xf numFmtId="166" fontId="15" fillId="4" borderId="0" xfId="3" applyFont="1" applyFill="1"/>
    <xf numFmtId="4" fontId="0" fillId="4" borderId="0" xfId="0" applyNumberFormat="1" applyFill="1"/>
    <xf numFmtId="166" fontId="0" fillId="0" borderId="0" xfId="0" applyNumberFormat="1"/>
    <xf numFmtId="0" fontId="0" fillId="0" borderId="0" xfId="0" applyAlignment="1">
      <alignment horizontal="center"/>
    </xf>
    <xf numFmtId="1" fontId="0" fillId="0" borderId="0" xfId="0" applyNumberFormat="1" applyAlignment="1">
      <alignment horizontal="center"/>
    </xf>
    <xf numFmtId="167" fontId="0" fillId="0" borderId="0" xfId="0" applyNumberFormat="1"/>
    <xf numFmtId="1" fontId="0" fillId="4" borderId="0" xfId="0" applyNumberFormat="1" applyFill="1"/>
    <xf numFmtId="0" fontId="0" fillId="5" borderId="0" xfId="0" applyFill="1"/>
    <xf numFmtId="0" fontId="5" fillId="5" borderId="0" xfId="0" applyFont="1" applyFill="1" applyAlignment="1">
      <alignment horizontal="center" vertical="center"/>
    </xf>
    <xf numFmtId="0" fontId="12" fillId="5" borderId="0" xfId="0" applyFont="1" applyFill="1" applyAlignment="1">
      <alignment horizontal="center" vertical="center"/>
    </xf>
    <xf numFmtId="0" fontId="11" fillId="5" borderId="0" xfId="0" applyFont="1" applyFill="1"/>
    <xf numFmtId="0" fontId="10" fillId="5" borderId="9" xfId="0" applyFont="1" applyFill="1" applyBorder="1"/>
    <xf numFmtId="0" fontId="0" fillId="5" borderId="0" xfId="0" applyFill="1" applyAlignment="1">
      <alignment horizontal="center" vertical="center"/>
    </xf>
    <xf numFmtId="0" fontId="10" fillId="5" borderId="10" xfId="0" applyFont="1" applyFill="1" applyBorder="1"/>
    <xf numFmtId="0" fontId="10" fillId="5" borderId="11" xfId="0" applyFont="1" applyFill="1" applyBorder="1"/>
    <xf numFmtId="0" fontId="3" fillId="5" borderId="0" xfId="0" applyFont="1" applyFill="1" applyAlignment="1">
      <alignment horizontal="center"/>
    </xf>
    <xf numFmtId="2" fontId="0" fillId="0" borderId="0" xfId="0" applyNumberFormat="1" applyBorder="1"/>
    <xf numFmtId="44" fontId="0" fillId="0" borderId="0" xfId="0" applyNumberFormat="1"/>
    <xf numFmtId="3" fontId="0" fillId="4" borderId="0" xfId="0" applyNumberFormat="1" applyFill="1"/>
    <xf numFmtId="0" fontId="0" fillId="4" borderId="0" xfId="0" applyNumberFormat="1" applyFill="1"/>
    <xf numFmtId="3" fontId="0" fillId="6" borderId="0" xfId="0" applyNumberFormat="1" applyFill="1"/>
    <xf numFmtId="4" fontId="0" fillId="6" borderId="0" xfId="0" applyNumberFormat="1" applyFill="1"/>
    <xf numFmtId="0" fontId="0" fillId="6" borderId="0" xfId="0" applyFill="1"/>
    <xf numFmtId="0" fontId="5" fillId="5" borderId="0" xfId="0" applyFont="1" applyFill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</cellXfs>
  <cellStyles count="4">
    <cellStyle name="Milliers_Cpte" xfId="3" xr:uid="{F5CDA022-607B-42A9-BF32-7BF0CE77671B}"/>
    <cellStyle name="Normal" xfId="0" builtinId="0"/>
    <cellStyle name="Normal 2" xfId="2" xr:uid="{833823A2-E432-4A70-A37E-9109BE5EC6CB}"/>
    <cellStyle name="Pourcentage" xfId="1" builtinId="5"/>
  </cellStyles>
  <dxfs count="26">
    <dxf>
      <font>
        <b/>
        <i val="0"/>
        <color rgb="FF00B050"/>
      </font>
    </dxf>
    <dxf>
      <font>
        <b/>
        <i val="0"/>
        <color theme="7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color rgb="FF9C0006"/>
      </font>
    </dxf>
    <dxf>
      <font>
        <color rgb="FF9C0006"/>
      </font>
    </dxf>
    <dxf>
      <font>
        <b/>
        <i val="0"/>
        <color rgb="FFFF0000"/>
      </font>
    </dxf>
    <dxf>
      <font>
        <b/>
        <i val="0"/>
        <color theme="9"/>
      </font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9"/>
      </font>
    </dxf>
    <dxf>
      <font>
        <b/>
        <i val="0"/>
        <color theme="9"/>
      </font>
    </dxf>
    <dxf>
      <font>
        <b/>
        <i val="0"/>
        <color theme="9"/>
      </font>
    </dxf>
    <dxf>
      <font>
        <b/>
        <i val="0"/>
        <color theme="7"/>
      </font>
    </dxf>
    <dxf>
      <font>
        <b/>
        <i val="0"/>
        <color theme="7"/>
      </font>
    </dxf>
    <dxf>
      <font>
        <b/>
        <i val="0"/>
        <color theme="7"/>
      </font>
    </dxf>
    <dxf>
      <font>
        <b/>
        <i val="0"/>
        <color theme="7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theme="7"/>
      </font>
    </dxf>
    <dxf>
      <font>
        <b/>
        <i val="0"/>
        <color theme="9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</dxfs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externalLink" Target="externalLinks/externalLink6.xml"/><Relationship Id="rId1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5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4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3.xml"/><Relationship Id="rId1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2800" b="1"/>
              <a:t>PAR MOIS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Feuil2!$B$15</c:f>
              <c:strCache>
                <c:ptCount val="1"/>
                <c:pt idx="0">
                  <c:v>MOIS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Feuil2!$B$16:$B$27</c:f>
              <c:numCache>
                <c:formatCode>General</c:formatCode>
                <c:ptCount val="1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223-428D-B87B-BD7638D59D22}"/>
            </c:ext>
          </c:extLst>
        </c:ser>
        <c:ser>
          <c:idx val="1"/>
          <c:order val="1"/>
          <c:tx>
            <c:strRef>
              <c:f>Feuil2!$C$15</c:f>
              <c:strCache>
                <c:ptCount val="1"/>
                <c:pt idx="0">
                  <c:v>ACOMPTES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Feuil2!$C$16:$C$27</c:f>
              <c:numCache>
                <c:formatCode>#,##0.00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223-428D-B87B-BD7638D59D22}"/>
            </c:ext>
          </c:extLst>
        </c:ser>
        <c:ser>
          <c:idx val="2"/>
          <c:order val="2"/>
          <c:tx>
            <c:strRef>
              <c:f>Feuil2!$D$15</c:f>
              <c:strCache>
                <c:ptCount val="1"/>
                <c:pt idx="0">
                  <c:v>FACTURES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val>
            <c:numRef>
              <c:f>Feuil2!$D$16:$D$27</c:f>
              <c:numCache>
                <c:formatCode>#,##0.00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5223-428D-B87B-BD7638D59D2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569560216"/>
        <c:axId val="569559560"/>
      </c:barChart>
      <c:barChart>
        <c:barDir val="col"/>
        <c:grouping val="stacked"/>
        <c:varyColors val="0"/>
        <c:ser>
          <c:idx val="4"/>
          <c:order val="4"/>
          <c:tx>
            <c:strRef>
              <c:f>Feuil2!$F$15</c:f>
              <c:strCache>
                <c:ptCount val="1"/>
                <c:pt idx="0">
                  <c:v>PREVI</c:v>
                </c:pt>
              </c:strCache>
            </c:strRef>
          </c:tx>
          <c:spPr>
            <a:solidFill>
              <a:schemeClr val="accent6">
                <a:lumMod val="75000"/>
              </a:schemeClr>
            </a:solidFill>
            <a:ln w="25400">
              <a:noFill/>
            </a:ln>
            <a:effectLst/>
          </c:spPr>
          <c:invertIfNegative val="0"/>
          <c:val>
            <c:numRef>
              <c:f>Feuil2!$F$16:$F$27</c:f>
              <c:numCache>
                <c:formatCode>General</c:formatCode>
                <c:ptCount val="12"/>
                <c:pt idx="9" formatCode="_(&quot;€&quot;* #,##0.00_);_(&quot;€&quot;* \(#,##0.00\);_(&quot;€&quot;* &quot;-&quot;??_);_(@_)">
                  <c:v>35026</c:v>
                </c:pt>
                <c:pt idx="10" formatCode="_(&quot;€&quot;* #,##0.00_);_(&quot;€&quot;* \(#,##0.00\);_(&quot;€&quot;* &quot;-&quot;??_);_(@_)">
                  <c:v>81000</c:v>
                </c:pt>
                <c:pt idx="11" formatCode="_(&quot;€&quot;* #,##0.00_);_(&quot;€&quot;* \(#,##0.00\);_(&quot;€&quot;* &quot;-&quot;??_);_(@_)">
                  <c:v>106000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871-4D70-BF0D-22D2784B517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0"/>
        <c:overlap val="100"/>
        <c:axId val="876840768"/>
        <c:axId val="876847328"/>
      </c:barChart>
      <c:lineChart>
        <c:grouping val="standard"/>
        <c:varyColors val="0"/>
        <c:ser>
          <c:idx val="3"/>
          <c:order val="3"/>
          <c:tx>
            <c:strRef>
              <c:f>Feuil2!$E$15</c:f>
              <c:strCache>
                <c:ptCount val="1"/>
                <c:pt idx="0">
                  <c:v>BUDGET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dash"/>
            <c:size val="22"/>
            <c:spPr>
              <a:solidFill>
                <a:srgbClr val="FF0000"/>
              </a:solidFill>
              <a:ln w="9525">
                <a:noFill/>
              </a:ln>
              <a:effectLst/>
            </c:spPr>
          </c:marker>
          <c:val>
            <c:numRef>
              <c:f>Feuil2!$E$16:$E$27</c:f>
              <c:numCache>
                <c:formatCode>General</c:formatCode>
                <c:ptCount val="12"/>
                <c:pt idx="0">
                  <c:v>28830</c:v>
                </c:pt>
                <c:pt idx="1">
                  <c:v>29760</c:v>
                </c:pt>
                <c:pt idx="2">
                  <c:v>32550</c:v>
                </c:pt>
                <c:pt idx="3">
                  <c:v>41850</c:v>
                </c:pt>
                <c:pt idx="4">
                  <c:v>41850</c:v>
                </c:pt>
                <c:pt idx="5">
                  <c:v>41850</c:v>
                </c:pt>
                <c:pt idx="6">
                  <c:v>32550</c:v>
                </c:pt>
                <c:pt idx="7">
                  <c:v>32550</c:v>
                </c:pt>
                <c:pt idx="8">
                  <c:v>41850</c:v>
                </c:pt>
                <c:pt idx="9">
                  <c:v>41850</c:v>
                </c:pt>
                <c:pt idx="10">
                  <c:v>27900</c:v>
                </c:pt>
                <c:pt idx="11">
                  <c:v>23994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5223-428D-B87B-BD7638D59D2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69560216"/>
        <c:axId val="569559560"/>
      </c:lineChart>
      <c:catAx>
        <c:axId val="56956021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69559560"/>
        <c:crosses val="autoZero"/>
        <c:auto val="1"/>
        <c:lblAlgn val="ctr"/>
        <c:lblOffset val="100"/>
        <c:noMultiLvlLbl val="0"/>
      </c:catAx>
      <c:valAx>
        <c:axId val="569559560"/>
        <c:scaling>
          <c:orientation val="minMax"/>
        </c:scaling>
        <c:delete val="1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crossAx val="569560216"/>
        <c:crosses val="autoZero"/>
        <c:crossBetween val="between"/>
      </c:valAx>
      <c:valAx>
        <c:axId val="876847328"/>
        <c:scaling>
          <c:orientation val="minMax"/>
          <c:max val="70000"/>
          <c:min val="0"/>
        </c:scaling>
        <c:delete val="0"/>
        <c:axPos val="r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76840768"/>
        <c:crosses val="max"/>
        <c:crossBetween val="between"/>
      </c:valAx>
      <c:catAx>
        <c:axId val="876840768"/>
        <c:scaling>
          <c:orientation val="minMax"/>
        </c:scaling>
        <c:delete val="1"/>
        <c:axPos val="b"/>
        <c:majorTickMark val="out"/>
        <c:minorTickMark val="none"/>
        <c:tickLblPos val="nextTo"/>
        <c:crossAx val="876847328"/>
        <c:crosses val="autoZero"/>
        <c:auto val="1"/>
        <c:lblAlgn val="ctr"/>
        <c:lblOffset val="100"/>
        <c:noMultiLvlLbl val="0"/>
      </c:catAx>
      <c:spPr>
        <a:solidFill>
          <a:schemeClr val="tx1">
            <a:lumMod val="75000"/>
            <a:lumOff val="25000"/>
          </a:schemeClr>
        </a:solidFill>
        <a:ln>
          <a:noFill/>
        </a:ln>
        <a:effectLst/>
      </c:spPr>
    </c:plotArea>
    <c:legend>
      <c:legendPos val="b"/>
      <c:legendEntry>
        <c:idx val="0"/>
        <c:delete val="1"/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>
        <a:lumMod val="85000"/>
      </a:schemeClr>
    </a:solidFill>
    <a:ln w="44450" cap="flat" cmpd="sng" algn="ctr">
      <a:gradFill>
        <a:gsLst>
          <a:gs pos="61958">
            <a:srgbClr val="92A4B4"/>
          </a:gs>
          <a:gs pos="56000">
            <a:schemeClr val="tx1">
              <a:lumMod val="65000"/>
              <a:lumOff val="35000"/>
            </a:schemeClr>
          </a:gs>
          <a:gs pos="0">
            <a:schemeClr val="accent1">
              <a:lumMod val="5000"/>
              <a:lumOff val="95000"/>
            </a:schemeClr>
          </a:gs>
          <a:gs pos="74000">
            <a:schemeClr val="accent1">
              <a:lumMod val="45000"/>
              <a:lumOff val="55000"/>
            </a:schemeClr>
          </a:gs>
          <a:gs pos="83000">
            <a:schemeClr val="accent1">
              <a:lumMod val="45000"/>
              <a:lumOff val="55000"/>
            </a:schemeClr>
          </a:gs>
          <a:gs pos="100000">
            <a:schemeClr val="accent1">
              <a:lumMod val="30000"/>
              <a:lumOff val="70000"/>
            </a:schemeClr>
          </a:gs>
        </a:gsLst>
        <a:lin ang="5400000" scaled="1"/>
      </a:gra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2800" b="1"/>
              <a:t>CUMULES</a:t>
            </a:r>
          </a:p>
          <a:p>
            <a:pPr>
              <a:defRPr/>
            </a:pPr>
            <a:endParaRPr lang="fr-F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7.8601739028431497E-2"/>
          <c:y val="0.19872093023255813"/>
          <c:w val="0.84279652194313703"/>
          <c:h val="0.58991118842702805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Feuil2!$G$15</c:f>
              <c:strCache>
                <c:ptCount val="1"/>
                <c:pt idx="0">
                  <c:v>MOIS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Feuil2!$G$16:$G$27</c:f>
              <c:numCache>
                <c:formatCode>General</c:formatCode>
                <c:ptCount val="1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BD0-4781-9238-CF345B028DFC}"/>
            </c:ext>
          </c:extLst>
        </c:ser>
        <c:ser>
          <c:idx val="1"/>
          <c:order val="1"/>
          <c:tx>
            <c:strRef>
              <c:f>Feuil2!$H$15</c:f>
              <c:strCache>
                <c:ptCount val="1"/>
                <c:pt idx="0">
                  <c:v>ACOMPTES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Feuil2!$H$16:$H$27</c:f>
              <c:numCache>
                <c:formatCode>#,##0.00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BD0-4781-9238-CF345B028DFC}"/>
            </c:ext>
          </c:extLst>
        </c:ser>
        <c:ser>
          <c:idx val="2"/>
          <c:order val="2"/>
          <c:tx>
            <c:strRef>
              <c:f>Feuil2!$I$15</c:f>
              <c:strCache>
                <c:ptCount val="1"/>
                <c:pt idx="0">
                  <c:v>FACTURES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val>
            <c:numRef>
              <c:f>Feuil2!$I$16:$I$27</c:f>
              <c:numCache>
                <c:formatCode>#,##0.00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9BD0-4781-9238-CF345B028DF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587264976"/>
        <c:axId val="587265632"/>
      </c:barChart>
      <c:barChart>
        <c:barDir val="col"/>
        <c:grouping val="stacked"/>
        <c:varyColors val="0"/>
        <c:ser>
          <c:idx val="4"/>
          <c:order val="4"/>
          <c:tx>
            <c:strRef>
              <c:f>Feuil2!$K$15</c:f>
              <c:strCache>
                <c:ptCount val="1"/>
                <c:pt idx="0">
                  <c:v>PREVI</c:v>
                </c:pt>
              </c:strCache>
            </c:strRef>
          </c:tx>
          <c:spPr>
            <a:solidFill>
              <a:schemeClr val="accent6">
                <a:lumMod val="75000"/>
              </a:schemeClr>
            </a:solidFill>
            <a:ln w="25400">
              <a:noFill/>
            </a:ln>
            <a:effectLst/>
          </c:spPr>
          <c:invertIfNegative val="0"/>
          <c:val>
            <c:numRef>
              <c:f>Feuil2!$K$16:$K$27</c:f>
              <c:numCache>
                <c:formatCode>General</c:formatCode>
                <c:ptCount val="12"/>
                <c:pt idx="9" formatCode="_(&quot;€&quot;* #,##0.00_);_(&quot;€&quot;* \(#,##0.00\);_(&quot;€&quot;* &quot;-&quot;??_);_(@_)">
                  <c:v>35026</c:v>
                </c:pt>
                <c:pt idx="10" formatCode="_(&quot;€&quot;* #,##0.00_);_(&quot;€&quot;* \(#,##0.00\);_(&quot;€&quot;* &quot;-&quot;??_);_(@_)">
                  <c:v>116026</c:v>
                </c:pt>
                <c:pt idx="11" formatCode="_(&quot;€&quot;* #,##0.00_);_(&quot;€&quot;* \(#,##0.00\);_(&quot;€&quot;* &quot;-&quot;??_);_(@_)">
                  <c:v>222026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4C5-4C97-B194-B5DC2E66ACD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0"/>
        <c:overlap val="100"/>
        <c:axId val="844808688"/>
        <c:axId val="844321816"/>
      </c:barChart>
      <c:lineChart>
        <c:grouping val="standard"/>
        <c:varyColors val="0"/>
        <c:ser>
          <c:idx val="3"/>
          <c:order val="3"/>
          <c:tx>
            <c:strRef>
              <c:f>Feuil2!$J$15</c:f>
              <c:strCache>
                <c:ptCount val="1"/>
                <c:pt idx="0">
                  <c:v>BUDGET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dash"/>
            <c:size val="13"/>
            <c:spPr>
              <a:solidFill>
                <a:schemeClr val="accent4"/>
              </a:solidFill>
              <a:ln w="50800">
                <a:solidFill>
                  <a:srgbClr val="FF0000"/>
                </a:solidFill>
              </a:ln>
              <a:effectLst/>
            </c:spPr>
          </c:marker>
          <c:val>
            <c:numRef>
              <c:f>Feuil2!$J$16:$J$27</c:f>
              <c:numCache>
                <c:formatCode>#,##0.00</c:formatCode>
                <c:ptCount val="12"/>
                <c:pt idx="0">
                  <c:v>28830</c:v>
                </c:pt>
                <c:pt idx="1">
                  <c:v>58590</c:v>
                </c:pt>
                <c:pt idx="2">
                  <c:v>91140</c:v>
                </c:pt>
                <c:pt idx="3">
                  <c:v>132990</c:v>
                </c:pt>
                <c:pt idx="4">
                  <c:v>174840</c:v>
                </c:pt>
                <c:pt idx="5">
                  <c:v>216690</c:v>
                </c:pt>
                <c:pt idx="6">
                  <c:v>249240</c:v>
                </c:pt>
                <c:pt idx="7">
                  <c:v>281790</c:v>
                </c:pt>
                <c:pt idx="8">
                  <c:v>323640</c:v>
                </c:pt>
                <c:pt idx="9">
                  <c:v>365490</c:v>
                </c:pt>
                <c:pt idx="10">
                  <c:v>393390</c:v>
                </c:pt>
                <c:pt idx="11">
                  <c:v>417384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4C5-4C97-B194-B5DC2E66ACD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87264976"/>
        <c:axId val="587265632"/>
      </c:lineChart>
      <c:catAx>
        <c:axId val="587264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87265632"/>
        <c:crosses val="autoZero"/>
        <c:auto val="1"/>
        <c:lblAlgn val="ctr"/>
        <c:lblOffset val="100"/>
        <c:noMultiLvlLbl val="0"/>
      </c:catAx>
      <c:valAx>
        <c:axId val="5872656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87264976"/>
        <c:crosses val="autoZero"/>
        <c:crossBetween val="between"/>
      </c:valAx>
      <c:valAx>
        <c:axId val="844321816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bg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44808688"/>
        <c:crosses val="max"/>
        <c:crossBetween val="between"/>
      </c:valAx>
      <c:catAx>
        <c:axId val="844808688"/>
        <c:scaling>
          <c:orientation val="minMax"/>
        </c:scaling>
        <c:delete val="1"/>
        <c:axPos val="b"/>
        <c:majorTickMark val="out"/>
        <c:minorTickMark val="none"/>
        <c:tickLblPos val="nextTo"/>
        <c:crossAx val="844321816"/>
        <c:crosses val="autoZero"/>
        <c:auto val="1"/>
        <c:lblAlgn val="ctr"/>
        <c:lblOffset val="100"/>
        <c:noMultiLvlLbl val="0"/>
      </c:catAx>
      <c:spPr>
        <a:solidFill>
          <a:schemeClr val="tx1">
            <a:lumMod val="75000"/>
            <a:lumOff val="25000"/>
          </a:schemeClr>
        </a:solidFill>
        <a:ln>
          <a:noFill/>
        </a:ln>
        <a:effectLst/>
      </c:spPr>
    </c:plotArea>
    <c:legend>
      <c:legendPos val="b"/>
      <c:legendEntry>
        <c:idx val="0"/>
        <c:delete val="1"/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>
        <a:lumMod val="85000"/>
      </a:schemeClr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b="1"/>
              <a:t>SOLDES FIN DE MPOIS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15"/>
      <c:rotY val="2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line3DChart>
        <c:grouping val="standard"/>
        <c:varyColors val="0"/>
        <c:ser>
          <c:idx val="0"/>
          <c:order val="0"/>
          <c:tx>
            <c:strRef>
              <c:f>Feuil4!$C$3</c:f>
              <c:strCache>
                <c:ptCount val="1"/>
                <c:pt idx="0">
                  <c:v>REEL 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cat>
            <c:strRef>
              <c:f>Feuil4!$D$2:$P$2</c:f>
              <c:strCache>
                <c:ptCount val="13"/>
                <c:pt idx="1">
                  <c:v>janv</c:v>
                </c:pt>
                <c:pt idx="2">
                  <c:v>févr</c:v>
                </c:pt>
                <c:pt idx="3">
                  <c:v>mars</c:v>
                </c:pt>
                <c:pt idx="4">
                  <c:v>avr</c:v>
                </c:pt>
                <c:pt idx="5">
                  <c:v>mai</c:v>
                </c:pt>
                <c:pt idx="6">
                  <c:v>juin</c:v>
                </c:pt>
                <c:pt idx="7">
                  <c:v>juil</c:v>
                </c:pt>
                <c:pt idx="8">
                  <c:v>août</c:v>
                </c:pt>
                <c:pt idx="9">
                  <c:v>sept</c:v>
                </c:pt>
                <c:pt idx="10">
                  <c:v>oct</c:v>
                </c:pt>
                <c:pt idx="11">
                  <c:v>nov</c:v>
                </c:pt>
                <c:pt idx="12">
                  <c:v>déc</c:v>
                </c:pt>
              </c:strCache>
            </c:strRef>
          </c:cat>
          <c:val>
            <c:numRef>
              <c:f>Feuil4!$D$3:$P$3</c:f>
              <c:numCache>
                <c:formatCode>#,##0</c:formatCode>
                <c:ptCount val="13"/>
                <c:pt idx="1">
                  <c:v>-33570.620000000003</c:v>
                </c:pt>
                <c:pt idx="2">
                  <c:v>-24472.799999999996</c:v>
                </c:pt>
                <c:pt idx="3">
                  <c:v>-40827.919999999998</c:v>
                </c:pt>
                <c:pt idx="4">
                  <c:v>39096.539999999994</c:v>
                </c:pt>
                <c:pt idx="5">
                  <c:v>10388.869999999984</c:v>
                </c:pt>
                <c:pt idx="6">
                  <c:v>-17117.500000000015</c:v>
                </c:pt>
                <c:pt idx="7">
                  <c:v>-13331.55000000001</c:v>
                </c:pt>
                <c:pt idx="8">
                  <c:v>-8459.4700000000084</c:v>
                </c:pt>
                <c:pt idx="9">
                  <c:v>26078.769999999997</c:v>
                </c:pt>
                <c:pt idx="10">
                  <c:v>26078.769999999997</c:v>
                </c:pt>
                <c:pt idx="11">
                  <c:v>26078.769999999997</c:v>
                </c:pt>
                <c:pt idx="12">
                  <c:v>26078.769999999997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872-4E7F-B392-D2971110E400}"/>
            </c:ext>
          </c:extLst>
        </c:ser>
        <c:ser>
          <c:idx val="1"/>
          <c:order val="1"/>
          <c:tx>
            <c:strRef>
              <c:f>Feuil4!$C$4</c:f>
              <c:strCache>
                <c:ptCount val="1"/>
                <c:pt idx="0">
                  <c:v>PREVU 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cat>
            <c:strRef>
              <c:f>Feuil4!$D$2:$P$2</c:f>
              <c:strCache>
                <c:ptCount val="13"/>
                <c:pt idx="1">
                  <c:v>janv</c:v>
                </c:pt>
                <c:pt idx="2">
                  <c:v>févr</c:v>
                </c:pt>
                <c:pt idx="3">
                  <c:v>mars</c:v>
                </c:pt>
                <c:pt idx="4">
                  <c:v>avr</c:v>
                </c:pt>
                <c:pt idx="5">
                  <c:v>mai</c:v>
                </c:pt>
                <c:pt idx="6">
                  <c:v>juin</c:v>
                </c:pt>
                <c:pt idx="7">
                  <c:v>juil</c:v>
                </c:pt>
                <c:pt idx="8">
                  <c:v>août</c:v>
                </c:pt>
                <c:pt idx="9">
                  <c:v>sept</c:v>
                </c:pt>
                <c:pt idx="10">
                  <c:v>oct</c:v>
                </c:pt>
                <c:pt idx="11">
                  <c:v>nov</c:v>
                </c:pt>
                <c:pt idx="12">
                  <c:v>déc</c:v>
                </c:pt>
              </c:strCache>
            </c:strRef>
          </c:cat>
          <c:val>
            <c:numRef>
              <c:f>Feuil4!$D$4:$P$4</c:f>
              <c:numCache>
                <c:formatCode>#,##0</c:formatCode>
                <c:ptCount val="13"/>
                <c:pt idx="1">
                  <c:v>-33570.620000000003</c:v>
                </c:pt>
                <c:pt idx="2">
                  <c:v>-24472.799999999996</c:v>
                </c:pt>
                <c:pt idx="3">
                  <c:v>-40827.919999999998</c:v>
                </c:pt>
                <c:pt idx="4">
                  <c:v>39096.539999999994</c:v>
                </c:pt>
                <c:pt idx="5">
                  <c:v>10388.869999999984</c:v>
                </c:pt>
                <c:pt idx="6">
                  <c:v>-17117.500000000015</c:v>
                </c:pt>
                <c:pt idx="7">
                  <c:v>-13331.55000000001</c:v>
                </c:pt>
                <c:pt idx="8">
                  <c:v>-8459.4700000000084</c:v>
                </c:pt>
                <c:pt idx="9">
                  <c:v>26078.769999999997</c:v>
                </c:pt>
                <c:pt idx="10">
                  <c:v>26300.769999999997</c:v>
                </c:pt>
                <c:pt idx="11">
                  <c:v>-11629.230000000003</c:v>
                </c:pt>
                <c:pt idx="12">
                  <c:v>-29919.230000000003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872-4E7F-B392-D2971110E40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41540176"/>
        <c:axId val="641541816"/>
        <c:axId val="681903712"/>
      </c:line3DChart>
      <c:catAx>
        <c:axId val="6415401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5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41541816"/>
        <c:crosses val="autoZero"/>
        <c:auto val="1"/>
        <c:lblAlgn val="ctr"/>
        <c:lblOffset val="100"/>
        <c:noMultiLvlLbl val="0"/>
      </c:catAx>
      <c:valAx>
        <c:axId val="6415418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41540176"/>
        <c:crosses val="autoZero"/>
        <c:crossBetween val="between"/>
      </c:valAx>
      <c:serAx>
        <c:axId val="681903712"/>
        <c:scaling>
          <c:orientation val="minMax"/>
        </c:scaling>
        <c:delete val="0"/>
        <c:axPos val="b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41541816"/>
        <c:crosses val="autoZero"/>
      </c:ser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2">
        <a:lumMod val="90000"/>
      </a:schemeClr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800" b="1"/>
              <a:t>CA MENSUELS CUMULES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'bal mens '!$A$8</c:f>
              <c:strCache>
                <c:ptCount val="1"/>
                <c:pt idx="0">
                  <c:v>2017</c:v>
                </c:pt>
              </c:strCache>
            </c:strRef>
          </c:tx>
          <c:spPr>
            <a:solidFill>
              <a:schemeClr val="tx1">
                <a:lumMod val="65000"/>
                <a:lumOff val="35000"/>
              </a:schemeClr>
            </a:solidFill>
            <a:ln>
              <a:noFill/>
            </a:ln>
            <a:effectLst/>
          </c:spPr>
          <c:invertIfNegative val="0"/>
          <c:cat>
            <c:numRef>
              <c:f>'bal mens '!$B$7:$M$7</c:f>
              <c:numCache>
                <c:formatCode>General</c:formatCode>
                <c:ptCount val="1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</c:numCache>
            </c:numRef>
          </c:cat>
          <c:val>
            <c:numRef>
              <c:f>'bal mens '!$B$8:$M$8</c:f>
              <c:numCache>
                <c:formatCode>General</c:formatCode>
                <c:ptCount val="12"/>
                <c:pt idx="0">
                  <c:v>13540</c:v>
                </c:pt>
                <c:pt idx="1">
                  <c:v>39842</c:v>
                </c:pt>
                <c:pt idx="2">
                  <c:v>45996</c:v>
                </c:pt>
                <c:pt idx="3">
                  <c:v>69981</c:v>
                </c:pt>
                <c:pt idx="4">
                  <c:v>123939</c:v>
                </c:pt>
                <c:pt idx="5">
                  <c:v>164729</c:v>
                </c:pt>
                <c:pt idx="6">
                  <c:v>175547</c:v>
                </c:pt>
                <c:pt idx="7">
                  <c:v>216534</c:v>
                </c:pt>
                <c:pt idx="8">
                  <c:v>230431</c:v>
                </c:pt>
                <c:pt idx="9">
                  <c:v>240554</c:v>
                </c:pt>
                <c:pt idx="10">
                  <c:v>244612</c:v>
                </c:pt>
                <c:pt idx="11">
                  <c:v>255577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151-41DF-9316-73500B4E1241}"/>
            </c:ext>
          </c:extLst>
        </c:ser>
        <c:ser>
          <c:idx val="1"/>
          <c:order val="1"/>
          <c:tx>
            <c:strRef>
              <c:f>'bal mens '!$A$9</c:f>
              <c:strCache>
                <c:ptCount val="1"/>
                <c:pt idx="0">
                  <c:v>2018</c:v>
                </c:pt>
              </c:strCache>
            </c:strRef>
          </c:tx>
          <c:spPr>
            <a:solidFill>
              <a:schemeClr val="accent6">
                <a:lumMod val="75000"/>
              </a:schemeClr>
            </a:solidFill>
            <a:ln>
              <a:noFill/>
            </a:ln>
            <a:effectLst/>
          </c:spPr>
          <c:invertIfNegative val="0"/>
          <c:cat>
            <c:numRef>
              <c:f>'bal mens '!$B$7:$M$7</c:f>
              <c:numCache>
                <c:formatCode>General</c:formatCode>
                <c:ptCount val="1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</c:numCache>
            </c:numRef>
          </c:cat>
          <c:val>
            <c:numRef>
              <c:f>'bal mens '!$B$9:$M$9</c:f>
              <c:numCache>
                <c:formatCode>General</c:formatCode>
                <c:ptCount val="12"/>
                <c:pt idx="0">
                  <c:v>3951</c:v>
                </c:pt>
                <c:pt idx="1">
                  <c:v>4508</c:v>
                </c:pt>
                <c:pt idx="2">
                  <c:v>11134</c:v>
                </c:pt>
                <c:pt idx="3">
                  <c:v>17618</c:v>
                </c:pt>
                <c:pt idx="4">
                  <c:v>37649</c:v>
                </c:pt>
                <c:pt idx="5">
                  <c:v>90598</c:v>
                </c:pt>
                <c:pt idx="6">
                  <c:v>131470</c:v>
                </c:pt>
                <c:pt idx="7">
                  <c:v>192152</c:v>
                </c:pt>
                <c:pt idx="8">
                  <c:v>243368</c:v>
                </c:pt>
                <c:pt idx="9">
                  <c:v>243368</c:v>
                </c:pt>
                <c:pt idx="10">
                  <c:v>243368</c:v>
                </c:pt>
                <c:pt idx="11">
                  <c:v>243368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1151-41DF-9316-73500B4E124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860519688"/>
        <c:axId val="860522312"/>
      </c:barChart>
      <c:lineChart>
        <c:grouping val="standard"/>
        <c:varyColors val="0"/>
        <c:ser>
          <c:idx val="2"/>
          <c:order val="2"/>
          <c:tx>
            <c:strRef>
              <c:f>'bal mens '!$A$10</c:f>
              <c:strCache>
                <c:ptCount val="1"/>
                <c:pt idx="0">
                  <c:v>budget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dash"/>
            <c:size val="18"/>
            <c:spPr>
              <a:solidFill>
                <a:srgbClr val="FF0000"/>
              </a:solidFill>
              <a:ln w="9525">
                <a:solidFill>
                  <a:schemeClr val="accent3"/>
                </a:solidFill>
              </a:ln>
              <a:effectLst/>
            </c:spPr>
          </c:marker>
          <c:cat>
            <c:numRef>
              <c:f>'bal mens '!$B$7:$M$7</c:f>
              <c:numCache>
                <c:formatCode>General</c:formatCode>
                <c:ptCount val="1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</c:numCache>
            </c:numRef>
          </c:cat>
          <c:val>
            <c:numRef>
              <c:f>'bal mens '!$B$10:$M$10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1151-41DF-9316-73500B4E124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60519688"/>
        <c:axId val="860522312"/>
      </c:lineChart>
      <c:catAx>
        <c:axId val="86051968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60522312"/>
        <c:crosses val="autoZero"/>
        <c:auto val="1"/>
        <c:lblAlgn val="ctr"/>
        <c:lblOffset val="100"/>
        <c:noMultiLvlLbl val="0"/>
      </c:catAx>
      <c:valAx>
        <c:axId val="8605223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6051968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>
        <a:lumMod val="65000"/>
      </a:schemeClr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MARGES SUR ACHATS CUMULEES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'bal mens '!$A$19</c:f>
              <c:strCache>
                <c:ptCount val="1"/>
                <c:pt idx="0">
                  <c:v>2017</c:v>
                </c:pt>
              </c:strCache>
            </c:strRef>
          </c:tx>
          <c:spPr>
            <a:solidFill>
              <a:schemeClr val="bg1">
                <a:lumMod val="65000"/>
              </a:schemeClr>
            </a:soli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numRef>
              <c:f>'bal mens '!$B$18:$M$18</c:f>
              <c:numCache>
                <c:formatCode>General</c:formatCode>
                <c:ptCount val="1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</c:numCache>
            </c:numRef>
          </c:cat>
          <c:val>
            <c:numRef>
              <c:f>'bal mens '!$B$19:$M$19</c:f>
              <c:numCache>
                <c:formatCode>General</c:formatCode>
                <c:ptCount val="12"/>
                <c:pt idx="0">
                  <c:v>8352</c:v>
                </c:pt>
                <c:pt idx="1">
                  <c:v>12344</c:v>
                </c:pt>
                <c:pt idx="2">
                  <c:v>27982</c:v>
                </c:pt>
                <c:pt idx="3">
                  <c:v>29377</c:v>
                </c:pt>
                <c:pt idx="4">
                  <c:v>65372</c:v>
                </c:pt>
                <c:pt idx="5">
                  <c:v>90855</c:v>
                </c:pt>
                <c:pt idx="6">
                  <c:v>80726</c:v>
                </c:pt>
                <c:pt idx="7">
                  <c:v>115156</c:v>
                </c:pt>
                <c:pt idx="8">
                  <c:v>115957</c:v>
                </c:pt>
                <c:pt idx="9">
                  <c:v>124002</c:v>
                </c:pt>
                <c:pt idx="10">
                  <c:v>123689</c:v>
                </c:pt>
                <c:pt idx="11">
                  <c:v>151257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AC5-4BED-A0B4-EDBBAF702208}"/>
            </c:ext>
          </c:extLst>
        </c:ser>
        <c:ser>
          <c:idx val="1"/>
          <c:order val="1"/>
          <c:tx>
            <c:strRef>
              <c:f>'bal mens '!$A$20</c:f>
              <c:strCache>
                <c:ptCount val="1"/>
                <c:pt idx="0">
                  <c:v>2018</c:v>
                </c:pt>
              </c:strCache>
            </c:strRef>
          </c:tx>
          <c:spPr>
            <a:solidFill>
              <a:schemeClr val="accent6">
                <a:lumMod val="75000"/>
              </a:schemeClr>
            </a:soli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numRef>
              <c:f>'bal mens '!$B$18:$M$18</c:f>
              <c:numCache>
                <c:formatCode>General</c:formatCode>
                <c:ptCount val="1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</c:numCache>
            </c:numRef>
          </c:cat>
          <c:val>
            <c:numRef>
              <c:f>'bal mens '!$B$20:$M$20</c:f>
              <c:numCache>
                <c:formatCode>General</c:formatCode>
                <c:ptCount val="12"/>
                <c:pt idx="0">
                  <c:v>-15795</c:v>
                </c:pt>
                <c:pt idx="1">
                  <c:v>-20345</c:v>
                </c:pt>
                <c:pt idx="2">
                  <c:v>-6316</c:v>
                </c:pt>
                <c:pt idx="3">
                  <c:v>-19953</c:v>
                </c:pt>
                <c:pt idx="4">
                  <c:v>-7654</c:v>
                </c:pt>
                <c:pt idx="5">
                  <c:v>46540</c:v>
                </c:pt>
                <c:pt idx="6">
                  <c:v>60054</c:v>
                </c:pt>
                <c:pt idx="7">
                  <c:v>54757</c:v>
                </c:pt>
                <c:pt idx="8">
                  <c:v>75485</c:v>
                </c:pt>
                <c:pt idx="9">
                  <c:v>41541</c:v>
                </c:pt>
                <c:pt idx="10">
                  <c:v>-3234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AC5-4BED-A0B4-EDBBAF70220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961071048"/>
        <c:axId val="961069736"/>
      </c:barChart>
      <c:catAx>
        <c:axId val="96107104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61069736"/>
        <c:crosses val="autoZero"/>
        <c:auto val="1"/>
        <c:lblAlgn val="ctr"/>
        <c:lblOffset val="100"/>
        <c:noMultiLvlLbl val="0"/>
      </c:catAx>
      <c:valAx>
        <c:axId val="9610697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6107104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MASSE SALARIALE CUMULEE</a:t>
            </a:r>
          </a:p>
          <a:p>
            <a:pPr>
              <a:defRPr/>
            </a:pPr>
            <a:endParaRPr lang="fr-F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'bal mens '!$A$30</c:f>
              <c:strCache>
                <c:ptCount val="1"/>
                <c:pt idx="0">
                  <c:v>2017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'bal mens '!$B$29:$M$29</c:f>
              <c:numCache>
                <c:formatCode>General</c:formatCode>
                <c:ptCount val="1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</c:numCache>
            </c:numRef>
          </c:cat>
          <c:val>
            <c:numRef>
              <c:f>'bal mens '!$B$30:$M$30</c:f>
              <c:numCache>
                <c:formatCode>General</c:formatCode>
                <c:ptCount val="12"/>
                <c:pt idx="0">
                  <c:v>5082</c:v>
                </c:pt>
                <c:pt idx="1">
                  <c:v>9683</c:v>
                </c:pt>
                <c:pt idx="2">
                  <c:v>15525</c:v>
                </c:pt>
                <c:pt idx="3">
                  <c:v>22165</c:v>
                </c:pt>
                <c:pt idx="4">
                  <c:v>29405</c:v>
                </c:pt>
                <c:pt idx="5">
                  <c:v>35846</c:v>
                </c:pt>
                <c:pt idx="6">
                  <c:v>44116</c:v>
                </c:pt>
                <c:pt idx="7">
                  <c:v>51043</c:v>
                </c:pt>
                <c:pt idx="8">
                  <c:v>56399</c:v>
                </c:pt>
                <c:pt idx="9">
                  <c:v>62944</c:v>
                </c:pt>
                <c:pt idx="10">
                  <c:v>70889</c:v>
                </c:pt>
                <c:pt idx="11">
                  <c:v>81536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663-45A2-A567-24AC3FA8A9D5}"/>
            </c:ext>
          </c:extLst>
        </c:ser>
        <c:ser>
          <c:idx val="1"/>
          <c:order val="1"/>
          <c:tx>
            <c:strRef>
              <c:f>'bal mens '!$A$31</c:f>
              <c:strCache>
                <c:ptCount val="1"/>
                <c:pt idx="0">
                  <c:v>2018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'bal mens '!$B$29:$M$29</c:f>
              <c:numCache>
                <c:formatCode>General</c:formatCode>
                <c:ptCount val="1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</c:numCache>
            </c:numRef>
          </c:cat>
          <c:val>
            <c:numRef>
              <c:f>'bal mens '!$B$31:$M$31</c:f>
              <c:numCache>
                <c:formatCode>General</c:formatCode>
                <c:ptCount val="12"/>
                <c:pt idx="0">
                  <c:v>11017</c:v>
                </c:pt>
                <c:pt idx="1">
                  <c:v>23882</c:v>
                </c:pt>
                <c:pt idx="2">
                  <c:v>34681</c:v>
                </c:pt>
                <c:pt idx="3">
                  <c:v>44902</c:v>
                </c:pt>
                <c:pt idx="4">
                  <c:v>57219</c:v>
                </c:pt>
                <c:pt idx="5">
                  <c:v>74664</c:v>
                </c:pt>
                <c:pt idx="6">
                  <c:v>87505</c:v>
                </c:pt>
                <c:pt idx="7">
                  <c:v>103548</c:v>
                </c:pt>
                <c:pt idx="8">
                  <c:v>121310</c:v>
                </c:pt>
                <c:pt idx="9">
                  <c:v>121310</c:v>
                </c:pt>
                <c:pt idx="10">
                  <c:v>121310</c:v>
                </c:pt>
                <c:pt idx="11">
                  <c:v>121310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663-45A2-A567-24AC3FA8A9D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866115160"/>
        <c:axId val="866117128"/>
      </c:barChart>
      <c:catAx>
        <c:axId val="86611516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66117128"/>
        <c:crosses val="autoZero"/>
        <c:auto val="1"/>
        <c:lblAlgn val="ctr"/>
        <c:lblOffset val="100"/>
        <c:noMultiLvlLbl val="0"/>
      </c:catAx>
      <c:valAx>
        <c:axId val="8661171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6611516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>
        <a:lumMod val="85000"/>
      </a:schemeClr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6"/>
              </a:solidFill>
              <a:ln w="12700" cap="flat" cmpd="sng" algn="ctr">
                <a:solidFill>
                  <a:schemeClr val="accent6">
                    <a:shade val="50000"/>
                  </a:schemeClr>
                </a:solidFill>
                <a:prstDash val="solid"/>
                <a:miter lim="800000"/>
              </a:ln>
              <a:effectLst/>
              <a:scene3d>
                <a:camera prst="orthographicFront"/>
                <a:lightRig rig="threePt" dir="t"/>
              </a:scene3d>
              <a:sp3d>
                <a:bevelT/>
              </a:sp3d>
            </c:spPr>
            <c:extLst>
              <c:ext xmlns:c16="http://schemas.microsoft.com/office/drawing/2014/chart" uri="{C3380CC4-5D6E-409C-BE32-E72D297353CC}">
                <c16:uniqueId val="{00000002-C4B9-4AEB-99AD-3DF4AEF4F3ED}"/>
              </c:ext>
            </c:extLst>
          </c:dPt>
          <c:dPt>
            <c:idx val="1"/>
            <c:bubble3D val="0"/>
            <c:spPr>
              <a:solidFill>
                <a:schemeClr val="accent4"/>
              </a:solidFill>
              <a:ln w="12700" cap="flat" cmpd="sng" algn="ctr">
                <a:solidFill>
                  <a:schemeClr val="accent4">
                    <a:shade val="50000"/>
                  </a:schemeClr>
                </a:solidFill>
                <a:prstDash val="solid"/>
                <a:miter lim="800000"/>
              </a:ln>
              <a:effectLst/>
              <a:scene3d>
                <a:camera prst="orthographicFront"/>
                <a:lightRig rig="threePt" dir="t"/>
              </a:scene3d>
              <a:sp3d>
                <a:bevelT prst="relaxedInset"/>
              </a:sp3d>
            </c:spPr>
            <c:extLst>
              <c:ext xmlns:c16="http://schemas.microsoft.com/office/drawing/2014/chart" uri="{C3380CC4-5D6E-409C-BE32-E72D297353CC}">
                <c16:uniqueId val="{00000003-C4B9-4AEB-99AD-3DF4AEF4F3ED}"/>
              </c:ext>
            </c:extLst>
          </c:dPt>
          <c:dPt>
            <c:idx val="2"/>
            <c:bubble3D val="0"/>
            <c:spPr>
              <a:solidFill>
                <a:schemeClr val="accent2"/>
              </a:solidFill>
              <a:ln w="12700" cap="flat" cmpd="sng" algn="ctr">
                <a:solidFill>
                  <a:schemeClr val="accent2">
                    <a:shade val="50000"/>
                  </a:schemeClr>
                </a:solidFill>
                <a:prstDash val="solid"/>
                <a:miter lim="800000"/>
              </a:ln>
              <a:effectLst/>
              <a:scene3d>
                <a:camera prst="orthographicFront"/>
                <a:lightRig rig="threePt" dir="t"/>
              </a:scene3d>
              <a:sp3d>
                <a:bevelT/>
              </a:sp3d>
            </c:spPr>
            <c:extLst>
              <c:ext xmlns:c16="http://schemas.microsoft.com/office/drawing/2014/chart" uri="{C3380CC4-5D6E-409C-BE32-E72D297353CC}">
                <c16:uniqueId val="{00000004-C4B9-4AEB-99AD-3DF4AEF4F3ED}"/>
              </c:ext>
            </c:extLst>
          </c:dPt>
          <c:dPt>
            <c:idx val="3"/>
            <c:bubble3D val="0"/>
            <c:spPr>
              <a:noFill/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C4B9-4AEB-99AD-3DF4AEF4F3ED}"/>
              </c:ext>
            </c:extLst>
          </c:dPt>
          <c:cat>
            <c:strRef>
              <c:f>Feuil3!$C$7:$C$10</c:f>
              <c:strCache>
                <c:ptCount val="4"/>
                <c:pt idx="0">
                  <c:v>bon</c:v>
                </c:pt>
                <c:pt idx="1">
                  <c:v>moyen</c:v>
                </c:pt>
                <c:pt idx="2">
                  <c:v>mauvais</c:v>
                </c:pt>
                <c:pt idx="3">
                  <c:v>vide</c:v>
                </c:pt>
              </c:strCache>
            </c:strRef>
          </c:cat>
          <c:val>
            <c:numRef>
              <c:f>Feuil3!$D$7:$D$10</c:f>
              <c:numCache>
                <c:formatCode>0%</c:formatCode>
                <c:ptCount val="4"/>
                <c:pt idx="0">
                  <c:v>0.33</c:v>
                </c:pt>
                <c:pt idx="1">
                  <c:v>0.33</c:v>
                </c:pt>
                <c:pt idx="2">
                  <c:v>0.33</c:v>
                </c:pt>
                <c:pt idx="3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4B9-4AEB-99AD-3DF4AEF4F3ED}"/>
            </c:ext>
          </c:extLst>
        </c:ser>
        <c:ser>
          <c:idx val="1"/>
          <c:order val="1"/>
          <c:tx>
            <c:strRef>
              <c:f>Feuil3!$D$13:$D$15</c:f>
              <c:strCache>
                <c:ptCount val="3"/>
                <c:pt idx="0">
                  <c:v>#VALEUR!</c:v>
                </c:pt>
                <c:pt idx="1">
                  <c:v>1%</c:v>
                </c:pt>
                <c:pt idx="2">
                  <c:v>#VALEUR!</c:v>
                </c:pt>
              </c:strCache>
            </c:strRef>
          </c:tx>
          <c:dPt>
            <c:idx val="0"/>
            <c:bubble3D val="0"/>
            <c:explosion val="2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8-C4B9-4AEB-99AD-3DF4AEF4F3ED}"/>
              </c:ext>
            </c:extLst>
          </c:dPt>
          <c:val>
            <c:numLit>
              <c:formatCode>General</c:formatCode>
              <c:ptCount val="1"/>
              <c:pt idx="0">
                <c:v>1</c:v>
              </c:pt>
            </c:numLit>
          </c:val>
          <c:extLst>
            <c:ext xmlns:c16="http://schemas.microsoft.com/office/drawing/2014/chart" uri="{C3380CC4-5D6E-409C-BE32-E72D297353CC}">
              <c16:uniqueId val="{00000007-C4B9-4AEB-99AD-3DF4AEF4F3E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270"/>
        <c:holeSize val="63"/>
      </c:doughnutChart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5.jpeg"/><Relationship Id="rId13" Type="http://schemas.openxmlformats.org/officeDocument/2006/relationships/chart" Target="../charts/chart5.xml"/><Relationship Id="rId3" Type="http://schemas.openxmlformats.org/officeDocument/2006/relationships/chart" Target="../charts/chart3.xml"/><Relationship Id="rId7" Type="http://schemas.openxmlformats.org/officeDocument/2006/relationships/image" Target="../media/image4.png"/><Relationship Id="rId12" Type="http://schemas.openxmlformats.org/officeDocument/2006/relationships/chart" Target="../charts/chart4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image" Target="../media/image3.jpeg"/><Relationship Id="rId11" Type="http://schemas.openxmlformats.org/officeDocument/2006/relationships/image" Target="../media/image8.png"/><Relationship Id="rId5" Type="http://schemas.openxmlformats.org/officeDocument/2006/relationships/image" Target="../media/image2.jpeg"/><Relationship Id="rId10" Type="http://schemas.openxmlformats.org/officeDocument/2006/relationships/image" Target="../media/image7.png"/><Relationship Id="rId4" Type="http://schemas.openxmlformats.org/officeDocument/2006/relationships/image" Target="../media/image1.jpeg"/><Relationship Id="rId9" Type="http://schemas.openxmlformats.org/officeDocument/2006/relationships/image" Target="../media/image6.jpeg"/><Relationship Id="rId14" Type="http://schemas.openxmlformats.org/officeDocument/2006/relationships/chart" Target="../charts/chart6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32</xdr:row>
      <xdr:rowOff>85725</xdr:rowOff>
    </xdr:from>
    <xdr:to>
      <xdr:col>11</xdr:col>
      <xdr:colOff>295275</xdr:colOff>
      <xdr:row>49</xdr:row>
      <xdr:rowOff>152400</xdr:rowOff>
    </xdr:to>
    <xdr:graphicFrame macro="">
      <xdr:nvGraphicFramePr>
        <xdr:cNvPr id="18" name="Graphique 17">
          <a:extLst>
            <a:ext uri="{FF2B5EF4-FFF2-40B4-BE49-F238E27FC236}">
              <a16:creationId xmlns:a16="http://schemas.microsoft.com/office/drawing/2014/main" id="{B0E5E1A1-B1DA-4097-A1AC-307B5BEB1A1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466725</xdr:colOff>
      <xdr:row>32</xdr:row>
      <xdr:rowOff>123826</xdr:rowOff>
    </xdr:from>
    <xdr:to>
      <xdr:col>22</xdr:col>
      <xdr:colOff>466725</xdr:colOff>
      <xdr:row>49</xdr:row>
      <xdr:rowOff>161926</xdr:rowOff>
    </xdr:to>
    <xdr:graphicFrame macro="">
      <xdr:nvGraphicFramePr>
        <xdr:cNvPr id="20" name="Graphique 19">
          <a:extLst>
            <a:ext uri="{FF2B5EF4-FFF2-40B4-BE49-F238E27FC236}">
              <a16:creationId xmlns:a16="http://schemas.microsoft.com/office/drawing/2014/main" id="{4FD932E9-CFDF-4B7A-BCB7-745B36CA1CC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16</xdr:col>
      <xdr:colOff>276225</xdr:colOff>
      <xdr:row>17</xdr:row>
      <xdr:rowOff>257175</xdr:rowOff>
    </xdr:from>
    <xdr:to>
      <xdr:col>23</xdr:col>
      <xdr:colOff>400051</xdr:colOff>
      <xdr:row>25</xdr:row>
      <xdr:rowOff>133350</xdr:rowOff>
    </xdr:to>
    <xdr:graphicFrame macro="">
      <xdr:nvGraphicFramePr>
        <xdr:cNvPr id="24" name="Graphique 23">
          <a:extLst>
            <a:ext uri="{FF2B5EF4-FFF2-40B4-BE49-F238E27FC236}">
              <a16:creationId xmlns:a16="http://schemas.microsoft.com/office/drawing/2014/main" id="{E5C688B2-B682-483A-A3BD-F120A7B694A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7</xdr:col>
      <xdr:colOff>142875</xdr:colOff>
      <xdr:row>2</xdr:row>
      <xdr:rowOff>9525</xdr:rowOff>
    </xdr:from>
    <xdr:to>
      <xdr:col>16</xdr:col>
      <xdr:colOff>542925</xdr:colOff>
      <xdr:row>4</xdr:row>
      <xdr:rowOff>171450</xdr:rowOff>
    </xdr:to>
    <xdr:sp macro="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D600B0FC-C7BF-481B-9131-126F38CDDD80}"/>
            </a:ext>
          </a:extLst>
        </xdr:cNvPr>
        <xdr:cNvSpPr/>
      </xdr:nvSpPr>
      <xdr:spPr>
        <a:xfrm>
          <a:off x="4410075" y="390525"/>
          <a:ext cx="6000750" cy="5429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3200"/>
            <a:t>CARNET DE COMMANDES</a:t>
          </a:r>
        </a:p>
      </xdr:txBody>
    </xdr:sp>
    <xdr:clientData/>
  </xdr:twoCellAnchor>
  <xdr:twoCellAnchor>
    <xdr:from>
      <xdr:col>6</xdr:col>
      <xdr:colOff>95247</xdr:colOff>
      <xdr:row>4</xdr:row>
      <xdr:rowOff>428625</xdr:rowOff>
    </xdr:from>
    <xdr:to>
      <xdr:col>10</xdr:col>
      <xdr:colOff>536851</xdr:colOff>
      <xdr:row>14</xdr:row>
      <xdr:rowOff>156825</xdr:rowOff>
    </xdr:to>
    <xdr:grpSp>
      <xdr:nvGrpSpPr>
        <xdr:cNvPr id="34" name="Groupe 33">
          <a:extLst>
            <a:ext uri="{FF2B5EF4-FFF2-40B4-BE49-F238E27FC236}">
              <a16:creationId xmlns:a16="http://schemas.microsoft.com/office/drawing/2014/main" id="{43D397BB-3748-44CF-8F77-6F8377AF661B}"/>
            </a:ext>
          </a:extLst>
        </xdr:cNvPr>
        <xdr:cNvGrpSpPr/>
      </xdr:nvGrpSpPr>
      <xdr:grpSpPr>
        <a:xfrm>
          <a:off x="3752847" y="1190625"/>
          <a:ext cx="2880004" cy="2700000"/>
          <a:chOff x="6724646" y="1228725"/>
          <a:chExt cx="2637166" cy="2647950"/>
        </a:xfrm>
      </xdr:grpSpPr>
      <xdr:grpSp>
        <xdr:nvGrpSpPr>
          <xdr:cNvPr id="32" name="Groupe 31">
            <a:extLst>
              <a:ext uri="{FF2B5EF4-FFF2-40B4-BE49-F238E27FC236}">
                <a16:creationId xmlns:a16="http://schemas.microsoft.com/office/drawing/2014/main" id="{5203F1C9-84CE-4542-8320-D4D07D5D9238}"/>
              </a:ext>
            </a:extLst>
          </xdr:cNvPr>
          <xdr:cNvGrpSpPr/>
        </xdr:nvGrpSpPr>
        <xdr:grpSpPr>
          <a:xfrm>
            <a:off x="6724646" y="1228725"/>
            <a:ext cx="2637166" cy="2647950"/>
            <a:chOff x="6619871" y="1200150"/>
            <a:chExt cx="2637166" cy="2647950"/>
          </a:xfrm>
        </xdr:grpSpPr>
        <xdr:pic>
          <xdr:nvPicPr>
            <xdr:cNvPr id="29" name="Image 28" descr="RÃ©sultat de recherche d'images pour &quot;icone reveil&quot;">
              <a:extLst>
                <a:ext uri="{FF2B5EF4-FFF2-40B4-BE49-F238E27FC236}">
                  <a16:creationId xmlns:a16="http://schemas.microsoft.com/office/drawing/2014/main" id="{3315DCF7-5BCA-4A2D-A8A0-5944B5C353C1}"/>
                </a:ext>
              </a:extLst>
            </xdr:cNvPr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4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6734174" y="1428752"/>
              <a:ext cx="882649" cy="882650"/>
            </a:xfrm>
            <a:prstGeom prst="rect">
              <a:avLst/>
            </a:prstGeom>
            <a:noFill/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pic>
        <xdr:grpSp>
          <xdr:nvGrpSpPr>
            <xdr:cNvPr id="31" name="Groupe 30">
              <a:extLst>
                <a:ext uri="{FF2B5EF4-FFF2-40B4-BE49-F238E27FC236}">
                  <a16:creationId xmlns:a16="http://schemas.microsoft.com/office/drawing/2014/main" id="{9FFD25D7-21D1-4A9B-9471-F70B861EC808}"/>
                </a:ext>
              </a:extLst>
            </xdr:cNvPr>
            <xdr:cNvGrpSpPr/>
          </xdr:nvGrpSpPr>
          <xdr:grpSpPr>
            <a:xfrm>
              <a:off x="6619871" y="1200150"/>
              <a:ext cx="2637166" cy="2647950"/>
              <a:chOff x="6553196" y="1219200"/>
              <a:chExt cx="2637166" cy="2647950"/>
            </a:xfrm>
          </xdr:grpSpPr>
          <xdr:grpSp>
            <xdr:nvGrpSpPr>
              <xdr:cNvPr id="9" name="Groupe 8">
                <a:extLst>
                  <a:ext uri="{FF2B5EF4-FFF2-40B4-BE49-F238E27FC236}">
                    <a16:creationId xmlns:a16="http://schemas.microsoft.com/office/drawing/2014/main" id="{4505699B-D897-45D8-92ED-D54D73305EBB}"/>
                  </a:ext>
                </a:extLst>
              </xdr:cNvPr>
              <xdr:cNvGrpSpPr/>
            </xdr:nvGrpSpPr>
            <xdr:grpSpPr>
              <a:xfrm>
                <a:off x="6553196" y="1219200"/>
                <a:ext cx="2637162" cy="2647950"/>
                <a:chOff x="6553196" y="1219200"/>
                <a:chExt cx="2637162" cy="2647950"/>
              </a:xfrm>
            </xdr:grpSpPr>
            <xdr:sp macro="" textlink="">
              <xdr:nvSpPr>
                <xdr:cNvPr id="28" name="Rectangle : coins arrondis 27">
                  <a:extLst>
                    <a:ext uri="{FF2B5EF4-FFF2-40B4-BE49-F238E27FC236}">
                      <a16:creationId xmlns:a16="http://schemas.microsoft.com/office/drawing/2014/main" id="{D9B16025-18B7-4B4C-AA4A-8FD145C13E76}"/>
                    </a:ext>
                  </a:extLst>
                </xdr:cNvPr>
                <xdr:cNvSpPr/>
              </xdr:nvSpPr>
              <xdr:spPr>
                <a:xfrm>
                  <a:off x="6553196" y="1219200"/>
                  <a:ext cx="2637162" cy="2647950"/>
                </a:xfrm>
                <a:prstGeom prst="roundRect">
                  <a:avLst/>
                </a:prstGeom>
                <a:noFill/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horzOverflow="clip" rtlCol="0" anchor="t"/>
                <a:lstStyle/>
                <a:p>
                  <a:pPr algn="l"/>
                  <a:endParaRPr lang="fr-FR" sz="1100"/>
                </a:p>
              </xdr:txBody>
            </xdr:sp>
            <xdr:sp macro="" textlink="Feuil2!D5">
              <xdr:nvSpPr>
                <xdr:cNvPr id="6" name="Rectangle 5">
                  <a:extLst>
                    <a:ext uri="{FF2B5EF4-FFF2-40B4-BE49-F238E27FC236}">
                      <a16:creationId xmlns:a16="http://schemas.microsoft.com/office/drawing/2014/main" id="{E40B4510-9948-4B8F-8008-67D70B01B752}"/>
                    </a:ext>
                  </a:extLst>
                </xdr:cNvPr>
                <xdr:cNvSpPr/>
              </xdr:nvSpPr>
              <xdr:spPr>
                <a:xfrm>
                  <a:off x="7972425" y="1466850"/>
                  <a:ext cx="723900" cy="371475"/>
                </a:xfrm>
                <a:prstGeom prst="rect">
                  <a:avLst/>
                </a:prstGeom>
                <a:noFill/>
                <a:ln>
                  <a:noFill/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horzOverflow="clip" rtlCol="0" anchor="ctr"/>
                <a:lstStyle/>
                <a:p>
                  <a:pPr algn="ctr"/>
                  <a:fld id="{B2BBF672-A3D0-42A0-A4A0-D9275EE3ED6B}" type="TxLink">
                    <a:rPr lang="en-US" sz="2000" b="1" i="0" u="none" strike="noStrike">
                      <a:solidFill>
                        <a:schemeClr val="accent2">
                          <a:lumMod val="75000"/>
                        </a:schemeClr>
                      </a:solidFill>
                      <a:latin typeface="Calibri"/>
                      <a:cs typeface="Calibri"/>
                    </a:rPr>
                    <a:pPr algn="ctr"/>
                    <a:t>11.7</a:t>
                  </a:fld>
                  <a:endParaRPr lang="fr-FR" sz="1100">
                    <a:solidFill>
                      <a:schemeClr val="accent2">
                        <a:lumMod val="75000"/>
                      </a:schemeClr>
                    </a:solidFill>
                  </a:endParaRPr>
                </a:p>
              </xdr:txBody>
            </xdr:sp>
          </xdr:grpSp>
          <xdr:sp macro="" textlink="">
            <xdr:nvSpPr>
              <xdr:cNvPr id="8" name="Rectangle 7">
                <a:extLst>
                  <a:ext uri="{FF2B5EF4-FFF2-40B4-BE49-F238E27FC236}">
                    <a16:creationId xmlns:a16="http://schemas.microsoft.com/office/drawing/2014/main" id="{8A8DE52B-AED3-4F2B-93BD-E17366BD069D}"/>
                  </a:ext>
                </a:extLst>
              </xdr:cNvPr>
              <xdr:cNvSpPr/>
            </xdr:nvSpPr>
            <xdr:spPr>
              <a:xfrm>
                <a:off x="6648450" y="2505075"/>
                <a:ext cx="2541912" cy="787911"/>
              </a:xfrm>
              <a:prstGeom prst="rect">
                <a:avLst/>
              </a:prstGeom>
              <a:noFill/>
              <a:ln>
                <a:noFill/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pPr algn="l"/>
                <a:r>
                  <a:rPr lang="fr-FR" sz="1400" b="1">
                    <a:solidFill>
                      <a:sysClr val="windowText" lastClr="000000"/>
                    </a:solidFill>
                  </a:rPr>
                  <a:t>Equivallent</a:t>
                </a:r>
                <a:r>
                  <a:rPr lang="fr-FR" sz="1400" b="1" baseline="0">
                    <a:solidFill>
                      <a:sysClr val="windowText" lastClr="000000"/>
                    </a:solidFill>
                  </a:rPr>
                  <a:t> du carnet de commande </a:t>
                </a:r>
                <a:r>
                  <a:rPr lang="fr-FR" sz="1400" b="1">
                    <a:solidFill>
                      <a:sysClr val="windowText" lastClr="000000"/>
                    </a:solidFill>
                  </a:rPr>
                  <a:t>en mois de production </a:t>
                </a:r>
              </a:p>
            </xdr:txBody>
          </xdr:sp>
        </xdr:grpSp>
      </xdr:grpSp>
      <xdr:sp macro="" textlink="">
        <xdr:nvSpPr>
          <xdr:cNvPr id="33" name="Rectangle 32">
            <a:extLst>
              <a:ext uri="{FF2B5EF4-FFF2-40B4-BE49-F238E27FC236}">
                <a16:creationId xmlns:a16="http://schemas.microsoft.com/office/drawing/2014/main" id="{7E61B0FB-BE34-4FD7-980B-7697322AB052}"/>
              </a:ext>
            </a:extLst>
          </xdr:cNvPr>
          <xdr:cNvSpPr/>
        </xdr:nvSpPr>
        <xdr:spPr>
          <a:xfrm>
            <a:off x="8086725" y="1847850"/>
            <a:ext cx="781050" cy="32385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800" b="0">
                <a:solidFill>
                  <a:sysClr val="windowText" lastClr="000000"/>
                </a:solidFill>
              </a:rPr>
              <a:t>MOIS</a:t>
            </a:r>
          </a:p>
        </xdr:txBody>
      </xdr:sp>
    </xdr:grpSp>
    <xdr:clientData/>
  </xdr:twoCellAnchor>
  <xdr:twoCellAnchor>
    <xdr:from>
      <xdr:col>0</xdr:col>
      <xdr:colOff>608665</xdr:colOff>
      <xdr:row>5</xdr:row>
      <xdr:rowOff>9525</xdr:rowOff>
    </xdr:from>
    <xdr:to>
      <xdr:col>5</xdr:col>
      <xdr:colOff>440665</xdr:colOff>
      <xdr:row>14</xdr:row>
      <xdr:rowOff>175875</xdr:rowOff>
    </xdr:to>
    <xdr:grpSp>
      <xdr:nvGrpSpPr>
        <xdr:cNvPr id="40" name="Groupe 39">
          <a:extLst>
            <a:ext uri="{FF2B5EF4-FFF2-40B4-BE49-F238E27FC236}">
              <a16:creationId xmlns:a16="http://schemas.microsoft.com/office/drawing/2014/main" id="{F0003C4A-7FEB-4628-9377-1B2144F25537}"/>
            </a:ext>
          </a:extLst>
        </xdr:cNvPr>
        <xdr:cNvGrpSpPr/>
      </xdr:nvGrpSpPr>
      <xdr:grpSpPr>
        <a:xfrm>
          <a:off x="608665" y="1209675"/>
          <a:ext cx="2880000" cy="2700000"/>
          <a:chOff x="3723327" y="1200150"/>
          <a:chExt cx="2543175" cy="2700000"/>
        </a:xfrm>
      </xdr:grpSpPr>
      <xdr:grpSp>
        <xdr:nvGrpSpPr>
          <xdr:cNvPr id="39" name="Groupe 38">
            <a:extLst>
              <a:ext uri="{FF2B5EF4-FFF2-40B4-BE49-F238E27FC236}">
                <a16:creationId xmlns:a16="http://schemas.microsoft.com/office/drawing/2014/main" id="{03793FBA-7A33-4192-BF6E-CA5BA54C44CD}"/>
              </a:ext>
            </a:extLst>
          </xdr:cNvPr>
          <xdr:cNvGrpSpPr/>
        </xdr:nvGrpSpPr>
        <xdr:grpSpPr>
          <a:xfrm>
            <a:off x="3724275" y="1200150"/>
            <a:ext cx="2520000" cy="2700000"/>
            <a:chOff x="3724275" y="1200150"/>
            <a:chExt cx="2520000" cy="2700000"/>
          </a:xfrm>
        </xdr:grpSpPr>
        <xdr:grpSp>
          <xdr:nvGrpSpPr>
            <xdr:cNvPr id="38" name="Groupe 37">
              <a:extLst>
                <a:ext uri="{FF2B5EF4-FFF2-40B4-BE49-F238E27FC236}">
                  <a16:creationId xmlns:a16="http://schemas.microsoft.com/office/drawing/2014/main" id="{154A45D0-8348-4814-9A4A-AD770BD3D82F}"/>
                </a:ext>
              </a:extLst>
            </xdr:cNvPr>
            <xdr:cNvGrpSpPr/>
          </xdr:nvGrpSpPr>
          <xdr:grpSpPr>
            <a:xfrm>
              <a:off x="3724275" y="1200150"/>
              <a:ext cx="2520000" cy="2700000"/>
              <a:chOff x="3724275" y="1200150"/>
              <a:chExt cx="2520000" cy="2700000"/>
            </a:xfrm>
          </xdr:grpSpPr>
          <xdr:sp macro="" textlink="">
            <xdr:nvSpPr>
              <xdr:cNvPr id="25" name="Rectangle : coins arrondis 24">
                <a:extLst>
                  <a:ext uri="{FF2B5EF4-FFF2-40B4-BE49-F238E27FC236}">
                    <a16:creationId xmlns:a16="http://schemas.microsoft.com/office/drawing/2014/main" id="{3DEF9B5B-0042-4721-A923-BD2015257CD3}"/>
                  </a:ext>
                </a:extLst>
              </xdr:cNvPr>
              <xdr:cNvSpPr/>
            </xdr:nvSpPr>
            <xdr:spPr>
              <a:xfrm>
                <a:off x="3724275" y="1200150"/>
                <a:ext cx="2520000" cy="2700000"/>
              </a:xfrm>
              <a:prstGeom prst="roundRect">
                <a:avLst/>
              </a:prstGeom>
              <a:noFill/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fr-FR" sz="1100"/>
              </a:p>
            </xdr:txBody>
          </xdr:sp>
          <xdr:pic>
            <xdr:nvPicPr>
              <xdr:cNvPr id="35" name="Image 34" descr="RÃ©sultat de recherche d'images pour &quot;icone euro&quot;">
                <a:extLst>
                  <a:ext uri="{FF2B5EF4-FFF2-40B4-BE49-F238E27FC236}">
                    <a16:creationId xmlns:a16="http://schemas.microsoft.com/office/drawing/2014/main" id="{E517E764-5990-4CCF-8B19-E33933002FE1}"/>
                  </a:ext>
                </a:extLst>
              </xdr:cNvPr>
              <xdr:cNvPicPr>
                <a:picLocks noChangeAspect="1" noChangeArrowheads="1"/>
              </xdr:cNvPicPr>
            </xdr:nvPicPr>
            <xdr:blipFill>
              <a:blip xmlns:r="http://schemas.openxmlformats.org/officeDocument/2006/relationships" r:embed="rId5" cstate="print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rcRect/>
              <a:stretch>
                <a:fillRect/>
              </a:stretch>
            </xdr:blipFill>
            <xdr:spPr bwMode="auto">
              <a:xfrm>
                <a:off x="3829863" y="1323974"/>
                <a:ext cx="936000" cy="936000"/>
              </a:xfrm>
              <a:prstGeom prst="rect">
                <a:avLst/>
              </a:prstGeom>
              <a:noFill/>
              <a:extLst>
                <a:ext uri="{909E8E84-426E-40DD-AFC4-6F175D3DCCD1}">
                  <a14:hiddenFill xmlns:a14="http://schemas.microsoft.com/office/drawing/2010/main">
                    <a:solidFill>
                      <a:srgbClr val="FFFFFF"/>
                    </a:solidFill>
                  </a14:hiddenFill>
                </a:ext>
              </a:extLst>
            </xdr:spPr>
          </xdr:pic>
        </xdr:grpSp>
        <xdr:sp macro="" textlink="Feuil2!D3" fLocksText="0">
          <xdr:nvSpPr>
            <xdr:cNvPr id="36" name="Rectangle : coins arrondis 35">
              <a:extLst>
                <a:ext uri="{FF2B5EF4-FFF2-40B4-BE49-F238E27FC236}">
                  <a16:creationId xmlns:a16="http://schemas.microsoft.com/office/drawing/2014/main" id="{DA5B61E2-BB9C-42AC-8301-A16B476F0BCE}"/>
                </a:ext>
              </a:extLst>
            </xdr:cNvPr>
            <xdr:cNvSpPr/>
          </xdr:nvSpPr>
          <xdr:spPr>
            <a:xfrm>
              <a:off x="4705350" y="1419225"/>
              <a:ext cx="1447800" cy="542925"/>
            </a:xfrm>
            <a:prstGeom prst="roundRect">
              <a:avLst/>
            </a:prstGeom>
            <a:noFill/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fld id="{F0B7ED37-BC88-48AC-AACC-5F1A9D42DE8A}" type="TxLink">
                <a:rPr lang="en-US" sz="2000" b="1" i="0" u="none" strike="noStrike">
                  <a:solidFill>
                    <a:schemeClr val="accent2">
                      <a:lumMod val="75000"/>
                    </a:schemeClr>
                  </a:solidFill>
                  <a:latin typeface="Calibri"/>
                  <a:cs typeface="Calibri"/>
                </a:rPr>
                <a:pPr algn="l"/>
                <a:t>475 832.00</a:t>
              </a:fld>
              <a:endParaRPr lang="fr-FR" sz="1100">
                <a:solidFill>
                  <a:schemeClr val="accent2">
                    <a:lumMod val="75000"/>
                  </a:schemeClr>
                </a:solidFill>
              </a:endParaRPr>
            </a:p>
          </xdr:txBody>
        </xdr:sp>
      </xdr:grpSp>
      <xdr:sp macro="" textlink="">
        <xdr:nvSpPr>
          <xdr:cNvPr id="37" name="Rectangle 36">
            <a:extLst>
              <a:ext uri="{FF2B5EF4-FFF2-40B4-BE49-F238E27FC236}">
                <a16:creationId xmlns:a16="http://schemas.microsoft.com/office/drawing/2014/main" id="{B59975A1-B42D-4408-A1B7-85667BA05134}"/>
              </a:ext>
            </a:extLst>
          </xdr:cNvPr>
          <xdr:cNvSpPr/>
        </xdr:nvSpPr>
        <xdr:spPr>
          <a:xfrm>
            <a:off x="3723327" y="2466975"/>
            <a:ext cx="2543175" cy="619125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400" b="1">
                <a:solidFill>
                  <a:sysClr val="windowText" lastClr="000000"/>
                </a:solidFill>
              </a:rPr>
              <a:t>Valeur du carnet de commnde à ce jour</a:t>
            </a:r>
          </a:p>
        </xdr:txBody>
      </xdr:sp>
    </xdr:grpSp>
    <xdr:clientData/>
  </xdr:twoCellAnchor>
  <xdr:twoCellAnchor>
    <xdr:from>
      <xdr:col>11</xdr:col>
      <xdr:colOff>219075</xdr:colOff>
      <xdr:row>4</xdr:row>
      <xdr:rowOff>419100</xdr:rowOff>
    </xdr:from>
    <xdr:to>
      <xdr:col>16</xdr:col>
      <xdr:colOff>51075</xdr:colOff>
      <xdr:row>14</xdr:row>
      <xdr:rowOff>147300</xdr:rowOff>
    </xdr:to>
    <xdr:grpSp>
      <xdr:nvGrpSpPr>
        <xdr:cNvPr id="47" name="Groupe 46">
          <a:extLst>
            <a:ext uri="{FF2B5EF4-FFF2-40B4-BE49-F238E27FC236}">
              <a16:creationId xmlns:a16="http://schemas.microsoft.com/office/drawing/2014/main" id="{8052D2C0-DB72-474C-AFBD-5DB0CD9D921A}"/>
            </a:ext>
          </a:extLst>
        </xdr:cNvPr>
        <xdr:cNvGrpSpPr/>
      </xdr:nvGrpSpPr>
      <xdr:grpSpPr>
        <a:xfrm>
          <a:off x="6924675" y="1181100"/>
          <a:ext cx="2994300" cy="2700000"/>
          <a:chOff x="6867525" y="1209675"/>
          <a:chExt cx="2520000" cy="2700000"/>
        </a:xfrm>
      </xdr:grpSpPr>
      <xdr:grpSp>
        <xdr:nvGrpSpPr>
          <xdr:cNvPr id="45" name="Groupe 44">
            <a:extLst>
              <a:ext uri="{FF2B5EF4-FFF2-40B4-BE49-F238E27FC236}">
                <a16:creationId xmlns:a16="http://schemas.microsoft.com/office/drawing/2014/main" id="{47631D36-FA0D-4016-AF6D-08B852D54C17}"/>
              </a:ext>
            </a:extLst>
          </xdr:cNvPr>
          <xdr:cNvGrpSpPr/>
        </xdr:nvGrpSpPr>
        <xdr:grpSpPr>
          <a:xfrm>
            <a:off x="6867525" y="1209675"/>
            <a:ext cx="2520000" cy="2700000"/>
            <a:chOff x="6867525" y="1209675"/>
            <a:chExt cx="2520000" cy="2700000"/>
          </a:xfrm>
        </xdr:grpSpPr>
        <xdr:sp macro="" textlink="">
          <xdr:nvSpPr>
            <xdr:cNvPr id="5" name="Rectangle : coins arrondis 4">
              <a:extLst>
                <a:ext uri="{FF2B5EF4-FFF2-40B4-BE49-F238E27FC236}">
                  <a16:creationId xmlns:a16="http://schemas.microsoft.com/office/drawing/2014/main" id="{E3BD4080-62CA-4109-A797-30D34B407824}"/>
                </a:ext>
              </a:extLst>
            </xdr:cNvPr>
            <xdr:cNvSpPr/>
          </xdr:nvSpPr>
          <xdr:spPr>
            <a:xfrm>
              <a:off x="6867525" y="1209675"/>
              <a:ext cx="2520000" cy="2700000"/>
            </a:xfrm>
            <a:prstGeom prst="roundRect">
              <a:avLst/>
            </a:prstGeom>
            <a:noFill/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  <xdr:pic>
          <xdr:nvPicPr>
            <xdr:cNvPr id="41" name="Image 40" descr="RÃ©sultat de recherche d'images pour &quot;icone commercial&quot;">
              <a:extLst>
                <a:ext uri="{FF2B5EF4-FFF2-40B4-BE49-F238E27FC236}">
                  <a16:creationId xmlns:a16="http://schemas.microsoft.com/office/drawing/2014/main" id="{B923523D-30CC-4830-91D0-1CB7E13291A0}"/>
                </a:ext>
              </a:extLst>
            </xdr:cNvPr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6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7058055" y="1533525"/>
              <a:ext cx="936000" cy="819628"/>
            </a:xfrm>
            <a:prstGeom prst="rect">
              <a:avLst/>
            </a:prstGeom>
            <a:noFill/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pic>
        <xdr:sp macro="" textlink="Feuil2!D9">
          <xdr:nvSpPr>
            <xdr:cNvPr id="42" name="Rectangle 41">
              <a:extLst>
                <a:ext uri="{FF2B5EF4-FFF2-40B4-BE49-F238E27FC236}">
                  <a16:creationId xmlns:a16="http://schemas.microsoft.com/office/drawing/2014/main" id="{6CF1994C-41E1-4668-840B-F9047312CCFC}"/>
                </a:ext>
              </a:extLst>
            </xdr:cNvPr>
            <xdr:cNvSpPr/>
          </xdr:nvSpPr>
          <xdr:spPr>
            <a:xfrm>
              <a:off x="8010525" y="1466850"/>
              <a:ext cx="1266825" cy="476250"/>
            </a:xfrm>
            <a:prstGeom prst="rect">
              <a:avLst/>
            </a:prstGeom>
            <a:noFill/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fld id="{752FB6FA-DA34-4691-8D08-CEFB91C90F0D}" type="TxLink">
                <a:rPr lang="en-US" sz="2000" b="1" i="0" u="none" strike="noStrike">
                  <a:solidFill>
                    <a:schemeClr val="accent2">
                      <a:lumMod val="75000"/>
                    </a:schemeClr>
                  </a:solidFill>
                  <a:latin typeface="Calibri"/>
                  <a:cs typeface="Calibri"/>
                </a:rPr>
                <a:pPr algn="l"/>
                <a:t>9/9/19</a:t>
              </a:fld>
              <a:endParaRPr lang="fr-FR" sz="1100">
                <a:solidFill>
                  <a:schemeClr val="accent2">
                    <a:lumMod val="75000"/>
                  </a:schemeClr>
                </a:solidFill>
              </a:endParaRPr>
            </a:p>
          </xdr:txBody>
        </xdr:sp>
      </xdr:grpSp>
      <xdr:sp macro="" textlink="">
        <xdr:nvSpPr>
          <xdr:cNvPr id="46" name="Rectangle 45">
            <a:extLst>
              <a:ext uri="{FF2B5EF4-FFF2-40B4-BE49-F238E27FC236}">
                <a16:creationId xmlns:a16="http://schemas.microsoft.com/office/drawing/2014/main" id="{4BEEE038-BD85-4619-A363-08B636A7246D}"/>
              </a:ext>
            </a:extLst>
          </xdr:cNvPr>
          <xdr:cNvSpPr/>
        </xdr:nvSpPr>
        <xdr:spPr>
          <a:xfrm>
            <a:off x="6943726" y="2590800"/>
            <a:ext cx="2343150" cy="6096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400" b="1">
                <a:solidFill>
                  <a:sysClr val="windowText" lastClr="000000"/>
                </a:solidFill>
              </a:rPr>
              <a:t>Date critique pour la reprise des actions commerciales</a:t>
            </a:r>
          </a:p>
        </xdr:txBody>
      </xdr:sp>
    </xdr:grpSp>
    <xdr:clientData/>
  </xdr:twoCellAnchor>
  <xdr:twoCellAnchor>
    <xdr:from>
      <xdr:col>7</xdr:col>
      <xdr:colOff>238125</xdr:colOff>
      <xdr:row>15</xdr:row>
      <xdr:rowOff>76200</xdr:rowOff>
    </xdr:from>
    <xdr:to>
      <xdr:col>17</xdr:col>
      <xdr:colOff>142875</xdr:colOff>
      <xdr:row>17</xdr:row>
      <xdr:rowOff>85725</xdr:rowOff>
    </xdr:to>
    <xdr:sp macro="" textlink="">
      <xdr:nvSpPr>
        <xdr:cNvPr id="52" name="Rectangle : coins arrondis 51">
          <a:extLst>
            <a:ext uri="{FF2B5EF4-FFF2-40B4-BE49-F238E27FC236}">
              <a16:creationId xmlns:a16="http://schemas.microsoft.com/office/drawing/2014/main" id="{B3D12E1A-403A-4F59-970A-B79E8163CB66}"/>
            </a:ext>
          </a:extLst>
        </xdr:cNvPr>
        <xdr:cNvSpPr/>
      </xdr:nvSpPr>
      <xdr:spPr>
        <a:xfrm>
          <a:off x="4505325" y="4076700"/>
          <a:ext cx="6115050" cy="5429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3200"/>
            <a:t>TRESORERIE</a:t>
          </a:r>
        </a:p>
      </xdr:txBody>
    </xdr:sp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304800</xdr:colOff>
      <xdr:row>19</xdr:row>
      <xdr:rowOff>304800</xdr:rowOff>
    </xdr:to>
    <xdr:sp macro="" textlink="">
      <xdr:nvSpPr>
        <xdr:cNvPr id="1030" name="AutoShape 6" descr="RÃ©sultat de recherche d'images pour &quot;icone calendrier&quot;">
          <a:extLst>
            <a:ext uri="{FF2B5EF4-FFF2-40B4-BE49-F238E27FC236}">
              <a16:creationId xmlns:a16="http://schemas.microsoft.com/office/drawing/2014/main" id="{AF60E294-E114-4D33-AB2C-D2851F207CA4}"/>
            </a:ext>
          </a:extLst>
        </xdr:cNvPr>
        <xdr:cNvSpPr>
          <a:spLocks noChangeAspect="1" noChangeArrowheads="1"/>
        </xdr:cNvSpPr>
      </xdr:nvSpPr>
      <xdr:spPr bwMode="auto">
        <a:xfrm>
          <a:off x="609600" y="5067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84</xdr:row>
      <xdr:rowOff>0</xdr:rowOff>
    </xdr:from>
    <xdr:to>
      <xdr:col>5</xdr:col>
      <xdr:colOff>304800</xdr:colOff>
      <xdr:row>85</xdr:row>
      <xdr:rowOff>114300</xdr:rowOff>
    </xdr:to>
    <xdr:sp macro="" textlink="">
      <xdr:nvSpPr>
        <xdr:cNvPr id="1032" name="AutoShape 8" descr="RÃ©sultat de recherche d'images pour &quot;icone calendrier&quot;">
          <a:extLst>
            <a:ext uri="{FF2B5EF4-FFF2-40B4-BE49-F238E27FC236}">
              <a16:creationId xmlns:a16="http://schemas.microsoft.com/office/drawing/2014/main" id="{A4271586-FC2E-4158-AFE5-48D0FA847FBF}"/>
            </a:ext>
          </a:extLst>
        </xdr:cNvPr>
        <xdr:cNvSpPr>
          <a:spLocks noChangeAspect="1" noChangeArrowheads="1"/>
        </xdr:cNvSpPr>
      </xdr:nvSpPr>
      <xdr:spPr bwMode="auto">
        <a:xfrm>
          <a:off x="3048000" y="223075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342900</xdr:colOff>
      <xdr:row>20</xdr:row>
      <xdr:rowOff>85725</xdr:rowOff>
    </xdr:from>
    <xdr:to>
      <xdr:col>15</xdr:col>
      <xdr:colOff>600075</xdr:colOff>
      <xdr:row>21</xdr:row>
      <xdr:rowOff>123825</xdr:rowOff>
    </xdr:to>
    <xdr:sp macro="" textlink="">
      <xdr:nvSpPr>
        <xdr:cNvPr id="49" name="Rectangle 48">
          <a:extLst>
            <a:ext uri="{FF2B5EF4-FFF2-40B4-BE49-F238E27FC236}">
              <a16:creationId xmlns:a16="http://schemas.microsoft.com/office/drawing/2014/main" id="{C7C8CE2B-D4F5-44EA-A6C4-47297B421C3D}"/>
            </a:ext>
          </a:extLst>
        </xdr:cNvPr>
        <xdr:cNvSpPr/>
      </xdr:nvSpPr>
      <xdr:spPr>
        <a:xfrm>
          <a:off x="8267700" y="5514975"/>
          <a:ext cx="1590675" cy="304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>
              <a:solidFill>
                <a:sysClr val="windowText" lastClr="000000"/>
              </a:solidFill>
            </a:rPr>
            <a:t>Solde fin de mois</a:t>
          </a:r>
        </a:p>
      </xdr:txBody>
    </xdr:sp>
    <xdr:clientData/>
  </xdr:twoCellAnchor>
  <xdr:twoCellAnchor>
    <xdr:from>
      <xdr:col>7</xdr:col>
      <xdr:colOff>0</xdr:colOff>
      <xdr:row>25</xdr:row>
      <xdr:rowOff>76200</xdr:rowOff>
    </xdr:from>
    <xdr:to>
      <xdr:col>8</xdr:col>
      <xdr:colOff>104775</xdr:colOff>
      <xdr:row>26</xdr:row>
      <xdr:rowOff>200025</xdr:rowOff>
    </xdr:to>
    <xdr:sp macro="" textlink="Feuil2!G12">
      <xdr:nvSpPr>
        <xdr:cNvPr id="7" name="Rectangle 6">
          <a:extLst>
            <a:ext uri="{FF2B5EF4-FFF2-40B4-BE49-F238E27FC236}">
              <a16:creationId xmlns:a16="http://schemas.microsoft.com/office/drawing/2014/main" id="{9A9DADC7-CE2F-474B-B14E-2A4AC07AC0D2}"/>
            </a:ext>
          </a:extLst>
        </xdr:cNvPr>
        <xdr:cNvSpPr/>
      </xdr:nvSpPr>
      <xdr:spPr>
        <a:xfrm>
          <a:off x="4267200" y="7839075"/>
          <a:ext cx="714375" cy="3905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fld id="{CA6B556F-06F5-493F-925C-DD8BD127711E}" type="TxLink">
            <a:rPr lang="en-US" sz="1200" b="1" i="0" u="none" strike="noStrike">
              <a:solidFill>
                <a:srgbClr val="000000"/>
              </a:solidFill>
              <a:latin typeface="Calibri"/>
              <a:cs typeface="Calibri"/>
            </a:rPr>
            <a:pPr algn="l"/>
            <a:t>26 301</a:t>
          </a:fld>
          <a:endParaRPr lang="fr-FR" sz="1200" b="1"/>
        </a:p>
      </xdr:txBody>
    </xdr:sp>
    <xdr:clientData/>
  </xdr:twoCellAnchor>
  <xdr:twoCellAnchor>
    <xdr:from>
      <xdr:col>11</xdr:col>
      <xdr:colOff>495300</xdr:colOff>
      <xdr:row>25</xdr:row>
      <xdr:rowOff>114300</xdr:rowOff>
    </xdr:from>
    <xdr:to>
      <xdr:col>13</xdr:col>
      <xdr:colOff>209550</xdr:colOff>
      <xdr:row>27</xdr:row>
      <xdr:rowOff>219075</xdr:rowOff>
    </xdr:to>
    <xdr:sp macro="" textlink="Feuil2!H12">
      <xdr:nvSpPr>
        <xdr:cNvPr id="10" name="Rectangle 9">
          <a:extLst>
            <a:ext uri="{FF2B5EF4-FFF2-40B4-BE49-F238E27FC236}">
              <a16:creationId xmlns:a16="http://schemas.microsoft.com/office/drawing/2014/main" id="{99F48913-E7A5-440B-9E83-FD42DD9CCEBC}"/>
            </a:ext>
          </a:extLst>
        </xdr:cNvPr>
        <xdr:cNvSpPr/>
      </xdr:nvSpPr>
      <xdr:spPr>
        <a:xfrm>
          <a:off x="7200900" y="7877175"/>
          <a:ext cx="933450" cy="638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fld id="{A57DD710-8EF1-44FA-ABC4-39D5841CD597}" type="TxLink">
            <a:rPr lang="en-US" sz="1200" b="1" i="0" u="none" strike="noStrike">
              <a:solidFill>
                <a:srgbClr val="000000"/>
              </a:solidFill>
              <a:latin typeface="Calibri"/>
              <a:cs typeface="Calibri"/>
            </a:rPr>
            <a:pPr algn="l"/>
            <a:t>-11 629</a:t>
          </a:fld>
          <a:endParaRPr lang="fr-FR" sz="1200" b="1"/>
        </a:p>
      </xdr:txBody>
    </xdr:sp>
    <xdr:clientData/>
  </xdr:twoCellAnchor>
  <xdr:twoCellAnchor>
    <xdr:from>
      <xdr:col>13</xdr:col>
      <xdr:colOff>685800</xdr:colOff>
      <xdr:row>25</xdr:row>
      <xdr:rowOff>114300</xdr:rowOff>
    </xdr:from>
    <xdr:to>
      <xdr:col>15</xdr:col>
      <xdr:colOff>314325</xdr:colOff>
      <xdr:row>27</xdr:row>
      <xdr:rowOff>180975</xdr:rowOff>
    </xdr:to>
    <xdr:sp macro="" textlink="Feuil2!I12">
      <xdr:nvSpPr>
        <xdr:cNvPr id="11" name="Rectangle 10">
          <a:extLst>
            <a:ext uri="{FF2B5EF4-FFF2-40B4-BE49-F238E27FC236}">
              <a16:creationId xmlns:a16="http://schemas.microsoft.com/office/drawing/2014/main" id="{749485E9-AF27-4C2E-91C2-B78526999470}"/>
            </a:ext>
          </a:extLst>
        </xdr:cNvPr>
        <xdr:cNvSpPr/>
      </xdr:nvSpPr>
      <xdr:spPr>
        <a:xfrm>
          <a:off x="8610600" y="7877175"/>
          <a:ext cx="962025" cy="6000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fld id="{0D9FF3A4-AFC8-4781-90D7-7D3B53B0B832}" type="TxLink">
            <a:rPr lang="en-US" sz="1200" b="1" i="0" u="none" strike="noStrike">
              <a:solidFill>
                <a:srgbClr val="000000"/>
              </a:solidFill>
              <a:latin typeface="Calibri"/>
              <a:cs typeface="Calibri"/>
            </a:rPr>
            <a:pPr algn="l"/>
            <a:t>-29 919</a:t>
          </a:fld>
          <a:endParaRPr lang="fr-FR" sz="1200" b="1"/>
        </a:p>
      </xdr:txBody>
    </xdr:sp>
    <xdr:clientData/>
  </xdr:twoCellAnchor>
  <xdr:twoCellAnchor>
    <xdr:from>
      <xdr:col>0</xdr:col>
      <xdr:colOff>523875</xdr:colOff>
      <xdr:row>17</xdr:row>
      <xdr:rowOff>161924</xdr:rowOff>
    </xdr:from>
    <xdr:to>
      <xdr:col>5</xdr:col>
      <xdr:colOff>355875</xdr:colOff>
      <xdr:row>27</xdr:row>
      <xdr:rowOff>194924</xdr:rowOff>
    </xdr:to>
    <xdr:grpSp>
      <xdr:nvGrpSpPr>
        <xdr:cNvPr id="14" name="Groupe 13">
          <a:extLst>
            <a:ext uri="{FF2B5EF4-FFF2-40B4-BE49-F238E27FC236}">
              <a16:creationId xmlns:a16="http://schemas.microsoft.com/office/drawing/2014/main" id="{DB11B8E6-D9A9-405C-A526-4BC5EC87F743}"/>
            </a:ext>
          </a:extLst>
        </xdr:cNvPr>
        <xdr:cNvGrpSpPr/>
      </xdr:nvGrpSpPr>
      <xdr:grpSpPr>
        <a:xfrm>
          <a:off x="523875" y="4695824"/>
          <a:ext cx="2880000" cy="3795375"/>
          <a:chOff x="590550" y="4762499"/>
          <a:chExt cx="2880000" cy="3795375"/>
        </a:xfrm>
      </xdr:grpSpPr>
      <xdr:sp macro="" textlink="Feuil4!M3">
        <xdr:nvSpPr>
          <xdr:cNvPr id="54" name="Rectangle 53">
            <a:extLst>
              <a:ext uri="{FF2B5EF4-FFF2-40B4-BE49-F238E27FC236}">
                <a16:creationId xmlns:a16="http://schemas.microsoft.com/office/drawing/2014/main" id="{2412C100-26A3-432A-94E8-969F1BF7E051}"/>
              </a:ext>
            </a:extLst>
          </xdr:cNvPr>
          <xdr:cNvSpPr/>
        </xdr:nvSpPr>
        <xdr:spPr>
          <a:xfrm>
            <a:off x="1333500" y="7877175"/>
            <a:ext cx="1638300" cy="314325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53A52FFE-BDD6-4AC4-AC0A-AFA3CD44AE92}" type="TxLink">
              <a:rPr lang="en-US" sz="1200" b="1" i="0" u="none" strike="noStrike">
                <a:solidFill>
                  <a:srgbClr val="000000"/>
                </a:solidFill>
                <a:latin typeface="Calibri"/>
                <a:cs typeface="Calibri"/>
              </a:rPr>
              <a:pPr algn="ctr"/>
              <a:t>26 079</a:t>
            </a:fld>
            <a:endParaRPr lang="fr-FR" sz="1200" b="1"/>
          </a:p>
        </xdr:txBody>
      </xdr:sp>
      <xdr:grpSp>
        <xdr:nvGrpSpPr>
          <xdr:cNvPr id="13" name="Groupe 12">
            <a:extLst>
              <a:ext uri="{FF2B5EF4-FFF2-40B4-BE49-F238E27FC236}">
                <a16:creationId xmlns:a16="http://schemas.microsoft.com/office/drawing/2014/main" id="{5A212AA9-8A30-4E5E-92F3-EF1E94FB5B95}"/>
              </a:ext>
            </a:extLst>
          </xdr:cNvPr>
          <xdr:cNvGrpSpPr/>
        </xdr:nvGrpSpPr>
        <xdr:grpSpPr>
          <a:xfrm>
            <a:off x="590550" y="4762499"/>
            <a:ext cx="2880000" cy="3795375"/>
            <a:chOff x="590550" y="4762499"/>
            <a:chExt cx="2880000" cy="3795375"/>
          </a:xfrm>
        </xdr:grpSpPr>
        <xdr:grpSp>
          <xdr:nvGrpSpPr>
            <xdr:cNvPr id="12" name="Groupe 11">
              <a:extLst>
                <a:ext uri="{FF2B5EF4-FFF2-40B4-BE49-F238E27FC236}">
                  <a16:creationId xmlns:a16="http://schemas.microsoft.com/office/drawing/2014/main" id="{F7DFAA77-ABA1-4227-BA05-A38A1B83E25F}"/>
                </a:ext>
              </a:extLst>
            </xdr:cNvPr>
            <xdr:cNvGrpSpPr/>
          </xdr:nvGrpSpPr>
          <xdr:grpSpPr>
            <a:xfrm>
              <a:off x="590550" y="4762499"/>
              <a:ext cx="2880000" cy="3795375"/>
              <a:chOff x="590550" y="4762499"/>
              <a:chExt cx="2880000" cy="3795375"/>
            </a:xfrm>
          </xdr:grpSpPr>
          <xdr:sp macro="" textlink="">
            <xdr:nvSpPr>
              <xdr:cNvPr id="48" name="Rectangle : coins arrondis 47">
                <a:extLst>
                  <a:ext uri="{FF2B5EF4-FFF2-40B4-BE49-F238E27FC236}">
                    <a16:creationId xmlns:a16="http://schemas.microsoft.com/office/drawing/2014/main" id="{2B0D294B-39E0-4C15-A8ED-C452E5B9DFB9}"/>
                  </a:ext>
                </a:extLst>
              </xdr:cNvPr>
              <xdr:cNvSpPr/>
            </xdr:nvSpPr>
            <xdr:spPr>
              <a:xfrm>
                <a:off x="590550" y="4762499"/>
                <a:ext cx="2880000" cy="3795375"/>
              </a:xfrm>
              <a:prstGeom prst="roundRect">
                <a:avLst/>
              </a:prstGeom>
              <a:noFill/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fr-FR" sz="1100"/>
              </a:p>
            </xdr:txBody>
          </xdr:sp>
          <xdr:pic>
            <xdr:nvPicPr>
              <xdr:cNvPr id="57" name="Image 56" descr="RÃ©sultat de recherche d'images pour &quot;icone calendrier&quot;">
                <a:extLst>
                  <a:ext uri="{FF2B5EF4-FFF2-40B4-BE49-F238E27FC236}">
                    <a16:creationId xmlns:a16="http://schemas.microsoft.com/office/drawing/2014/main" id="{7A366E6E-ABAE-463C-8A11-C970F9FC77E2}"/>
                  </a:ext>
                </a:extLst>
              </xdr:cNvPr>
              <xdr:cNvPicPr>
                <a:picLocks noChangeAspect="1" noChangeArrowheads="1"/>
              </xdr:cNvPicPr>
            </xdr:nvPicPr>
            <xdr:blipFill>
              <a:blip xmlns:r="http://schemas.openxmlformats.org/officeDocument/2006/relationships" r:embed="rId7" cstate="print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rcRect/>
              <a:stretch>
                <a:fillRect/>
              </a:stretch>
            </xdr:blipFill>
            <xdr:spPr bwMode="auto">
              <a:xfrm>
                <a:off x="752475" y="4800600"/>
                <a:ext cx="972000" cy="972000"/>
              </a:xfrm>
              <a:prstGeom prst="rect">
                <a:avLst/>
              </a:prstGeom>
              <a:noFill/>
              <a:extLst>
                <a:ext uri="{909E8E84-426E-40DD-AFC4-6F175D3DCCD1}">
                  <a14:hiddenFill xmlns:a14="http://schemas.microsoft.com/office/drawing/2010/main">
                    <a:solidFill>
                      <a:srgbClr val="FFFFFF"/>
                    </a:solidFill>
                  </a14:hiddenFill>
                </a:ext>
              </a:extLst>
            </xdr:spPr>
          </xdr:pic>
        </xdr:grpSp>
        <xdr:sp macro="" textlink="">
          <xdr:nvSpPr>
            <xdr:cNvPr id="3" name="Rectangle 2">
              <a:extLst>
                <a:ext uri="{FF2B5EF4-FFF2-40B4-BE49-F238E27FC236}">
                  <a16:creationId xmlns:a16="http://schemas.microsoft.com/office/drawing/2014/main" id="{CFAB7CD8-4623-4CB1-B8F5-D98B95E24FA3}"/>
                </a:ext>
              </a:extLst>
            </xdr:cNvPr>
            <xdr:cNvSpPr/>
          </xdr:nvSpPr>
          <xdr:spPr>
            <a:xfrm>
              <a:off x="1800224" y="5581650"/>
              <a:ext cx="1590675" cy="304800"/>
            </a:xfrm>
            <a:prstGeom prst="rect">
              <a:avLst/>
            </a:prstGeom>
            <a:noFill/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fr-FR" sz="1100" b="1">
                  <a:solidFill>
                    <a:sysClr val="windowText" lastClr="000000"/>
                  </a:solidFill>
                </a:rPr>
                <a:t>Solde réel fin de mois</a:t>
              </a:r>
            </a:p>
          </xdr:txBody>
        </xdr:sp>
      </xdr:grpSp>
    </xdr:grpSp>
    <xdr:clientData/>
  </xdr:twoCellAnchor>
  <xdr:twoCellAnchor>
    <xdr:from>
      <xdr:col>7</xdr:col>
      <xdr:colOff>266700</xdr:colOff>
      <xdr:row>29</xdr:row>
      <xdr:rowOff>28575</xdr:rowOff>
    </xdr:from>
    <xdr:to>
      <xdr:col>17</xdr:col>
      <xdr:colOff>171450</xdr:colOff>
      <xdr:row>32</xdr:row>
      <xdr:rowOff>0</xdr:rowOff>
    </xdr:to>
    <xdr:sp macro="" textlink="">
      <xdr:nvSpPr>
        <xdr:cNvPr id="64" name="Rectangle : coins arrondis 63">
          <a:extLst>
            <a:ext uri="{FF2B5EF4-FFF2-40B4-BE49-F238E27FC236}">
              <a16:creationId xmlns:a16="http://schemas.microsoft.com/office/drawing/2014/main" id="{8ECD9E88-C90C-48B0-8CA2-B3D7F063F243}"/>
            </a:ext>
          </a:extLst>
        </xdr:cNvPr>
        <xdr:cNvSpPr/>
      </xdr:nvSpPr>
      <xdr:spPr>
        <a:xfrm>
          <a:off x="4533900" y="8782050"/>
          <a:ext cx="6115050" cy="5429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3200"/>
            <a:t>CHIFFRE AFFAIRES</a:t>
          </a:r>
        </a:p>
      </xdr:txBody>
    </xdr:sp>
    <xdr:clientData/>
  </xdr:twoCellAnchor>
  <xdr:twoCellAnchor>
    <xdr:from>
      <xdr:col>11</xdr:col>
      <xdr:colOff>285750</xdr:colOff>
      <xdr:row>17</xdr:row>
      <xdr:rowOff>238125</xdr:rowOff>
    </xdr:from>
    <xdr:to>
      <xdr:col>16</xdr:col>
      <xdr:colOff>117750</xdr:colOff>
      <xdr:row>28</xdr:row>
      <xdr:rowOff>4425</xdr:rowOff>
    </xdr:to>
    <xdr:grpSp>
      <xdr:nvGrpSpPr>
        <xdr:cNvPr id="55" name="Groupe 54">
          <a:extLst>
            <a:ext uri="{FF2B5EF4-FFF2-40B4-BE49-F238E27FC236}">
              <a16:creationId xmlns:a16="http://schemas.microsoft.com/office/drawing/2014/main" id="{7889F6BD-CC9D-4427-80E8-6436E976E686}"/>
            </a:ext>
          </a:extLst>
        </xdr:cNvPr>
        <xdr:cNvGrpSpPr/>
      </xdr:nvGrpSpPr>
      <xdr:grpSpPr>
        <a:xfrm>
          <a:off x="6991350" y="4772025"/>
          <a:ext cx="2994300" cy="3795375"/>
          <a:chOff x="6991350" y="4772025"/>
          <a:chExt cx="2994300" cy="3795375"/>
        </a:xfrm>
      </xdr:grpSpPr>
      <xdr:sp macro="" textlink="">
        <xdr:nvSpPr>
          <xdr:cNvPr id="51" name="Rectangle : coins arrondis 50">
            <a:extLst>
              <a:ext uri="{FF2B5EF4-FFF2-40B4-BE49-F238E27FC236}">
                <a16:creationId xmlns:a16="http://schemas.microsoft.com/office/drawing/2014/main" id="{40099C1D-5A74-4672-A45A-D81DD90806A5}"/>
              </a:ext>
            </a:extLst>
          </xdr:cNvPr>
          <xdr:cNvSpPr/>
        </xdr:nvSpPr>
        <xdr:spPr>
          <a:xfrm>
            <a:off x="6991350" y="4772025"/>
            <a:ext cx="2994300" cy="3795375"/>
          </a:xfrm>
          <a:prstGeom prst="roundRect">
            <a:avLst/>
          </a:prstGeom>
          <a:noFill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pic>
        <xdr:nvPicPr>
          <xdr:cNvPr id="65" name="Image 64" descr="RÃ©sultat de recherche d'images pour &quot;icone avenir&quot;">
            <a:extLst>
              <a:ext uri="{FF2B5EF4-FFF2-40B4-BE49-F238E27FC236}">
                <a16:creationId xmlns:a16="http://schemas.microsoft.com/office/drawing/2014/main" id="{DC6BBE5F-1315-4351-A98E-D1517B677481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7229476" y="4829175"/>
            <a:ext cx="972000" cy="972000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6</xdr:col>
      <xdr:colOff>95250</xdr:colOff>
      <xdr:row>17</xdr:row>
      <xdr:rowOff>238125</xdr:rowOff>
    </xdr:from>
    <xdr:to>
      <xdr:col>10</xdr:col>
      <xdr:colOff>536850</xdr:colOff>
      <xdr:row>28</xdr:row>
      <xdr:rowOff>4425</xdr:rowOff>
    </xdr:to>
    <xdr:grpSp>
      <xdr:nvGrpSpPr>
        <xdr:cNvPr id="26" name="Groupe 25">
          <a:extLst>
            <a:ext uri="{FF2B5EF4-FFF2-40B4-BE49-F238E27FC236}">
              <a16:creationId xmlns:a16="http://schemas.microsoft.com/office/drawing/2014/main" id="{460349D0-A9D4-43B2-A318-D6F1E18C585D}"/>
            </a:ext>
          </a:extLst>
        </xdr:cNvPr>
        <xdr:cNvGrpSpPr/>
      </xdr:nvGrpSpPr>
      <xdr:grpSpPr>
        <a:xfrm>
          <a:off x="3752850" y="4772025"/>
          <a:ext cx="2880000" cy="3795375"/>
          <a:chOff x="3752850" y="4772025"/>
          <a:chExt cx="2880000" cy="3795375"/>
        </a:xfrm>
      </xdr:grpSpPr>
      <xdr:sp macro="" textlink="Feuil2!H6">
        <xdr:nvSpPr>
          <xdr:cNvPr id="16" name="Rectangle 15">
            <a:extLst>
              <a:ext uri="{FF2B5EF4-FFF2-40B4-BE49-F238E27FC236}">
                <a16:creationId xmlns:a16="http://schemas.microsoft.com/office/drawing/2014/main" id="{BCDB9ACE-2142-4E60-9443-A8B9C2CED607}"/>
              </a:ext>
            </a:extLst>
          </xdr:cNvPr>
          <xdr:cNvSpPr/>
        </xdr:nvSpPr>
        <xdr:spPr>
          <a:xfrm>
            <a:off x="5314950" y="5876925"/>
            <a:ext cx="895350" cy="295275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fld id="{FEDE8B5B-D37B-450A-88F2-B7CE9707F0C1}" type="TxLink">
              <a:rPr lang="en-US" sz="1100" b="1" i="0" u="none" strike="noStrike">
                <a:solidFill>
                  <a:sysClr val="windowText" lastClr="000000"/>
                </a:solidFill>
                <a:latin typeface="Calibri"/>
                <a:cs typeface="Calibri"/>
              </a:rPr>
              <a:pPr algn="l"/>
              <a:t>08/11/2018</a:t>
            </a:fld>
            <a:endParaRPr lang="fr-FR" sz="1100" b="1">
              <a:solidFill>
                <a:sysClr val="windowText" lastClr="000000"/>
              </a:solidFill>
            </a:endParaRPr>
          </a:p>
        </xdr:txBody>
      </xdr:sp>
      <xdr:grpSp>
        <xdr:nvGrpSpPr>
          <xdr:cNvPr id="22" name="Groupe 21">
            <a:extLst>
              <a:ext uri="{FF2B5EF4-FFF2-40B4-BE49-F238E27FC236}">
                <a16:creationId xmlns:a16="http://schemas.microsoft.com/office/drawing/2014/main" id="{91B3A62E-9297-4323-B4F8-F0E76D5B0EC2}"/>
              </a:ext>
            </a:extLst>
          </xdr:cNvPr>
          <xdr:cNvGrpSpPr/>
        </xdr:nvGrpSpPr>
        <xdr:grpSpPr>
          <a:xfrm>
            <a:off x="3752850" y="4772025"/>
            <a:ext cx="2880000" cy="3795375"/>
            <a:chOff x="3752850" y="4772025"/>
            <a:chExt cx="2880000" cy="3795375"/>
          </a:xfrm>
        </xdr:grpSpPr>
        <xdr:grpSp>
          <xdr:nvGrpSpPr>
            <xdr:cNvPr id="17" name="Groupe 16">
              <a:extLst>
                <a:ext uri="{FF2B5EF4-FFF2-40B4-BE49-F238E27FC236}">
                  <a16:creationId xmlns:a16="http://schemas.microsoft.com/office/drawing/2014/main" id="{C3EA3D28-840D-4F14-8808-F9E04701E95B}"/>
                </a:ext>
              </a:extLst>
            </xdr:cNvPr>
            <xdr:cNvGrpSpPr/>
          </xdr:nvGrpSpPr>
          <xdr:grpSpPr>
            <a:xfrm>
              <a:off x="3752850" y="4772025"/>
              <a:ext cx="2880000" cy="3795375"/>
              <a:chOff x="3752850" y="4772025"/>
              <a:chExt cx="2880000" cy="3795375"/>
            </a:xfrm>
          </xdr:grpSpPr>
          <xdr:grpSp>
            <xdr:nvGrpSpPr>
              <xdr:cNvPr id="56" name="Groupe 55">
                <a:extLst>
                  <a:ext uri="{FF2B5EF4-FFF2-40B4-BE49-F238E27FC236}">
                    <a16:creationId xmlns:a16="http://schemas.microsoft.com/office/drawing/2014/main" id="{19C40B14-F66A-417C-A3AE-938CEFC8E69D}"/>
                  </a:ext>
                </a:extLst>
              </xdr:cNvPr>
              <xdr:cNvGrpSpPr/>
            </xdr:nvGrpSpPr>
            <xdr:grpSpPr>
              <a:xfrm>
                <a:off x="3752850" y="4772025"/>
                <a:ext cx="2880000" cy="3795375"/>
                <a:chOff x="3752850" y="4772025"/>
                <a:chExt cx="2880000" cy="3795375"/>
              </a:xfrm>
            </xdr:grpSpPr>
            <xdr:sp macro="" textlink="">
              <xdr:nvSpPr>
                <xdr:cNvPr id="50" name="Rectangle : coins arrondis 49">
                  <a:extLst>
                    <a:ext uri="{FF2B5EF4-FFF2-40B4-BE49-F238E27FC236}">
                      <a16:creationId xmlns:a16="http://schemas.microsoft.com/office/drawing/2014/main" id="{CF388347-C599-41E8-AE45-A3ED4A2C2390}"/>
                    </a:ext>
                  </a:extLst>
                </xdr:cNvPr>
                <xdr:cNvSpPr/>
              </xdr:nvSpPr>
              <xdr:spPr>
                <a:xfrm>
                  <a:off x="3752850" y="4772025"/>
                  <a:ext cx="2880000" cy="3795375"/>
                </a:xfrm>
                <a:prstGeom prst="roundRect">
                  <a:avLst/>
                </a:prstGeom>
                <a:noFill/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horzOverflow="clip" rtlCol="0" anchor="t"/>
                <a:lstStyle/>
                <a:p>
                  <a:pPr algn="l"/>
                  <a:endParaRPr lang="fr-FR" sz="1100"/>
                </a:p>
              </xdr:txBody>
            </xdr:sp>
            <xdr:pic>
              <xdr:nvPicPr>
                <xdr:cNvPr id="68" name="Image 67" descr="RÃ©sultat de recherche d'images pour &quot;icone maintenant&quot;">
                  <a:extLst>
                    <a:ext uri="{FF2B5EF4-FFF2-40B4-BE49-F238E27FC236}">
                      <a16:creationId xmlns:a16="http://schemas.microsoft.com/office/drawing/2014/main" id="{F7AA44D7-E4A2-447F-848C-D0396B77BA02}"/>
                    </a:ext>
                  </a:extLst>
                </xdr:cNvPr>
                <xdr:cNvPicPr>
                  <a:picLocks noChangeAspect="1" noChangeArrowheads="1"/>
                </xdr:cNvPicPr>
              </xdr:nvPicPr>
              <xdr:blipFill>
                <a:blip xmlns:r="http://schemas.openxmlformats.org/officeDocument/2006/relationships" r:embed="rId9" cstate="print">
                  <a:extLst>
                    <a:ext uri="{28A0092B-C50C-407E-A947-70E740481C1C}">
                      <a14:useLocalDpi xmlns:a14="http://schemas.microsoft.com/office/drawing/2010/main" val="0"/>
                    </a:ext>
                  </a:extLst>
                </a:blip>
                <a:srcRect/>
                <a:stretch>
                  <a:fillRect/>
                </a:stretch>
              </xdr:blipFill>
              <xdr:spPr bwMode="auto">
                <a:xfrm>
                  <a:off x="3895725" y="4848225"/>
                  <a:ext cx="972000" cy="972000"/>
                </a:xfrm>
                <a:prstGeom prst="rect">
                  <a:avLst/>
                </a:prstGeom>
                <a:noFill/>
                <a:extLst>
                  <a:ext uri="{909E8E84-426E-40DD-AFC4-6F175D3DCCD1}">
                    <a14:hiddenFill xmlns:a14="http://schemas.microsoft.com/office/drawing/2010/main">
                      <a:solidFill>
                        <a:srgbClr val="FFFFFF"/>
                      </a:solidFill>
                    </a14:hiddenFill>
                  </a:ext>
                </a:extLst>
              </xdr:spPr>
            </xdr:pic>
          </xdr:grpSp>
          <xdr:sp macro="" textlink="">
            <xdr:nvSpPr>
              <xdr:cNvPr id="15" name="Rectangle 14">
                <a:extLst>
                  <a:ext uri="{FF2B5EF4-FFF2-40B4-BE49-F238E27FC236}">
                    <a16:creationId xmlns:a16="http://schemas.microsoft.com/office/drawing/2014/main" id="{BD67244C-1128-4520-8505-ED7D750B2548}"/>
                  </a:ext>
                </a:extLst>
              </xdr:cNvPr>
              <xdr:cNvSpPr/>
            </xdr:nvSpPr>
            <xdr:spPr>
              <a:xfrm>
                <a:off x="4248150" y="5743575"/>
                <a:ext cx="666750" cy="247650"/>
              </a:xfrm>
              <a:prstGeom prst="rect">
                <a:avLst/>
              </a:prstGeom>
              <a:noFill/>
              <a:ln>
                <a:noFill/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pPr algn="l"/>
                <a:r>
                  <a:rPr lang="fr-FR" sz="1400" b="1">
                    <a:solidFill>
                      <a:sysClr val="windowText" lastClr="000000"/>
                    </a:solidFill>
                  </a:rPr>
                  <a:t>Prévu</a:t>
                </a:r>
              </a:p>
            </xdr:txBody>
          </xdr:sp>
        </xdr:grpSp>
        <xdr:sp macro="" textlink="">
          <xdr:nvSpPr>
            <xdr:cNvPr id="21" name="Rectangle 20">
              <a:extLst>
                <a:ext uri="{FF2B5EF4-FFF2-40B4-BE49-F238E27FC236}">
                  <a16:creationId xmlns:a16="http://schemas.microsoft.com/office/drawing/2014/main" id="{66DED960-31FF-414B-A738-A6E48ABBA474}"/>
                </a:ext>
              </a:extLst>
            </xdr:cNvPr>
            <xdr:cNvSpPr/>
          </xdr:nvSpPr>
          <xdr:spPr>
            <a:xfrm>
              <a:off x="5381625" y="5667375"/>
              <a:ext cx="1057275" cy="238125"/>
            </a:xfrm>
            <a:prstGeom prst="rect">
              <a:avLst/>
            </a:prstGeom>
            <a:noFill/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fr-FR" sz="1100" b="1">
                  <a:solidFill>
                    <a:sysClr val="windowText" lastClr="000000"/>
                  </a:solidFill>
                </a:rPr>
                <a:t>Solde au :</a:t>
              </a:r>
            </a:p>
          </xdr:txBody>
        </xdr:sp>
        <xdr:sp macro="" textlink="">
          <xdr:nvSpPr>
            <xdr:cNvPr id="58" name="Rectangle 57">
              <a:extLst>
                <a:ext uri="{FF2B5EF4-FFF2-40B4-BE49-F238E27FC236}">
                  <a16:creationId xmlns:a16="http://schemas.microsoft.com/office/drawing/2014/main" id="{7AE53F8F-0F96-4753-A226-51BDE151DBD6}"/>
                </a:ext>
              </a:extLst>
            </xdr:cNvPr>
            <xdr:cNvSpPr/>
          </xdr:nvSpPr>
          <xdr:spPr>
            <a:xfrm>
              <a:off x="4933950" y="6600825"/>
              <a:ext cx="1562099" cy="238125"/>
            </a:xfrm>
            <a:prstGeom prst="rect">
              <a:avLst/>
            </a:prstGeom>
            <a:noFill/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fr-FR" sz="1100" b="1">
                  <a:solidFill>
                    <a:sysClr val="windowText" lastClr="000000"/>
                  </a:solidFill>
                </a:rPr>
                <a:t>Solde même date N-1:</a:t>
              </a:r>
            </a:p>
          </xdr:txBody>
        </xdr:sp>
      </xdr:grpSp>
    </xdr:grpSp>
    <xdr:clientData/>
  </xdr:twoCellAnchor>
  <xdr:twoCellAnchor>
    <xdr:from>
      <xdr:col>8</xdr:col>
      <xdr:colOff>342900</xdr:colOff>
      <xdr:row>22</xdr:row>
      <xdr:rowOff>123825</xdr:rowOff>
    </xdr:from>
    <xdr:to>
      <xdr:col>10</xdr:col>
      <xdr:colOff>276225</xdr:colOff>
      <xdr:row>23</xdr:row>
      <xdr:rowOff>171450</xdr:rowOff>
    </xdr:to>
    <xdr:sp macro="" textlink="Feuil2!$I$9">
      <xdr:nvSpPr>
        <xdr:cNvPr id="27" name="Rectangle 26">
          <a:extLst>
            <a:ext uri="{FF2B5EF4-FFF2-40B4-BE49-F238E27FC236}">
              <a16:creationId xmlns:a16="http://schemas.microsoft.com/office/drawing/2014/main" id="{F2903CA8-6F96-4846-9354-1A33D8ACC251}"/>
            </a:ext>
          </a:extLst>
        </xdr:cNvPr>
        <xdr:cNvSpPr/>
      </xdr:nvSpPr>
      <xdr:spPr>
        <a:xfrm>
          <a:off x="5219700" y="6191250"/>
          <a:ext cx="1152525" cy="609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fld id="{F6D5A3AD-3219-46BA-AE5F-9B305E0DD512}" type="TxLink">
            <a:rPr lang="en-US" sz="1600" b="1" i="0" u="none" strike="noStrike">
              <a:solidFill>
                <a:srgbClr val="000000"/>
              </a:solidFill>
              <a:latin typeface="Calibri"/>
              <a:cs typeface="Calibri"/>
            </a:rPr>
            <a:pPr algn="l"/>
            <a:t>22 989.71</a:t>
          </a:fld>
          <a:endParaRPr lang="fr-FR" sz="3200" b="1"/>
        </a:p>
      </xdr:txBody>
    </xdr:sp>
    <xdr:clientData/>
  </xdr:twoCellAnchor>
  <xdr:twoCellAnchor>
    <xdr:from>
      <xdr:col>8</xdr:col>
      <xdr:colOff>371475</xdr:colOff>
      <xdr:row>23</xdr:row>
      <xdr:rowOff>333375</xdr:rowOff>
    </xdr:from>
    <xdr:to>
      <xdr:col>10</xdr:col>
      <xdr:colOff>180975</xdr:colOff>
      <xdr:row>24</xdr:row>
      <xdr:rowOff>209550</xdr:rowOff>
    </xdr:to>
    <xdr:sp macro="" textlink="Feuil2!J9">
      <xdr:nvSpPr>
        <xdr:cNvPr id="2" name="Rectangle 1">
          <a:extLst>
            <a:ext uri="{FF2B5EF4-FFF2-40B4-BE49-F238E27FC236}">
              <a16:creationId xmlns:a16="http://schemas.microsoft.com/office/drawing/2014/main" id="{B57CA02F-993F-48DB-B7B6-5ABDE3636321}"/>
            </a:ext>
          </a:extLst>
        </xdr:cNvPr>
        <xdr:cNvSpPr/>
      </xdr:nvSpPr>
      <xdr:spPr>
        <a:xfrm>
          <a:off x="5248275" y="6962775"/>
          <a:ext cx="1028700" cy="4381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fld id="{DC5CA4B0-2AE8-41B2-B1B3-1B179867B0A7}" type="TxLink">
            <a:rPr lang="en-US" sz="1200" b="0" i="0" u="none" strike="noStrike">
              <a:solidFill>
                <a:srgbClr val="000000"/>
              </a:solidFill>
              <a:latin typeface="Calibri"/>
              <a:cs typeface="Calibri"/>
            </a:rPr>
            <a:pPr algn="l"/>
            <a:t>-22 117.40</a:t>
          </a:fld>
          <a:endParaRPr lang="fr-FR" sz="1200"/>
        </a:p>
      </xdr:txBody>
    </xdr:sp>
    <xdr:clientData/>
  </xdr:twoCellAnchor>
  <xdr:twoCellAnchor>
    <xdr:from>
      <xdr:col>7</xdr:col>
      <xdr:colOff>428625</xdr:colOff>
      <xdr:row>51</xdr:row>
      <xdr:rowOff>85725</xdr:rowOff>
    </xdr:from>
    <xdr:to>
      <xdr:col>17</xdr:col>
      <xdr:colOff>333375</xdr:colOff>
      <xdr:row>54</xdr:row>
      <xdr:rowOff>57150</xdr:rowOff>
    </xdr:to>
    <xdr:sp macro="" textlink="">
      <xdr:nvSpPr>
        <xdr:cNvPr id="60" name="Rectangle : coins arrondis 59">
          <a:extLst>
            <a:ext uri="{FF2B5EF4-FFF2-40B4-BE49-F238E27FC236}">
              <a16:creationId xmlns:a16="http://schemas.microsoft.com/office/drawing/2014/main" id="{F2172E48-572B-4E7D-8EE9-942D883E9FEF}"/>
            </a:ext>
          </a:extLst>
        </xdr:cNvPr>
        <xdr:cNvSpPr/>
      </xdr:nvSpPr>
      <xdr:spPr>
        <a:xfrm>
          <a:off x="4695825" y="13030200"/>
          <a:ext cx="6115050" cy="5429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3200"/>
            <a:t>PRODUCTION</a:t>
          </a:r>
        </a:p>
      </xdr:txBody>
    </xdr:sp>
    <xdr:clientData/>
  </xdr:twoCellAnchor>
  <xdr:twoCellAnchor>
    <xdr:from>
      <xdr:col>1</xdr:col>
      <xdr:colOff>19050</xdr:colOff>
      <xdr:row>55</xdr:row>
      <xdr:rowOff>152400</xdr:rowOff>
    </xdr:from>
    <xdr:to>
      <xdr:col>5</xdr:col>
      <xdr:colOff>555900</xdr:colOff>
      <xdr:row>69</xdr:row>
      <xdr:rowOff>185400</xdr:rowOff>
    </xdr:to>
    <xdr:grpSp>
      <xdr:nvGrpSpPr>
        <xdr:cNvPr id="62" name="Groupe 61">
          <a:extLst>
            <a:ext uri="{FF2B5EF4-FFF2-40B4-BE49-F238E27FC236}">
              <a16:creationId xmlns:a16="http://schemas.microsoft.com/office/drawing/2014/main" id="{807E538D-2F89-418C-AF3E-B8E39B06CEBB}"/>
            </a:ext>
          </a:extLst>
        </xdr:cNvPr>
        <xdr:cNvGrpSpPr/>
      </xdr:nvGrpSpPr>
      <xdr:grpSpPr>
        <a:xfrm>
          <a:off x="628650" y="13858875"/>
          <a:ext cx="2975250" cy="2700000"/>
          <a:chOff x="581025" y="13839825"/>
          <a:chExt cx="2975250" cy="2700000"/>
        </a:xfrm>
      </xdr:grpSpPr>
      <xdr:sp macro="" textlink="">
        <xdr:nvSpPr>
          <xdr:cNvPr id="43" name="Rectangle 42">
            <a:extLst>
              <a:ext uri="{FF2B5EF4-FFF2-40B4-BE49-F238E27FC236}">
                <a16:creationId xmlns:a16="http://schemas.microsoft.com/office/drawing/2014/main" id="{1DCD8D23-EEBF-4B10-AFBB-E481B70112E5}"/>
              </a:ext>
            </a:extLst>
          </xdr:cNvPr>
          <xdr:cNvSpPr/>
        </xdr:nvSpPr>
        <xdr:spPr>
          <a:xfrm>
            <a:off x="1352550" y="14820900"/>
            <a:ext cx="1781175" cy="7239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n-US" sz="1400" b="1">
                <a:solidFill>
                  <a:sysClr val="windowText" lastClr="000000"/>
                </a:solidFill>
              </a:rPr>
              <a:t>UO Restant à affecter</a:t>
            </a:r>
          </a:p>
        </xdr:txBody>
      </xdr:sp>
      <xdr:sp macro="" textlink="Feuil4!M12">
        <xdr:nvSpPr>
          <xdr:cNvPr id="44" name="Rectangle 43">
            <a:extLst>
              <a:ext uri="{FF2B5EF4-FFF2-40B4-BE49-F238E27FC236}">
                <a16:creationId xmlns:a16="http://schemas.microsoft.com/office/drawing/2014/main" id="{ACC2BE92-97F9-43BF-98D6-65B8C732ACDD}"/>
              </a:ext>
            </a:extLst>
          </xdr:cNvPr>
          <xdr:cNvSpPr/>
        </xdr:nvSpPr>
        <xdr:spPr>
          <a:xfrm>
            <a:off x="1543050" y="15801975"/>
            <a:ext cx="1371600" cy="5334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ctr"/>
            <a:fld id="{DBB29F79-A2BA-4AF5-AFBF-A55EF7492511}" type="TxLink">
              <a:rPr lang="en-US" sz="2800" b="1" i="0" u="none" strike="noStrike">
                <a:solidFill>
                  <a:schemeClr val="accent2">
                    <a:lumMod val="75000"/>
                  </a:schemeClr>
                </a:solidFill>
                <a:latin typeface="Calibri"/>
                <a:cs typeface="Calibri"/>
              </a:rPr>
              <a:pPr algn="ctr"/>
              <a:t>-11</a:t>
            </a:fld>
            <a:endParaRPr lang="fr-FR" sz="2800" b="1">
              <a:solidFill>
                <a:schemeClr val="accent2">
                  <a:lumMod val="75000"/>
                </a:schemeClr>
              </a:solidFill>
            </a:endParaRPr>
          </a:p>
        </xdr:txBody>
      </xdr:sp>
      <xdr:grpSp>
        <xdr:nvGrpSpPr>
          <xdr:cNvPr id="59" name="Groupe 58">
            <a:extLst>
              <a:ext uri="{FF2B5EF4-FFF2-40B4-BE49-F238E27FC236}">
                <a16:creationId xmlns:a16="http://schemas.microsoft.com/office/drawing/2014/main" id="{D195FB05-5339-4292-BAF6-D4AFAA91F743}"/>
              </a:ext>
            </a:extLst>
          </xdr:cNvPr>
          <xdr:cNvGrpSpPr/>
        </xdr:nvGrpSpPr>
        <xdr:grpSpPr>
          <a:xfrm>
            <a:off x="581025" y="13839825"/>
            <a:ext cx="2975250" cy="2700000"/>
            <a:chOff x="581025" y="13839825"/>
            <a:chExt cx="2975250" cy="2700000"/>
          </a:xfrm>
        </xdr:grpSpPr>
        <xdr:sp macro="" textlink="">
          <xdr:nvSpPr>
            <xdr:cNvPr id="30" name="Rectangle : coins arrondis 29">
              <a:extLst>
                <a:ext uri="{FF2B5EF4-FFF2-40B4-BE49-F238E27FC236}">
                  <a16:creationId xmlns:a16="http://schemas.microsoft.com/office/drawing/2014/main" id="{2C33B4A7-A619-436E-98FE-D754A6E5CD01}"/>
                </a:ext>
              </a:extLst>
            </xdr:cNvPr>
            <xdr:cNvSpPr/>
          </xdr:nvSpPr>
          <xdr:spPr>
            <a:xfrm>
              <a:off x="676275" y="13839825"/>
              <a:ext cx="2880000" cy="2700000"/>
            </a:xfrm>
            <a:prstGeom prst="roundRect">
              <a:avLst/>
            </a:prstGeom>
            <a:noFill/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  <xdr:pic>
          <xdr:nvPicPr>
            <xdr:cNvPr id="67" name="Image 66" descr="RÃ©sultat de recherche d'images pour &quot;icone temps de production&quot;">
              <a:extLst>
                <a:ext uri="{FF2B5EF4-FFF2-40B4-BE49-F238E27FC236}">
                  <a16:creationId xmlns:a16="http://schemas.microsoft.com/office/drawing/2014/main" id="{AA2AADFD-EEA4-4AA9-B2FA-E330333B47A9}"/>
                </a:ext>
              </a:extLst>
            </xdr:cNvPr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10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581025" y="13925551"/>
              <a:ext cx="1332000" cy="951429"/>
            </a:xfrm>
            <a:prstGeom prst="rect">
              <a:avLst/>
            </a:prstGeom>
            <a:noFill/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pic>
      </xdr:grpSp>
      <xdr:sp macro="" textlink="Feuil2!I7">
        <xdr:nvSpPr>
          <xdr:cNvPr id="53" name="Rectangle 52">
            <a:extLst>
              <a:ext uri="{FF2B5EF4-FFF2-40B4-BE49-F238E27FC236}">
                <a16:creationId xmlns:a16="http://schemas.microsoft.com/office/drawing/2014/main" id="{42F3A448-850E-494F-9D5A-AC1701177F89}"/>
              </a:ext>
            </a:extLst>
          </xdr:cNvPr>
          <xdr:cNvSpPr/>
        </xdr:nvSpPr>
        <xdr:spPr>
          <a:xfrm>
            <a:off x="1943101" y="14144625"/>
            <a:ext cx="1400174" cy="457200"/>
          </a:xfrm>
          <a:prstGeom prst="rect">
            <a:avLst/>
          </a:prstGeom>
          <a:solidFill>
            <a:sysClr val="window" lastClr="FFFFFF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fld id="{8D57B23F-81D5-4AEA-BB0C-526022217DDD}" type="TxLink">
              <a:rPr lang="en-US" sz="2800" b="0" i="0" u="none" strike="noStrike">
                <a:solidFill>
                  <a:schemeClr val="accent6">
                    <a:lumMod val="75000"/>
                  </a:schemeClr>
                </a:solidFill>
                <a:latin typeface="Calibri"/>
                <a:cs typeface="Calibri"/>
              </a:rPr>
              <a:pPr algn="l"/>
              <a:t>novembre</a:t>
            </a:fld>
            <a:endParaRPr lang="fr-FR" sz="2800">
              <a:solidFill>
                <a:schemeClr val="accent6">
                  <a:lumMod val="75000"/>
                </a:schemeClr>
              </a:solidFill>
            </a:endParaRPr>
          </a:p>
        </xdr:txBody>
      </xdr:sp>
    </xdr:grpSp>
    <xdr:clientData/>
  </xdr:twoCellAnchor>
  <xdr:twoCellAnchor>
    <xdr:from>
      <xdr:col>6</xdr:col>
      <xdr:colOff>228600</xdr:colOff>
      <xdr:row>56</xdr:row>
      <xdr:rowOff>9525</xdr:rowOff>
    </xdr:from>
    <xdr:to>
      <xdr:col>11</xdr:col>
      <xdr:colOff>85725</xdr:colOff>
      <xdr:row>70</xdr:row>
      <xdr:rowOff>42525</xdr:rowOff>
    </xdr:to>
    <xdr:grpSp>
      <xdr:nvGrpSpPr>
        <xdr:cNvPr id="93" name="Groupe 92">
          <a:extLst>
            <a:ext uri="{FF2B5EF4-FFF2-40B4-BE49-F238E27FC236}">
              <a16:creationId xmlns:a16="http://schemas.microsoft.com/office/drawing/2014/main" id="{97ED4012-27F6-4834-8B63-676ED05773D9}"/>
            </a:ext>
          </a:extLst>
        </xdr:cNvPr>
        <xdr:cNvGrpSpPr/>
      </xdr:nvGrpSpPr>
      <xdr:grpSpPr>
        <a:xfrm>
          <a:off x="3886200" y="13906500"/>
          <a:ext cx="2905125" cy="2700000"/>
          <a:chOff x="3848100" y="13906500"/>
          <a:chExt cx="2905125" cy="2700000"/>
        </a:xfrm>
      </xdr:grpSpPr>
      <xdr:pic>
        <xdr:nvPicPr>
          <xdr:cNvPr id="69" name="Image 68">
            <a:extLst>
              <a:ext uri="{FF2B5EF4-FFF2-40B4-BE49-F238E27FC236}">
                <a16:creationId xmlns:a16="http://schemas.microsoft.com/office/drawing/2014/main" id="{855E2B09-FC97-4AC6-A8B4-DDF92C81ACB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1"/>
          <a:stretch>
            <a:fillRect/>
          </a:stretch>
        </xdr:blipFill>
        <xdr:spPr>
          <a:xfrm>
            <a:off x="4010025" y="14097000"/>
            <a:ext cx="903960" cy="972000"/>
          </a:xfrm>
          <a:prstGeom prst="rect">
            <a:avLst/>
          </a:prstGeom>
        </xdr:spPr>
      </xdr:pic>
      <xdr:grpSp>
        <xdr:nvGrpSpPr>
          <xdr:cNvPr id="74" name="Groupe 73">
            <a:extLst>
              <a:ext uri="{FF2B5EF4-FFF2-40B4-BE49-F238E27FC236}">
                <a16:creationId xmlns:a16="http://schemas.microsoft.com/office/drawing/2014/main" id="{C9FD3773-AE58-4D0F-9380-18E98BC0278E}"/>
              </a:ext>
            </a:extLst>
          </xdr:cNvPr>
          <xdr:cNvGrpSpPr/>
        </xdr:nvGrpSpPr>
        <xdr:grpSpPr>
          <a:xfrm>
            <a:off x="3848100" y="13906500"/>
            <a:ext cx="2905125" cy="2700000"/>
            <a:chOff x="3829050" y="13916025"/>
            <a:chExt cx="2905125" cy="2700000"/>
          </a:xfrm>
        </xdr:grpSpPr>
        <xdr:sp macro="" textlink="">
          <xdr:nvSpPr>
            <xdr:cNvPr id="63" name="Rectangle : coins arrondis 62">
              <a:extLst>
                <a:ext uri="{FF2B5EF4-FFF2-40B4-BE49-F238E27FC236}">
                  <a16:creationId xmlns:a16="http://schemas.microsoft.com/office/drawing/2014/main" id="{33EDB662-9E78-4A72-B2ED-9C3B1B909212}"/>
                </a:ext>
              </a:extLst>
            </xdr:cNvPr>
            <xdr:cNvSpPr/>
          </xdr:nvSpPr>
          <xdr:spPr>
            <a:xfrm>
              <a:off x="3829050" y="13916025"/>
              <a:ext cx="2880000" cy="2700000"/>
            </a:xfrm>
            <a:prstGeom prst="roundRect">
              <a:avLst/>
            </a:prstGeom>
            <a:noFill/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  <xdr:sp macro="" textlink="">
          <xdr:nvSpPr>
            <xdr:cNvPr id="75" name="Rectangle 74">
              <a:extLst>
                <a:ext uri="{FF2B5EF4-FFF2-40B4-BE49-F238E27FC236}">
                  <a16:creationId xmlns:a16="http://schemas.microsoft.com/office/drawing/2014/main" id="{800D26D6-A644-4F3C-959E-9ECA35B86F54}"/>
                </a:ext>
              </a:extLst>
            </xdr:cNvPr>
            <xdr:cNvSpPr/>
          </xdr:nvSpPr>
          <xdr:spPr>
            <a:xfrm>
              <a:off x="4953000" y="14525625"/>
              <a:ext cx="1781175" cy="723900"/>
            </a:xfrm>
            <a:prstGeom prst="rect">
              <a:avLst/>
            </a:prstGeom>
            <a:noFill/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en-US" sz="1400" b="1">
                  <a:solidFill>
                    <a:sysClr val="windowText" lastClr="000000"/>
                  </a:solidFill>
                </a:rPr>
                <a:t>UO Restant à affecter 2018</a:t>
              </a:r>
            </a:p>
          </xdr:txBody>
        </xdr:sp>
        <xdr:sp macro="" textlink="Feuil2!K8">
          <xdr:nvSpPr>
            <xdr:cNvPr id="70" name="Rectangle 69">
              <a:extLst>
                <a:ext uri="{FF2B5EF4-FFF2-40B4-BE49-F238E27FC236}">
                  <a16:creationId xmlns:a16="http://schemas.microsoft.com/office/drawing/2014/main" id="{59DD54BC-2CA1-4E97-8718-DBD6C86A4C44}"/>
                </a:ext>
              </a:extLst>
            </xdr:cNvPr>
            <xdr:cNvSpPr/>
          </xdr:nvSpPr>
          <xdr:spPr>
            <a:xfrm>
              <a:off x="3914775" y="15287625"/>
              <a:ext cx="1276349" cy="514350"/>
            </a:xfrm>
            <a:prstGeom prst="rect">
              <a:avLst/>
            </a:prstGeom>
            <a:noFill/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fld id="{48950D07-6AC7-4F44-99BD-07A0E83AAF4F}" type="TxLink">
                <a:rPr lang="en-US" sz="1800" b="0" i="0" u="none" strike="noStrike">
                  <a:solidFill>
                    <a:srgbClr val="303030"/>
                  </a:solidFill>
                  <a:latin typeface="Consolas"/>
                </a:rPr>
                <a:pPr algn="l"/>
                <a:t>décembre</a:t>
              </a:fld>
              <a:endParaRPr lang="fr-FR" sz="1800"/>
            </a:p>
          </xdr:txBody>
        </xdr:sp>
        <xdr:sp macro="" textlink="Feuil2!L8">
          <xdr:nvSpPr>
            <xdr:cNvPr id="71" name="Rectangle 70">
              <a:extLst>
                <a:ext uri="{FF2B5EF4-FFF2-40B4-BE49-F238E27FC236}">
                  <a16:creationId xmlns:a16="http://schemas.microsoft.com/office/drawing/2014/main" id="{75BBBAEE-BA20-4196-BF36-E531220CAE8E}"/>
                </a:ext>
              </a:extLst>
            </xdr:cNvPr>
            <xdr:cNvSpPr/>
          </xdr:nvSpPr>
          <xdr:spPr>
            <a:xfrm>
              <a:off x="5448300" y="15287625"/>
              <a:ext cx="1190625" cy="485775"/>
            </a:xfrm>
            <a:prstGeom prst="rect">
              <a:avLst/>
            </a:prstGeom>
            <a:noFill/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fld id="{93D2F3E6-F139-4E50-9EA4-CD2795C19B21}" type="TxLink">
                <a:rPr lang="en-US" sz="1800" b="0" i="0" u="none" strike="noStrike">
                  <a:solidFill>
                    <a:schemeClr val="bg2">
                      <a:lumMod val="25000"/>
                    </a:schemeClr>
                  </a:solidFill>
                  <a:latin typeface="Consolas"/>
                </a:rPr>
                <a:pPr algn="l"/>
                <a:t>janvier</a:t>
              </a:fld>
              <a:endParaRPr lang="fr-FR" sz="2800">
                <a:solidFill>
                  <a:schemeClr val="bg2">
                    <a:lumMod val="25000"/>
                  </a:schemeClr>
                </a:solidFill>
              </a:endParaRPr>
            </a:p>
          </xdr:txBody>
        </xdr:sp>
        <xdr:sp macro="" textlink="Feuil4!N12">
          <xdr:nvSpPr>
            <xdr:cNvPr id="72" name="Rectangle 71">
              <a:extLst>
                <a:ext uri="{FF2B5EF4-FFF2-40B4-BE49-F238E27FC236}">
                  <a16:creationId xmlns:a16="http://schemas.microsoft.com/office/drawing/2014/main" id="{5C172B82-FA34-4291-83DE-01BFC82DC271}"/>
                </a:ext>
              </a:extLst>
            </xdr:cNvPr>
            <xdr:cNvSpPr/>
          </xdr:nvSpPr>
          <xdr:spPr>
            <a:xfrm>
              <a:off x="3943350" y="15887700"/>
              <a:ext cx="952500" cy="323850"/>
            </a:xfrm>
            <a:prstGeom prst="rect">
              <a:avLst/>
            </a:prstGeom>
            <a:noFill/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ctr"/>
              <a:fld id="{DC40FFF7-2002-4FF5-8C28-AEF8E0BBDE87}" type="TxLink">
                <a:rPr lang="en-US" sz="1600" b="0" i="0" u="none" strike="noStrike">
                  <a:solidFill>
                    <a:srgbClr val="000000"/>
                  </a:solidFill>
                  <a:latin typeface="Calibri"/>
                  <a:cs typeface="Calibri"/>
                </a:rPr>
                <a:pPr algn="ctr"/>
                <a:t>-11</a:t>
              </a:fld>
              <a:endParaRPr lang="fr-FR" sz="1600"/>
            </a:p>
          </xdr:txBody>
        </xdr:sp>
        <xdr:sp macro="" textlink="Feuil4!O12">
          <xdr:nvSpPr>
            <xdr:cNvPr id="73" name="Rectangle 72">
              <a:extLst>
                <a:ext uri="{FF2B5EF4-FFF2-40B4-BE49-F238E27FC236}">
                  <a16:creationId xmlns:a16="http://schemas.microsoft.com/office/drawing/2014/main" id="{A67B7634-305E-46D8-BB49-33433141EAFE}"/>
                </a:ext>
              </a:extLst>
            </xdr:cNvPr>
            <xdr:cNvSpPr/>
          </xdr:nvSpPr>
          <xdr:spPr>
            <a:xfrm>
              <a:off x="5457825" y="15887700"/>
              <a:ext cx="857250" cy="333375"/>
            </a:xfrm>
            <a:prstGeom prst="rect">
              <a:avLst/>
            </a:prstGeom>
            <a:noFill/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ctr"/>
              <a:fld id="{EACB3AF4-0BCE-4982-B322-ACD0582B24E6}" type="TxLink">
                <a:rPr lang="en-US" sz="1600" b="0" i="0" u="none" strike="noStrike">
                  <a:solidFill>
                    <a:srgbClr val="000000"/>
                  </a:solidFill>
                  <a:latin typeface="Calibri"/>
                  <a:cs typeface="Calibri"/>
                </a:rPr>
                <a:pPr algn="ctr"/>
                <a:t>-11</a:t>
              </a:fld>
              <a:endParaRPr lang="fr-FR" sz="1600"/>
            </a:p>
          </xdr:txBody>
        </xdr:sp>
      </xdr:grpSp>
    </xdr:grpSp>
    <xdr:clientData/>
  </xdr:twoCellAnchor>
  <xdr:twoCellAnchor>
    <xdr:from>
      <xdr:col>7</xdr:col>
      <xdr:colOff>581025</xdr:colOff>
      <xdr:row>72</xdr:row>
      <xdr:rowOff>95250</xdr:rowOff>
    </xdr:from>
    <xdr:to>
      <xdr:col>17</xdr:col>
      <xdr:colOff>485775</xdr:colOff>
      <xdr:row>75</xdr:row>
      <xdr:rowOff>66675</xdr:rowOff>
    </xdr:to>
    <xdr:sp macro="" textlink="">
      <xdr:nvSpPr>
        <xdr:cNvPr id="83" name="Rectangle : coins arrondis 82">
          <a:extLst>
            <a:ext uri="{FF2B5EF4-FFF2-40B4-BE49-F238E27FC236}">
              <a16:creationId xmlns:a16="http://schemas.microsoft.com/office/drawing/2014/main" id="{7199B94B-6466-46A3-ABF4-659631FB51E5}"/>
            </a:ext>
          </a:extLst>
        </xdr:cNvPr>
        <xdr:cNvSpPr/>
      </xdr:nvSpPr>
      <xdr:spPr>
        <a:xfrm>
          <a:off x="4848225" y="17040225"/>
          <a:ext cx="6115050" cy="5429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3200"/>
            <a:t>EXPLOITATION</a:t>
          </a:r>
        </a:p>
      </xdr:txBody>
    </xdr:sp>
    <xdr:clientData/>
  </xdr:twoCellAnchor>
  <xdr:twoCellAnchor>
    <xdr:from>
      <xdr:col>1</xdr:col>
      <xdr:colOff>609599</xdr:colOff>
      <xdr:row>77</xdr:row>
      <xdr:rowOff>0</xdr:rowOff>
    </xdr:from>
    <xdr:to>
      <xdr:col>12</xdr:col>
      <xdr:colOff>142875</xdr:colOff>
      <xdr:row>95</xdr:row>
      <xdr:rowOff>57150</xdr:rowOff>
    </xdr:to>
    <xdr:graphicFrame macro="">
      <xdr:nvGraphicFramePr>
        <xdr:cNvPr id="77" name="Graphique 76">
          <a:extLst>
            <a:ext uri="{FF2B5EF4-FFF2-40B4-BE49-F238E27FC236}">
              <a16:creationId xmlns:a16="http://schemas.microsoft.com/office/drawing/2014/main" id="{4DB1FE14-6001-4DEA-B458-89553B3EE62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12</xdr:col>
      <xdr:colOff>276224</xdr:colOff>
      <xdr:row>77</xdr:row>
      <xdr:rowOff>28575</xdr:rowOff>
    </xdr:from>
    <xdr:to>
      <xdr:col>21</xdr:col>
      <xdr:colOff>266699</xdr:colOff>
      <xdr:row>95</xdr:row>
      <xdr:rowOff>28575</xdr:rowOff>
    </xdr:to>
    <xdr:graphicFrame macro="">
      <xdr:nvGraphicFramePr>
        <xdr:cNvPr id="78" name="Graphique 77">
          <a:extLst>
            <a:ext uri="{FF2B5EF4-FFF2-40B4-BE49-F238E27FC236}">
              <a16:creationId xmlns:a16="http://schemas.microsoft.com/office/drawing/2014/main" id="{51B46E9E-F49F-4C97-BC94-B0D950C3689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16</xdr:col>
      <xdr:colOff>352425</xdr:colOff>
      <xdr:row>56</xdr:row>
      <xdr:rowOff>28575</xdr:rowOff>
    </xdr:from>
    <xdr:to>
      <xdr:col>24</xdr:col>
      <xdr:colOff>47625</xdr:colOff>
      <xdr:row>70</xdr:row>
      <xdr:rowOff>104775</xdr:rowOff>
    </xdr:to>
    <xdr:graphicFrame macro="">
      <xdr:nvGraphicFramePr>
        <xdr:cNvPr id="79" name="Graphique 78">
          <a:extLst>
            <a:ext uri="{FF2B5EF4-FFF2-40B4-BE49-F238E27FC236}">
              <a16:creationId xmlns:a16="http://schemas.microsoft.com/office/drawing/2014/main" id="{A164F8C9-CE8A-409F-A2B1-0014C60D152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11</xdr:col>
      <xdr:colOff>323850</xdr:colOff>
      <xdr:row>55</xdr:row>
      <xdr:rowOff>133350</xdr:rowOff>
    </xdr:from>
    <xdr:to>
      <xdr:col>16</xdr:col>
      <xdr:colOff>285750</xdr:colOff>
      <xdr:row>70</xdr:row>
      <xdr:rowOff>52050</xdr:rowOff>
    </xdr:to>
    <xdr:grpSp>
      <xdr:nvGrpSpPr>
        <xdr:cNvPr id="92" name="Groupe 91">
          <a:extLst>
            <a:ext uri="{FF2B5EF4-FFF2-40B4-BE49-F238E27FC236}">
              <a16:creationId xmlns:a16="http://schemas.microsoft.com/office/drawing/2014/main" id="{27DAE2A2-AE3D-4411-97EB-4D6AE02718AD}"/>
            </a:ext>
          </a:extLst>
        </xdr:cNvPr>
        <xdr:cNvGrpSpPr/>
      </xdr:nvGrpSpPr>
      <xdr:grpSpPr>
        <a:xfrm>
          <a:off x="7029450" y="13839825"/>
          <a:ext cx="3124200" cy="2776200"/>
          <a:chOff x="7019925" y="13877925"/>
          <a:chExt cx="3124200" cy="2776200"/>
        </a:xfrm>
      </xdr:grpSpPr>
      <xdr:sp macro="" textlink="">
        <xdr:nvSpPr>
          <xdr:cNvPr id="80" name="Rectangle 79">
            <a:extLst>
              <a:ext uri="{FF2B5EF4-FFF2-40B4-BE49-F238E27FC236}">
                <a16:creationId xmlns:a16="http://schemas.microsoft.com/office/drawing/2014/main" id="{49CC05F9-98BF-4857-83AF-CA02E32A68A9}"/>
              </a:ext>
            </a:extLst>
          </xdr:cNvPr>
          <xdr:cNvSpPr/>
        </xdr:nvSpPr>
        <xdr:spPr>
          <a:xfrm>
            <a:off x="7877175" y="13877925"/>
            <a:ext cx="1781175" cy="7239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n-US" sz="1400" b="1">
                <a:solidFill>
                  <a:sysClr val="windowText" lastClr="000000"/>
                </a:solidFill>
              </a:rPr>
              <a:t>UO Restant à affecter 2019</a:t>
            </a:r>
          </a:p>
        </xdr:txBody>
      </xdr:sp>
      <xdr:grpSp>
        <xdr:nvGrpSpPr>
          <xdr:cNvPr id="91" name="Groupe 90">
            <a:extLst>
              <a:ext uri="{FF2B5EF4-FFF2-40B4-BE49-F238E27FC236}">
                <a16:creationId xmlns:a16="http://schemas.microsoft.com/office/drawing/2014/main" id="{1AAA348F-0653-4934-991A-53B7290115DD}"/>
              </a:ext>
            </a:extLst>
          </xdr:cNvPr>
          <xdr:cNvGrpSpPr/>
        </xdr:nvGrpSpPr>
        <xdr:grpSpPr>
          <a:xfrm>
            <a:off x="7019925" y="13954125"/>
            <a:ext cx="3124200" cy="2700000"/>
            <a:chOff x="7019925" y="13944600"/>
            <a:chExt cx="3124200" cy="2700000"/>
          </a:xfrm>
        </xdr:grpSpPr>
        <xdr:sp macro="" textlink="">
          <xdr:nvSpPr>
            <xdr:cNvPr id="66" name="Rectangle : coins arrondis 65">
              <a:extLst>
                <a:ext uri="{FF2B5EF4-FFF2-40B4-BE49-F238E27FC236}">
                  <a16:creationId xmlns:a16="http://schemas.microsoft.com/office/drawing/2014/main" id="{509DDFFA-6FBA-4482-8F94-F3F406A228EF}"/>
                </a:ext>
              </a:extLst>
            </xdr:cNvPr>
            <xdr:cNvSpPr/>
          </xdr:nvSpPr>
          <xdr:spPr>
            <a:xfrm>
              <a:off x="7019925" y="13944600"/>
              <a:ext cx="2880000" cy="2700000"/>
            </a:xfrm>
            <a:prstGeom prst="roundRect">
              <a:avLst/>
            </a:prstGeom>
            <a:noFill/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  <xdr:sp macro="" textlink="">
          <xdr:nvSpPr>
            <xdr:cNvPr id="19" name="Rectangle 18">
              <a:extLst>
                <a:ext uri="{FF2B5EF4-FFF2-40B4-BE49-F238E27FC236}">
                  <a16:creationId xmlns:a16="http://schemas.microsoft.com/office/drawing/2014/main" id="{969F8DA5-ECD7-4A24-B1BC-2C51B0AFFB88}"/>
                </a:ext>
              </a:extLst>
            </xdr:cNvPr>
            <xdr:cNvSpPr/>
          </xdr:nvSpPr>
          <xdr:spPr>
            <a:xfrm>
              <a:off x="7058025" y="14630400"/>
              <a:ext cx="1095375" cy="285750"/>
            </a:xfrm>
            <a:prstGeom prst="rect">
              <a:avLst/>
            </a:prstGeom>
            <a:noFill/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fr-FR" sz="1800" b="0">
                  <a:solidFill>
                    <a:schemeClr val="bg2">
                      <a:lumMod val="25000"/>
                    </a:schemeClr>
                  </a:solidFill>
                  <a:latin typeface="Consolas" panose="020B0609020204030204" pitchFamily="49" charset="0"/>
                </a:rPr>
                <a:t>Janvier</a:t>
              </a:r>
            </a:p>
          </xdr:txBody>
        </xdr:sp>
        <xdr:sp macro="" textlink="">
          <xdr:nvSpPr>
            <xdr:cNvPr id="23" name="Rectangle 22">
              <a:extLst>
                <a:ext uri="{FF2B5EF4-FFF2-40B4-BE49-F238E27FC236}">
                  <a16:creationId xmlns:a16="http://schemas.microsoft.com/office/drawing/2014/main" id="{7795F946-9AAD-48E6-83B6-2394E2586BE1}"/>
                </a:ext>
              </a:extLst>
            </xdr:cNvPr>
            <xdr:cNvSpPr/>
          </xdr:nvSpPr>
          <xdr:spPr>
            <a:xfrm>
              <a:off x="8039100" y="14639925"/>
              <a:ext cx="1143000" cy="361950"/>
            </a:xfrm>
            <a:prstGeom prst="rect">
              <a:avLst/>
            </a:prstGeom>
            <a:noFill/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fr-FR" sz="1800" b="0">
                  <a:solidFill>
                    <a:schemeClr val="bg2">
                      <a:lumMod val="25000"/>
                    </a:schemeClr>
                  </a:solidFill>
                  <a:latin typeface="Consolas" panose="020B0609020204030204" pitchFamily="49" charset="0"/>
                </a:rPr>
                <a:t>Fevrier</a:t>
              </a:r>
            </a:p>
          </xdr:txBody>
        </xdr:sp>
        <xdr:sp macro="" textlink="">
          <xdr:nvSpPr>
            <xdr:cNvPr id="61" name="Rectangle 60">
              <a:extLst>
                <a:ext uri="{FF2B5EF4-FFF2-40B4-BE49-F238E27FC236}">
                  <a16:creationId xmlns:a16="http://schemas.microsoft.com/office/drawing/2014/main" id="{0604EE0E-16BE-4C0B-A49A-9C4F4ED6F09C}"/>
                </a:ext>
              </a:extLst>
            </xdr:cNvPr>
            <xdr:cNvSpPr/>
          </xdr:nvSpPr>
          <xdr:spPr>
            <a:xfrm>
              <a:off x="8724900" y="14658975"/>
              <a:ext cx="1419225" cy="295275"/>
            </a:xfrm>
            <a:prstGeom prst="rect">
              <a:avLst/>
            </a:prstGeom>
            <a:noFill/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ctr"/>
              <a:r>
                <a:rPr lang="fr-FR" sz="1800" b="0">
                  <a:solidFill>
                    <a:schemeClr val="bg2">
                      <a:lumMod val="25000"/>
                    </a:schemeClr>
                  </a:solidFill>
                  <a:latin typeface="Consolas" panose="020B0609020204030204" pitchFamily="49" charset="0"/>
                </a:rPr>
                <a:t>Mars</a:t>
              </a:r>
            </a:p>
          </xdr:txBody>
        </xdr:sp>
        <xdr:sp macro="" textlink="">
          <xdr:nvSpPr>
            <xdr:cNvPr id="76" name="Rectangle 75">
              <a:extLst>
                <a:ext uri="{FF2B5EF4-FFF2-40B4-BE49-F238E27FC236}">
                  <a16:creationId xmlns:a16="http://schemas.microsoft.com/office/drawing/2014/main" id="{5E4EE91E-9AA3-43B7-9AF9-FDA2D3DE4CB2}"/>
                </a:ext>
              </a:extLst>
            </xdr:cNvPr>
            <xdr:cNvSpPr/>
          </xdr:nvSpPr>
          <xdr:spPr>
            <a:xfrm>
              <a:off x="7172325" y="15211425"/>
              <a:ext cx="876300" cy="342900"/>
            </a:xfrm>
            <a:prstGeom prst="rect">
              <a:avLst/>
            </a:prstGeom>
            <a:noFill/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fr-FR" sz="1000" b="1">
                  <a:solidFill>
                    <a:schemeClr val="bg2">
                      <a:lumMod val="25000"/>
                    </a:schemeClr>
                  </a:solidFill>
                  <a:latin typeface="Consolas" panose="020B0609020204030204" pitchFamily="49" charset="0"/>
                </a:rPr>
                <a:t>2nd trim.</a:t>
              </a:r>
            </a:p>
          </xdr:txBody>
        </xdr:sp>
        <xdr:sp macro="" textlink="">
          <xdr:nvSpPr>
            <xdr:cNvPr id="81" name="Rectangle 80">
              <a:extLst>
                <a:ext uri="{FF2B5EF4-FFF2-40B4-BE49-F238E27FC236}">
                  <a16:creationId xmlns:a16="http://schemas.microsoft.com/office/drawing/2014/main" id="{05342038-8E82-4ECB-8FE5-3A48FC452867}"/>
                </a:ext>
              </a:extLst>
            </xdr:cNvPr>
            <xdr:cNvSpPr/>
          </xdr:nvSpPr>
          <xdr:spPr>
            <a:xfrm>
              <a:off x="8734425" y="15220950"/>
              <a:ext cx="1104900" cy="342900"/>
            </a:xfrm>
            <a:prstGeom prst="rect">
              <a:avLst/>
            </a:prstGeom>
            <a:noFill/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fr-FR" sz="1000" b="1">
                  <a:solidFill>
                    <a:schemeClr val="bg2">
                      <a:lumMod val="25000"/>
                    </a:schemeClr>
                  </a:solidFill>
                  <a:latin typeface="Consolas" panose="020B0609020204030204" pitchFamily="49" charset="0"/>
                </a:rPr>
                <a:t>3ème trim</a:t>
              </a:r>
              <a:r>
                <a:rPr lang="fr-FR" sz="1000">
                  <a:solidFill>
                    <a:schemeClr val="bg2">
                      <a:lumMod val="25000"/>
                    </a:schemeClr>
                  </a:solidFill>
                  <a:latin typeface="Consolas" panose="020B0609020204030204" pitchFamily="49" charset="0"/>
                </a:rPr>
                <a:t>.</a:t>
              </a:r>
            </a:p>
          </xdr:txBody>
        </xdr:sp>
        <xdr:sp macro="" textlink="">
          <xdr:nvSpPr>
            <xdr:cNvPr id="84" name="Rectangle 83">
              <a:extLst>
                <a:ext uri="{FF2B5EF4-FFF2-40B4-BE49-F238E27FC236}">
                  <a16:creationId xmlns:a16="http://schemas.microsoft.com/office/drawing/2014/main" id="{B834E0F6-1F81-4D1E-B777-03057C0F246E}"/>
                </a:ext>
              </a:extLst>
            </xdr:cNvPr>
            <xdr:cNvSpPr/>
          </xdr:nvSpPr>
          <xdr:spPr>
            <a:xfrm>
              <a:off x="8105774" y="15744825"/>
              <a:ext cx="1057275" cy="314325"/>
            </a:xfrm>
            <a:prstGeom prst="rect">
              <a:avLst/>
            </a:prstGeom>
            <a:noFill/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fr-FR" sz="1000" b="1">
                  <a:solidFill>
                    <a:schemeClr val="bg2">
                      <a:lumMod val="25000"/>
                    </a:schemeClr>
                  </a:solidFill>
                  <a:latin typeface="Consolas" panose="020B0609020204030204" pitchFamily="49" charset="0"/>
                </a:rPr>
                <a:t>4ème trim.</a:t>
              </a:r>
            </a:p>
          </xdr:txBody>
        </xdr:sp>
        <xdr:sp macro="" textlink="Feuil4!Q12">
          <xdr:nvSpPr>
            <xdr:cNvPr id="85" name="Rectangle 84">
              <a:extLst>
                <a:ext uri="{FF2B5EF4-FFF2-40B4-BE49-F238E27FC236}">
                  <a16:creationId xmlns:a16="http://schemas.microsoft.com/office/drawing/2014/main" id="{4AC980AF-68BE-454E-A085-25B46587503A}"/>
                </a:ext>
              </a:extLst>
            </xdr:cNvPr>
            <xdr:cNvSpPr/>
          </xdr:nvSpPr>
          <xdr:spPr>
            <a:xfrm>
              <a:off x="7315200" y="14954250"/>
              <a:ext cx="523875" cy="219075"/>
            </a:xfrm>
            <a:prstGeom prst="rect">
              <a:avLst/>
            </a:prstGeom>
            <a:noFill/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fld id="{AB13FD91-91E5-4046-A21B-F92962A59E37}" type="TxLink">
                <a:rPr lang="en-US" sz="1100" b="0" i="0" u="none" strike="noStrike">
                  <a:solidFill>
                    <a:srgbClr val="000000"/>
                  </a:solidFill>
                  <a:latin typeface="Calibri"/>
                  <a:cs typeface="Calibri"/>
                </a:rPr>
                <a:pPr algn="l"/>
                <a:t>344</a:t>
              </a:fld>
              <a:endParaRPr lang="fr-FR" sz="1100"/>
            </a:p>
          </xdr:txBody>
        </xdr:sp>
        <xdr:sp macro="" textlink="Feuil4!R12">
          <xdr:nvSpPr>
            <xdr:cNvPr id="86" name="Rectangle 85">
              <a:extLst>
                <a:ext uri="{FF2B5EF4-FFF2-40B4-BE49-F238E27FC236}">
                  <a16:creationId xmlns:a16="http://schemas.microsoft.com/office/drawing/2014/main" id="{1CE08714-4437-463B-B8B6-96B6BD75D2D4}"/>
                </a:ext>
              </a:extLst>
            </xdr:cNvPr>
            <xdr:cNvSpPr/>
          </xdr:nvSpPr>
          <xdr:spPr>
            <a:xfrm>
              <a:off x="8296275" y="14954250"/>
              <a:ext cx="485775" cy="228600"/>
            </a:xfrm>
            <a:prstGeom prst="rect">
              <a:avLst/>
            </a:prstGeom>
            <a:noFill/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fld id="{3F343C21-33E3-4FAD-A76A-8ABA3CA605BD}" type="TxLink">
                <a:rPr lang="en-US" sz="1100" b="0" i="0" u="none" strike="noStrike">
                  <a:solidFill>
                    <a:srgbClr val="000000"/>
                  </a:solidFill>
                  <a:latin typeface="Calibri"/>
                  <a:cs typeface="Calibri"/>
                </a:rPr>
                <a:pPr algn="l"/>
                <a:t>319</a:t>
              </a:fld>
              <a:endParaRPr lang="fr-FR" sz="1100"/>
            </a:p>
          </xdr:txBody>
        </xdr:sp>
        <xdr:sp macro="" textlink="Feuil4!S12">
          <xdr:nvSpPr>
            <xdr:cNvPr id="87" name="Rectangle 86">
              <a:extLst>
                <a:ext uri="{FF2B5EF4-FFF2-40B4-BE49-F238E27FC236}">
                  <a16:creationId xmlns:a16="http://schemas.microsoft.com/office/drawing/2014/main" id="{6EBA2AA2-4411-4D49-8E24-E1083C64F0A5}"/>
                </a:ext>
              </a:extLst>
            </xdr:cNvPr>
            <xdr:cNvSpPr/>
          </xdr:nvSpPr>
          <xdr:spPr>
            <a:xfrm>
              <a:off x="9201150" y="14963775"/>
              <a:ext cx="542925" cy="228600"/>
            </a:xfrm>
            <a:prstGeom prst="rect">
              <a:avLst/>
            </a:prstGeom>
            <a:noFill/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fld id="{41BD0396-FB07-4D3C-A230-08E3C1991361}" type="TxLink">
                <a:rPr lang="en-US" sz="1100" b="0" i="0" u="none" strike="noStrike">
                  <a:solidFill>
                    <a:srgbClr val="000000"/>
                  </a:solidFill>
                  <a:latin typeface="Calibri"/>
                  <a:cs typeface="Calibri"/>
                </a:rPr>
                <a:pPr algn="l"/>
                <a:t>381</a:t>
              </a:fld>
              <a:endParaRPr lang="fr-FR" sz="1100"/>
            </a:p>
          </xdr:txBody>
        </xdr:sp>
        <xdr:sp macro="" textlink="Feuil4!V13">
          <xdr:nvSpPr>
            <xdr:cNvPr id="88" name="Rectangle 87">
              <a:extLst>
                <a:ext uri="{FF2B5EF4-FFF2-40B4-BE49-F238E27FC236}">
                  <a16:creationId xmlns:a16="http://schemas.microsoft.com/office/drawing/2014/main" id="{46D47FB6-4A76-49D9-9935-1F4BA93FBAE2}"/>
                </a:ext>
              </a:extLst>
            </xdr:cNvPr>
            <xdr:cNvSpPr/>
          </xdr:nvSpPr>
          <xdr:spPr>
            <a:xfrm>
              <a:off x="7334250" y="15459075"/>
              <a:ext cx="514350" cy="228600"/>
            </a:xfrm>
            <a:prstGeom prst="rect">
              <a:avLst/>
            </a:prstGeom>
            <a:noFill/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fld id="{0CF05435-A693-4EB1-8201-3D080039025D}" type="TxLink">
                <a:rPr lang="en-US" sz="1100" b="0" i="0" u="none" strike="noStrike">
                  <a:solidFill>
                    <a:srgbClr val="000000"/>
                  </a:solidFill>
                  <a:latin typeface="Calibri"/>
                  <a:cs typeface="Calibri"/>
                </a:rPr>
                <a:pPr algn="l"/>
                <a:t>1203</a:t>
              </a:fld>
              <a:endParaRPr lang="fr-FR" sz="1100"/>
            </a:p>
          </xdr:txBody>
        </xdr:sp>
        <xdr:sp macro="" textlink="Feuil4!Y13">
          <xdr:nvSpPr>
            <xdr:cNvPr id="89" name="Rectangle 88">
              <a:extLst>
                <a:ext uri="{FF2B5EF4-FFF2-40B4-BE49-F238E27FC236}">
                  <a16:creationId xmlns:a16="http://schemas.microsoft.com/office/drawing/2014/main" id="{B0127E07-C5FB-4389-9CE5-9A9EB516A9A5}"/>
                </a:ext>
              </a:extLst>
            </xdr:cNvPr>
            <xdr:cNvSpPr/>
          </xdr:nvSpPr>
          <xdr:spPr>
            <a:xfrm>
              <a:off x="8934450" y="15478125"/>
              <a:ext cx="571500" cy="257175"/>
            </a:xfrm>
            <a:prstGeom prst="rect">
              <a:avLst/>
            </a:prstGeom>
            <a:noFill/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fld id="{F870D373-5756-4C87-A372-C9370F7FEAD9}" type="TxLink">
                <a:rPr lang="en-US" sz="1100" b="0" i="0" u="none" strike="noStrike">
                  <a:solidFill>
                    <a:srgbClr val="000000"/>
                  </a:solidFill>
                  <a:latin typeface="Calibri"/>
                  <a:cs typeface="Calibri"/>
                </a:rPr>
                <a:pPr algn="l"/>
                <a:t>1370</a:t>
              </a:fld>
              <a:endParaRPr lang="fr-FR" sz="1100"/>
            </a:p>
          </xdr:txBody>
        </xdr:sp>
        <xdr:sp macro="" textlink="Feuil4!AB13">
          <xdr:nvSpPr>
            <xdr:cNvPr id="90" name="Rectangle 89">
              <a:extLst>
                <a:ext uri="{FF2B5EF4-FFF2-40B4-BE49-F238E27FC236}">
                  <a16:creationId xmlns:a16="http://schemas.microsoft.com/office/drawing/2014/main" id="{FED39459-028F-4B64-862E-EB4BBB354E31}"/>
                </a:ext>
              </a:extLst>
            </xdr:cNvPr>
            <xdr:cNvSpPr/>
          </xdr:nvSpPr>
          <xdr:spPr>
            <a:xfrm>
              <a:off x="8296275" y="16030575"/>
              <a:ext cx="819150" cy="323850"/>
            </a:xfrm>
            <a:prstGeom prst="rect">
              <a:avLst/>
            </a:prstGeom>
            <a:noFill/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fld id="{9E008B97-B402-47DF-9958-4846D628E17E}" type="TxLink">
                <a:rPr lang="en-US" sz="1100" b="0" i="0" u="none" strike="noStrike">
                  <a:solidFill>
                    <a:srgbClr val="000000"/>
                  </a:solidFill>
                  <a:latin typeface="Calibri"/>
                  <a:cs typeface="Calibri"/>
                </a:rPr>
                <a:pPr algn="l"/>
                <a:t>1372</a:t>
              </a:fld>
              <a:endParaRPr lang="fr-FR" sz="1100"/>
            </a:p>
          </xdr:txBody>
        </xdr:sp>
      </xdr:grp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228600</xdr:colOff>
      <xdr:row>3</xdr:row>
      <xdr:rowOff>14287</xdr:rowOff>
    </xdr:from>
    <xdr:to>
      <xdr:col>15</xdr:col>
      <xdr:colOff>0</xdr:colOff>
      <xdr:row>24</xdr:row>
      <xdr:rowOff>142875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369589A7-66AC-4222-B2F4-3321D58F7C0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balance%20mensuelle%202017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balance%20mensuelle%202018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PLAN%20DE%20CHARGE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SAISIE_CARNET%20CDES.xlsm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kobe/Dropbox/DOSSIER%20PARTAGE%20-%20KOBEL-CASTEL/TRESO%20suivi_mensuel_2018%20(version200518)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kobe/Dropbox/DOSSIER%20PARTAGE%20-%20KOBEL-CASTEL/1_2018_RESULTATS/Pr&#233;vision%20CA%202nd%20sem%20201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VERT"/>
    </sheetNames>
    <sheetDataSet>
      <sheetData sheetId="0">
        <row r="1">
          <cell r="B1" t="str">
            <v>Compte</v>
          </cell>
          <cell r="C1" t="str">
            <v>Intitulé</v>
          </cell>
          <cell r="D1" t="str">
            <v>01</v>
          </cell>
          <cell r="E1" t="str">
            <v>02</v>
          </cell>
          <cell r="F1" t="str">
            <v>03</v>
          </cell>
          <cell r="G1" t="str">
            <v>04</v>
          </cell>
          <cell r="H1" t="str">
            <v>05</v>
          </cell>
          <cell r="I1" t="str">
            <v>06</v>
          </cell>
          <cell r="J1" t="str">
            <v>07</v>
          </cell>
          <cell r="K1" t="str">
            <v>08</v>
          </cell>
          <cell r="L1" t="str">
            <v>09</v>
          </cell>
          <cell r="M1" t="str">
            <v>10</v>
          </cell>
          <cell r="N1" t="str">
            <v>11</v>
          </cell>
          <cell r="O1" t="str">
            <v>12</v>
          </cell>
        </row>
        <row r="2">
          <cell r="A2" t="str">
            <v>60</v>
          </cell>
          <cell r="B2" t="str">
            <v>601200</v>
          </cell>
          <cell r="C2" t="str">
            <v>Gaz Arcal posre à souder</v>
          </cell>
          <cell r="D2" t="str">
            <v/>
          </cell>
          <cell r="E2" t="str">
            <v/>
          </cell>
          <cell r="F2" t="str">
            <v/>
          </cell>
          <cell r="G2" t="str">
            <v/>
          </cell>
          <cell r="H2" t="str">
            <v/>
          </cell>
          <cell r="I2" t="str">
            <v/>
          </cell>
          <cell r="J2" t="str">
            <v/>
          </cell>
          <cell r="K2">
            <v>315</v>
          </cell>
          <cell r="L2">
            <v>-315</v>
          </cell>
          <cell r="M2" t="str">
            <v/>
          </cell>
          <cell r="N2" t="str">
            <v/>
          </cell>
          <cell r="O2">
            <v>314</v>
          </cell>
        </row>
        <row r="3">
          <cell r="A3" t="str">
            <v>60</v>
          </cell>
          <cell r="B3" t="str">
            <v>602000</v>
          </cell>
          <cell r="C3" t="str">
            <v>Achats MP</v>
          </cell>
          <cell r="D3">
            <v>136</v>
          </cell>
          <cell r="E3">
            <v>1076</v>
          </cell>
          <cell r="F3">
            <v>627</v>
          </cell>
          <cell r="G3">
            <v>1415</v>
          </cell>
          <cell r="H3">
            <v>890</v>
          </cell>
          <cell r="I3">
            <v>951</v>
          </cell>
          <cell r="J3">
            <v>4440</v>
          </cell>
          <cell r="K3">
            <v>3138</v>
          </cell>
          <cell r="L3">
            <v>-400</v>
          </cell>
          <cell r="M3">
            <v>341</v>
          </cell>
          <cell r="N3" t="str">
            <v/>
          </cell>
          <cell r="O3">
            <v>443</v>
          </cell>
        </row>
        <row r="4">
          <cell r="A4" t="str">
            <v>60</v>
          </cell>
          <cell r="B4" t="str">
            <v>602001</v>
          </cell>
          <cell r="C4" t="str">
            <v>Achats MP chaudronnerie i</v>
          </cell>
          <cell r="D4">
            <v>1106</v>
          </cell>
          <cell r="E4">
            <v>11108</v>
          </cell>
          <cell r="F4">
            <v>2886</v>
          </cell>
          <cell r="G4">
            <v>4457</v>
          </cell>
          <cell r="H4">
            <v>24405</v>
          </cell>
          <cell r="I4">
            <v>10562</v>
          </cell>
          <cell r="J4">
            <v>3554</v>
          </cell>
          <cell r="K4">
            <v>8944</v>
          </cell>
          <cell r="L4">
            <v>-1997</v>
          </cell>
          <cell r="M4">
            <v>995</v>
          </cell>
          <cell r="N4">
            <v>2349</v>
          </cell>
          <cell r="O4">
            <v>1121</v>
          </cell>
        </row>
        <row r="5">
          <cell r="A5" t="str">
            <v>60</v>
          </cell>
          <cell r="B5" t="str">
            <v>602002</v>
          </cell>
          <cell r="C5" t="str">
            <v>achats MP Plaisance</v>
          </cell>
          <cell r="D5">
            <v>487</v>
          </cell>
          <cell r="E5">
            <v>126</v>
          </cell>
          <cell r="F5">
            <v>1303</v>
          </cell>
          <cell r="G5" t="str">
            <v/>
          </cell>
          <cell r="H5" t="str">
            <v/>
          </cell>
          <cell r="I5">
            <v>1780</v>
          </cell>
          <cell r="J5">
            <v>1085</v>
          </cell>
          <cell r="K5">
            <v>1049</v>
          </cell>
          <cell r="L5">
            <v>636</v>
          </cell>
          <cell r="M5" t="str">
            <v/>
          </cell>
          <cell r="N5">
            <v>493</v>
          </cell>
          <cell r="O5" t="str">
            <v/>
          </cell>
        </row>
        <row r="6">
          <cell r="A6" t="str">
            <v>60</v>
          </cell>
          <cell r="B6" t="str">
            <v>602100</v>
          </cell>
          <cell r="C6" t="str">
            <v>Achats de matieres consom</v>
          </cell>
          <cell r="D6" t="str">
            <v/>
          </cell>
          <cell r="E6" t="str">
            <v/>
          </cell>
          <cell r="F6" t="str">
            <v/>
          </cell>
          <cell r="G6" t="str">
            <v/>
          </cell>
          <cell r="H6" t="str">
            <v/>
          </cell>
          <cell r="I6">
            <v>375</v>
          </cell>
          <cell r="J6" t="str">
            <v/>
          </cell>
          <cell r="K6" t="str">
            <v/>
          </cell>
          <cell r="L6">
            <v>72</v>
          </cell>
          <cell r="M6" t="str">
            <v/>
          </cell>
          <cell r="N6">
            <v>1529</v>
          </cell>
          <cell r="O6" t="str">
            <v/>
          </cell>
        </row>
        <row r="7">
          <cell r="A7" t="str">
            <v>60</v>
          </cell>
          <cell r="B7" t="str">
            <v>602200</v>
          </cell>
          <cell r="C7" t="str">
            <v>Achats de fournitures con</v>
          </cell>
          <cell r="D7" t="str">
            <v/>
          </cell>
          <cell r="E7" t="str">
            <v/>
          </cell>
          <cell r="F7" t="str">
            <v/>
          </cell>
          <cell r="G7" t="str">
            <v/>
          </cell>
          <cell r="H7" t="str">
            <v/>
          </cell>
          <cell r="I7" t="str">
            <v/>
          </cell>
          <cell r="J7" t="str">
            <v/>
          </cell>
          <cell r="K7" t="str">
            <v/>
          </cell>
          <cell r="L7" t="str">
            <v/>
          </cell>
          <cell r="M7">
            <v>42</v>
          </cell>
          <cell r="N7" t="str">
            <v/>
          </cell>
          <cell r="O7" t="str">
            <v/>
          </cell>
        </row>
        <row r="8">
          <cell r="A8" t="str">
            <v>60</v>
          </cell>
          <cell r="B8" t="str">
            <v>603100</v>
          </cell>
          <cell r="C8" t="str">
            <v>Variat. stocks Mat. premi</v>
          </cell>
          <cell r="D8">
            <v>2876</v>
          </cell>
          <cell r="E8">
            <v>-10456</v>
          </cell>
          <cell r="F8">
            <v>7700</v>
          </cell>
          <cell r="G8">
            <v>-7700</v>
          </cell>
          <cell r="H8">
            <v>6480</v>
          </cell>
          <cell r="I8">
            <v>-317</v>
          </cell>
          <cell r="J8">
            <v>-6163</v>
          </cell>
          <cell r="K8">
            <v>6163</v>
          </cell>
          <cell r="L8">
            <v>-6163</v>
          </cell>
          <cell r="M8" t="str">
            <v/>
          </cell>
          <cell r="N8" t="str">
            <v/>
          </cell>
          <cell r="O8">
            <v>4024</v>
          </cell>
        </row>
        <row r="9">
          <cell r="A9" t="str">
            <v>60</v>
          </cell>
          <cell r="B9" t="str">
            <v>603110</v>
          </cell>
          <cell r="C9" t="str">
            <v>Variation stock MP</v>
          </cell>
          <cell r="D9">
            <v>566</v>
          </cell>
          <cell r="E9">
            <v>17872</v>
          </cell>
          <cell r="F9">
            <v>-23031</v>
          </cell>
          <cell r="G9">
            <v>23031</v>
          </cell>
          <cell r="H9">
            <v>-16997</v>
          </cell>
          <cell r="I9">
            <v>596</v>
          </cell>
          <cell r="J9">
            <v>16401</v>
          </cell>
          <cell r="K9">
            <v>-17188</v>
          </cell>
          <cell r="L9">
            <v>17188</v>
          </cell>
          <cell r="M9" t="str">
            <v/>
          </cell>
          <cell r="N9" t="str">
            <v/>
          </cell>
          <cell r="O9">
            <v>-17326</v>
          </cell>
        </row>
        <row r="10">
          <cell r="A10" t="str">
            <v>60</v>
          </cell>
          <cell r="B10" t="str">
            <v>604101</v>
          </cell>
          <cell r="C10" t="str">
            <v>sous traitance chaudronne</v>
          </cell>
          <cell r="D10" t="str">
            <v/>
          </cell>
          <cell r="E10">
            <v>150</v>
          </cell>
          <cell r="F10">
            <v>598</v>
          </cell>
          <cell r="G10">
            <v>565</v>
          </cell>
          <cell r="H10">
            <v>2416</v>
          </cell>
          <cell r="I10">
            <v>1339</v>
          </cell>
          <cell r="J10">
            <v>-100</v>
          </cell>
          <cell r="K10">
            <v>3999</v>
          </cell>
          <cell r="L10">
            <v>4025</v>
          </cell>
          <cell r="M10">
            <v>249</v>
          </cell>
          <cell r="N10" t="str">
            <v/>
          </cell>
          <cell r="O10">
            <v>-5179</v>
          </cell>
        </row>
        <row r="11">
          <cell r="A11" t="str">
            <v>60</v>
          </cell>
          <cell r="B11" t="str">
            <v>604102</v>
          </cell>
          <cell r="C11" t="str">
            <v>sous traitance plaisance</v>
          </cell>
          <cell r="D11" t="str">
            <v/>
          </cell>
          <cell r="E11">
            <v>1847</v>
          </cell>
          <cell r="F11" t="str">
            <v/>
          </cell>
          <cell r="G11" t="str">
            <v/>
          </cell>
          <cell r="H11" t="str">
            <v/>
          </cell>
          <cell r="I11" t="str">
            <v/>
          </cell>
          <cell r="J11">
            <v>1567</v>
          </cell>
          <cell r="K11" t="str">
            <v/>
          </cell>
          <cell r="L11" t="str">
            <v/>
          </cell>
          <cell r="M11">
            <v>451</v>
          </cell>
          <cell r="N11" t="str">
            <v/>
          </cell>
          <cell r="O11" t="str">
            <v/>
          </cell>
        </row>
        <row r="12">
          <cell r="B12" t="str">
            <v>606100</v>
          </cell>
          <cell r="C12" t="str">
            <v>Electricité</v>
          </cell>
          <cell r="D12">
            <v>244</v>
          </cell>
          <cell r="E12" t="str">
            <v/>
          </cell>
          <cell r="F12">
            <v>244</v>
          </cell>
          <cell r="G12" t="str">
            <v/>
          </cell>
          <cell r="H12">
            <v>428</v>
          </cell>
          <cell r="I12">
            <v>200</v>
          </cell>
          <cell r="J12">
            <v>205</v>
          </cell>
          <cell r="K12" t="str">
            <v/>
          </cell>
          <cell r="L12" t="str">
            <v/>
          </cell>
          <cell r="M12" t="str">
            <v/>
          </cell>
          <cell r="N12">
            <v>80</v>
          </cell>
          <cell r="O12" t="str">
            <v/>
          </cell>
        </row>
        <row r="13">
          <cell r="B13" t="str">
            <v>606120</v>
          </cell>
          <cell r="C13" t="str">
            <v>Gaz Arcal poste à souder</v>
          </cell>
          <cell r="D13">
            <v>166</v>
          </cell>
          <cell r="E13">
            <v>166</v>
          </cell>
          <cell r="F13">
            <v>738</v>
          </cell>
          <cell r="G13">
            <v>150</v>
          </cell>
          <cell r="H13" t="str">
            <v/>
          </cell>
          <cell r="I13">
            <v>140</v>
          </cell>
          <cell r="J13">
            <v>239</v>
          </cell>
          <cell r="K13">
            <v>799</v>
          </cell>
          <cell r="L13">
            <v>-83</v>
          </cell>
          <cell r="M13" t="str">
            <v/>
          </cell>
          <cell r="N13" t="str">
            <v/>
          </cell>
          <cell r="O13" t="str">
            <v/>
          </cell>
        </row>
        <row r="14">
          <cell r="B14" t="str">
            <v>606140</v>
          </cell>
          <cell r="C14" t="str">
            <v>Carburant</v>
          </cell>
          <cell r="D14">
            <v>187</v>
          </cell>
          <cell r="E14">
            <v>336</v>
          </cell>
          <cell r="F14">
            <v>267</v>
          </cell>
          <cell r="G14">
            <v>328</v>
          </cell>
          <cell r="H14">
            <v>431</v>
          </cell>
          <cell r="I14">
            <v>657</v>
          </cell>
          <cell r="J14">
            <v>446</v>
          </cell>
          <cell r="K14">
            <v>691</v>
          </cell>
          <cell r="L14">
            <v>410</v>
          </cell>
          <cell r="M14">
            <v>517</v>
          </cell>
          <cell r="N14">
            <v>327</v>
          </cell>
          <cell r="O14">
            <v>293</v>
          </cell>
        </row>
        <row r="15">
          <cell r="B15" t="str">
            <v>606300</v>
          </cell>
          <cell r="C15" t="str">
            <v>Achats de petit équipemen</v>
          </cell>
          <cell r="D15">
            <v>373</v>
          </cell>
          <cell r="E15">
            <v>58</v>
          </cell>
          <cell r="F15">
            <v>338</v>
          </cell>
          <cell r="G15">
            <v>1211</v>
          </cell>
          <cell r="H15" t="str">
            <v/>
          </cell>
          <cell r="I15" t="str">
            <v/>
          </cell>
          <cell r="J15">
            <v>521</v>
          </cell>
          <cell r="K15">
            <v>120</v>
          </cell>
          <cell r="L15">
            <v>487</v>
          </cell>
          <cell r="M15">
            <v>867</v>
          </cell>
          <cell r="N15">
            <v>67</v>
          </cell>
          <cell r="O15" t="str">
            <v/>
          </cell>
        </row>
        <row r="16">
          <cell r="B16" t="str">
            <v>606310</v>
          </cell>
          <cell r="C16" t="str">
            <v>Produits d'entretien</v>
          </cell>
          <cell r="D16" t="str">
            <v/>
          </cell>
          <cell r="E16" t="str">
            <v/>
          </cell>
          <cell r="F16" t="str">
            <v/>
          </cell>
          <cell r="G16" t="str">
            <v/>
          </cell>
          <cell r="H16">
            <v>26</v>
          </cell>
          <cell r="I16" t="str">
            <v/>
          </cell>
          <cell r="J16" t="str">
            <v/>
          </cell>
          <cell r="K16" t="str">
            <v/>
          </cell>
          <cell r="L16" t="str">
            <v/>
          </cell>
          <cell r="M16" t="str">
            <v/>
          </cell>
          <cell r="N16" t="str">
            <v/>
          </cell>
          <cell r="O16" t="str">
            <v/>
          </cell>
        </row>
        <row r="17">
          <cell r="B17" t="str">
            <v>606400</v>
          </cell>
          <cell r="C17" t="str">
            <v>Achats fournitures admini</v>
          </cell>
          <cell r="D17">
            <v>17</v>
          </cell>
          <cell r="E17">
            <v>60</v>
          </cell>
          <cell r="F17">
            <v>145</v>
          </cell>
          <cell r="G17" t="str">
            <v/>
          </cell>
          <cell r="H17" t="str">
            <v/>
          </cell>
          <cell r="I17">
            <v>89</v>
          </cell>
          <cell r="J17">
            <v>47</v>
          </cell>
          <cell r="K17">
            <v>52</v>
          </cell>
          <cell r="L17">
            <v>223</v>
          </cell>
          <cell r="M17" t="str">
            <v/>
          </cell>
          <cell r="N17">
            <v>5</v>
          </cell>
          <cell r="O17">
            <v>59</v>
          </cell>
        </row>
        <row r="18">
          <cell r="B18" t="str">
            <v>606800</v>
          </cell>
          <cell r="C18" t="str">
            <v>Vêtements de travail</v>
          </cell>
          <cell r="D18" t="str">
            <v/>
          </cell>
          <cell r="E18" t="str">
            <v/>
          </cell>
          <cell r="F18" t="str">
            <v/>
          </cell>
          <cell r="G18">
            <v>86</v>
          </cell>
          <cell r="H18">
            <v>36</v>
          </cell>
          <cell r="I18" t="str">
            <v/>
          </cell>
          <cell r="J18" t="str">
            <v/>
          </cell>
          <cell r="K18" t="str">
            <v/>
          </cell>
          <cell r="L18" t="str">
            <v/>
          </cell>
          <cell r="M18" t="str">
            <v/>
          </cell>
          <cell r="N18" t="str">
            <v/>
          </cell>
          <cell r="O18" t="str">
            <v/>
          </cell>
        </row>
        <row r="19">
          <cell r="A19" t="str">
            <v>61</v>
          </cell>
          <cell r="B19" t="str">
            <v>612201</v>
          </cell>
          <cell r="C19" t="str">
            <v>Leasing Grenke matériels</v>
          </cell>
          <cell r="D19">
            <v>582</v>
          </cell>
          <cell r="E19">
            <v>310</v>
          </cell>
          <cell r="F19">
            <v>110</v>
          </cell>
          <cell r="G19">
            <v>310</v>
          </cell>
          <cell r="H19">
            <v>379</v>
          </cell>
          <cell r="I19">
            <v>212</v>
          </cell>
          <cell r="J19">
            <v>443</v>
          </cell>
          <cell r="K19">
            <v>379</v>
          </cell>
          <cell r="L19">
            <v>379</v>
          </cell>
          <cell r="M19">
            <v>379</v>
          </cell>
          <cell r="N19">
            <v>379</v>
          </cell>
          <cell r="O19">
            <v>-21</v>
          </cell>
        </row>
        <row r="20">
          <cell r="A20" t="str">
            <v>61</v>
          </cell>
          <cell r="B20" t="str">
            <v>613000</v>
          </cell>
          <cell r="C20" t="str">
            <v>Locations</v>
          </cell>
          <cell r="D20">
            <v>9</v>
          </cell>
          <cell r="E20">
            <v>329</v>
          </cell>
          <cell r="F20" t="str">
            <v/>
          </cell>
          <cell r="G20">
            <v>222</v>
          </cell>
          <cell r="H20">
            <v>139</v>
          </cell>
          <cell r="I20" t="str">
            <v/>
          </cell>
          <cell r="J20" t="str">
            <v/>
          </cell>
          <cell r="K20" t="str">
            <v/>
          </cell>
          <cell r="L20">
            <v>-139</v>
          </cell>
          <cell r="M20" t="str">
            <v/>
          </cell>
          <cell r="N20" t="str">
            <v/>
          </cell>
          <cell r="O20">
            <v>9</v>
          </cell>
        </row>
        <row r="21">
          <cell r="A21" t="str">
            <v>61</v>
          </cell>
          <cell r="B21" t="str">
            <v>613200</v>
          </cell>
          <cell r="C21" t="str">
            <v>Locations atelier</v>
          </cell>
          <cell r="D21">
            <v>900</v>
          </cell>
          <cell r="E21">
            <v>900</v>
          </cell>
          <cell r="F21">
            <v>900</v>
          </cell>
          <cell r="G21">
            <v>900</v>
          </cell>
          <cell r="H21">
            <v>900</v>
          </cell>
          <cell r="I21">
            <v>900</v>
          </cell>
          <cell r="J21">
            <v>900</v>
          </cell>
          <cell r="K21">
            <v>900</v>
          </cell>
          <cell r="L21">
            <v>900</v>
          </cell>
          <cell r="M21">
            <v>930</v>
          </cell>
          <cell r="N21">
            <v>930</v>
          </cell>
          <cell r="O21">
            <v>930</v>
          </cell>
        </row>
        <row r="22">
          <cell r="A22" t="str">
            <v>61</v>
          </cell>
          <cell r="B22" t="str">
            <v>613500</v>
          </cell>
          <cell r="C22" t="str">
            <v>Locations matériel</v>
          </cell>
          <cell r="D22" t="str">
            <v/>
          </cell>
          <cell r="E22" t="str">
            <v/>
          </cell>
          <cell r="F22" t="str">
            <v/>
          </cell>
          <cell r="G22" t="str">
            <v/>
          </cell>
          <cell r="H22" t="str">
            <v/>
          </cell>
          <cell r="I22" t="str">
            <v/>
          </cell>
          <cell r="J22">
            <v>1249</v>
          </cell>
          <cell r="K22" t="str">
            <v/>
          </cell>
          <cell r="L22">
            <v>662</v>
          </cell>
          <cell r="M22" t="str">
            <v/>
          </cell>
          <cell r="N22" t="str">
            <v/>
          </cell>
          <cell r="O22">
            <v>797</v>
          </cell>
        </row>
        <row r="23">
          <cell r="A23" t="str">
            <v>61</v>
          </cell>
          <cell r="B23" t="str">
            <v>613510</v>
          </cell>
          <cell r="C23" t="str">
            <v>Locations de matériel tec</v>
          </cell>
          <cell r="D23" t="str">
            <v/>
          </cell>
          <cell r="E23" t="str">
            <v/>
          </cell>
          <cell r="F23" t="str">
            <v/>
          </cell>
          <cell r="G23" t="str">
            <v/>
          </cell>
          <cell r="H23">
            <v>662</v>
          </cell>
          <cell r="I23" t="str">
            <v/>
          </cell>
          <cell r="J23" t="str">
            <v/>
          </cell>
          <cell r="K23" t="str">
            <v/>
          </cell>
          <cell r="L23">
            <v>-662</v>
          </cell>
          <cell r="M23" t="str">
            <v/>
          </cell>
          <cell r="N23" t="str">
            <v/>
          </cell>
          <cell r="O23" t="str">
            <v/>
          </cell>
        </row>
        <row r="24">
          <cell r="A24" t="str">
            <v>61</v>
          </cell>
          <cell r="B24" t="str">
            <v>613520</v>
          </cell>
          <cell r="C24" t="str">
            <v>Locations de matériel de</v>
          </cell>
          <cell r="D24" t="str">
            <v/>
          </cell>
          <cell r="E24" t="str">
            <v/>
          </cell>
          <cell r="F24" t="str">
            <v/>
          </cell>
          <cell r="G24" t="str">
            <v/>
          </cell>
          <cell r="H24" t="str">
            <v/>
          </cell>
          <cell r="I24">
            <v>383</v>
          </cell>
          <cell r="J24" t="str">
            <v/>
          </cell>
          <cell r="K24" t="str">
            <v/>
          </cell>
          <cell r="L24" t="str">
            <v/>
          </cell>
          <cell r="M24" t="str">
            <v/>
          </cell>
          <cell r="N24" t="str">
            <v/>
          </cell>
          <cell r="O24" t="str">
            <v/>
          </cell>
        </row>
        <row r="25">
          <cell r="A25" t="str">
            <v>61</v>
          </cell>
          <cell r="B25" t="str">
            <v>613530</v>
          </cell>
          <cell r="C25" t="str">
            <v>Locations véhicule</v>
          </cell>
          <cell r="D25" t="str">
            <v/>
          </cell>
          <cell r="E25" t="str">
            <v/>
          </cell>
          <cell r="F25" t="str">
            <v/>
          </cell>
          <cell r="G25" t="str">
            <v/>
          </cell>
          <cell r="H25" t="str">
            <v/>
          </cell>
          <cell r="I25" t="str">
            <v/>
          </cell>
          <cell r="J25" t="str">
            <v/>
          </cell>
          <cell r="K25">
            <v>563</v>
          </cell>
          <cell r="L25" t="str">
            <v/>
          </cell>
          <cell r="M25" t="str">
            <v/>
          </cell>
          <cell r="N25" t="str">
            <v/>
          </cell>
          <cell r="O25" t="str">
            <v/>
          </cell>
        </row>
        <row r="26">
          <cell r="A26" t="str">
            <v>61</v>
          </cell>
          <cell r="B26" t="str">
            <v>613560</v>
          </cell>
          <cell r="C26" t="str">
            <v>Location télésurveillance</v>
          </cell>
          <cell r="D26">
            <v>480</v>
          </cell>
          <cell r="E26" t="str">
            <v/>
          </cell>
          <cell r="F26">
            <v>-240</v>
          </cell>
          <cell r="G26">
            <v>240</v>
          </cell>
          <cell r="H26" t="str">
            <v/>
          </cell>
          <cell r="I26" t="str">
            <v/>
          </cell>
          <cell r="J26" t="str">
            <v/>
          </cell>
          <cell r="K26" t="str">
            <v/>
          </cell>
          <cell r="L26" t="str">
            <v/>
          </cell>
          <cell r="M26" t="str">
            <v/>
          </cell>
          <cell r="N26" t="str">
            <v/>
          </cell>
          <cell r="O26" t="str">
            <v/>
          </cell>
        </row>
        <row r="27">
          <cell r="A27" t="str">
            <v>61</v>
          </cell>
          <cell r="B27" t="str">
            <v>614000</v>
          </cell>
          <cell r="C27" t="str">
            <v>Charges locatives &amp; copro</v>
          </cell>
          <cell r="D27" t="str">
            <v/>
          </cell>
          <cell r="E27" t="str">
            <v/>
          </cell>
          <cell r="F27" t="str">
            <v/>
          </cell>
          <cell r="G27">
            <v>32</v>
          </cell>
          <cell r="H27" t="str">
            <v/>
          </cell>
          <cell r="I27">
            <v>51</v>
          </cell>
          <cell r="J27" t="str">
            <v/>
          </cell>
          <cell r="K27">
            <v>160</v>
          </cell>
          <cell r="L27">
            <v>160</v>
          </cell>
          <cell r="M27">
            <v>54</v>
          </cell>
          <cell r="N27" t="str">
            <v/>
          </cell>
          <cell r="O27" t="str">
            <v/>
          </cell>
        </row>
        <row r="28">
          <cell r="A28" t="str">
            <v>61</v>
          </cell>
          <cell r="B28" t="str">
            <v>615000</v>
          </cell>
          <cell r="C28" t="str">
            <v>Entretien et réparations</v>
          </cell>
          <cell r="D28">
            <v>60</v>
          </cell>
          <cell r="E28" t="str">
            <v/>
          </cell>
          <cell r="F28" t="str">
            <v/>
          </cell>
          <cell r="G28" t="str">
            <v/>
          </cell>
          <cell r="H28" t="str">
            <v/>
          </cell>
          <cell r="I28" t="str">
            <v/>
          </cell>
          <cell r="J28" t="str">
            <v/>
          </cell>
          <cell r="K28" t="str">
            <v/>
          </cell>
          <cell r="L28" t="str">
            <v/>
          </cell>
          <cell r="M28" t="str">
            <v/>
          </cell>
          <cell r="N28" t="str">
            <v/>
          </cell>
          <cell r="O28" t="str">
            <v/>
          </cell>
        </row>
        <row r="29">
          <cell r="A29" t="str">
            <v>61</v>
          </cell>
          <cell r="B29" t="str">
            <v>615500</v>
          </cell>
          <cell r="C29" t="str">
            <v>Entretien sur biens mobil</v>
          </cell>
          <cell r="D29" t="str">
            <v/>
          </cell>
          <cell r="E29" t="str">
            <v/>
          </cell>
          <cell r="F29" t="str">
            <v/>
          </cell>
          <cell r="G29" t="str">
            <v/>
          </cell>
          <cell r="H29" t="str">
            <v/>
          </cell>
          <cell r="I29" t="str">
            <v/>
          </cell>
          <cell r="J29" t="str">
            <v/>
          </cell>
          <cell r="K29" t="str">
            <v/>
          </cell>
          <cell r="L29">
            <v>20</v>
          </cell>
          <cell r="M29" t="str">
            <v/>
          </cell>
          <cell r="N29" t="str">
            <v/>
          </cell>
          <cell r="O29" t="str">
            <v/>
          </cell>
        </row>
        <row r="30">
          <cell r="A30" t="str">
            <v>61</v>
          </cell>
          <cell r="B30" t="str">
            <v>615510</v>
          </cell>
          <cell r="C30" t="str">
            <v>Entretien du matériel de</v>
          </cell>
          <cell r="D30">
            <v>81</v>
          </cell>
          <cell r="E30">
            <v>10</v>
          </cell>
          <cell r="F30">
            <v>10</v>
          </cell>
          <cell r="G30">
            <v>1188</v>
          </cell>
          <cell r="H30">
            <v>10</v>
          </cell>
          <cell r="I30" t="str">
            <v/>
          </cell>
          <cell r="J30" t="str">
            <v/>
          </cell>
          <cell r="K30">
            <v>58</v>
          </cell>
          <cell r="L30">
            <v>-79</v>
          </cell>
          <cell r="M30" t="str">
            <v/>
          </cell>
          <cell r="N30" t="str">
            <v/>
          </cell>
          <cell r="O30">
            <v>184</v>
          </cell>
        </row>
        <row r="31">
          <cell r="A31" t="str">
            <v>61</v>
          </cell>
          <cell r="B31" t="str">
            <v>615600</v>
          </cell>
          <cell r="C31" t="str">
            <v>Maintenance</v>
          </cell>
          <cell r="D31">
            <v>10</v>
          </cell>
          <cell r="E31">
            <v>236</v>
          </cell>
          <cell r="F31">
            <v>17</v>
          </cell>
          <cell r="G31">
            <v>34</v>
          </cell>
          <cell r="H31">
            <v>17</v>
          </cell>
          <cell r="I31">
            <v>9</v>
          </cell>
          <cell r="J31">
            <v>17</v>
          </cell>
          <cell r="K31">
            <v>17</v>
          </cell>
          <cell r="L31">
            <v>17</v>
          </cell>
          <cell r="M31">
            <v>71</v>
          </cell>
          <cell r="N31">
            <v>17</v>
          </cell>
          <cell r="O31">
            <v>-1</v>
          </cell>
        </row>
        <row r="32">
          <cell r="A32" t="str">
            <v>61</v>
          </cell>
          <cell r="B32" t="str">
            <v>616000</v>
          </cell>
          <cell r="C32" t="str">
            <v>Primes d'assurance</v>
          </cell>
          <cell r="D32">
            <v>278</v>
          </cell>
          <cell r="E32">
            <v>278</v>
          </cell>
          <cell r="F32">
            <v>-37</v>
          </cell>
          <cell r="G32">
            <v>278</v>
          </cell>
          <cell r="H32">
            <v>278</v>
          </cell>
          <cell r="I32">
            <v>-36</v>
          </cell>
          <cell r="J32">
            <v>322</v>
          </cell>
          <cell r="K32">
            <v>327</v>
          </cell>
          <cell r="L32">
            <v>326</v>
          </cell>
          <cell r="M32">
            <v>322</v>
          </cell>
          <cell r="N32">
            <v>322</v>
          </cell>
          <cell r="O32">
            <v>-308</v>
          </cell>
        </row>
        <row r="33">
          <cell r="A33" t="str">
            <v>61</v>
          </cell>
          <cell r="B33" t="str">
            <v>616100</v>
          </cell>
          <cell r="C33" t="str">
            <v>Assurances prêts</v>
          </cell>
          <cell r="D33">
            <v>6</v>
          </cell>
          <cell r="E33">
            <v>6</v>
          </cell>
          <cell r="F33">
            <v>6</v>
          </cell>
          <cell r="G33">
            <v>6</v>
          </cell>
          <cell r="H33">
            <v>6</v>
          </cell>
          <cell r="I33">
            <v>6</v>
          </cell>
          <cell r="J33" t="str">
            <v/>
          </cell>
          <cell r="K33" t="str">
            <v/>
          </cell>
          <cell r="L33">
            <v>17</v>
          </cell>
          <cell r="M33">
            <v>6</v>
          </cell>
          <cell r="N33">
            <v>6</v>
          </cell>
          <cell r="O33">
            <v>13</v>
          </cell>
        </row>
        <row r="34">
          <cell r="A34" t="str">
            <v>61</v>
          </cell>
          <cell r="B34" t="str">
            <v>618100</v>
          </cell>
          <cell r="C34" t="str">
            <v>Documentation générale</v>
          </cell>
          <cell r="D34" t="str">
            <v/>
          </cell>
          <cell r="E34" t="str">
            <v/>
          </cell>
          <cell r="F34" t="str">
            <v/>
          </cell>
          <cell r="G34">
            <v>-19</v>
          </cell>
          <cell r="H34">
            <v>62</v>
          </cell>
          <cell r="I34">
            <v>50</v>
          </cell>
          <cell r="J34">
            <v>35</v>
          </cell>
          <cell r="K34" t="str">
            <v/>
          </cell>
          <cell r="L34" t="str">
            <v/>
          </cell>
          <cell r="M34" t="str">
            <v/>
          </cell>
          <cell r="N34" t="str">
            <v/>
          </cell>
          <cell r="O34" t="str">
            <v/>
          </cell>
        </row>
        <row r="35">
          <cell r="A35" t="str">
            <v>61</v>
          </cell>
          <cell r="B35" t="str">
            <v>618500</v>
          </cell>
          <cell r="C35" t="str">
            <v>Frais de colloques, de sé</v>
          </cell>
          <cell r="D35" t="str">
            <v/>
          </cell>
          <cell r="E35" t="str">
            <v/>
          </cell>
          <cell r="F35" t="str">
            <v/>
          </cell>
          <cell r="G35" t="str">
            <v/>
          </cell>
          <cell r="H35">
            <v>2500</v>
          </cell>
          <cell r="I35">
            <v>1000</v>
          </cell>
          <cell r="J35" t="str">
            <v/>
          </cell>
          <cell r="K35" t="str">
            <v/>
          </cell>
          <cell r="L35" t="str">
            <v/>
          </cell>
          <cell r="M35" t="str">
            <v/>
          </cell>
          <cell r="N35">
            <v>100</v>
          </cell>
          <cell r="O35" t="str">
            <v/>
          </cell>
        </row>
        <row r="36">
          <cell r="A36" t="str">
            <v>62</v>
          </cell>
          <cell r="B36" t="str">
            <v>622600</v>
          </cell>
          <cell r="C36" t="str">
            <v>Honoraires</v>
          </cell>
          <cell r="D36">
            <v>3410</v>
          </cell>
          <cell r="E36">
            <v>410</v>
          </cell>
          <cell r="F36">
            <v>560</v>
          </cell>
          <cell r="G36">
            <v>1810</v>
          </cell>
          <cell r="H36">
            <v>410</v>
          </cell>
          <cell r="I36">
            <v>2009</v>
          </cell>
          <cell r="J36">
            <v>371</v>
          </cell>
          <cell r="K36">
            <v>1771</v>
          </cell>
          <cell r="L36">
            <v>371</v>
          </cell>
          <cell r="M36">
            <v>1627</v>
          </cell>
          <cell r="N36">
            <v>1120</v>
          </cell>
          <cell r="O36">
            <v>4284</v>
          </cell>
        </row>
        <row r="37">
          <cell r="A37" t="str">
            <v>62</v>
          </cell>
          <cell r="B37" t="str">
            <v>622610</v>
          </cell>
          <cell r="C37" t="str">
            <v>Honoraire juridiques</v>
          </cell>
          <cell r="D37">
            <v>1650</v>
          </cell>
          <cell r="E37" t="str">
            <v/>
          </cell>
          <cell r="F37" t="str">
            <v/>
          </cell>
          <cell r="G37" t="str">
            <v/>
          </cell>
          <cell r="H37" t="str">
            <v/>
          </cell>
          <cell r="I37">
            <v>560</v>
          </cell>
          <cell r="J37" t="str">
            <v/>
          </cell>
          <cell r="K37" t="str">
            <v/>
          </cell>
          <cell r="L37" t="str">
            <v/>
          </cell>
          <cell r="M37" t="str">
            <v/>
          </cell>
          <cell r="N37" t="str">
            <v/>
          </cell>
          <cell r="O37">
            <v>-1650</v>
          </cell>
        </row>
        <row r="38">
          <cell r="A38" t="str">
            <v>62</v>
          </cell>
          <cell r="B38" t="str">
            <v>622700</v>
          </cell>
          <cell r="C38" t="str">
            <v>Frais d'actes et contenti</v>
          </cell>
          <cell r="D38" t="str">
            <v/>
          </cell>
          <cell r="E38" t="str">
            <v/>
          </cell>
          <cell r="F38">
            <v>3</v>
          </cell>
          <cell r="G38">
            <v>13</v>
          </cell>
          <cell r="H38" t="str">
            <v/>
          </cell>
          <cell r="I38">
            <v>45</v>
          </cell>
          <cell r="J38" t="str">
            <v/>
          </cell>
          <cell r="K38" t="str">
            <v/>
          </cell>
          <cell r="L38" t="str">
            <v/>
          </cell>
          <cell r="M38" t="str">
            <v/>
          </cell>
          <cell r="N38" t="str">
            <v/>
          </cell>
          <cell r="O38">
            <v>4</v>
          </cell>
        </row>
        <row r="39">
          <cell r="A39" t="str">
            <v>62</v>
          </cell>
          <cell r="B39" t="str">
            <v>623000</v>
          </cell>
          <cell r="C39" t="str">
            <v>Publicité</v>
          </cell>
          <cell r="D39" t="str">
            <v/>
          </cell>
          <cell r="E39">
            <v>375</v>
          </cell>
          <cell r="F39">
            <v>310</v>
          </cell>
          <cell r="G39">
            <v>505</v>
          </cell>
          <cell r="H39" t="str">
            <v/>
          </cell>
          <cell r="I39" t="str">
            <v/>
          </cell>
          <cell r="J39" t="str">
            <v/>
          </cell>
          <cell r="K39" t="str">
            <v/>
          </cell>
          <cell r="L39" t="str">
            <v/>
          </cell>
          <cell r="M39">
            <v>24</v>
          </cell>
          <cell r="N39">
            <v>58</v>
          </cell>
          <cell r="O39" t="str">
            <v/>
          </cell>
        </row>
        <row r="40">
          <cell r="A40" t="str">
            <v>62</v>
          </cell>
          <cell r="B40" t="str">
            <v>623400</v>
          </cell>
          <cell r="C40" t="str">
            <v>Cadeaux à la clientèle</v>
          </cell>
          <cell r="D40">
            <v>64</v>
          </cell>
          <cell r="E40" t="str">
            <v/>
          </cell>
          <cell r="F40" t="str">
            <v/>
          </cell>
          <cell r="G40" t="str">
            <v/>
          </cell>
          <cell r="H40" t="str">
            <v/>
          </cell>
          <cell r="I40" t="str">
            <v/>
          </cell>
          <cell r="J40" t="str">
            <v/>
          </cell>
          <cell r="K40" t="str">
            <v/>
          </cell>
          <cell r="L40" t="str">
            <v/>
          </cell>
          <cell r="M40" t="str">
            <v/>
          </cell>
          <cell r="N40" t="str">
            <v/>
          </cell>
          <cell r="O40" t="str">
            <v/>
          </cell>
        </row>
        <row r="41">
          <cell r="A41" t="str">
            <v>62</v>
          </cell>
          <cell r="B41" t="str">
            <v>624100</v>
          </cell>
          <cell r="C41" t="str">
            <v>Transports sur achats</v>
          </cell>
          <cell r="D41" t="str">
            <v/>
          </cell>
          <cell r="E41" t="str">
            <v/>
          </cell>
          <cell r="F41" t="str">
            <v/>
          </cell>
          <cell r="G41" t="str">
            <v/>
          </cell>
          <cell r="H41">
            <v>100</v>
          </cell>
          <cell r="I41" t="str">
            <v/>
          </cell>
          <cell r="J41" t="str">
            <v/>
          </cell>
          <cell r="K41" t="str">
            <v/>
          </cell>
          <cell r="L41" t="str">
            <v/>
          </cell>
          <cell r="M41" t="str">
            <v/>
          </cell>
          <cell r="N41" t="str">
            <v/>
          </cell>
          <cell r="O41" t="str">
            <v/>
          </cell>
        </row>
        <row r="42">
          <cell r="A42" t="str">
            <v>62</v>
          </cell>
          <cell r="B42" t="str">
            <v>625100</v>
          </cell>
          <cell r="C42" t="str">
            <v>Voyages et déplacements</v>
          </cell>
          <cell r="D42">
            <v>-14</v>
          </cell>
          <cell r="E42">
            <v>147</v>
          </cell>
          <cell r="F42">
            <v>100</v>
          </cell>
          <cell r="G42">
            <v>1071</v>
          </cell>
          <cell r="H42">
            <v>177</v>
          </cell>
          <cell r="I42">
            <v>988</v>
          </cell>
          <cell r="J42">
            <v>611</v>
          </cell>
          <cell r="K42">
            <v>1011</v>
          </cell>
          <cell r="L42">
            <v>965</v>
          </cell>
          <cell r="M42">
            <v>633</v>
          </cell>
          <cell r="N42">
            <v>200</v>
          </cell>
          <cell r="O42">
            <v>120</v>
          </cell>
        </row>
        <row r="43">
          <cell r="A43" t="str">
            <v>62</v>
          </cell>
          <cell r="B43" t="str">
            <v>625700</v>
          </cell>
          <cell r="C43" t="str">
            <v>Réceptions</v>
          </cell>
          <cell r="D43">
            <v>60</v>
          </cell>
          <cell r="E43">
            <v>93</v>
          </cell>
          <cell r="F43">
            <v>-15</v>
          </cell>
          <cell r="G43">
            <v>158</v>
          </cell>
          <cell r="H43">
            <v>454</v>
          </cell>
          <cell r="I43">
            <v>342</v>
          </cell>
          <cell r="J43">
            <v>541</v>
          </cell>
          <cell r="K43">
            <v>546</v>
          </cell>
          <cell r="L43">
            <v>21</v>
          </cell>
          <cell r="M43">
            <v>158</v>
          </cell>
          <cell r="N43">
            <v>78</v>
          </cell>
          <cell r="O43">
            <v>50</v>
          </cell>
        </row>
        <row r="44">
          <cell r="A44" t="str">
            <v>62</v>
          </cell>
          <cell r="B44" t="str">
            <v>626100</v>
          </cell>
          <cell r="C44" t="str">
            <v>Frais postaux</v>
          </cell>
          <cell r="D44">
            <v>5</v>
          </cell>
          <cell r="E44" t="str">
            <v/>
          </cell>
          <cell r="F44" t="str">
            <v/>
          </cell>
          <cell r="G44">
            <v>31</v>
          </cell>
          <cell r="H44">
            <v>51</v>
          </cell>
          <cell r="I44" t="str">
            <v/>
          </cell>
          <cell r="J44" t="str">
            <v/>
          </cell>
          <cell r="K44" t="str">
            <v/>
          </cell>
          <cell r="L44" t="str">
            <v/>
          </cell>
          <cell r="M44">
            <v>66</v>
          </cell>
          <cell r="N44" t="str">
            <v/>
          </cell>
          <cell r="O44" t="str">
            <v/>
          </cell>
        </row>
        <row r="45">
          <cell r="A45" t="str">
            <v>62</v>
          </cell>
          <cell r="B45" t="str">
            <v>626200</v>
          </cell>
          <cell r="C45" t="str">
            <v>Téléphone</v>
          </cell>
          <cell r="D45">
            <v>156</v>
          </cell>
          <cell r="E45">
            <v>92</v>
          </cell>
          <cell r="F45">
            <v>69</v>
          </cell>
          <cell r="G45">
            <v>102</v>
          </cell>
          <cell r="H45">
            <v>93</v>
          </cell>
          <cell r="I45">
            <v>67</v>
          </cell>
          <cell r="J45">
            <v>96</v>
          </cell>
          <cell r="K45">
            <v>95</v>
          </cell>
          <cell r="L45">
            <v>102</v>
          </cell>
          <cell r="M45">
            <v>69</v>
          </cell>
          <cell r="N45">
            <v>94</v>
          </cell>
          <cell r="O45">
            <v>59</v>
          </cell>
        </row>
        <row r="46">
          <cell r="A46" t="str">
            <v>62</v>
          </cell>
          <cell r="B46" t="str">
            <v>627200</v>
          </cell>
          <cell r="C46" t="str">
            <v>Commissions affacturage</v>
          </cell>
          <cell r="D46" t="str">
            <v/>
          </cell>
          <cell r="E46" t="str">
            <v/>
          </cell>
          <cell r="F46" t="str">
            <v/>
          </cell>
          <cell r="G46" t="str">
            <v/>
          </cell>
          <cell r="H46" t="str">
            <v/>
          </cell>
          <cell r="I46" t="str">
            <v/>
          </cell>
          <cell r="J46" t="str">
            <v/>
          </cell>
          <cell r="K46" t="str">
            <v/>
          </cell>
          <cell r="L46">
            <v>415</v>
          </cell>
          <cell r="M46">
            <v>415</v>
          </cell>
          <cell r="N46">
            <v>309</v>
          </cell>
          <cell r="O46">
            <v>449</v>
          </cell>
        </row>
        <row r="47">
          <cell r="A47" t="str">
            <v>62</v>
          </cell>
          <cell r="B47" t="str">
            <v>627800</v>
          </cell>
          <cell r="C47" t="str">
            <v>Prestations de services b</v>
          </cell>
          <cell r="D47">
            <v>903</v>
          </cell>
          <cell r="E47">
            <v>155</v>
          </cell>
          <cell r="F47">
            <v>286</v>
          </cell>
          <cell r="G47">
            <v>781</v>
          </cell>
          <cell r="H47">
            <v>149</v>
          </cell>
          <cell r="I47">
            <v>117</v>
          </cell>
          <cell r="J47">
            <v>438</v>
          </cell>
          <cell r="K47">
            <v>158</v>
          </cell>
          <cell r="L47">
            <v>322</v>
          </cell>
          <cell r="M47">
            <v>530</v>
          </cell>
          <cell r="N47">
            <v>489</v>
          </cell>
          <cell r="O47">
            <v>1220</v>
          </cell>
        </row>
        <row r="48">
          <cell r="A48" t="str">
            <v>62</v>
          </cell>
          <cell r="B48" t="str">
            <v>627810</v>
          </cell>
          <cell r="C48" t="str">
            <v>Commissions d'affacturage</v>
          </cell>
          <cell r="D48">
            <v>265</v>
          </cell>
          <cell r="E48">
            <v>265</v>
          </cell>
          <cell r="F48">
            <v>265</v>
          </cell>
          <cell r="G48">
            <v>618</v>
          </cell>
          <cell r="H48">
            <v>265</v>
          </cell>
          <cell r="I48">
            <v>265</v>
          </cell>
          <cell r="J48">
            <v>501</v>
          </cell>
          <cell r="K48">
            <v>415</v>
          </cell>
          <cell r="L48">
            <v>-14</v>
          </cell>
          <cell r="M48">
            <v>-10</v>
          </cell>
          <cell r="N48" t="str">
            <v/>
          </cell>
          <cell r="O48" t="str">
            <v/>
          </cell>
        </row>
        <row r="49">
          <cell r="A49" t="str">
            <v>62</v>
          </cell>
          <cell r="B49" t="str">
            <v>628100</v>
          </cell>
          <cell r="C49" t="str">
            <v>Cotisation professionnell</v>
          </cell>
          <cell r="D49" t="str">
            <v/>
          </cell>
          <cell r="E49" t="str">
            <v/>
          </cell>
          <cell r="F49" t="str">
            <v/>
          </cell>
          <cell r="G49" t="str">
            <v/>
          </cell>
          <cell r="H49" t="str">
            <v/>
          </cell>
          <cell r="I49" t="str">
            <v/>
          </cell>
          <cell r="J49" t="str">
            <v/>
          </cell>
          <cell r="K49" t="str">
            <v/>
          </cell>
          <cell r="L49">
            <v>800</v>
          </cell>
          <cell r="M49" t="str">
            <v/>
          </cell>
          <cell r="N49" t="str">
            <v/>
          </cell>
          <cell r="O49" t="str">
            <v/>
          </cell>
        </row>
        <row r="50">
          <cell r="A50" t="str">
            <v>63</v>
          </cell>
          <cell r="B50" t="str">
            <v>633300</v>
          </cell>
          <cell r="C50" t="str">
            <v>Formation continue (organ</v>
          </cell>
          <cell r="D50" t="str">
            <v/>
          </cell>
          <cell r="E50" t="str">
            <v/>
          </cell>
          <cell r="F50">
            <v>33</v>
          </cell>
          <cell r="G50" t="str">
            <v/>
          </cell>
          <cell r="H50" t="str">
            <v/>
          </cell>
          <cell r="I50">
            <v>60</v>
          </cell>
          <cell r="J50">
            <v>9</v>
          </cell>
          <cell r="K50">
            <v>18</v>
          </cell>
          <cell r="L50">
            <v>-74</v>
          </cell>
          <cell r="M50">
            <v>20</v>
          </cell>
          <cell r="N50">
            <v>20</v>
          </cell>
          <cell r="O50">
            <v>103</v>
          </cell>
        </row>
        <row r="51">
          <cell r="A51" t="str">
            <v>63</v>
          </cell>
          <cell r="B51" t="str">
            <v>633500</v>
          </cell>
          <cell r="C51" t="str">
            <v>Taxe d'apprentissage (ver</v>
          </cell>
          <cell r="D51" t="str">
            <v/>
          </cell>
          <cell r="E51" t="str">
            <v/>
          </cell>
          <cell r="F51">
            <v>30</v>
          </cell>
          <cell r="G51">
            <v>23</v>
          </cell>
          <cell r="H51" t="str">
            <v/>
          </cell>
          <cell r="I51">
            <v>60</v>
          </cell>
          <cell r="J51">
            <v>11</v>
          </cell>
          <cell r="K51">
            <v>22</v>
          </cell>
          <cell r="L51">
            <v>-67</v>
          </cell>
          <cell r="M51">
            <v>24</v>
          </cell>
          <cell r="N51">
            <v>24</v>
          </cell>
          <cell r="O51">
            <v>126</v>
          </cell>
        </row>
        <row r="52">
          <cell r="A52" t="str">
            <v>63</v>
          </cell>
          <cell r="B52" t="str">
            <v>635110</v>
          </cell>
          <cell r="C52" t="str">
            <v>Contribut° économique ter</v>
          </cell>
          <cell r="D52" t="str">
            <v/>
          </cell>
          <cell r="E52" t="str">
            <v/>
          </cell>
          <cell r="F52">
            <v>360</v>
          </cell>
          <cell r="G52" t="str">
            <v/>
          </cell>
          <cell r="H52" t="str">
            <v/>
          </cell>
          <cell r="I52">
            <v>360</v>
          </cell>
          <cell r="J52" t="str">
            <v/>
          </cell>
          <cell r="K52">
            <v>240</v>
          </cell>
          <cell r="L52">
            <v>-960</v>
          </cell>
          <cell r="M52" t="str">
            <v/>
          </cell>
          <cell r="N52" t="str">
            <v/>
          </cell>
          <cell r="O52">
            <v>1476</v>
          </cell>
        </row>
        <row r="53">
          <cell r="A53" t="str">
            <v>63</v>
          </cell>
          <cell r="B53" t="str">
            <v>635120</v>
          </cell>
          <cell r="C53" t="str">
            <v>Taxes foncières</v>
          </cell>
          <cell r="D53">
            <v>160</v>
          </cell>
          <cell r="E53">
            <v>192</v>
          </cell>
          <cell r="F53">
            <v>160</v>
          </cell>
          <cell r="G53">
            <v>128</v>
          </cell>
          <cell r="H53">
            <v>160</v>
          </cell>
          <cell r="I53">
            <v>160</v>
          </cell>
          <cell r="J53">
            <v>160</v>
          </cell>
          <cell r="K53" t="str">
            <v/>
          </cell>
          <cell r="L53" t="str">
            <v/>
          </cell>
          <cell r="M53">
            <v>160</v>
          </cell>
          <cell r="N53">
            <v>160</v>
          </cell>
          <cell r="O53">
            <v>160</v>
          </cell>
        </row>
        <row r="54">
          <cell r="A54" t="str">
            <v>63</v>
          </cell>
          <cell r="B54" t="str">
            <v>635800</v>
          </cell>
          <cell r="C54" t="str">
            <v>Autres droits</v>
          </cell>
          <cell r="D54" t="str">
            <v/>
          </cell>
          <cell r="E54" t="str">
            <v/>
          </cell>
          <cell r="F54" t="str">
            <v/>
          </cell>
          <cell r="G54" t="str">
            <v/>
          </cell>
          <cell r="H54" t="str">
            <v/>
          </cell>
          <cell r="I54" t="str">
            <v/>
          </cell>
          <cell r="J54" t="str">
            <v/>
          </cell>
          <cell r="K54" t="str">
            <v/>
          </cell>
          <cell r="L54">
            <v>273</v>
          </cell>
          <cell r="M54" t="str">
            <v/>
          </cell>
          <cell r="N54" t="str">
            <v/>
          </cell>
          <cell r="O54" t="str">
            <v/>
          </cell>
        </row>
        <row r="55">
          <cell r="A55" t="str">
            <v>64</v>
          </cell>
          <cell r="B55" t="str">
            <v>641100</v>
          </cell>
          <cell r="C55" t="str">
            <v>Salaires appointements</v>
          </cell>
          <cell r="D55">
            <v>2619</v>
          </cell>
          <cell r="E55">
            <v>1638</v>
          </cell>
          <cell r="F55">
            <v>1638</v>
          </cell>
          <cell r="G55">
            <v>3306</v>
          </cell>
          <cell r="H55">
            <v>3275</v>
          </cell>
          <cell r="I55">
            <v>1638</v>
          </cell>
          <cell r="J55">
            <v>3306</v>
          </cell>
          <cell r="K55">
            <v>3234</v>
          </cell>
          <cell r="L55">
            <v>3389</v>
          </cell>
          <cell r="M55">
            <v>3568</v>
          </cell>
          <cell r="N55">
            <v>3568</v>
          </cell>
          <cell r="O55">
            <v>3382</v>
          </cell>
        </row>
        <row r="56">
          <cell r="A56" t="str">
            <v>64</v>
          </cell>
          <cell r="B56" t="str">
            <v>641150</v>
          </cell>
          <cell r="C56" t="str">
            <v>Salaires administrateurs</v>
          </cell>
          <cell r="D56">
            <v>1400</v>
          </cell>
          <cell r="E56">
            <v>1900</v>
          </cell>
          <cell r="F56">
            <v>1900</v>
          </cell>
          <cell r="G56">
            <v>1900</v>
          </cell>
          <cell r="H56">
            <v>1900</v>
          </cell>
          <cell r="I56">
            <v>1900</v>
          </cell>
          <cell r="J56">
            <v>1900</v>
          </cell>
          <cell r="K56">
            <v>2160</v>
          </cell>
          <cell r="L56">
            <v>1640</v>
          </cell>
          <cell r="M56">
            <v>1900</v>
          </cell>
          <cell r="N56">
            <v>1900</v>
          </cell>
          <cell r="O56">
            <v>1500</v>
          </cell>
        </row>
        <row r="57">
          <cell r="A57" t="str">
            <v>64</v>
          </cell>
          <cell r="B57" t="str">
            <v>641200</v>
          </cell>
          <cell r="C57" t="str">
            <v>Congés payés</v>
          </cell>
          <cell r="D57" t="str">
            <v/>
          </cell>
          <cell r="E57" t="str">
            <v/>
          </cell>
          <cell r="F57">
            <v>330</v>
          </cell>
          <cell r="G57" t="str">
            <v/>
          </cell>
          <cell r="H57">
            <v>308</v>
          </cell>
          <cell r="I57">
            <v>226</v>
          </cell>
          <cell r="J57" t="str">
            <v/>
          </cell>
          <cell r="K57">
            <v>15</v>
          </cell>
          <cell r="L57">
            <v>-550</v>
          </cell>
          <cell r="M57" t="str">
            <v/>
          </cell>
          <cell r="N57" t="str">
            <v/>
          </cell>
          <cell r="O57">
            <v>665</v>
          </cell>
        </row>
        <row r="58">
          <cell r="A58" t="str">
            <v>64</v>
          </cell>
          <cell r="B58" t="str">
            <v>641500</v>
          </cell>
          <cell r="C58" t="str">
            <v>Prévoyance TNS</v>
          </cell>
          <cell r="D58" t="str">
            <v/>
          </cell>
          <cell r="E58" t="str">
            <v/>
          </cell>
          <cell r="F58" t="str">
            <v/>
          </cell>
          <cell r="G58" t="str">
            <v/>
          </cell>
          <cell r="H58" t="str">
            <v/>
          </cell>
          <cell r="I58" t="str">
            <v/>
          </cell>
          <cell r="J58" t="str">
            <v/>
          </cell>
          <cell r="K58" t="str">
            <v/>
          </cell>
          <cell r="L58">
            <v>315</v>
          </cell>
          <cell r="M58">
            <v>105</v>
          </cell>
          <cell r="N58">
            <v>105</v>
          </cell>
          <cell r="O58">
            <v>105</v>
          </cell>
        </row>
        <row r="59">
          <cell r="A59" t="str">
            <v>64</v>
          </cell>
          <cell r="B59" t="str">
            <v>641600</v>
          </cell>
          <cell r="C59" t="str">
            <v>RSI COTISATION</v>
          </cell>
          <cell r="D59">
            <v>717</v>
          </cell>
          <cell r="E59">
            <v>717</v>
          </cell>
          <cell r="F59">
            <v>1067</v>
          </cell>
          <cell r="G59">
            <v>717</v>
          </cell>
          <cell r="H59">
            <v>717</v>
          </cell>
          <cell r="I59">
            <v>1302</v>
          </cell>
          <cell r="J59">
            <v>2327</v>
          </cell>
          <cell r="K59">
            <v>327</v>
          </cell>
          <cell r="L59">
            <v>2</v>
          </cell>
          <cell r="M59" t="str">
            <v/>
          </cell>
          <cell r="N59">
            <v>1400</v>
          </cell>
          <cell r="O59">
            <v>2247</v>
          </cell>
        </row>
        <row r="60">
          <cell r="A60" t="str">
            <v>64</v>
          </cell>
          <cell r="B60" t="str">
            <v>645100</v>
          </cell>
          <cell r="C60" t="str">
            <v>Cotisations à l'URSSAF</v>
          </cell>
          <cell r="D60">
            <v>250</v>
          </cell>
          <cell r="E60">
            <v>250</v>
          </cell>
          <cell r="F60">
            <v>39</v>
          </cell>
          <cell r="G60">
            <v>524</v>
          </cell>
          <cell r="H60">
            <v>809</v>
          </cell>
          <cell r="I60">
            <v>344</v>
          </cell>
          <cell r="J60">
            <v>523</v>
          </cell>
          <cell r="K60">
            <v>523</v>
          </cell>
          <cell r="L60">
            <v>341</v>
          </cell>
          <cell r="M60">
            <v>742</v>
          </cell>
          <cell r="N60">
            <v>742</v>
          </cell>
          <cell r="O60">
            <v>926</v>
          </cell>
        </row>
        <row r="61">
          <cell r="A61" t="str">
            <v>64</v>
          </cell>
          <cell r="B61" t="str">
            <v>645320</v>
          </cell>
          <cell r="C61" t="str">
            <v>Cotisations retraites (sa</v>
          </cell>
          <cell r="D61">
            <v>96</v>
          </cell>
          <cell r="E61">
            <v>96</v>
          </cell>
          <cell r="F61">
            <v>96</v>
          </cell>
          <cell r="G61">
            <v>193</v>
          </cell>
          <cell r="H61">
            <v>210</v>
          </cell>
          <cell r="I61">
            <v>96</v>
          </cell>
          <cell r="J61">
            <v>193</v>
          </cell>
          <cell r="K61">
            <v>190</v>
          </cell>
          <cell r="L61">
            <v>198</v>
          </cell>
          <cell r="M61">
            <v>209</v>
          </cell>
          <cell r="N61">
            <v>209</v>
          </cell>
          <cell r="O61">
            <v>198</v>
          </cell>
        </row>
        <row r="62">
          <cell r="A62" t="str">
            <v>64</v>
          </cell>
          <cell r="B62" t="str">
            <v>645330</v>
          </cell>
          <cell r="C62" t="str">
            <v>Cotisations Prévoyance</v>
          </cell>
          <cell r="D62" t="str">
            <v/>
          </cell>
          <cell r="E62" t="str">
            <v/>
          </cell>
          <cell r="F62" t="str">
            <v/>
          </cell>
          <cell r="G62" t="str">
            <v/>
          </cell>
          <cell r="H62">
            <v>21</v>
          </cell>
          <cell r="I62">
            <v>21</v>
          </cell>
          <cell r="J62">
            <v>21</v>
          </cell>
          <cell r="K62">
            <v>21</v>
          </cell>
          <cell r="L62">
            <v>21</v>
          </cell>
          <cell r="M62">
            <v>21</v>
          </cell>
          <cell r="N62">
            <v>21</v>
          </cell>
          <cell r="O62">
            <v>21</v>
          </cell>
        </row>
        <row r="63">
          <cell r="A63" t="str">
            <v>64</v>
          </cell>
          <cell r="B63" t="str">
            <v>646900</v>
          </cell>
          <cell r="C63" t="str">
            <v>Mutuelle gérant</v>
          </cell>
          <cell r="D63" t="str">
            <v/>
          </cell>
          <cell r="E63" t="str">
            <v/>
          </cell>
          <cell r="F63">
            <v>315</v>
          </cell>
          <cell r="G63" t="str">
            <v/>
          </cell>
          <cell r="H63" t="str">
            <v/>
          </cell>
          <cell r="I63">
            <v>314</v>
          </cell>
          <cell r="J63" t="str">
            <v/>
          </cell>
          <cell r="K63" t="str">
            <v/>
          </cell>
          <cell r="L63" t="str">
            <v/>
          </cell>
          <cell r="M63" t="str">
            <v/>
          </cell>
          <cell r="N63" t="str">
            <v/>
          </cell>
          <cell r="O63">
            <v>630</v>
          </cell>
        </row>
        <row r="64">
          <cell r="A64" t="str">
            <v>64</v>
          </cell>
          <cell r="B64" t="str">
            <v>647500</v>
          </cell>
          <cell r="C64" t="str">
            <v>Médecine du travail et ph</v>
          </cell>
          <cell r="D64" t="str">
            <v/>
          </cell>
          <cell r="E64" t="str">
            <v/>
          </cell>
          <cell r="F64">
            <v>114</v>
          </cell>
          <cell r="G64" t="str">
            <v/>
          </cell>
          <cell r="H64" t="str">
            <v/>
          </cell>
          <cell r="I64" t="str">
            <v/>
          </cell>
          <cell r="J64" t="str">
            <v/>
          </cell>
          <cell r="K64" t="str">
            <v/>
          </cell>
          <cell r="L64" t="str">
            <v/>
          </cell>
          <cell r="M64" t="str">
            <v/>
          </cell>
          <cell r="N64" t="str">
            <v/>
          </cell>
          <cell r="O64" t="str">
            <v/>
          </cell>
        </row>
        <row r="65">
          <cell r="A65" t="str">
            <v>64</v>
          </cell>
          <cell r="B65" t="str">
            <v>649000</v>
          </cell>
          <cell r="C65" t="str">
            <v>Crédit d'impôt compétitiv</v>
          </cell>
          <cell r="D65" t="str">
            <v/>
          </cell>
          <cell r="E65" t="str">
            <v/>
          </cell>
          <cell r="F65">
            <v>343</v>
          </cell>
          <cell r="G65" t="str">
            <v/>
          </cell>
          <cell r="H65" t="str">
            <v/>
          </cell>
          <cell r="I65">
            <v>600</v>
          </cell>
          <cell r="J65" t="str">
            <v/>
          </cell>
          <cell r="K65">
            <v>457</v>
          </cell>
          <cell r="L65" t="str">
            <v/>
          </cell>
          <cell r="M65" t="str">
            <v/>
          </cell>
          <cell r="N65" t="str">
            <v/>
          </cell>
          <cell r="O65">
            <v>973</v>
          </cell>
        </row>
        <row r="66">
          <cell r="A66" t="str">
            <v>65</v>
          </cell>
          <cell r="B66" t="str">
            <v>658000</v>
          </cell>
          <cell r="C66" t="str">
            <v>Charges diverses gestion</v>
          </cell>
          <cell r="D66">
            <v>3</v>
          </cell>
          <cell r="E66">
            <v>2</v>
          </cell>
          <cell r="F66" t="str">
            <v/>
          </cell>
          <cell r="G66">
            <v>13</v>
          </cell>
          <cell r="H66">
            <v>1</v>
          </cell>
          <cell r="I66" t="str">
            <v/>
          </cell>
          <cell r="J66">
            <v>2</v>
          </cell>
          <cell r="K66" t="str">
            <v/>
          </cell>
          <cell r="L66">
            <v>5</v>
          </cell>
          <cell r="M66">
            <v>1</v>
          </cell>
          <cell r="N66" t="str">
            <v/>
          </cell>
          <cell r="O66" t="str">
            <v/>
          </cell>
        </row>
        <row r="67">
          <cell r="A67" t="str">
            <v>66</v>
          </cell>
          <cell r="B67" t="str">
            <v>661100</v>
          </cell>
          <cell r="C67" t="str">
            <v>Intérêts des emprunts et</v>
          </cell>
          <cell r="D67" t="str">
            <v/>
          </cell>
          <cell r="E67">
            <v>125</v>
          </cell>
          <cell r="F67">
            <v>114</v>
          </cell>
          <cell r="G67" t="str">
            <v/>
          </cell>
          <cell r="H67">
            <v>140</v>
          </cell>
          <cell r="I67">
            <v>102</v>
          </cell>
          <cell r="J67">
            <v>6</v>
          </cell>
          <cell r="K67">
            <v>139</v>
          </cell>
          <cell r="L67">
            <v>-5</v>
          </cell>
          <cell r="M67" t="str">
            <v/>
          </cell>
          <cell r="N67">
            <v>139</v>
          </cell>
          <cell r="O67">
            <v>168</v>
          </cell>
        </row>
        <row r="68">
          <cell r="A68" t="str">
            <v>66</v>
          </cell>
          <cell r="B68" t="str">
            <v>661600</v>
          </cell>
          <cell r="C68" t="str">
            <v>Intérêts bancaires</v>
          </cell>
          <cell r="D68">
            <v>264</v>
          </cell>
          <cell r="E68">
            <v>111</v>
          </cell>
          <cell r="F68" t="str">
            <v/>
          </cell>
          <cell r="G68">
            <v>124</v>
          </cell>
          <cell r="H68" t="str">
            <v/>
          </cell>
          <cell r="I68" t="str">
            <v/>
          </cell>
          <cell r="J68" t="str">
            <v/>
          </cell>
          <cell r="K68" t="str">
            <v/>
          </cell>
          <cell r="L68">
            <v>-236</v>
          </cell>
          <cell r="M68">
            <v>217</v>
          </cell>
          <cell r="N68" t="str">
            <v/>
          </cell>
          <cell r="O68">
            <v>-20</v>
          </cell>
        </row>
        <row r="69">
          <cell r="A69" t="str">
            <v>66</v>
          </cell>
          <cell r="B69" t="str">
            <v>661610</v>
          </cell>
          <cell r="C69" t="str">
            <v>Intérêts/finacement facto</v>
          </cell>
          <cell r="D69">
            <v>67</v>
          </cell>
          <cell r="E69">
            <v>48</v>
          </cell>
          <cell r="F69">
            <v>110</v>
          </cell>
          <cell r="G69">
            <v>182</v>
          </cell>
          <cell r="H69">
            <v>223</v>
          </cell>
          <cell r="I69">
            <v>251</v>
          </cell>
          <cell r="J69">
            <v>379</v>
          </cell>
          <cell r="K69">
            <v>535</v>
          </cell>
          <cell r="L69">
            <v>467</v>
          </cell>
          <cell r="M69">
            <v>316</v>
          </cell>
          <cell r="N69">
            <v>206</v>
          </cell>
          <cell r="O69">
            <v>62</v>
          </cell>
        </row>
        <row r="70">
          <cell r="A70" t="str">
            <v>67</v>
          </cell>
          <cell r="B70" t="str">
            <v>671200</v>
          </cell>
          <cell r="C70" t="str">
            <v>Pénalités et amendes</v>
          </cell>
          <cell r="D70" t="str">
            <v/>
          </cell>
          <cell r="E70">
            <v>109</v>
          </cell>
          <cell r="F70">
            <v>319</v>
          </cell>
          <cell r="G70" t="str">
            <v/>
          </cell>
          <cell r="H70" t="str">
            <v/>
          </cell>
          <cell r="I70" t="str">
            <v/>
          </cell>
          <cell r="J70" t="str">
            <v/>
          </cell>
          <cell r="K70" t="str">
            <v/>
          </cell>
          <cell r="L70" t="str">
            <v/>
          </cell>
          <cell r="M70" t="str">
            <v/>
          </cell>
          <cell r="N70" t="str">
            <v/>
          </cell>
          <cell r="O70" t="str">
            <v/>
          </cell>
        </row>
        <row r="71">
          <cell r="A71" t="str">
            <v>67</v>
          </cell>
          <cell r="B71" t="str">
            <v>672000</v>
          </cell>
          <cell r="C71" t="str">
            <v>Charges sur exercices ant</v>
          </cell>
          <cell r="D71">
            <v>400</v>
          </cell>
          <cell r="E71" t="str">
            <v/>
          </cell>
          <cell r="F71" t="str">
            <v/>
          </cell>
          <cell r="G71" t="str">
            <v/>
          </cell>
          <cell r="H71" t="str">
            <v/>
          </cell>
          <cell r="I71" t="str">
            <v/>
          </cell>
          <cell r="J71" t="str">
            <v/>
          </cell>
          <cell r="K71" t="str">
            <v/>
          </cell>
          <cell r="L71" t="str">
            <v/>
          </cell>
          <cell r="M71" t="str">
            <v/>
          </cell>
          <cell r="N71" t="str">
            <v/>
          </cell>
          <cell r="O71" t="str">
            <v/>
          </cell>
        </row>
        <row r="72">
          <cell r="A72" t="str">
            <v>68</v>
          </cell>
          <cell r="B72" t="str">
            <v>681110</v>
          </cell>
          <cell r="C72" t="str">
            <v>Dot. amort. s/immobil. in</v>
          </cell>
          <cell r="D72" t="str">
            <v/>
          </cell>
          <cell r="E72" t="str">
            <v/>
          </cell>
          <cell r="F72">
            <v>2398</v>
          </cell>
          <cell r="G72" t="str">
            <v/>
          </cell>
          <cell r="H72" t="str">
            <v/>
          </cell>
          <cell r="I72">
            <v>2398</v>
          </cell>
          <cell r="J72" t="str">
            <v/>
          </cell>
          <cell r="K72">
            <v>1598</v>
          </cell>
          <cell r="L72" t="str">
            <v/>
          </cell>
          <cell r="M72" t="str">
            <v/>
          </cell>
          <cell r="N72" t="str">
            <v/>
          </cell>
          <cell r="O72">
            <v>4823</v>
          </cell>
        </row>
        <row r="73">
          <cell r="A73" t="str">
            <v>68</v>
          </cell>
          <cell r="B73" t="str">
            <v>681120</v>
          </cell>
          <cell r="C73" t="str">
            <v>Dot. amort. s/immobil. co</v>
          </cell>
          <cell r="D73" t="str">
            <v/>
          </cell>
          <cell r="E73" t="str">
            <v/>
          </cell>
          <cell r="F73">
            <v>525</v>
          </cell>
          <cell r="G73" t="str">
            <v/>
          </cell>
          <cell r="H73" t="str">
            <v/>
          </cell>
          <cell r="I73">
            <v>454</v>
          </cell>
          <cell r="J73" t="str">
            <v/>
          </cell>
          <cell r="K73">
            <v>117</v>
          </cell>
          <cell r="L73" t="str">
            <v/>
          </cell>
          <cell r="M73" t="str">
            <v/>
          </cell>
          <cell r="N73" t="str">
            <v/>
          </cell>
          <cell r="O73">
            <v>144</v>
          </cell>
        </row>
        <row r="74">
          <cell r="A74" t="str">
            <v>69</v>
          </cell>
          <cell r="B74" t="str">
            <v>699500</v>
          </cell>
          <cell r="C74" t="str">
            <v>Crédit d'impôt recherche</v>
          </cell>
          <cell r="D74" t="str">
            <v/>
          </cell>
          <cell r="E74" t="str">
            <v/>
          </cell>
          <cell r="F74" t="str">
            <v/>
          </cell>
          <cell r="G74" t="str">
            <v/>
          </cell>
          <cell r="H74" t="str">
            <v/>
          </cell>
          <cell r="I74" t="str">
            <v/>
          </cell>
          <cell r="J74" t="str">
            <v/>
          </cell>
          <cell r="K74" t="str">
            <v/>
          </cell>
          <cell r="L74" t="str">
            <v/>
          </cell>
          <cell r="M74" t="str">
            <v/>
          </cell>
          <cell r="N74" t="str">
            <v/>
          </cell>
          <cell r="O74">
            <v>5424</v>
          </cell>
        </row>
        <row r="75">
          <cell r="A75" t="str">
            <v>69</v>
          </cell>
          <cell r="B75" t="str">
            <v>699600</v>
          </cell>
          <cell r="C75" t="str">
            <v>Crédit d'impôt formation</v>
          </cell>
          <cell r="D75" t="str">
            <v/>
          </cell>
          <cell r="E75" t="str">
            <v/>
          </cell>
          <cell r="F75" t="str">
            <v/>
          </cell>
          <cell r="G75" t="str">
            <v/>
          </cell>
          <cell r="H75" t="str">
            <v/>
          </cell>
          <cell r="I75" t="str">
            <v/>
          </cell>
          <cell r="J75" t="str">
            <v/>
          </cell>
          <cell r="K75" t="str">
            <v/>
          </cell>
          <cell r="L75" t="str">
            <v/>
          </cell>
          <cell r="M75" t="str">
            <v/>
          </cell>
          <cell r="N75" t="str">
            <v/>
          </cell>
          <cell r="O75">
            <v>68</v>
          </cell>
        </row>
        <row r="76">
          <cell r="A76" t="str">
            <v>6</v>
          </cell>
          <cell r="B76" t="str">
            <v>6</v>
          </cell>
          <cell r="C76" t="str">
            <v>Total Comptes Classe 6</v>
          </cell>
          <cell r="D76">
            <v>15288</v>
          </cell>
          <cell r="E76">
            <v>52048</v>
          </cell>
          <cell r="F76">
            <v>-12038</v>
          </cell>
          <cell r="G76">
            <v>54335</v>
          </cell>
          <cell r="H76">
            <v>19570</v>
          </cell>
          <cell r="I76">
            <v>33360</v>
          </cell>
          <cell r="J76">
            <v>48930</v>
          </cell>
          <cell r="K76">
            <v>10840</v>
          </cell>
          <cell r="L76">
            <v>35452</v>
          </cell>
          <cell r="M76">
            <v>16017</v>
          </cell>
          <cell r="N76">
            <v>17445</v>
          </cell>
          <cell r="O76">
            <v>-7911</v>
          </cell>
        </row>
        <row r="77">
          <cell r="A77" t="str">
            <v>70</v>
          </cell>
          <cell r="B77" t="str">
            <v>704201</v>
          </cell>
          <cell r="C77" t="str">
            <v>Travaux chaudronnerie</v>
          </cell>
          <cell r="D77">
            <v>13540</v>
          </cell>
          <cell r="E77">
            <v>16968</v>
          </cell>
          <cell r="F77">
            <v>3748</v>
          </cell>
          <cell r="G77">
            <v>20625</v>
          </cell>
          <cell r="H77">
            <v>53492</v>
          </cell>
          <cell r="I77">
            <v>40790</v>
          </cell>
          <cell r="J77">
            <v>1818</v>
          </cell>
          <cell r="K77">
            <v>20151</v>
          </cell>
          <cell r="L77">
            <v>11687</v>
          </cell>
          <cell r="M77">
            <v>10123</v>
          </cell>
          <cell r="N77">
            <v>1348</v>
          </cell>
          <cell r="O77">
            <v>9860</v>
          </cell>
        </row>
        <row r="78">
          <cell r="A78" t="str">
            <v>70</v>
          </cell>
          <cell r="B78" t="str">
            <v>704202</v>
          </cell>
          <cell r="C78" t="str">
            <v>travaux plaisance</v>
          </cell>
          <cell r="D78" t="str">
            <v/>
          </cell>
          <cell r="E78">
            <v>9334</v>
          </cell>
          <cell r="F78">
            <v>2406</v>
          </cell>
          <cell r="G78">
            <v>3360</v>
          </cell>
          <cell r="H78">
            <v>466</v>
          </cell>
          <cell r="I78" t="str">
            <v/>
          </cell>
          <cell r="J78">
            <v>9000</v>
          </cell>
          <cell r="K78">
            <v>20836</v>
          </cell>
          <cell r="L78">
            <v>2210</v>
          </cell>
          <cell r="M78" t="str">
            <v/>
          </cell>
          <cell r="N78">
            <v>2710</v>
          </cell>
          <cell r="O78" t="str">
            <v/>
          </cell>
        </row>
        <row r="79">
          <cell r="A79" t="str">
            <v>70</v>
          </cell>
          <cell r="B79" t="str">
            <v>708800</v>
          </cell>
          <cell r="C79" t="str">
            <v>Autres produits activités</v>
          </cell>
          <cell r="D79" t="str">
            <v/>
          </cell>
          <cell r="E79" t="str">
            <v/>
          </cell>
          <cell r="F79" t="str">
            <v/>
          </cell>
          <cell r="G79" t="str">
            <v/>
          </cell>
          <cell r="H79" t="str">
            <v/>
          </cell>
          <cell r="I79" t="str">
            <v/>
          </cell>
          <cell r="J79" t="str">
            <v/>
          </cell>
          <cell r="K79" t="str">
            <v/>
          </cell>
          <cell r="L79" t="str">
            <v/>
          </cell>
          <cell r="M79" t="str">
            <v/>
          </cell>
          <cell r="N79" t="str">
            <v/>
          </cell>
          <cell r="O79">
            <v>1105</v>
          </cell>
        </row>
        <row r="80">
          <cell r="A80" t="str">
            <v>71</v>
          </cell>
          <cell r="B80" t="str">
            <v>713350</v>
          </cell>
          <cell r="C80" t="str">
            <v>Variations travaux en cou</v>
          </cell>
          <cell r="D80">
            <v>4478</v>
          </cell>
          <cell r="E80">
            <v>-4942</v>
          </cell>
          <cell r="F80">
            <v>-312</v>
          </cell>
          <cell r="G80">
            <v>-11604</v>
          </cell>
          <cell r="H80">
            <v>20465</v>
          </cell>
          <cell r="I80">
            <v>-15488</v>
          </cell>
          <cell r="J80">
            <v>-4977</v>
          </cell>
          <cell r="K80">
            <v>5205</v>
          </cell>
          <cell r="L80">
            <v>-5205</v>
          </cell>
          <cell r="M80" t="str">
            <v/>
          </cell>
          <cell r="N80" t="str">
            <v/>
          </cell>
          <cell r="O80">
            <v>24580</v>
          </cell>
        </row>
        <row r="81">
          <cell r="A81" t="str">
            <v>72</v>
          </cell>
          <cell r="B81" t="str">
            <v>720000</v>
          </cell>
          <cell r="C81" t="str">
            <v>Production immobilisée</v>
          </cell>
          <cell r="D81" t="str">
            <v/>
          </cell>
          <cell r="E81" t="str">
            <v/>
          </cell>
          <cell r="F81" t="str">
            <v/>
          </cell>
          <cell r="G81" t="str">
            <v/>
          </cell>
          <cell r="H81" t="str">
            <v/>
          </cell>
          <cell r="I81">
            <v>11000</v>
          </cell>
          <cell r="J81" t="str">
            <v/>
          </cell>
          <cell r="K81" t="str">
            <v/>
          </cell>
          <cell r="L81" t="str">
            <v/>
          </cell>
          <cell r="M81" t="str">
            <v/>
          </cell>
          <cell r="N81">
            <v>2000</v>
          </cell>
          <cell r="O81">
            <v>13000</v>
          </cell>
        </row>
        <row r="82">
          <cell r="A82" t="str">
            <v>74</v>
          </cell>
          <cell r="B82" t="str">
            <v>740000</v>
          </cell>
          <cell r="C82" t="str">
            <v>Subventions d'exploitatio</v>
          </cell>
          <cell r="D82" t="str">
            <v/>
          </cell>
          <cell r="E82" t="str">
            <v/>
          </cell>
          <cell r="F82" t="str">
            <v/>
          </cell>
          <cell r="G82">
            <v>6900</v>
          </cell>
          <cell r="H82" t="str">
            <v/>
          </cell>
          <cell r="I82" t="str">
            <v/>
          </cell>
          <cell r="J82" t="str">
            <v/>
          </cell>
          <cell r="K82" t="str">
            <v/>
          </cell>
          <cell r="L82">
            <v>2640</v>
          </cell>
          <cell r="M82" t="str">
            <v/>
          </cell>
          <cell r="N82" t="str">
            <v/>
          </cell>
          <cell r="O82">
            <v>-6900</v>
          </cell>
        </row>
        <row r="83">
          <cell r="A83" t="str">
            <v>75</v>
          </cell>
          <cell r="B83" t="str">
            <v>758000</v>
          </cell>
          <cell r="C83" t="str">
            <v>Produits divers gestion c</v>
          </cell>
          <cell r="D83">
            <v>37</v>
          </cell>
          <cell r="E83" t="str">
            <v/>
          </cell>
          <cell r="F83" t="str">
            <v/>
          </cell>
          <cell r="G83">
            <v>4</v>
          </cell>
          <cell r="H83">
            <v>4</v>
          </cell>
          <cell r="I83" t="str">
            <v/>
          </cell>
          <cell r="J83" t="str">
            <v/>
          </cell>
          <cell r="K83" t="str">
            <v/>
          </cell>
          <cell r="L83">
            <v>3</v>
          </cell>
          <cell r="M83" t="str">
            <v/>
          </cell>
          <cell r="N83" t="str">
            <v/>
          </cell>
          <cell r="O83" t="str">
            <v/>
          </cell>
        </row>
        <row r="84">
          <cell r="A84" t="str">
            <v>77</v>
          </cell>
          <cell r="B84" t="str">
            <v>775000</v>
          </cell>
          <cell r="C84" t="str">
            <v>Produits cessions élément</v>
          </cell>
          <cell r="D84" t="str">
            <v/>
          </cell>
          <cell r="E84" t="str">
            <v/>
          </cell>
          <cell r="F84" t="str">
            <v/>
          </cell>
          <cell r="G84" t="str">
            <v/>
          </cell>
          <cell r="H84">
            <v>1105</v>
          </cell>
          <cell r="I84" t="str">
            <v/>
          </cell>
          <cell r="J84" t="str">
            <v/>
          </cell>
          <cell r="K84" t="str">
            <v/>
          </cell>
          <cell r="L84" t="str">
            <v/>
          </cell>
          <cell r="M84" t="str">
            <v/>
          </cell>
          <cell r="N84" t="str">
            <v/>
          </cell>
          <cell r="O84">
            <v>-1105</v>
          </cell>
        </row>
        <row r="85">
          <cell r="A85" t="str">
            <v>79</v>
          </cell>
          <cell r="B85" t="str">
            <v>791000</v>
          </cell>
          <cell r="C85" t="str">
            <v>Transfert de charges d'ex</v>
          </cell>
          <cell r="D85" t="str">
            <v/>
          </cell>
          <cell r="E85" t="str">
            <v/>
          </cell>
          <cell r="F85">
            <v>1987</v>
          </cell>
          <cell r="G85">
            <v>-167</v>
          </cell>
          <cell r="H85">
            <v>480</v>
          </cell>
          <cell r="I85">
            <v>2011</v>
          </cell>
          <cell r="J85" t="str">
            <v/>
          </cell>
          <cell r="K85">
            <v>1596</v>
          </cell>
          <cell r="L85">
            <v>-2831</v>
          </cell>
          <cell r="M85">
            <v>500</v>
          </cell>
          <cell r="N85" t="str">
            <v/>
          </cell>
          <cell r="O85">
            <v>667</v>
          </cell>
        </row>
        <row r="86">
          <cell r="B86" t="str">
            <v>7</v>
          </cell>
          <cell r="C86" t="str">
            <v>Total Comptes Classe 7</v>
          </cell>
          <cell r="D86">
            <v>18055</v>
          </cell>
          <cell r="E86">
            <v>21360</v>
          </cell>
          <cell r="F86">
            <v>7829</v>
          </cell>
          <cell r="G86">
            <v>19117</v>
          </cell>
          <cell r="H86">
            <v>76011</v>
          </cell>
          <cell r="I86">
            <v>38313</v>
          </cell>
          <cell r="J86">
            <v>5841</v>
          </cell>
          <cell r="K86">
            <v>47788</v>
          </cell>
          <cell r="L86">
            <v>8504</v>
          </cell>
          <cell r="M86">
            <v>10623</v>
          </cell>
          <cell r="N86">
            <v>6058</v>
          </cell>
          <cell r="O86">
            <v>41207</v>
          </cell>
        </row>
        <row r="87">
          <cell r="B87" t="str">
            <v/>
          </cell>
          <cell r="C87" t="str">
            <v>Résultat</v>
          </cell>
          <cell r="D87">
            <v>2768</v>
          </cell>
          <cell r="E87">
            <v>-30689</v>
          </cell>
          <cell r="F87">
            <v>19865</v>
          </cell>
          <cell r="G87">
            <v>-35215</v>
          </cell>
          <cell r="H87">
            <v>56441</v>
          </cell>
          <cell r="I87">
            <v>5253</v>
          </cell>
          <cell r="J87">
            <v>-43088</v>
          </cell>
          <cell r="K87">
            <v>36950</v>
          </cell>
          <cell r="L87">
            <v>-27247</v>
          </cell>
          <cell r="M87">
            <v>-5396</v>
          </cell>
          <cell r="N87">
            <v>-11388</v>
          </cell>
          <cell r="O87">
            <v>49116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VERT"/>
    </sheetNames>
    <sheetDataSet>
      <sheetData sheetId="0">
        <row r="1">
          <cell r="B1" t="str">
            <v>Compte</v>
          </cell>
          <cell r="C1" t="str">
            <v>Intitulé</v>
          </cell>
          <cell r="D1" t="str">
            <v>01</v>
          </cell>
          <cell r="E1" t="str">
            <v>02</v>
          </cell>
          <cell r="F1" t="str">
            <v>03</v>
          </cell>
          <cell r="G1" t="str">
            <v>04</v>
          </cell>
          <cell r="H1" t="str">
            <v>05</v>
          </cell>
          <cell r="I1" t="str">
            <v>06</v>
          </cell>
          <cell r="J1" t="str">
            <v>07</v>
          </cell>
          <cell r="K1" t="str">
            <v>08</v>
          </cell>
          <cell r="L1" t="str">
            <v>09</v>
          </cell>
          <cell r="M1" t="str">
            <v>10</v>
          </cell>
          <cell r="N1" t="str">
            <v>11</v>
          </cell>
          <cell r="O1" t="str">
            <v>12</v>
          </cell>
        </row>
        <row r="2">
          <cell r="A2" t="str">
            <v>60</v>
          </cell>
          <cell r="B2" t="str">
            <v>601900</v>
          </cell>
          <cell r="C2" t="str">
            <v>Prélèvements de matières</v>
          </cell>
          <cell r="D2" t="str">
            <v/>
          </cell>
          <cell r="E2" t="str">
            <v/>
          </cell>
          <cell r="F2">
            <v>-20</v>
          </cell>
          <cell r="G2" t="str">
            <v/>
          </cell>
          <cell r="H2" t="str">
            <v/>
          </cell>
          <cell r="I2" t="str">
            <v/>
          </cell>
          <cell r="J2" t="str">
            <v/>
          </cell>
          <cell r="K2" t="str">
            <v/>
          </cell>
          <cell r="L2" t="str">
            <v/>
          </cell>
          <cell r="M2" t="str">
            <v/>
          </cell>
          <cell r="N2" t="str">
            <v/>
          </cell>
          <cell r="O2" t="str">
            <v/>
          </cell>
        </row>
        <row r="3">
          <cell r="A3" t="str">
            <v>60</v>
          </cell>
          <cell r="B3" t="str">
            <v>602000</v>
          </cell>
          <cell r="C3" t="str">
            <v>Achats MP</v>
          </cell>
          <cell r="D3">
            <v>636</v>
          </cell>
          <cell r="E3" t="str">
            <v/>
          </cell>
          <cell r="F3">
            <v>-247</v>
          </cell>
          <cell r="G3">
            <v>1189</v>
          </cell>
          <cell r="H3">
            <v>77</v>
          </cell>
          <cell r="I3">
            <v>3525</v>
          </cell>
          <cell r="J3">
            <v>11139</v>
          </cell>
          <cell r="K3">
            <v>8501</v>
          </cell>
          <cell r="L3">
            <v>3651</v>
          </cell>
          <cell r="M3">
            <v>711</v>
          </cell>
          <cell r="N3" t="str">
            <v/>
          </cell>
          <cell r="O3" t="str">
            <v/>
          </cell>
        </row>
        <row r="4">
          <cell r="A4" t="str">
            <v>60</v>
          </cell>
          <cell r="B4" t="str">
            <v>602001</v>
          </cell>
          <cell r="C4" t="str">
            <v>Achats MP chaudronnerie i</v>
          </cell>
          <cell r="D4">
            <v>3579</v>
          </cell>
          <cell r="E4">
            <v>4034</v>
          </cell>
          <cell r="F4">
            <v>731</v>
          </cell>
          <cell r="G4">
            <v>9160</v>
          </cell>
          <cell r="H4">
            <v>3749</v>
          </cell>
          <cell r="I4">
            <v>6510</v>
          </cell>
          <cell r="J4">
            <v>2341</v>
          </cell>
          <cell r="K4">
            <v>18167</v>
          </cell>
          <cell r="L4">
            <v>767</v>
          </cell>
          <cell r="M4">
            <v>1077</v>
          </cell>
          <cell r="N4" t="str">
            <v/>
          </cell>
          <cell r="O4" t="str">
            <v/>
          </cell>
        </row>
        <row r="5">
          <cell r="A5" t="str">
            <v>60</v>
          </cell>
          <cell r="B5" t="str">
            <v>602002</v>
          </cell>
          <cell r="C5" t="str">
            <v>achats MP Plaisance</v>
          </cell>
          <cell r="D5" t="str">
            <v/>
          </cell>
          <cell r="E5">
            <v>218</v>
          </cell>
          <cell r="F5">
            <v>3826</v>
          </cell>
          <cell r="G5">
            <v>150</v>
          </cell>
          <cell r="H5">
            <v>3815</v>
          </cell>
          <cell r="I5">
            <v>5026</v>
          </cell>
          <cell r="J5" t="str">
            <v/>
          </cell>
          <cell r="K5" t="str">
            <v/>
          </cell>
          <cell r="L5" t="str">
            <v/>
          </cell>
          <cell r="M5" t="str">
            <v/>
          </cell>
          <cell r="N5" t="str">
            <v/>
          </cell>
          <cell r="O5" t="str">
            <v/>
          </cell>
        </row>
        <row r="6">
          <cell r="A6" t="str">
            <v>60</v>
          </cell>
          <cell r="B6" t="str">
            <v>602100</v>
          </cell>
          <cell r="C6" t="str">
            <v>Achats de matieres consom</v>
          </cell>
          <cell r="D6" t="str">
            <v/>
          </cell>
          <cell r="E6" t="str">
            <v/>
          </cell>
          <cell r="F6" t="str">
            <v/>
          </cell>
          <cell r="G6">
            <v>11542</v>
          </cell>
          <cell r="H6" t="str">
            <v/>
          </cell>
          <cell r="I6" t="str">
            <v/>
          </cell>
          <cell r="J6" t="str">
            <v/>
          </cell>
          <cell r="K6">
            <v>900</v>
          </cell>
          <cell r="L6">
            <v>1209</v>
          </cell>
          <cell r="M6">
            <v>74</v>
          </cell>
          <cell r="N6" t="str">
            <v/>
          </cell>
          <cell r="O6" t="str">
            <v/>
          </cell>
        </row>
        <row r="7">
          <cell r="A7" t="str">
            <v>60</v>
          </cell>
          <cell r="B7" t="str">
            <v>602200</v>
          </cell>
          <cell r="C7" t="str">
            <v>Achats de fournitures con</v>
          </cell>
          <cell r="D7" t="str">
            <v/>
          </cell>
          <cell r="E7" t="str">
            <v/>
          </cell>
          <cell r="F7" t="str">
            <v/>
          </cell>
          <cell r="G7" t="str">
            <v/>
          </cell>
          <cell r="H7" t="str">
            <v/>
          </cell>
          <cell r="I7" t="str">
            <v/>
          </cell>
          <cell r="J7" t="str">
            <v/>
          </cell>
          <cell r="K7">
            <v>79</v>
          </cell>
          <cell r="L7">
            <v>666</v>
          </cell>
          <cell r="M7">
            <v>261</v>
          </cell>
          <cell r="N7" t="str">
            <v/>
          </cell>
          <cell r="O7" t="str">
            <v/>
          </cell>
        </row>
        <row r="8">
          <cell r="A8" t="str">
            <v>60</v>
          </cell>
          <cell r="B8" t="str">
            <v>603100</v>
          </cell>
          <cell r="C8" t="str">
            <v>Variat. stocks Mat. premi</v>
          </cell>
          <cell r="D8">
            <v>-4024</v>
          </cell>
          <cell r="E8" t="str">
            <v/>
          </cell>
          <cell r="F8" t="str">
            <v/>
          </cell>
          <cell r="G8" t="str">
            <v/>
          </cell>
          <cell r="H8" t="str">
            <v/>
          </cell>
          <cell r="I8" t="str">
            <v/>
          </cell>
          <cell r="J8" t="str">
            <v/>
          </cell>
          <cell r="K8" t="str">
            <v/>
          </cell>
          <cell r="L8" t="str">
            <v/>
          </cell>
          <cell r="M8" t="str">
            <v/>
          </cell>
          <cell r="N8" t="str">
            <v/>
          </cell>
          <cell r="O8" t="str">
            <v/>
          </cell>
        </row>
        <row r="9">
          <cell r="A9" t="str">
            <v>60</v>
          </cell>
          <cell r="B9" t="str">
            <v>603110</v>
          </cell>
          <cell r="C9" t="str">
            <v>Variation stock MP</v>
          </cell>
          <cell r="D9">
            <v>17326</v>
          </cell>
          <cell r="E9" t="str">
            <v/>
          </cell>
          <cell r="F9" t="str">
            <v/>
          </cell>
          <cell r="G9" t="str">
            <v/>
          </cell>
          <cell r="H9" t="str">
            <v/>
          </cell>
          <cell r="I9" t="str">
            <v/>
          </cell>
          <cell r="J9" t="str">
            <v/>
          </cell>
          <cell r="K9" t="str">
            <v/>
          </cell>
          <cell r="L9" t="str">
            <v/>
          </cell>
          <cell r="M9" t="str">
            <v/>
          </cell>
          <cell r="N9" t="str">
            <v/>
          </cell>
          <cell r="O9" t="str">
            <v/>
          </cell>
        </row>
        <row r="10">
          <cell r="A10" t="str">
            <v>60</v>
          </cell>
          <cell r="B10" t="str">
            <v>604000</v>
          </cell>
          <cell r="C10" t="str">
            <v>Achats d'études et presta</v>
          </cell>
          <cell r="D10" t="str">
            <v/>
          </cell>
          <cell r="E10">
            <v>330</v>
          </cell>
          <cell r="F10">
            <v>1534</v>
          </cell>
          <cell r="G10">
            <v>2351</v>
          </cell>
          <cell r="H10">
            <v>122</v>
          </cell>
          <cell r="I10">
            <v>695</v>
          </cell>
          <cell r="J10">
            <v>1170</v>
          </cell>
          <cell r="K10" t="str">
            <v/>
          </cell>
          <cell r="L10" t="str">
            <v/>
          </cell>
          <cell r="M10" t="str">
            <v/>
          </cell>
          <cell r="N10" t="str">
            <v/>
          </cell>
          <cell r="O10" t="str">
            <v/>
          </cell>
        </row>
        <row r="11">
          <cell r="A11" t="str">
            <v>60</v>
          </cell>
          <cell r="B11" t="str">
            <v>604100</v>
          </cell>
          <cell r="C11" t="str">
            <v>Sous traitance</v>
          </cell>
          <cell r="D11" t="str">
            <v/>
          </cell>
          <cell r="E11" t="str">
            <v/>
          </cell>
          <cell r="F11">
            <v>1837</v>
          </cell>
          <cell r="G11">
            <v>279</v>
          </cell>
          <cell r="H11" t="str">
            <v/>
          </cell>
          <cell r="I11" t="str">
            <v/>
          </cell>
          <cell r="J11">
            <v>2175</v>
          </cell>
          <cell r="K11">
            <v>2325</v>
          </cell>
          <cell r="L11">
            <v>148</v>
          </cell>
          <cell r="M11">
            <v>965</v>
          </cell>
          <cell r="N11" t="str">
            <v/>
          </cell>
          <cell r="O11" t="str">
            <v/>
          </cell>
        </row>
        <row r="12">
          <cell r="A12" t="str">
            <v>60</v>
          </cell>
          <cell r="B12" t="str">
            <v>604101</v>
          </cell>
          <cell r="C12" t="str">
            <v>sous traitance chaudronne</v>
          </cell>
          <cell r="D12">
            <v>2229</v>
          </cell>
          <cell r="E12">
            <v>525</v>
          </cell>
          <cell r="F12">
            <v>729</v>
          </cell>
          <cell r="G12" t="str">
            <v/>
          </cell>
          <cell r="H12">
            <v>1260</v>
          </cell>
          <cell r="I12">
            <v>872</v>
          </cell>
          <cell r="J12" t="str">
            <v/>
          </cell>
          <cell r="K12" t="str">
            <v/>
          </cell>
          <cell r="L12" t="str">
            <v/>
          </cell>
          <cell r="M12">
            <v>146</v>
          </cell>
          <cell r="N12" t="str">
            <v/>
          </cell>
          <cell r="O12" t="str">
            <v/>
          </cell>
        </row>
        <row r="13">
          <cell r="A13" t="str">
            <v>60</v>
          </cell>
          <cell r="B13" t="str">
            <v>604102</v>
          </cell>
          <cell r="C13" t="str">
            <v>sous traitance plaisance</v>
          </cell>
          <cell r="D13" t="str">
            <v/>
          </cell>
          <cell r="E13" t="str">
            <v/>
          </cell>
          <cell r="F13" t="str">
            <v/>
          </cell>
          <cell r="G13" t="str">
            <v/>
          </cell>
          <cell r="H13">
            <v>475</v>
          </cell>
          <cell r="I13">
            <v>314</v>
          </cell>
          <cell r="J13" t="str">
            <v/>
          </cell>
          <cell r="K13" t="str">
            <v/>
          </cell>
          <cell r="L13" t="str">
            <v/>
          </cell>
          <cell r="M13" t="str">
            <v/>
          </cell>
          <cell r="N13" t="str">
            <v/>
          </cell>
          <cell r="O13" t="str">
            <v/>
          </cell>
        </row>
        <row r="14">
          <cell r="B14" t="str">
            <v>606100</v>
          </cell>
          <cell r="C14" t="str">
            <v>Electricité</v>
          </cell>
          <cell r="D14">
            <v>275</v>
          </cell>
          <cell r="E14">
            <v>184</v>
          </cell>
          <cell r="F14">
            <v>208</v>
          </cell>
          <cell r="G14">
            <v>18</v>
          </cell>
          <cell r="H14">
            <v>416</v>
          </cell>
          <cell r="I14" t="str">
            <v/>
          </cell>
          <cell r="J14">
            <v>409</v>
          </cell>
          <cell r="K14" t="str">
            <v/>
          </cell>
          <cell r="L14">
            <v>207</v>
          </cell>
          <cell r="M14" t="str">
            <v/>
          </cell>
          <cell r="N14" t="str">
            <v/>
          </cell>
          <cell r="O14" t="str">
            <v/>
          </cell>
        </row>
        <row r="15">
          <cell r="B15" t="str">
            <v>606110</v>
          </cell>
          <cell r="C15" t="str">
            <v>Eau</v>
          </cell>
          <cell r="D15" t="str">
            <v/>
          </cell>
          <cell r="E15" t="str">
            <v/>
          </cell>
          <cell r="F15" t="str">
            <v/>
          </cell>
          <cell r="G15" t="str">
            <v/>
          </cell>
          <cell r="H15">
            <v>40</v>
          </cell>
          <cell r="I15" t="str">
            <v/>
          </cell>
          <cell r="J15">
            <v>92</v>
          </cell>
          <cell r="K15" t="str">
            <v/>
          </cell>
          <cell r="L15">
            <v>48</v>
          </cell>
          <cell r="M15" t="str">
            <v/>
          </cell>
          <cell r="N15" t="str">
            <v/>
          </cell>
          <cell r="O15" t="str">
            <v/>
          </cell>
        </row>
        <row r="16">
          <cell r="B16" t="str">
            <v>606120</v>
          </cell>
          <cell r="C16" t="str">
            <v>Gaz Arcal poste à souder</v>
          </cell>
          <cell r="D16">
            <v>347</v>
          </cell>
          <cell r="E16" t="str">
            <v/>
          </cell>
          <cell r="F16" t="str">
            <v/>
          </cell>
          <cell r="G16">
            <v>379</v>
          </cell>
          <cell r="H16" t="str">
            <v/>
          </cell>
          <cell r="I16">
            <v>442</v>
          </cell>
          <cell r="J16" t="str">
            <v/>
          </cell>
          <cell r="K16">
            <v>105</v>
          </cell>
          <cell r="L16">
            <v>593</v>
          </cell>
          <cell r="M16">
            <v>50</v>
          </cell>
          <cell r="N16" t="str">
            <v/>
          </cell>
          <cell r="O16" t="str">
            <v/>
          </cell>
        </row>
        <row r="17">
          <cell r="B17" t="str">
            <v>606140</v>
          </cell>
          <cell r="C17" t="str">
            <v>Carburant</v>
          </cell>
          <cell r="D17">
            <v>486</v>
          </cell>
          <cell r="E17">
            <v>282</v>
          </cell>
          <cell r="F17">
            <v>290</v>
          </cell>
          <cell r="G17">
            <v>582</v>
          </cell>
          <cell r="H17">
            <v>315</v>
          </cell>
          <cell r="I17">
            <v>921</v>
          </cell>
          <cell r="J17">
            <v>665</v>
          </cell>
          <cell r="K17">
            <v>1847</v>
          </cell>
          <cell r="L17">
            <v>342</v>
          </cell>
          <cell r="M17">
            <v>165</v>
          </cell>
          <cell r="N17" t="str">
            <v/>
          </cell>
          <cell r="O17" t="str">
            <v/>
          </cell>
        </row>
        <row r="18">
          <cell r="B18" t="str">
            <v>606300</v>
          </cell>
          <cell r="C18" t="str">
            <v>Achats de petit équipemen</v>
          </cell>
          <cell r="D18">
            <v>1353</v>
          </cell>
          <cell r="E18">
            <v>1073</v>
          </cell>
          <cell r="F18">
            <v>613</v>
          </cell>
          <cell r="G18">
            <v>-149</v>
          </cell>
          <cell r="H18">
            <v>148</v>
          </cell>
          <cell r="I18">
            <v>255</v>
          </cell>
          <cell r="J18">
            <v>424</v>
          </cell>
          <cell r="K18">
            <v>526</v>
          </cell>
          <cell r="L18">
            <v>395</v>
          </cell>
          <cell r="M18" t="str">
            <v/>
          </cell>
          <cell r="N18" t="str">
            <v/>
          </cell>
          <cell r="O18" t="str">
            <v/>
          </cell>
        </row>
        <row r="19">
          <cell r="B19" t="str">
            <v>606400</v>
          </cell>
          <cell r="C19" t="str">
            <v>Achats fournitures admini</v>
          </cell>
          <cell r="D19">
            <v>55</v>
          </cell>
          <cell r="E19">
            <v>111</v>
          </cell>
          <cell r="F19">
            <v>82</v>
          </cell>
          <cell r="G19">
            <v>105</v>
          </cell>
          <cell r="H19" t="str">
            <v/>
          </cell>
          <cell r="I19">
            <v>189</v>
          </cell>
          <cell r="J19">
            <v>361</v>
          </cell>
          <cell r="K19">
            <v>75</v>
          </cell>
          <cell r="L19">
            <v>250</v>
          </cell>
          <cell r="M19" t="str">
            <v/>
          </cell>
          <cell r="N19" t="str">
            <v/>
          </cell>
          <cell r="O19" t="str">
            <v/>
          </cell>
        </row>
        <row r="20">
          <cell r="A20" t="str">
            <v>61</v>
          </cell>
          <cell r="B20" t="str">
            <v>612201</v>
          </cell>
          <cell r="C20" t="str">
            <v>Leasing Grenke matériels</v>
          </cell>
          <cell r="D20">
            <v>667</v>
          </cell>
          <cell r="E20">
            <v>661</v>
          </cell>
          <cell r="F20">
            <v>264</v>
          </cell>
          <cell r="G20">
            <v>661</v>
          </cell>
          <cell r="H20">
            <v>661</v>
          </cell>
          <cell r="I20">
            <v>331</v>
          </cell>
          <cell r="J20">
            <v>661</v>
          </cell>
          <cell r="K20" t="str">
            <v/>
          </cell>
          <cell r="L20" t="str">
            <v/>
          </cell>
          <cell r="M20" t="str">
            <v/>
          </cell>
          <cell r="N20" t="str">
            <v/>
          </cell>
          <cell r="O20" t="str">
            <v/>
          </cell>
        </row>
        <row r="21">
          <cell r="A21" t="str">
            <v>61</v>
          </cell>
          <cell r="B21" t="str">
            <v>612220</v>
          </cell>
          <cell r="C21" t="str">
            <v>Redevances crédit-bail ma</v>
          </cell>
          <cell r="D21" t="str">
            <v/>
          </cell>
          <cell r="E21" t="str">
            <v/>
          </cell>
          <cell r="F21" t="str">
            <v/>
          </cell>
          <cell r="G21" t="str">
            <v/>
          </cell>
          <cell r="H21" t="str">
            <v/>
          </cell>
          <cell r="I21">
            <v>108</v>
          </cell>
          <cell r="J21">
            <v>315</v>
          </cell>
          <cell r="K21">
            <v>575</v>
          </cell>
          <cell r="L21">
            <v>575</v>
          </cell>
          <cell r="M21">
            <v>575</v>
          </cell>
          <cell r="N21" t="str">
            <v/>
          </cell>
          <cell r="O21" t="str">
            <v/>
          </cell>
        </row>
        <row r="22">
          <cell r="A22" t="str">
            <v>61</v>
          </cell>
          <cell r="B22" t="str">
            <v>613000</v>
          </cell>
          <cell r="C22" t="str">
            <v>Locations</v>
          </cell>
          <cell r="D22">
            <v>9</v>
          </cell>
          <cell r="E22">
            <v>9</v>
          </cell>
          <cell r="F22" t="str">
            <v/>
          </cell>
          <cell r="G22">
            <v>-18</v>
          </cell>
          <cell r="H22" t="str">
            <v/>
          </cell>
          <cell r="I22" t="str">
            <v/>
          </cell>
          <cell r="J22" t="str">
            <v/>
          </cell>
          <cell r="K22" t="str">
            <v/>
          </cell>
          <cell r="L22" t="str">
            <v/>
          </cell>
          <cell r="M22" t="str">
            <v/>
          </cell>
          <cell r="N22" t="str">
            <v/>
          </cell>
          <cell r="O22" t="str">
            <v/>
          </cell>
        </row>
        <row r="23">
          <cell r="A23" t="str">
            <v>61</v>
          </cell>
          <cell r="B23" t="str">
            <v>613200</v>
          </cell>
          <cell r="C23" t="str">
            <v>Locations atelier</v>
          </cell>
          <cell r="D23">
            <v>2550</v>
          </cell>
          <cell r="E23">
            <v>2550</v>
          </cell>
          <cell r="F23">
            <v>2550</v>
          </cell>
          <cell r="G23">
            <v>2550</v>
          </cell>
          <cell r="H23">
            <v>2550</v>
          </cell>
          <cell r="I23">
            <v>2550</v>
          </cell>
          <cell r="J23" t="str">
            <v/>
          </cell>
          <cell r="K23" t="str">
            <v/>
          </cell>
          <cell r="L23">
            <v>930</v>
          </cell>
          <cell r="M23" t="str">
            <v/>
          </cell>
          <cell r="N23" t="str">
            <v/>
          </cell>
          <cell r="O23" t="str">
            <v/>
          </cell>
        </row>
        <row r="24">
          <cell r="A24" t="str">
            <v>61</v>
          </cell>
          <cell r="B24" t="str">
            <v>613510</v>
          </cell>
          <cell r="C24" t="str">
            <v>Locations de matériel tec</v>
          </cell>
          <cell r="D24">
            <v>377</v>
          </cell>
          <cell r="E24" t="str">
            <v/>
          </cell>
          <cell r="F24" t="str">
            <v/>
          </cell>
          <cell r="G24">
            <v>418</v>
          </cell>
          <cell r="H24">
            <v>252</v>
          </cell>
          <cell r="I24">
            <v>733</v>
          </cell>
          <cell r="J24" t="str">
            <v/>
          </cell>
          <cell r="K24">
            <v>2282</v>
          </cell>
          <cell r="L24">
            <v>89</v>
          </cell>
          <cell r="M24" t="str">
            <v/>
          </cell>
          <cell r="N24" t="str">
            <v/>
          </cell>
          <cell r="O24" t="str">
            <v/>
          </cell>
        </row>
        <row r="25">
          <cell r="A25" t="str">
            <v>61</v>
          </cell>
          <cell r="B25" t="str">
            <v>613520</v>
          </cell>
          <cell r="C25" t="str">
            <v>Locations de matériel de</v>
          </cell>
          <cell r="D25" t="str">
            <v/>
          </cell>
          <cell r="E25" t="str">
            <v/>
          </cell>
          <cell r="F25" t="str">
            <v/>
          </cell>
          <cell r="G25" t="str">
            <v/>
          </cell>
          <cell r="H25" t="str">
            <v/>
          </cell>
          <cell r="I25" t="str">
            <v/>
          </cell>
          <cell r="J25">
            <v>221</v>
          </cell>
          <cell r="K25">
            <v>1571</v>
          </cell>
          <cell r="L25" t="str">
            <v/>
          </cell>
          <cell r="M25">
            <v>66</v>
          </cell>
          <cell r="N25" t="str">
            <v/>
          </cell>
          <cell r="O25" t="str">
            <v/>
          </cell>
        </row>
        <row r="26">
          <cell r="A26" t="str">
            <v>61</v>
          </cell>
          <cell r="B26" t="str">
            <v>614000</v>
          </cell>
          <cell r="C26" t="str">
            <v>Charges locatives &amp; copro</v>
          </cell>
          <cell r="D26">
            <v>500</v>
          </cell>
          <cell r="E26">
            <v>500</v>
          </cell>
          <cell r="F26">
            <v>500</v>
          </cell>
          <cell r="G26">
            <v>500</v>
          </cell>
          <cell r="H26">
            <v>500</v>
          </cell>
          <cell r="I26">
            <v>500</v>
          </cell>
          <cell r="J26" t="str">
            <v/>
          </cell>
          <cell r="K26" t="str">
            <v/>
          </cell>
          <cell r="L26" t="str">
            <v/>
          </cell>
          <cell r="M26" t="str">
            <v/>
          </cell>
          <cell r="N26" t="str">
            <v/>
          </cell>
          <cell r="O26" t="str">
            <v/>
          </cell>
        </row>
        <row r="27">
          <cell r="A27" t="str">
            <v>61</v>
          </cell>
          <cell r="B27" t="str">
            <v>615000</v>
          </cell>
          <cell r="C27" t="str">
            <v>Entretien et réparations</v>
          </cell>
          <cell r="D27" t="str">
            <v/>
          </cell>
          <cell r="E27" t="str">
            <v/>
          </cell>
          <cell r="F27">
            <v>497</v>
          </cell>
          <cell r="G27">
            <v>96</v>
          </cell>
          <cell r="H27" t="str">
            <v/>
          </cell>
          <cell r="I27" t="str">
            <v/>
          </cell>
          <cell r="J27" t="str">
            <v/>
          </cell>
          <cell r="K27">
            <v>184</v>
          </cell>
          <cell r="L27" t="str">
            <v/>
          </cell>
          <cell r="M27" t="str">
            <v/>
          </cell>
          <cell r="N27" t="str">
            <v/>
          </cell>
          <cell r="O27" t="str">
            <v/>
          </cell>
        </row>
        <row r="28">
          <cell r="A28" t="str">
            <v>61</v>
          </cell>
          <cell r="B28" t="str">
            <v>615510</v>
          </cell>
          <cell r="C28" t="str">
            <v>Entretien du matériel de</v>
          </cell>
          <cell r="D28">
            <v>46</v>
          </cell>
          <cell r="E28">
            <v>203</v>
          </cell>
          <cell r="F28" t="str">
            <v/>
          </cell>
          <cell r="G28" t="str">
            <v/>
          </cell>
          <cell r="H28">
            <v>48</v>
          </cell>
          <cell r="I28" t="str">
            <v/>
          </cell>
          <cell r="J28">
            <v>14</v>
          </cell>
          <cell r="K28">
            <v>113</v>
          </cell>
          <cell r="L28" t="str">
            <v/>
          </cell>
          <cell r="M28" t="str">
            <v/>
          </cell>
          <cell r="N28" t="str">
            <v/>
          </cell>
          <cell r="O28" t="str">
            <v/>
          </cell>
        </row>
        <row r="29">
          <cell r="A29" t="str">
            <v>61</v>
          </cell>
          <cell r="B29" t="str">
            <v>615600</v>
          </cell>
          <cell r="C29" t="str">
            <v>Maintenance</v>
          </cell>
          <cell r="D29">
            <v>239</v>
          </cell>
          <cell r="E29">
            <v>8</v>
          </cell>
          <cell r="F29">
            <v>8</v>
          </cell>
          <cell r="G29">
            <v>8</v>
          </cell>
          <cell r="H29" t="str">
            <v/>
          </cell>
          <cell r="I29">
            <v>293</v>
          </cell>
          <cell r="J29" t="str">
            <v/>
          </cell>
          <cell r="K29">
            <v>8</v>
          </cell>
          <cell r="L29" t="str">
            <v/>
          </cell>
          <cell r="M29" t="str">
            <v/>
          </cell>
          <cell r="N29" t="str">
            <v/>
          </cell>
          <cell r="O29" t="str">
            <v/>
          </cell>
        </row>
        <row r="30">
          <cell r="A30" t="str">
            <v>61</v>
          </cell>
          <cell r="B30" t="str">
            <v>616000</v>
          </cell>
          <cell r="C30" t="str">
            <v>Primes d'assurance</v>
          </cell>
          <cell r="D30">
            <v>401</v>
          </cell>
          <cell r="E30">
            <v>358</v>
          </cell>
          <cell r="F30">
            <v>-114</v>
          </cell>
          <cell r="G30">
            <v>252</v>
          </cell>
          <cell r="H30">
            <v>391</v>
          </cell>
          <cell r="I30">
            <v>-13</v>
          </cell>
          <cell r="J30">
            <v>1150</v>
          </cell>
          <cell r="K30">
            <v>450</v>
          </cell>
          <cell r="L30">
            <v>520</v>
          </cell>
          <cell r="M30">
            <v>70</v>
          </cell>
          <cell r="N30" t="str">
            <v/>
          </cell>
          <cell r="O30" t="str">
            <v/>
          </cell>
        </row>
        <row r="31">
          <cell r="A31" t="str">
            <v>61</v>
          </cell>
          <cell r="B31" t="str">
            <v>616100</v>
          </cell>
          <cell r="C31" t="str">
            <v>Assurances prêts</v>
          </cell>
          <cell r="D31">
            <v>6</v>
          </cell>
          <cell r="E31">
            <v>6</v>
          </cell>
          <cell r="F31">
            <v>6</v>
          </cell>
          <cell r="G31">
            <v>6</v>
          </cell>
          <cell r="H31">
            <v>6</v>
          </cell>
          <cell r="I31">
            <v>6</v>
          </cell>
          <cell r="J31" t="str">
            <v/>
          </cell>
          <cell r="K31">
            <v>70</v>
          </cell>
          <cell r="L31" t="str">
            <v/>
          </cell>
          <cell r="M31" t="str">
            <v/>
          </cell>
          <cell r="N31" t="str">
            <v/>
          </cell>
          <cell r="O31" t="str">
            <v/>
          </cell>
        </row>
        <row r="32">
          <cell r="A32" t="str">
            <v>61</v>
          </cell>
          <cell r="B32" t="str">
            <v>618100</v>
          </cell>
          <cell r="C32" t="str">
            <v>Documentation générale</v>
          </cell>
          <cell r="D32" t="str">
            <v/>
          </cell>
          <cell r="E32" t="str">
            <v/>
          </cell>
          <cell r="F32" t="str">
            <v/>
          </cell>
          <cell r="G32" t="str">
            <v/>
          </cell>
          <cell r="H32" t="str">
            <v/>
          </cell>
          <cell r="I32">
            <v>27</v>
          </cell>
          <cell r="J32" t="str">
            <v/>
          </cell>
          <cell r="K32" t="str">
            <v/>
          </cell>
          <cell r="L32" t="str">
            <v/>
          </cell>
          <cell r="M32" t="str">
            <v/>
          </cell>
          <cell r="N32" t="str">
            <v/>
          </cell>
          <cell r="O32" t="str">
            <v/>
          </cell>
        </row>
        <row r="33">
          <cell r="A33" t="str">
            <v>61</v>
          </cell>
          <cell r="B33" t="str">
            <v>618500</v>
          </cell>
          <cell r="C33" t="str">
            <v>Frais de colloques, de sé</v>
          </cell>
          <cell r="D33" t="str">
            <v/>
          </cell>
          <cell r="E33">
            <v>840</v>
          </cell>
          <cell r="F33" t="str">
            <v/>
          </cell>
          <cell r="G33" t="str">
            <v/>
          </cell>
          <cell r="H33" t="str">
            <v/>
          </cell>
          <cell r="I33">
            <v>1795</v>
          </cell>
          <cell r="J33" t="str">
            <v/>
          </cell>
          <cell r="K33" t="str">
            <v/>
          </cell>
          <cell r="L33" t="str">
            <v/>
          </cell>
          <cell r="M33" t="str">
            <v/>
          </cell>
          <cell r="N33" t="str">
            <v/>
          </cell>
          <cell r="O33" t="str">
            <v/>
          </cell>
        </row>
        <row r="34">
          <cell r="A34" t="str">
            <v>62</v>
          </cell>
          <cell r="B34" t="str">
            <v>621100</v>
          </cell>
          <cell r="C34" t="str">
            <v>Personnel intérimaire</v>
          </cell>
          <cell r="D34" t="str">
            <v/>
          </cell>
          <cell r="E34" t="str">
            <v/>
          </cell>
          <cell r="F34" t="str">
            <v/>
          </cell>
          <cell r="G34" t="str">
            <v/>
          </cell>
          <cell r="H34">
            <v>513</v>
          </cell>
          <cell r="I34">
            <v>5135</v>
          </cell>
          <cell r="J34" t="str">
            <v/>
          </cell>
          <cell r="K34">
            <v>770</v>
          </cell>
          <cell r="L34" t="str">
            <v/>
          </cell>
          <cell r="M34" t="str">
            <v/>
          </cell>
          <cell r="N34" t="str">
            <v/>
          </cell>
          <cell r="O34" t="str">
            <v/>
          </cell>
        </row>
        <row r="35">
          <cell r="A35" t="str">
            <v>62</v>
          </cell>
          <cell r="B35" t="str">
            <v>622600</v>
          </cell>
          <cell r="C35" t="str">
            <v>Honoraires</v>
          </cell>
          <cell r="D35">
            <v>4178</v>
          </cell>
          <cell r="E35">
            <v>428</v>
          </cell>
          <cell r="F35">
            <v>428</v>
          </cell>
          <cell r="G35">
            <v>2950</v>
          </cell>
          <cell r="H35">
            <v>468</v>
          </cell>
          <cell r="I35">
            <v>468</v>
          </cell>
          <cell r="J35" t="str">
            <v/>
          </cell>
          <cell r="K35" t="str">
            <v/>
          </cell>
          <cell r="L35">
            <v>1274</v>
          </cell>
          <cell r="M35" t="str">
            <v/>
          </cell>
          <cell r="N35" t="str">
            <v/>
          </cell>
          <cell r="O35" t="str">
            <v/>
          </cell>
        </row>
        <row r="36">
          <cell r="A36" t="str">
            <v>62</v>
          </cell>
          <cell r="B36" t="str">
            <v>622610</v>
          </cell>
          <cell r="C36" t="str">
            <v>Honoraire juridiques</v>
          </cell>
          <cell r="D36" t="str">
            <v/>
          </cell>
          <cell r="E36">
            <v>1350</v>
          </cell>
          <cell r="F36" t="str">
            <v/>
          </cell>
          <cell r="G36" t="str">
            <v/>
          </cell>
          <cell r="H36" t="str">
            <v/>
          </cell>
          <cell r="I36" t="str">
            <v/>
          </cell>
          <cell r="J36" t="str">
            <v/>
          </cell>
          <cell r="K36" t="str">
            <v/>
          </cell>
          <cell r="L36" t="str">
            <v/>
          </cell>
          <cell r="M36" t="str">
            <v/>
          </cell>
          <cell r="N36" t="str">
            <v/>
          </cell>
          <cell r="O36" t="str">
            <v/>
          </cell>
        </row>
        <row r="37">
          <cell r="A37" t="str">
            <v>62</v>
          </cell>
          <cell r="B37" t="str">
            <v>622700</v>
          </cell>
          <cell r="C37" t="str">
            <v>Frais d'actes et contenti</v>
          </cell>
          <cell r="D37" t="str">
            <v/>
          </cell>
          <cell r="E37">
            <v>321</v>
          </cell>
          <cell r="F37">
            <v>199</v>
          </cell>
          <cell r="G37">
            <v>375</v>
          </cell>
          <cell r="H37" t="str">
            <v/>
          </cell>
          <cell r="I37">
            <v>46</v>
          </cell>
          <cell r="J37" t="str">
            <v/>
          </cell>
          <cell r="K37" t="str">
            <v/>
          </cell>
          <cell r="L37" t="str">
            <v/>
          </cell>
          <cell r="M37" t="str">
            <v/>
          </cell>
          <cell r="N37" t="str">
            <v/>
          </cell>
          <cell r="O37" t="str">
            <v/>
          </cell>
        </row>
        <row r="38">
          <cell r="A38" t="str">
            <v>62</v>
          </cell>
          <cell r="B38" t="str">
            <v>623000</v>
          </cell>
          <cell r="C38" t="str">
            <v>Publicité</v>
          </cell>
          <cell r="D38" t="str">
            <v/>
          </cell>
          <cell r="E38" t="str">
            <v/>
          </cell>
          <cell r="F38" t="str">
            <v/>
          </cell>
          <cell r="G38" t="str">
            <v/>
          </cell>
          <cell r="H38">
            <v>24</v>
          </cell>
          <cell r="I38">
            <v>140</v>
          </cell>
          <cell r="J38">
            <v>12</v>
          </cell>
          <cell r="K38" t="str">
            <v/>
          </cell>
          <cell r="L38">
            <v>826</v>
          </cell>
          <cell r="M38" t="str">
            <v/>
          </cell>
          <cell r="N38" t="str">
            <v/>
          </cell>
          <cell r="O38" t="str">
            <v/>
          </cell>
        </row>
        <row r="39">
          <cell r="A39" t="str">
            <v>62</v>
          </cell>
          <cell r="B39" t="str">
            <v>624100</v>
          </cell>
          <cell r="C39" t="str">
            <v>Transports sur achats</v>
          </cell>
          <cell r="D39">
            <v>350</v>
          </cell>
          <cell r="E39" t="str">
            <v/>
          </cell>
          <cell r="F39" t="str">
            <v/>
          </cell>
          <cell r="G39" t="str">
            <v/>
          </cell>
          <cell r="H39">
            <v>45</v>
          </cell>
          <cell r="I39" t="str">
            <v/>
          </cell>
          <cell r="J39" t="str">
            <v/>
          </cell>
          <cell r="K39" t="str">
            <v/>
          </cell>
          <cell r="L39" t="str">
            <v/>
          </cell>
          <cell r="M39" t="str">
            <v/>
          </cell>
          <cell r="N39" t="str">
            <v/>
          </cell>
          <cell r="O39" t="str">
            <v/>
          </cell>
        </row>
        <row r="40">
          <cell r="A40" t="str">
            <v>62</v>
          </cell>
          <cell r="B40" t="str">
            <v>625100</v>
          </cell>
          <cell r="C40" t="str">
            <v>Voyages et déplacements</v>
          </cell>
          <cell r="D40">
            <v>451</v>
          </cell>
          <cell r="E40">
            <v>203</v>
          </cell>
          <cell r="F40" t="str">
            <v/>
          </cell>
          <cell r="G40">
            <v>170</v>
          </cell>
          <cell r="H40">
            <v>143</v>
          </cell>
          <cell r="I40">
            <v>90</v>
          </cell>
          <cell r="J40">
            <v>750</v>
          </cell>
          <cell r="K40">
            <v>635</v>
          </cell>
          <cell r="L40">
            <v>1350</v>
          </cell>
          <cell r="M40">
            <v>5</v>
          </cell>
          <cell r="N40" t="str">
            <v/>
          </cell>
          <cell r="O40" t="str">
            <v/>
          </cell>
        </row>
        <row r="41">
          <cell r="A41" t="str">
            <v>62</v>
          </cell>
          <cell r="B41" t="str">
            <v>625700</v>
          </cell>
          <cell r="C41" t="str">
            <v>Réceptions</v>
          </cell>
          <cell r="D41">
            <v>399</v>
          </cell>
          <cell r="E41">
            <v>27</v>
          </cell>
          <cell r="F41">
            <v>126</v>
          </cell>
          <cell r="G41">
            <v>217</v>
          </cell>
          <cell r="H41">
            <v>582</v>
          </cell>
          <cell r="I41">
            <v>362</v>
          </cell>
          <cell r="J41">
            <v>583</v>
          </cell>
          <cell r="K41">
            <v>719</v>
          </cell>
          <cell r="L41" t="str">
            <v/>
          </cell>
          <cell r="M41" t="str">
            <v/>
          </cell>
          <cell r="N41" t="str">
            <v/>
          </cell>
          <cell r="O41" t="str">
            <v/>
          </cell>
        </row>
        <row r="42">
          <cell r="A42" t="str">
            <v>62</v>
          </cell>
          <cell r="B42" t="str">
            <v>626100</v>
          </cell>
          <cell r="C42" t="str">
            <v>Frais postaux</v>
          </cell>
          <cell r="D42">
            <v>201</v>
          </cell>
          <cell r="E42" t="str">
            <v/>
          </cell>
          <cell r="F42" t="str">
            <v/>
          </cell>
          <cell r="G42">
            <v>10</v>
          </cell>
          <cell r="H42" t="str">
            <v/>
          </cell>
          <cell r="I42">
            <v>30</v>
          </cell>
          <cell r="J42">
            <v>9</v>
          </cell>
          <cell r="K42">
            <v>40</v>
          </cell>
          <cell r="L42">
            <v>26</v>
          </cell>
          <cell r="M42" t="str">
            <v/>
          </cell>
          <cell r="N42" t="str">
            <v/>
          </cell>
          <cell r="O42" t="str">
            <v/>
          </cell>
        </row>
        <row r="43">
          <cell r="A43" t="str">
            <v>62</v>
          </cell>
          <cell r="B43" t="str">
            <v>626200</v>
          </cell>
          <cell r="C43" t="str">
            <v>Téléphone</v>
          </cell>
          <cell r="D43">
            <v>100</v>
          </cell>
          <cell r="E43">
            <v>192</v>
          </cell>
          <cell r="F43">
            <v>169</v>
          </cell>
          <cell r="G43">
            <v>137</v>
          </cell>
          <cell r="H43">
            <v>67</v>
          </cell>
          <cell r="I43">
            <v>255</v>
          </cell>
          <cell r="J43">
            <v>111</v>
          </cell>
          <cell r="K43">
            <v>291</v>
          </cell>
          <cell r="L43">
            <v>106</v>
          </cell>
          <cell r="M43">
            <v>133</v>
          </cell>
          <cell r="N43" t="str">
            <v/>
          </cell>
          <cell r="O43" t="str">
            <v/>
          </cell>
        </row>
        <row r="44">
          <cell r="A44" t="str">
            <v>62</v>
          </cell>
          <cell r="B44" t="str">
            <v>627800</v>
          </cell>
          <cell r="C44" t="str">
            <v>Prestations de services b</v>
          </cell>
          <cell r="D44">
            <v>566</v>
          </cell>
          <cell r="E44">
            <v>175</v>
          </cell>
          <cell r="F44">
            <v>512</v>
          </cell>
          <cell r="G44">
            <v>1082</v>
          </cell>
          <cell r="H44">
            <v>212</v>
          </cell>
          <cell r="I44">
            <v>83</v>
          </cell>
          <cell r="J44">
            <v>192</v>
          </cell>
          <cell r="K44">
            <v>328</v>
          </cell>
          <cell r="L44">
            <v>5</v>
          </cell>
          <cell r="M44" t="str">
            <v/>
          </cell>
          <cell r="N44" t="str">
            <v/>
          </cell>
          <cell r="O44" t="str">
            <v/>
          </cell>
        </row>
        <row r="45">
          <cell r="A45" t="str">
            <v>62</v>
          </cell>
          <cell r="B45" t="str">
            <v>627810</v>
          </cell>
          <cell r="C45" t="str">
            <v>Commissions d'affacturage</v>
          </cell>
          <cell r="D45">
            <v>448</v>
          </cell>
          <cell r="E45">
            <v>381</v>
          </cell>
          <cell r="F45">
            <v>400</v>
          </cell>
          <cell r="G45">
            <v>1015</v>
          </cell>
          <cell r="H45">
            <v>763</v>
          </cell>
          <cell r="I45">
            <v>676</v>
          </cell>
          <cell r="J45">
            <v>1156</v>
          </cell>
          <cell r="K45">
            <v>944</v>
          </cell>
          <cell r="L45">
            <v>757</v>
          </cell>
          <cell r="M45" t="str">
            <v/>
          </cell>
          <cell r="N45" t="str">
            <v/>
          </cell>
          <cell r="O45" t="str">
            <v/>
          </cell>
        </row>
        <row r="46">
          <cell r="A46" t="str">
            <v>63</v>
          </cell>
          <cell r="B46" t="str">
            <v>633300</v>
          </cell>
          <cell r="C46" t="str">
            <v>Formation continue (organ</v>
          </cell>
          <cell r="D46">
            <v>33</v>
          </cell>
          <cell r="E46">
            <v>33</v>
          </cell>
          <cell r="F46">
            <v>34</v>
          </cell>
          <cell r="G46">
            <v>70</v>
          </cell>
          <cell r="H46">
            <v>34</v>
          </cell>
          <cell r="I46">
            <v>68</v>
          </cell>
          <cell r="J46">
            <v>65</v>
          </cell>
          <cell r="K46">
            <v>57</v>
          </cell>
          <cell r="L46">
            <v>76</v>
          </cell>
          <cell r="M46" t="str">
            <v/>
          </cell>
          <cell r="N46" t="str">
            <v/>
          </cell>
          <cell r="O46" t="str">
            <v/>
          </cell>
        </row>
        <row r="47">
          <cell r="A47" t="str">
            <v>63</v>
          </cell>
          <cell r="B47" t="str">
            <v>633500</v>
          </cell>
          <cell r="C47" t="str">
            <v>Taxe d'apprentissage (ver</v>
          </cell>
          <cell r="D47">
            <v>-62</v>
          </cell>
          <cell r="E47">
            <v>41</v>
          </cell>
          <cell r="F47">
            <v>172</v>
          </cell>
          <cell r="G47">
            <v>15</v>
          </cell>
          <cell r="H47">
            <v>42</v>
          </cell>
          <cell r="I47">
            <v>63</v>
          </cell>
          <cell r="J47">
            <v>54</v>
          </cell>
          <cell r="K47">
            <v>47</v>
          </cell>
          <cell r="L47">
            <v>70</v>
          </cell>
          <cell r="M47" t="str">
            <v/>
          </cell>
          <cell r="N47" t="str">
            <v/>
          </cell>
          <cell r="O47" t="str">
            <v/>
          </cell>
        </row>
        <row r="48">
          <cell r="A48" t="str">
            <v>63</v>
          </cell>
          <cell r="B48" t="str">
            <v>635110</v>
          </cell>
          <cell r="C48" t="str">
            <v>Contribut° économique ter</v>
          </cell>
          <cell r="D48" t="str">
            <v/>
          </cell>
          <cell r="E48" t="str">
            <v/>
          </cell>
          <cell r="F48" t="str">
            <v/>
          </cell>
          <cell r="G48" t="str">
            <v/>
          </cell>
          <cell r="H48" t="str">
            <v/>
          </cell>
          <cell r="I48" t="str">
            <v/>
          </cell>
          <cell r="J48" t="str">
            <v/>
          </cell>
          <cell r="K48" t="str">
            <v/>
          </cell>
          <cell r="L48">
            <v>160</v>
          </cell>
          <cell r="M48" t="str">
            <v/>
          </cell>
          <cell r="N48" t="str">
            <v/>
          </cell>
          <cell r="O48" t="str">
            <v/>
          </cell>
        </row>
        <row r="49">
          <cell r="A49" t="str">
            <v>63</v>
          </cell>
          <cell r="B49" t="str">
            <v>635300</v>
          </cell>
          <cell r="C49" t="str">
            <v>Impôts indirects</v>
          </cell>
          <cell r="D49" t="str">
            <v/>
          </cell>
          <cell r="E49">
            <v>375</v>
          </cell>
          <cell r="F49" t="str">
            <v/>
          </cell>
          <cell r="G49">
            <v>-375</v>
          </cell>
          <cell r="H49" t="str">
            <v/>
          </cell>
          <cell r="I49" t="str">
            <v/>
          </cell>
          <cell r="J49" t="str">
            <v/>
          </cell>
          <cell r="K49" t="str">
            <v/>
          </cell>
          <cell r="L49" t="str">
            <v/>
          </cell>
          <cell r="M49" t="str">
            <v/>
          </cell>
          <cell r="N49" t="str">
            <v/>
          </cell>
          <cell r="O49" t="str">
            <v/>
          </cell>
        </row>
        <row r="50">
          <cell r="A50" t="str">
            <v>64</v>
          </cell>
          <cell r="B50" t="str">
            <v>641000</v>
          </cell>
          <cell r="C50" t="str">
            <v>E-VIR SEPA salaire guy E-</v>
          </cell>
          <cell r="D50" t="str">
            <v/>
          </cell>
          <cell r="E50" t="str">
            <v/>
          </cell>
          <cell r="F50" t="str">
            <v/>
          </cell>
          <cell r="G50" t="str">
            <v/>
          </cell>
          <cell r="H50" t="str">
            <v/>
          </cell>
          <cell r="I50" t="str">
            <v/>
          </cell>
          <cell r="J50" t="str">
            <v/>
          </cell>
          <cell r="K50">
            <v>4700</v>
          </cell>
          <cell r="L50">
            <v>3350</v>
          </cell>
          <cell r="M50" t="str">
            <v/>
          </cell>
          <cell r="N50" t="str">
            <v/>
          </cell>
          <cell r="O50" t="str">
            <v/>
          </cell>
        </row>
        <row r="51">
          <cell r="A51" t="str">
            <v>64</v>
          </cell>
          <cell r="B51" t="str">
            <v>641100</v>
          </cell>
          <cell r="C51" t="str">
            <v>Salaires appointements</v>
          </cell>
          <cell r="D51">
            <v>6020</v>
          </cell>
          <cell r="E51">
            <v>5965</v>
          </cell>
          <cell r="F51">
            <v>6132</v>
          </cell>
          <cell r="G51">
            <v>6132</v>
          </cell>
          <cell r="H51">
            <v>6132</v>
          </cell>
          <cell r="I51">
            <v>7958</v>
          </cell>
          <cell r="J51">
            <v>7431</v>
          </cell>
          <cell r="K51">
            <v>6944</v>
          </cell>
          <cell r="L51">
            <v>8403</v>
          </cell>
          <cell r="M51" t="str">
            <v/>
          </cell>
          <cell r="N51" t="str">
            <v/>
          </cell>
          <cell r="O51" t="str">
            <v/>
          </cell>
        </row>
        <row r="52">
          <cell r="A52" t="str">
            <v>64</v>
          </cell>
          <cell r="B52" t="str">
            <v>641150</v>
          </cell>
          <cell r="C52" t="str">
            <v>Salaires administrateurs</v>
          </cell>
          <cell r="D52">
            <v>1000</v>
          </cell>
          <cell r="E52">
            <v>2500</v>
          </cell>
          <cell r="F52" t="str">
            <v/>
          </cell>
          <cell r="G52">
            <v>400</v>
          </cell>
          <cell r="H52">
            <v>2100</v>
          </cell>
          <cell r="I52">
            <v>2100</v>
          </cell>
          <cell r="J52">
            <v>2100</v>
          </cell>
          <cell r="K52" t="str">
            <v/>
          </cell>
          <cell r="L52" t="str">
            <v/>
          </cell>
          <cell r="M52" t="str">
            <v/>
          </cell>
          <cell r="N52" t="str">
            <v/>
          </cell>
          <cell r="O52" t="str">
            <v/>
          </cell>
        </row>
        <row r="53">
          <cell r="A53" t="str">
            <v>64</v>
          </cell>
          <cell r="B53" t="str">
            <v>641200</v>
          </cell>
          <cell r="C53" t="str">
            <v>Congés payés</v>
          </cell>
          <cell r="D53" t="str">
            <v/>
          </cell>
          <cell r="E53" t="str">
            <v/>
          </cell>
          <cell r="F53" t="str">
            <v/>
          </cell>
          <cell r="G53" t="str">
            <v/>
          </cell>
          <cell r="H53" t="str">
            <v/>
          </cell>
          <cell r="I53">
            <v>1249</v>
          </cell>
          <cell r="J53">
            <v>122</v>
          </cell>
          <cell r="K53" t="str">
            <v/>
          </cell>
          <cell r="L53">
            <v>1930</v>
          </cell>
          <cell r="M53" t="str">
            <v/>
          </cell>
          <cell r="N53" t="str">
            <v/>
          </cell>
          <cell r="O53" t="str">
            <v/>
          </cell>
        </row>
        <row r="54">
          <cell r="A54" t="str">
            <v>64</v>
          </cell>
          <cell r="B54" t="str">
            <v>641300</v>
          </cell>
          <cell r="C54" t="str">
            <v>SALAIRES 07/2018</v>
          </cell>
          <cell r="D54" t="str">
            <v/>
          </cell>
          <cell r="E54" t="str">
            <v/>
          </cell>
          <cell r="F54" t="str">
            <v/>
          </cell>
          <cell r="G54" t="str">
            <v/>
          </cell>
          <cell r="H54" t="str">
            <v/>
          </cell>
          <cell r="I54" t="str">
            <v/>
          </cell>
          <cell r="J54">
            <v>400</v>
          </cell>
          <cell r="K54" t="str">
            <v/>
          </cell>
          <cell r="L54" t="str">
            <v/>
          </cell>
          <cell r="M54" t="str">
            <v/>
          </cell>
          <cell r="N54" t="str">
            <v/>
          </cell>
          <cell r="O54" t="str">
            <v/>
          </cell>
        </row>
        <row r="55">
          <cell r="A55" t="str">
            <v>64</v>
          </cell>
          <cell r="B55" t="str">
            <v>641400</v>
          </cell>
          <cell r="C55" t="str">
            <v>Indemnités et avantages d</v>
          </cell>
          <cell r="D55" t="str">
            <v/>
          </cell>
          <cell r="E55" t="str">
            <v/>
          </cell>
          <cell r="F55" t="str">
            <v/>
          </cell>
          <cell r="G55" t="str">
            <v/>
          </cell>
          <cell r="H55">
            <v>41</v>
          </cell>
          <cell r="I55" t="str">
            <v/>
          </cell>
          <cell r="J55" t="str">
            <v/>
          </cell>
          <cell r="K55">
            <v>2181</v>
          </cell>
          <cell r="L55">
            <v>72</v>
          </cell>
          <cell r="M55" t="str">
            <v/>
          </cell>
          <cell r="N55" t="str">
            <v/>
          </cell>
          <cell r="O55" t="str">
            <v/>
          </cell>
        </row>
        <row r="56">
          <cell r="A56" t="str">
            <v>64</v>
          </cell>
          <cell r="B56" t="str">
            <v>641430</v>
          </cell>
          <cell r="C56" t="str">
            <v>SALAIRES 09/2018</v>
          </cell>
          <cell r="D56" t="str">
            <v/>
          </cell>
          <cell r="E56" t="str">
            <v/>
          </cell>
          <cell r="F56" t="str">
            <v/>
          </cell>
          <cell r="G56" t="str">
            <v/>
          </cell>
          <cell r="H56" t="str">
            <v/>
          </cell>
          <cell r="I56" t="str">
            <v/>
          </cell>
          <cell r="J56" t="str">
            <v/>
          </cell>
          <cell r="K56" t="str">
            <v/>
          </cell>
          <cell r="L56">
            <v>500</v>
          </cell>
          <cell r="M56" t="str">
            <v/>
          </cell>
          <cell r="N56" t="str">
            <v/>
          </cell>
          <cell r="O56" t="str">
            <v/>
          </cell>
        </row>
        <row r="57">
          <cell r="A57" t="str">
            <v>64</v>
          </cell>
          <cell r="B57" t="str">
            <v>641500</v>
          </cell>
          <cell r="C57" t="str">
            <v>Prévoyance TNS</v>
          </cell>
          <cell r="D57">
            <v>106</v>
          </cell>
          <cell r="E57">
            <v>106</v>
          </cell>
          <cell r="F57">
            <v>506</v>
          </cell>
          <cell r="G57">
            <v>-294</v>
          </cell>
          <cell r="H57">
            <v>106</v>
          </cell>
          <cell r="I57">
            <v>106</v>
          </cell>
          <cell r="J57" t="str">
            <v/>
          </cell>
          <cell r="K57" t="str">
            <v/>
          </cell>
          <cell r="L57" t="str">
            <v/>
          </cell>
          <cell r="M57" t="str">
            <v/>
          </cell>
          <cell r="N57" t="str">
            <v/>
          </cell>
          <cell r="O57" t="str">
            <v/>
          </cell>
        </row>
        <row r="58">
          <cell r="A58" t="str">
            <v>64</v>
          </cell>
          <cell r="B58" t="str">
            <v>641510</v>
          </cell>
          <cell r="C58" t="str">
            <v>Mutuelle gérant</v>
          </cell>
          <cell r="D58" t="str">
            <v/>
          </cell>
          <cell r="E58" t="str">
            <v/>
          </cell>
          <cell r="F58" t="str">
            <v/>
          </cell>
          <cell r="G58">
            <v>223</v>
          </cell>
          <cell r="H58" t="str">
            <v/>
          </cell>
          <cell r="I58">
            <v>410</v>
          </cell>
          <cell r="J58" t="str">
            <v/>
          </cell>
          <cell r="K58">
            <v>106</v>
          </cell>
          <cell r="L58">
            <v>106</v>
          </cell>
          <cell r="M58" t="str">
            <v/>
          </cell>
          <cell r="N58" t="str">
            <v/>
          </cell>
          <cell r="O58" t="str">
            <v/>
          </cell>
        </row>
        <row r="59">
          <cell r="A59" t="str">
            <v>64</v>
          </cell>
          <cell r="B59" t="str">
            <v>641600</v>
          </cell>
          <cell r="C59" t="str">
            <v>RSI COTISATION</v>
          </cell>
          <cell r="D59">
            <v>1897</v>
          </cell>
          <cell r="E59">
            <v>1897</v>
          </cell>
          <cell r="F59">
            <v>1897</v>
          </cell>
          <cell r="G59">
            <v>1897</v>
          </cell>
          <cell r="H59">
            <v>1897</v>
          </cell>
          <cell r="I59">
            <v>1897</v>
          </cell>
          <cell r="J59" t="str">
            <v/>
          </cell>
          <cell r="K59" t="str">
            <v/>
          </cell>
          <cell r="L59" t="str">
            <v/>
          </cell>
          <cell r="M59" t="str">
            <v/>
          </cell>
          <cell r="N59" t="str">
            <v/>
          </cell>
          <cell r="O59" t="str">
            <v/>
          </cell>
        </row>
        <row r="60">
          <cell r="A60" t="str">
            <v>64</v>
          </cell>
          <cell r="B60" t="str">
            <v>645100</v>
          </cell>
          <cell r="C60" t="str">
            <v>Cotisations à l'URSSAF</v>
          </cell>
          <cell r="D60">
            <v>1593</v>
          </cell>
          <cell r="E60">
            <v>1607</v>
          </cell>
          <cell r="F60">
            <v>1633</v>
          </cell>
          <cell r="G60">
            <v>1633</v>
          </cell>
          <cell r="H60">
            <v>1633</v>
          </cell>
          <cell r="I60">
            <v>3005</v>
          </cell>
          <cell r="J60">
            <v>2229</v>
          </cell>
          <cell r="K60">
            <v>1590</v>
          </cell>
          <cell r="L60">
            <v>2638</v>
          </cell>
          <cell r="M60" t="str">
            <v/>
          </cell>
          <cell r="N60" t="str">
            <v/>
          </cell>
          <cell r="O60" t="str">
            <v/>
          </cell>
        </row>
        <row r="61">
          <cell r="A61" t="str">
            <v>64</v>
          </cell>
          <cell r="B61" t="str">
            <v>645320</v>
          </cell>
          <cell r="C61" t="str">
            <v>Cotisations retraites (sa</v>
          </cell>
          <cell r="D61">
            <v>352</v>
          </cell>
          <cell r="E61">
            <v>349</v>
          </cell>
          <cell r="F61">
            <v>359</v>
          </cell>
          <cell r="G61">
            <v>359</v>
          </cell>
          <cell r="H61">
            <v>359</v>
          </cell>
          <cell r="I61">
            <v>539</v>
          </cell>
          <cell r="J61">
            <v>465</v>
          </cell>
          <cell r="K61">
            <v>406</v>
          </cell>
          <cell r="L61">
            <v>604</v>
          </cell>
          <cell r="M61" t="str">
            <v/>
          </cell>
          <cell r="N61" t="str">
            <v/>
          </cell>
          <cell r="O61" t="str">
            <v/>
          </cell>
        </row>
        <row r="62">
          <cell r="A62" t="str">
            <v>64</v>
          </cell>
          <cell r="B62" t="str">
            <v>645330</v>
          </cell>
          <cell r="C62" t="str">
            <v>Cotisations Prévoyance</v>
          </cell>
          <cell r="D62">
            <v>49</v>
          </cell>
          <cell r="E62">
            <v>49</v>
          </cell>
          <cell r="F62">
            <v>49</v>
          </cell>
          <cell r="G62">
            <v>49</v>
          </cell>
          <cell r="H62">
            <v>49</v>
          </cell>
          <cell r="I62">
            <v>72</v>
          </cell>
          <cell r="J62">
            <v>94</v>
          </cell>
          <cell r="K62">
            <v>116</v>
          </cell>
          <cell r="L62">
            <v>116</v>
          </cell>
          <cell r="M62" t="str">
            <v/>
          </cell>
          <cell r="N62" t="str">
            <v/>
          </cell>
          <cell r="O62" t="str">
            <v/>
          </cell>
        </row>
        <row r="63">
          <cell r="A63" t="str">
            <v>64</v>
          </cell>
          <cell r="B63" t="str">
            <v>646900</v>
          </cell>
          <cell r="C63" t="str">
            <v>Mutuelle gérant</v>
          </cell>
          <cell r="D63" t="str">
            <v/>
          </cell>
          <cell r="E63" t="str">
            <v/>
          </cell>
          <cell r="F63">
            <v>223</v>
          </cell>
          <cell r="G63">
            <v>-223</v>
          </cell>
          <cell r="H63" t="str">
            <v/>
          </cell>
          <cell r="I63" t="str">
            <v/>
          </cell>
          <cell r="J63" t="str">
            <v/>
          </cell>
          <cell r="K63" t="str">
            <v/>
          </cell>
          <cell r="L63" t="str">
            <v/>
          </cell>
          <cell r="M63" t="str">
            <v/>
          </cell>
          <cell r="N63" t="str">
            <v/>
          </cell>
          <cell r="O63" t="str">
            <v/>
          </cell>
        </row>
        <row r="64">
          <cell r="A64" t="str">
            <v>64</v>
          </cell>
          <cell r="B64" t="str">
            <v>647500</v>
          </cell>
          <cell r="C64" t="str">
            <v>Médecine du travail et ph</v>
          </cell>
          <cell r="D64" t="str">
            <v/>
          </cell>
          <cell r="E64">
            <v>392</v>
          </cell>
          <cell r="F64" t="str">
            <v/>
          </cell>
          <cell r="G64">
            <v>45</v>
          </cell>
          <cell r="H64" t="str">
            <v/>
          </cell>
          <cell r="I64">
            <v>109</v>
          </cell>
          <cell r="J64" t="str">
            <v/>
          </cell>
          <cell r="K64" t="str">
            <v/>
          </cell>
          <cell r="L64">
            <v>43</v>
          </cell>
          <cell r="M64" t="str">
            <v/>
          </cell>
          <cell r="N64" t="str">
            <v/>
          </cell>
          <cell r="O64" t="str">
            <v/>
          </cell>
        </row>
        <row r="65">
          <cell r="A65" t="str">
            <v>65</v>
          </cell>
          <cell r="B65" t="str">
            <v>658000</v>
          </cell>
          <cell r="C65" t="str">
            <v>Charges diverses gestion</v>
          </cell>
          <cell r="D65" t="str">
            <v/>
          </cell>
          <cell r="E65">
            <v>1</v>
          </cell>
          <cell r="F65" t="str">
            <v/>
          </cell>
          <cell r="G65" t="str">
            <v/>
          </cell>
          <cell r="H65" t="str">
            <v/>
          </cell>
          <cell r="I65" t="str">
            <v/>
          </cell>
          <cell r="J65" t="str">
            <v/>
          </cell>
          <cell r="K65" t="str">
            <v/>
          </cell>
          <cell r="L65">
            <v>2</v>
          </cell>
          <cell r="M65" t="str">
            <v/>
          </cell>
          <cell r="N65" t="str">
            <v/>
          </cell>
          <cell r="O65" t="str">
            <v/>
          </cell>
        </row>
        <row r="66">
          <cell r="A66" t="str">
            <v>66</v>
          </cell>
          <cell r="B66" t="str">
            <v>661100</v>
          </cell>
          <cell r="C66" t="str">
            <v>Intérêts des emprunts et</v>
          </cell>
          <cell r="D66" t="str">
            <v/>
          </cell>
          <cell r="E66">
            <v>137</v>
          </cell>
          <cell r="F66" t="str">
            <v/>
          </cell>
          <cell r="G66" t="str">
            <v/>
          </cell>
          <cell r="H66">
            <v>126</v>
          </cell>
          <cell r="I66" t="str">
            <v/>
          </cell>
          <cell r="J66" t="str">
            <v/>
          </cell>
          <cell r="K66">
            <v>154</v>
          </cell>
          <cell r="L66" t="str">
            <v/>
          </cell>
          <cell r="M66" t="str">
            <v/>
          </cell>
          <cell r="N66" t="str">
            <v/>
          </cell>
          <cell r="O66" t="str">
            <v/>
          </cell>
        </row>
        <row r="67">
          <cell r="A67" t="str">
            <v>66</v>
          </cell>
          <cell r="B67" t="str">
            <v>661600</v>
          </cell>
          <cell r="C67" t="str">
            <v>Intérêts bancaires</v>
          </cell>
          <cell r="D67">
            <v>108</v>
          </cell>
          <cell r="E67">
            <v>13</v>
          </cell>
          <cell r="F67">
            <v>5</v>
          </cell>
          <cell r="G67">
            <v>33</v>
          </cell>
          <cell r="H67">
            <v>32</v>
          </cell>
          <cell r="I67" t="str">
            <v/>
          </cell>
          <cell r="J67">
            <v>588</v>
          </cell>
          <cell r="K67" t="str">
            <v/>
          </cell>
          <cell r="L67" t="str">
            <v/>
          </cell>
          <cell r="M67" t="str">
            <v/>
          </cell>
          <cell r="N67" t="str">
            <v/>
          </cell>
          <cell r="O67" t="str">
            <v/>
          </cell>
        </row>
        <row r="68">
          <cell r="B68" t="str">
            <v>661610</v>
          </cell>
          <cell r="C68" t="str">
            <v>Intérêts/finacement facto</v>
          </cell>
          <cell r="D68" t="str">
            <v/>
          </cell>
          <cell r="E68" t="str">
            <v/>
          </cell>
          <cell r="F68" t="str">
            <v/>
          </cell>
          <cell r="G68">
            <v>121</v>
          </cell>
          <cell r="H68">
            <v>51</v>
          </cell>
          <cell r="I68">
            <v>34</v>
          </cell>
          <cell r="J68">
            <v>76</v>
          </cell>
          <cell r="K68">
            <v>154</v>
          </cell>
          <cell r="L68">
            <v>180</v>
          </cell>
          <cell r="M68" t="str">
            <v/>
          </cell>
          <cell r="N68" t="str">
            <v/>
          </cell>
          <cell r="O68" t="str">
            <v/>
          </cell>
        </row>
        <row r="69">
          <cell r="A69" t="str">
            <v>67</v>
          </cell>
          <cell r="B69" t="str">
            <v>671200</v>
          </cell>
          <cell r="C69" t="str">
            <v>Pénalités et amendes</v>
          </cell>
          <cell r="D69" t="str">
            <v/>
          </cell>
          <cell r="E69" t="str">
            <v/>
          </cell>
          <cell r="F69">
            <v>178</v>
          </cell>
          <cell r="G69" t="str">
            <v/>
          </cell>
          <cell r="H69" t="str">
            <v/>
          </cell>
          <cell r="I69">
            <v>35</v>
          </cell>
          <cell r="J69" t="str">
            <v/>
          </cell>
          <cell r="K69" t="str">
            <v/>
          </cell>
          <cell r="L69" t="str">
            <v/>
          </cell>
          <cell r="M69" t="str">
            <v/>
          </cell>
          <cell r="N69" t="str">
            <v/>
          </cell>
          <cell r="O69" t="str">
            <v/>
          </cell>
        </row>
        <row r="70">
          <cell r="A70" t="str">
            <v>6</v>
          </cell>
          <cell r="B70" t="str">
            <v>6</v>
          </cell>
          <cell r="C70" t="str">
            <v>Total Comptes Classe 6</v>
          </cell>
          <cell r="D70">
            <v>52896</v>
          </cell>
          <cell r="E70">
            <v>28435</v>
          </cell>
          <cell r="F70">
            <v>26356</v>
          </cell>
          <cell r="G70">
            <v>46118</v>
          </cell>
          <cell r="H70">
            <v>30241</v>
          </cell>
          <cell r="I70">
            <v>50009</v>
          </cell>
          <cell r="J70">
            <v>37576</v>
          </cell>
          <cell r="K70">
            <v>57962</v>
          </cell>
          <cell r="L70">
            <v>32985</v>
          </cell>
          <cell r="M70">
            <v>4297</v>
          </cell>
          <cell r="N70">
            <v>0</v>
          </cell>
          <cell r="O70">
            <v>0</v>
          </cell>
        </row>
        <row r="71">
          <cell r="A71" t="str">
            <v>70</v>
          </cell>
          <cell r="B71" t="str">
            <v>704201</v>
          </cell>
          <cell r="C71" t="str">
            <v>Travaux chaudronnerie</v>
          </cell>
          <cell r="D71">
            <v>1586</v>
          </cell>
          <cell r="E71">
            <v>500</v>
          </cell>
          <cell r="F71">
            <v>6550</v>
          </cell>
          <cell r="G71">
            <v>6484</v>
          </cell>
          <cell r="H71">
            <v>14706</v>
          </cell>
          <cell r="I71">
            <v>24504</v>
          </cell>
          <cell r="J71">
            <v>21652</v>
          </cell>
          <cell r="K71">
            <v>60682</v>
          </cell>
          <cell r="L71">
            <v>51216</v>
          </cell>
          <cell r="M71" t="str">
            <v/>
          </cell>
          <cell r="N71" t="str">
            <v/>
          </cell>
          <cell r="O71" t="str">
            <v/>
          </cell>
        </row>
        <row r="72">
          <cell r="A72" t="str">
            <v>70</v>
          </cell>
          <cell r="B72" t="str">
            <v>704202</v>
          </cell>
          <cell r="C72" t="str">
            <v>travaux plaisance</v>
          </cell>
          <cell r="D72">
            <v>2300</v>
          </cell>
          <cell r="E72" t="str">
            <v/>
          </cell>
          <cell r="F72" t="str">
            <v/>
          </cell>
          <cell r="G72" t="str">
            <v/>
          </cell>
          <cell r="H72">
            <v>5325</v>
          </cell>
          <cell r="I72">
            <v>28445</v>
          </cell>
          <cell r="J72">
            <v>19220</v>
          </cell>
          <cell r="K72" t="str">
            <v/>
          </cell>
          <cell r="L72" t="str">
            <v/>
          </cell>
          <cell r="M72" t="str">
            <v/>
          </cell>
          <cell r="N72" t="str">
            <v/>
          </cell>
          <cell r="O72" t="str">
            <v/>
          </cell>
        </row>
        <row r="73">
          <cell r="A73" t="str">
            <v>71</v>
          </cell>
          <cell r="B73" t="str">
            <v>713350</v>
          </cell>
          <cell r="C73" t="str">
            <v>Variations travaux en cou</v>
          </cell>
          <cell r="D73">
            <v>-24580</v>
          </cell>
          <cell r="E73" t="str">
            <v/>
          </cell>
          <cell r="F73" t="str">
            <v/>
          </cell>
          <cell r="G73" t="str">
            <v/>
          </cell>
          <cell r="H73" t="str">
            <v/>
          </cell>
          <cell r="I73" t="str">
            <v/>
          </cell>
          <cell r="J73" t="str">
            <v/>
          </cell>
          <cell r="K73" t="str">
            <v/>
          </cell>
          <cell r="L73" t="str">
            <v/>
          </cell>
          <cell r="M73" t="str">
            <v/>
          </cell>
          <cell r="N73" t="str">
            <v/>
          </cell>
          <cell r="O73" t="str">
            <v/>
          </cell>
        </row>
        <row r="74">
          <cell r="A74" t="str">
            <v>75</v>
          </cell>
          <cell r="B74" t="str">
            <v>758000</v>
          </cell>
          <cell r="C74" t="str">
            <v>Produits divers gestion c</v>
          </cell>
          <cell r="D74" t="str">
            <v/>
          </cell>
          <cell r="E74">
            <v>60</v>
          </cell>
          <cell r="F74">
            <v>2</v>
          </cell>
          <cell r="G74" t="str">
            <v/>
          </cell>
          <cell r="H74" t="str">
            <v/>
          </cell>
          <cell r="I74" t="str">
            <v/>
          </cell>
          <cell r="J74">
            <v>2</v>
          </cell>
          <cell r="K74" t="str">
            <v/>
          </cell>
          <cell r="L74" t="str">
            <v/>
          </cell>
          <cell r="M74" t="str">
            <v/>
          </cell>
          <cell r="N74" t="str">
            <v/>
          </cell>
          <cell r="O74" t="str">
            <v/>
          </cell>
        </row>
        <row r="75">
          <cell r="B75" t="str">
            <v>775000</v>
          </cell>
          <cell r="C75" t="str">
            <v>Produits cessions élément</v>
          </cell>
          <cell r="D75">
            <v>12000</v>
          </cell>
          <cell r="E75" t="str">
            <v/>
          </cell>
          <cell r="F75" t="str">
            <v/>
          </cell>
          <cell r="G75" t="str">
            <v/>
          </cell>
          <cell r="H75" t="str">
            <v/>
          </cell>
          <cell r="I75" t="str">
            <v/>
          </cell>
          <cell r="J75" t="str">
            <v/>
          </cell>
          <cell r="K75" t="str">
            <v/>
          </cell>
          <cell r="L75" t="str">
            <v/>
          </cell>
          <cell r="M75" t="str">
            <v/>
          </cell>
          <cell r="N75" t="str">
            <v/>
          </cell>
          <cell r="O75" t="str">
            <v/>
          </cell>
        </row>
        <row r="76">
          <cell r="A76" t="str">
            <v>79</v>
          </cell>
          <cell r="B76" t="str">
            <v>791000</v>
          </cell>
          <cell r="C76" t="str">
            <v>Transfert de charges d'ex</v>
          </cell>
          <cell r="D76">
            <v>-167</v>
          </cell>
          <cell r="E76" t="str">
            <v/>
          </cell>
          <cell r="F76">
            <v>489</v>
          </cell>
          <cell r="G76" t="str">
            <v/>
          </cell>
          <cell r="H76" t="str">
            <v/>
          </cell>
          <cell r="I76">
            <v>500</v>
          </cell>
          <cell r="J76" t="str">
            <v/>
          </cell>
          <cell r="K76" t="str">
            <v/>
          </cell>
          <cell r="L76" t="str">
            <v/>
          </cell>
          <cell r="M76" t="str">
            <v/>
          </cell>
          <cell r="N76" t="str">
            <v/>
          </cell>
          <cell r="O76" t="str">
            <v/>
          </cell>
        </row>
        <row r="77">
          <cell r="B77" t="str">
            <v>7</v>
          </cell>
          <cell r="C77" t="str">
            <v>Total Comptes Classe 7</v>
          </cell>
          <cell r="D77">
            <v>-8861</v>
          </cell>
          <cell r="E77">
            <v>560</v>
          </cell>
          <cell r="F77">
            <v>7041</v>
          </cell>
          <cell r="G77">
            <v>6484</v>
          </cell>
          <cell r="H77">
            <v>20031</v>
          </cell>
          <cell r="I77">
            <v>53449</v>
          </cell>
          <cell r="J77">
            <v>40874</v>
          </cell>
          <cell r="K77">
            <v>60682</v>
          </cell>
          <cell r="L77">
            <v>51216</v>
          </cell>
          <cell r="M77">
            <v>0</v>
          </cell>
          <cell r="N77">
            <v>0</v>
          </cell>
          <cell r="O77">
            <v>0</v>
          </cell>
        </row>
        <row r="78">
          <cell r="B78" t="str">
            <v/>
          </cell>
          <cell r="C78" t="str">
            <v>Résultat</v>
          </cell>
          <cell r="D78">
            <v>-61755</v>
          </cell>
          <cell r="E78">
            <v>-27874</v>
          </cell>
          <cell r="F78">
            <v>-19315</v>
          </cell>
          <cell r="G78">
            <v>-39636</v>
          </cell>
          <cell r="H78">
            <v>-10213</v>
          </cell>
          <cell r="I78">
            <v>3440</v>
          </cell>
          <cell r="J78">
            <v>3300</v>
          </cell>
          <cell r="K78">
            <v>2722</v>
          </cell>
          <cell r="L78">
            <v>18232</v>
          </cell>
          <cell r="M78">
            <v>-4298</v>
          </cell>
          <cell r="N78">
            <v>0</v>
          </cell>
          <cell r="O78">
            <v>0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 UO"/>
      <sheetName val="FORMULAIRE UO"/>
      <sheetName val="EFFECTIFS"/>
    </sheetNames>
    <sheetDataSet>
      <sheetData sheetId="0">
        <row r="1">
          <cell r="K1">
            <v>0</v>
          </cell>
          <cell r="L1">
            <v>0</v>
          </cell>
          <cell r="M1">
            <v>0</v>
          </cell>
          <cell r="N1">
            <v>0</v>
          </cell>
          <cell r="O1">
            <v>0</v>
          </cell>
          <cell r="P1">
            <v>0</v>
          </cell>
          <cell r="Q1">
            <v>0</v>
          </cell>
          <cell r="R1">
            <v>0</v>
          </cell>
          <cell r="S1">
            <v>0</v>
          </cell>
          <cell r="T1">
            <v>200</v>
          </cell>
          <cell r="U1">
            <v>450</v>
          </cell>
          <cell r="V1">
            <v>464</v>
          </cell>
          <cell r="W1">
            <v>150</v>
          </cell>
          <cell r="X1">
            <v>121</v>
          </cell>
          <cell r="Y1">
            <v>148</v>
          </cell>
          <cell r="Z1">
            <v>86</v>
          </cell>
          <cell r="AA1">
            <v>0</v>
          </cell>
          <cell r="AB1">
            <v>196</v>
          </cell>
          <cell r="AC1">
            <v>0</v>
          </cell>
          <cell r="AD1">
            <v>0</v>
          </cell>
          <cell r="AE1">
            <v>0</v>
          </cell>
          <cell r="AF1">
            <v>0</v>
          </cell>
          <cell r="AG1">
            <v>0</v>
          </cell>
          <cell r="AH1">
            <v>0</v>
          </cell>
        </row>
        <row r="59">
          <cell r="B59">
            <v>310</v>
          </cell>
          <cell r="C59">
            <v>320</v>
          </cell>
          <cell r="D59">
            <v>350</v>
          </cell>
          <cell r="E59">
            <v>450</v>
          </cell>
          <cell r="F59">
            <v>450</v>
          </cell>
          <cell r="G59">
            <v>450</v>
          </cell>
          <cell r="H59">
            <v>350</v>
          </cell>
          <cell r="I59">
            <v>350</v>
          </cell>
          <cell r="J59">
            <v>450</v>
          </cell>
          <cell r="K59">
            <v>450</v>
          </cell>
          <cell r="L59">
            <v>300</v>
          </cell>
          <cell r="M59">
            <v>258</v>
          </cell>
        </row>
      </sheetData>
      <sheetData sheetId="1"/>
      <sheetData sheetId="2">
        <row r="14">
          <cell r="C14">
            <v>1</v>
          </cell>
          <cell r="D14">
            <v>2</v>
          </cell>
          <cell r="E14">
            <v>3</v>
          </cell>
          <cell r="F14">
            <v>4</v>
          </cell>
          <cell r="G14">
            <v>5</v>
          </cell>
          <cell r="H14">
            <v>6</v>
          </cell>
          <cell r="I14">
            <v>7</v>
          </cell>
          <cell r="J14">
            <v>8</v>
          </cell>
          <cell r="K14">
            <v>9</v>
          </cell>
          <cell r="L14">
            <v>10</v>
          </cell>
          <cell r="M14">
            <v>11</v>
          </cell>
          <cell r="N14">
            <v>12</v>
          </cell>
        </row>
        <row r="15">
          <cell r="C15" t="str">
            <v>janv</v>
          </cell>
          <cell r="D15" t="str">
            <v>févr</v>
          </cell>
          <cell r="E15" t="str">
            <v>mars</v>
          </cell>
          <cell r="F15" t="str">
            <v>avr</v>
          </cell>
          <cell r="G15" t="str">
            <v>mai</v>
          </cell>
          <cell r="H15" t="str">
            <v>juin</v>
          </cell>
          <cell r="I15" t="str">
            <v>juil</v>
          </cell>
          <cell r="J15" t="str">
            <v>août</v>
          </cell>
          <cell r="K15" t="str">
            <v>sept</v>
          </cell>
          <cell r="L15" t="str">
            <v>oct</v>
          </cell>
          <cell r="M15" t="str">
            <v>nov</v>
          </cell>
          <cell r="N15" t="str">
            <v>déc</v>
          </cell>
        </row>
        <row r="16">
          <cell r="C16">
            <v>77</v>
          </cell>
          <cell r="D16">
            <v>70</v>
          </cell>
          <cell r="E16">
            <v>77</v>
          </cell>
          <cell r="F16">
            <v>70</v>
          </cell>
          <cell r="G16">
            <v>56</v>
          </cell>
          <cell r="H16">
            <v>73.5</v>
          </cell>
          <cell r="I16">
            <v>77</v>
          </cell>
          <cell r="J16">
            <v>77</v>
          </cell>
          <cell r="K16">
            <v>70</v>
          </cell>
          <cell r="L16">
            <v>80.5</v>
          </cell>
          <cell r="M16">
            <v>22.75</v>
          </cell>
          <cell r="N16">
            <v>36.75</v>
          </cell>
        </row>
        <row r="17">
          <cell r="C17">
            <v>109.72499999999999</v>
          </cell>
          <cell r="D17">
            <v>115.5</v>
          </cell>
          <cell r="E17">
            <v>115.5</v>
          </cell>
          <cell r="F17">
            <v>115.5</v>
          </cell>
          <cell r="G17">
            <v>115.5</v>
          </cell>
          <cell r="H17">
            <v>115.5</v>
          </cell>
          <cell r="I17">
            <v>115.5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</row>
        <row r="18">
          <cell r="C18">
            <v>138.6</v>
          </cell>
          <cell r="D18">
            <v>138.6</v>
          </cell>
          <cell r="E18">
            <v>138.6</v>
          </cell>
          <cell r="F18">
            <v>138.6</v>
          </cell>
          <cell r="G18">
            <v>138.6</v>
          </cell>
          <cell r="H18">
            <v>138.6</v>
          </cell>
          <cell r="I18">
            <v>0</v>
          </cell>
          <cell r="J18">
            <v>103.94999999999999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</row>
        <row r="19"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117.80999999999999</v>
          </cell>
          <cell r="H19">
            <v>138.6</v>
          </cell>
          <cell r="I19">
            <v>138.6</v>
          </cell>
          <cell r="J19">
            <v>110.88</v>
          </cell>
          <cell r="K19">
            <v>138.6</v>
          </cell>
          <cell r="L19">
            <v>138.6</v>
          </cell>
          <cell r="M19">
            <v>138.6</v>
          </cell>
          <cell r="N19">
            <v>138.6</v>
          </cell>
        </row>
        <row r="20"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96.377483443708599</v>
          </cell>
          <cell r="H20">
            <v>62.37</v>
          </cell>
          <cell r="I20">
            <v>0</v>
          </cell>
          <cell r="J20">
            <v>27.72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</row>
        <row r="21"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138.6</v>
          </cell>
          <cell r="L21">
            <v>138.6</v>
          </cell>
          <cell r="M21">
            <v>138.6</v>
          </cell>
          <cell r="N21">
            <v>138.6</v>
          </cell>
        </row>
        <row r="22"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138.6</v>
          </cell>
          <cell r="K22">
            <v>138.6</v>
          </cell>
          <cell r="L22">
            <v>0</v>
          </cell>
          <cell r="M22">
            <v>0</v>
          </cell>
          <cell r="N22">
            <v>0</v>
          </cell>
        </row>
        <row r="23"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55.44</v>
          </cell>
          <cell r="M23">
            <v>138.6</v>
          </cell>
          <cell r="N23">
            <v>138.6</v>
          </cell>
        </row>
        <row r="24"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</row>
        <row r="25">
          <cell r="C25">
            <v>0</v>
          </cell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</row>
        <row r="26"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</row>
        <row r="27"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</row>
        <row r="28">
          <cell r="C28">
            <v>325.32499999999999</v>
          </cell>
          <cell r="D28">
            <v>324.10000000000002</v>
          </cell>
          <cell r="E28">
            <v>331.1</v>
          </cell>
          <cell r="F28">
            <v>324.10000000000002</v>
          </cell>
          <cell r="G28">
            <v>524.28748344370865</v>
          </cell>
          <cell r="H28">
            <v>528.57000000000005</v>
          </cell>
          <cell r="I28">
            <v>331.1</v>
          </cell>
          <cell r="J28">
            <v>458.15</v>
          </cell>
          <cell r="K28">
            <v>485.79999999999995</v>
          </cell>
          <cell r="L28">
            <v>413.14</v>
          </cell>
          <cell r="M28">
            <v>438.54999999999995</v>
          </cell>
          <cell r="N28">
            <v>452.54999999999995</v>
          </cell>
          <cell r="P28">
            <v>469.70000000000005</v>
          </cell>
          <cell r="Q28">
            <v>464.79999999999995</v>
          </cell>
          <cell r="R28">
            <v>467.25</v>
          </cell>
          <cell r="S28">
            <v>467.25</v>
          </cell>
          <cell r="T28">
            <v>464.79999999999995</v>
          </cell>
          <cell r="U28">
            <v>462.35</v>
          </cell>
          <cell r="V28">
            <v>472.15</v>
          </cell>
          <cell r="W28">
            <v>430.5</v>
          </cell>
          <cell r="X28">
            <v>467.25</v>
          </cell>
          <cell r="Y28">
            <v>472.15</v>
          </cell>
          <cell r="Z28">
            <v>462.35</v>
          </cell>
          <cell r="AA28">
            <v>455</v>
          </cell>
        </row>
        <row r="29">
          <cell r="C29"/>
          <cell r="D29"/>
          <cell r="E29"/>
          <cell r="F29"/>
          <cell r="G29"/>
          <cell r="H29"/>
          <cell r="I29"/>
          <cell r="J29"/>
          <cell r="K29"/>
          <cell r="L29"/>
          <cell r="M29"/>
          <cell r="N29"/>
        </row>
        <row r="30">
          <cell r="C30">
            <v>3</v>
          </cell>
          <cell r="D30">
            <v>3</v>
          </cell>
          <cell r="E30">
            <v>3</v>
          </cell>
          <cell r="F30">
            <v>3</v>
          </cell>
          <cell r="G30">
            <v>5</v>
          </cell>
          <cell r="H30">
            <v>5</v>
          </cell>
          <cell r="I30">
            <v>3</v>
          </cell>
          <cell r="J30">
            <v>5</v>
          </cell>
          <cell r="K30">
            <v>4</v>
          </cell>
          <cell r="L30">
            <v>4</v>
          </cell>
          <cell r="M30">
            <v>4</v>
          </cell>
          <cell r="N30">
            <v>4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LIENTS_PROSPECTS"/>
      <sheetName val="MENU"/>
      <sheetName val="DATA DEVIS SUITE CDES"/>
      <sheetName val="FORMULAIRE SAISIE CDES"/>
      <sheetName val="DATA FACTURATIONS"/>
      <sheetName val="FORMULAIRE FACTURATION"/>
      <sheetName val="données"/>
    </sheetNames>
    <sheetDataSet>
      <sheetData sheetId="0"/>
      <sheetData sheetId="1"/>
      <sheetData sheetId="2">
        <row r="2">
          <cell r="E2">
            <v>794731</v>
          </cell>
        </row>
      </sheetData>
      <sheetData sheetId="3"/>
      <sheetData sheetId="4">
        <row r="2">
          <cell r="F2">
            <v>43712</v>
          </cell>
          <cell r="G2">
            <v>275187</v>
          </cell>
        </row>
        <row r="3">
          <cell r="C3" t="str">
            <v>MOIS</v>
          </cell>
          <cell r="D3" t="str">
            <v>MONTANT CDE HT</v>
          </cell>
          <cell r="E3" t="str">
            <v>N° DE FACTURE</v>
          </cell>
          <cell r="F3" t="str">
            <v>ACOMPTE</v>
          </cell>
          <cell r="G3" t="str">
            <v>MONTANT HT</v>
          </cell>
        </row>
        <row r="4">
          <cell r="C4">
            <v>10</v>
          </cell>
          <cell r="D4">
            <v>1060</v>
          </cell>
          <cell r="E4">
            <v>532</v>
          </cell>
          <cell r="F4"/>
          <cell r="G4">
            <v>1060</v>
          </cell>
        </row>
        <row r="5">
          <cell r="C5">
            <v>10</v>
          </cell>
          <cell r="D5">
            <v>9030</v>
          </cell>
          <cell r="E5">
            <v>528</v>
          </cell>
          <cell r="F5"/>
          <cell r="G5">
            <v>600</v>
          </cell>
        </row>
        <row r="6">
          <cell r="C6">
            <v>10</v>
          </cell>
          <cell r="D6">
            <v>290000</v>
          </cell>
          <cell r="E6">
            <v>530</v>
          </cell>
          <cell r="F6"/>
          <cell r="G6">
            <v>25000</v>
          </cell>
        </row>
        <row r="7">
          <cell r="C7">
            <v>10</v>
          </cell>
          <cell r="D7">
            <v>9030</v>
          </cell>
          <cell r="E7" t="str">
            <v>A7</v>
          </cell>
          <cell r="F7"/>
          <cell r="G7">
            <v>-600</v>
          </cell>
        </row>
        <row r="8">
          <cell r="C8">
            <v>10</v>
          </cell>
          <cell r="D8">
            <v>9030</v>
          </cell>
          <cell r="E8" t="str">
            <v>A8</v>
          </cell>
          <cell r="F8"/>
          <cell r="G8">
            <v>-1424</v>
          </cell>
        </row>
        <row r="9">
          <cell r="C9">
            <v>10</v>
          </cell>
          <cell r="D9">
            <v>9030</v>
          </cell>
          <cell r="E9">
            <v>529</v>
          </cell>
          <cell r="F9"/>
          <cell r="G9">
            <v>1424</v>
          </cell>
        </row>
        <row r="10">
          <cell r="C10">
            <v>10</v>
          </cell>
          <cell r="D10">
            <v>9630</v>
          </cell>
          <cell r="E10">
            <v>531</v>
          </cell>
          <cell r="F10"/>
          <cell r="G10">
            <v>2024</v>
          </cell>
        </row>
        <row r="11">
          <cell r="C11">
            <v>10</v>
          </cell>
          <cell r="D11">
            <v>512</v>
          </cell>
          <cell r="E11">
            <v>533</v>
          </cell>
          <cell r="F11"/>
          <cell r="G11">
            <v>512</v>
          </cell>
        </row>
        <row r="12">
          <cell r="C12">
            <v>10</v>
          </cell>
          <cell r="D12">
            <v>1930</v>
          </cell>
          <cell r="E12">
            <v>534</v>
          </cell>
          <cell r="F12"/>
          <cell r="G12">
            <v>1930</v>
          </cell>
        </row>
        <row r="13">
          <cell r="C13">
            <v>9</v>
          </cell>
          <cell r="D13">
            <v>9030</v>
          </cell>
          <cell r="E13">
            <v>526</v>
          </cell>
          <cell r="F13"/>
          <cell r="G13">
            <v>1600</v>
          </cell>
        </row>
        <row r="14">
          <cell r="C14">
            <v>9</v>
          </cell>
          <cell r="D14"/>
          <cell r="E14">
            <v>524</v>
          </cell>
          <cell r="F14"/>
          <cell r="G14">
            <v>3670</v>
          </cell>
        </row>
        <row r="15">
          <cell r="C15">
            <v>9</v>
          </cell>
          <cell r="D15"/>
          <cell r="E15">
            <v>523</v>
          </cell>
          <cell r="F15"/>
          <cell r="G15">
            <v>6560</v>
          </cell>
        </row>
        <row r="16">
          <cell r="C16">
            <v>9</v>
          </cell>
          <cell r="D16">
            <v>3920</v>
          </cell>
          <cell r="E16">
            <v>521</v>
          </cell>
          <cell r="F16"/>
          <cell r="G16">
            <v>3920</v>
          </cell>
        </row>
        <row r="17">
          <cell r="C17">
            <v>9</v>
          </cell>
          <cell r="D17"/>
          <cell r="E17">
            <v>520</v>
          </cell>
          <cell r="F17"/>
          <cell r="G17">
            <v>6224</v>
          </cell>
        </row>
        <row r="18">
          <cell r="C18">
            <v>9</v>
          </cell>
          <cell r="D18">
            <v>50000</v>
          </cell>
          <cell r="E18" t="str">
            <v>A6</v>
          </cell>
          <cell r="F18"/>
          <cell r="G18">
            <v>-21000</v>
          </cell>
        </row>
        <row r="19">
          <cell r="C19">
            <v>9</v>
          </cell>
          <cell r="D19">
            <v>50000</v>
          </cell>
          <cell r="E19">
            <v>527</v>
          </cell>
          <cell r="F19"/>
          <cell r="G19">
            <v>21000</v>
          </cell>
        </row>
        <row r="20">
          <cell r="C20">
            <v>9</v>
          </cell>
          <cell r="D20">
            <v>50000</v>
          </cell>
          <cell r="E20">
            <v>522</v>
          </cell>
          <cell r="F20"/>
          <cell r="G20">
            <v>21000</v>
          </cell>
        </row>
        <row r="21">
          <cell r="C21">
            <v>9</v>
          </cell>
          <cell r="D21">
            <v>30</v>
          </cell>
          <cell r="E21">
            <v>525</v>
          </cell>
          <cell r="F21"/>
          <cell r="G21">
            <v>30</v>
          </cell>
        </row>
        <row r="22">
          <cell r="C22">
            <v>8</v>
          </cell>
          <cell r="D22">
            <v>73560</v>
          </cell>
          <cell r="E22">
            <v>516</v>
          </cell>
          <cell r="F22">
            <v>14712</v>
          </cell>
          <cell r="G22"/>
        </row>
        <row r="23">
          <cell r="C23">
            <v>8</v>
          </cell>
          <cell r="D23">
            <v>1970</v>
          </cell>
          <cell r="E23">
            <v>518</v>
          </cell>
          <cell r="F23"/>
          <cell r="G23">
            <v>1970</v>
          </cell>
        </row>
        <row r="24">
          <cell r="C24">
            <v>8</v>
          </cell>
          <cell r="D24">
            <v>290000</v>
          </cell>
          <cell r="E24">
            <v>519</v>
          </cell>
          <cell r="F24"/>
          <cell r="G24">
            <v>30000</v>
          </cell>
        </row>
        <row r="25">
          <cell r="C25">
            <v>8</v>
          </cell>
          <cell r="D25">
            <v>50000</v>
          </cell>
          <cell r="E25">
            <v>517</v>
          </cell>
          <cell r="F25"/>
          <cell r="G25">
            <v>14000</v>
          </cell>
        </row>
        <row r="26">
          <cell r="C26">
            <v>7</v>
          </cell>
          <cell r="D26">
            <v>600</v>
          </cell>
          <cell r="E26">
            <v>513</v>
          </cell>
          <cell r="F26"/>
          <cell r="G26">
            <v>600</v>
          </cell>
        </row>
        <row r="27">
          <cell r="C27">
            <v>7</v>
          </cell>
          <cell r="D27">
            <v>4862</v>
          </cell>
          <cell r="E27">
            <v>515</v>
          </cell>
          <cell r="F27"/>
          <cell r="G27">
            <v>4862</v>
          </cell>
        </row>
        <row r="28">
          <cell r="C28">
            <v>7</v>
          </cell>
          <cell r="D28">
            <v>172</v>
          </cell>
          <cell r="E28">
            <v>510</v>
          </cell>
          <cell r="F28"/>
          <cell r="G28">
            <v>172</v>
          </cell>
        </row>
        <row r="29">
          <cell r="C29">
            <v>7</v>
          </cell>
          <cell r="D29">
            <v>2380</v>
          </cell>
          <cell r="E29">
            <v>509</v>
          </cell>
          <cell r="F29"/>
          <cell r="G29">
            <v>880</v>
          </cell>
        </row>
        <row r="30">
          <cell r="C30">
            <v>7</v>
          </cell>
          <cell r="D30">
            <v>12348</v>
          </cell>
          <cell r="E30">
            <v>514</v>
          </cell>
          <cell r="F30"/>
          <cell r="G30">
            <v>9878.4</v>
          </cell>
        </row>
        <row r="31">
          <cell r="C31">
            <v>7</v>
          </cell>
          <cell r="D31">
            <v>290000</v>
          </cell>
          <cell r="E31">
            <v>512</v>
          </cell>
          <cell r="F31"/>
          <cell r="G31">
            <v>20000</v>
          </cell>
        </row>
        <row r="32">
          <cell r="C32">
            <v>7</v>
          </cell>
          <cell r="D32"/>
          <cell r="E32">
            <v>511</v>
          </cell>
          <cell r="F32"/>
          <cell r="G32">
            <v>4480</v>
          </cell>
        </row>
        <row r="33">
          <cell r="C33">
            <v>6</v>
          </cell>
          <cell r="D33">
            <v>220</v>
          </cell>
          <cell r="E33">
            <v>506</v>
          </cell>
          <cell r="G33">
            <v>220</v>
          </cell>
        </row>
        <row r="34">
          <cell r="C34">
            <v>6</v>
          </cell>
          <cell r="D34"/>
          <cell r="E34" t="str">
            <v>A5</v>
          </cell>
          <cell r="G34">
            <v>-2557</v>
          </cell>
        </row>
        <row r="35">
          <cell r="C35">
            <v>6</v>
          </cell>
          <cell r="D35"/>
          <cell r="E35">
            <v>508</v>
          </cell>
          <cell r="G35">
            <v>917.6</v>
          </cell>
        </row>
        <row r="36">
          <cell r="C36">
            <v>6</v>
          </cell>
          <cell r="D36"/>
          <cell r="E36">
            <v>507</v>
          </cell>
          <cell r="G36">
            <v>1640</v>
          </cell>
        </row>
        <row r="37">
          <cell r="C37">
            <v>6</v>
          </cell>
          <cell r="D37"/>
          <cell r="E37">
            <v>503</v>
          </cell>
          <cell r="G37">
            <v>2557</v>
          </cell>
        </row>
        <row r="38">
          <cell r="C38">
            <v>6</v>
          </cell>
          <cell r="D38">
            <v>22460</v>
          </cell>
          <cell r="E38">
            <v>504</v>
          </cell>
          <cell r="F38"/>
          <cell r="G38">
            <v>16720</v>
          </cell>
        </row>
        <row r="39">
          <cell r="C39">
            <v>6</v>
          </cell>
          <cell r="D39">
            <v>290000</v>
          </cell>
          <cell r="E39">
            <v>501</v>
          </cell>
          <cell r="F39"/>
          <cell r="G39">
            <v>18560</v>
          </cell>
        </row>
        <row r="40">
          <cell r="C40">
            <v>6</v>
          </cell>
          <cell r="D40">
            <v>11725</v>
          </cell>
          <cell r="E40">
            <v>502</v>
          </cell>
          <cell r="F40"/>
          <cell r="G40">
            <v>9380</v>
          </cell>
        </row>
        <row r="41">
          <cell r="C41">
            <v>6</v>
          </cell>
          <cell r="D41">
            <v>1764</v>
          </cell>
          <cell r="E41">
            <v>505</v>
          </cell>
          <cell r="F41"/>
          <cell r="G41">
            <v>1764</v>
          </cell>
        </row>
        <row r="42">
          <cell r="C42">
            <v>5</v>
          </cell>
          <cell r="D42"/>
          <cell r="E42">
            <v>500</v>
          </cell>
          <cell r="F42"/>
          <cell r="G42">
            <v>4270</v>
          </cell>
        </row>
        <row r="43">
          <cell r="C43">
            <v>5</v>
          </cell>
          <cell r="D43">
            <v>96</v>
          </cell>
          <cell r="E43">
            <v>491</v>
          </cell>
          <cell r="F43"/>
          <cell r="G43">
            <v>96</v>
          </cell>
        </row>
        <row r="44">
          <cell r="C44">
            <v>5</v>
          </cell>
          <cell r="D44"/>
          <cell r="E44">
            <v>496</v>
          </cell>
          <cell r="F44"/>
          <cell r="G44">
            <v>460</v>
          </cell>
        </row>
        <row r="45">
          <cell r="C45">
            <v>5</v>
          </cell>
          <cell r="D45"/>
          <cell r="E45" t="str">
            <v>A4</v>
          </cell>
          <cell r="F45"/>
          <cell r="G45">
            <v>-1240</v>
          </cell>
        </row>
        <row r="46">
          <cell r="C46">
            <v>5</v>
          </cell>
          <cell r="D46"/>
          <cell r="E46">
            <v>499</v>
          </cell>
          <cell r="F46"/>
          <cell r="G46">
            <v>1240</v>
          </cell>
        </row>
        <row r="47">
          <cell r="C47">
            <v>5</v>
          </cell>
          <cell r="D47"/>
          <cell r="E47">
            <v>492</v>
          </cell>
          <cell r="F47"/>
          <cell r="G47">
            <v>1240</v>
          </cell>
        </row>
        <row r="48">
          <cell r="C48">
            <v>5</v>
          </cell>
          <cell r="D48"/>
          <cell r="E48">
            <v>490</v>
          </cell>
          <cell r="G48">
            <v>3969</v>
          </cell>
        </row>
        <row r="49">
          <cell r="C49">
            <v>5</v>
          </cell>
          <cell r="D49">
            <v>1870</v>
          </cell>
          <cell r="E49">
            <v>488</v>
          </cell>
          <cell r="F49"/>
          <cell r="G49">
            <v>1870</v>
          </cell>
        </row>
        <row r="50">
          <cell r="C50">
            <v>5</v>
          </cell>
          <cell r="D50"/>
          <cell r="E50">
            <v>493</v>
          </cell>
          <cell r="F50"/>
          <cell r="G50">
            <v>1500</v>
          </cell>
        </row>
        <row r="51">
          <cell r="C51">
            <v>5</v>
          </cell>
          <cell r="D51"/>
          <cell r="E51">
            <v>494</v>
          </cell>
          <cell r="F51"/>
          <cell r="G51">
            <v>3955</v>
          </cell>
        </row>
        <row r="52">
          <cell r="C52">
            <v>5</v>
          </cell>
          <cell r="D52">
            <v>3266</v>
          </cell>
          <cell r="E52">
            <v>489</v>
          </cell>
          <cell r="F52"/>
          <cell r="G52">
            <v>3266</v>
          </cell>
        </row>
        <row r="53">
          <cell r="C53">
            <v>5</v>
          </cell>
          <cell r="D53"/>
          <cell r="E53">
            <v>498</v>
          </cell>
          <cell r="F53"/>
          <cell r="G53">
            <v>3200</v>
          </cell>
        </row>
        <row r="54">
          <cell r="C54">
            <v>5</v>
          </cell>
          <cell r="D54"/>
          <cell r="E54">
            <v>497</v>
          </cell>
          <cell r="F54"/>
          <cell r="G54">
            <v>44</v>
          </cell>
        </row>
        <row r="55">
          <cell r="C55">
            <v>5</v>
          </cell>
          <cell r="D55"/>
          <cell r="E55">
            <v>495</v>
          </cell>
          <cell r="F55"/>
          <cell r="G55">
            <v>130</v>
          </cell>
        </row>
        <row r="56">
          <cell r="C56">
            <v>4</v>
          </cell>
          <cell r="D56">
            <v>2684</v>
          </cell>
          <cell r="E56">
            <v>486</v>
          </cell>
          <cell r="F56"/>
          <cell r="G56">
            <v>2684</v>
          </cell>
        </row>
        <row r="57">
          <cell r="C57">
            <v>4</v>
          </cell>
          <cell r="D57"/>
          <cell r="E57">
            <v>484</v>
          </cell>
          <cell r="G57">
            <v>1556</v>
          </cell>
        </row>
        <row r="58">
          <cell r="C58">
            <v>4</v>
          </cell>
          <cell r="D58">
            <v>22460</v>
          </cell>
          <cell r="E58">
            <v>482</v>
          </cell>
          <cell r="G58">
            <v>4862</v>
          </cell>
        </row>
        <row r="59">
          <cell r="C59">
            <v>4</v>
          </cell>
          <cell r="D59">
            <v>290000</v>
          </cell>
          <cell r="E59">
            <v>485</v>
          </cell>
          <cell r="F59">
            <v>29000</v>
          </cell>
          <cell r="G59"/>
        </row>
        <row r="60">
          <cell r="C60">
            <v>4</v>
          </cell>
          <cell r="D60">
            <v>3600</v>
          </cell>
          <cell r="E60">
            <v>487</v>
          </cell>
          <cell r="F60"/>
          <cell r="G60">
            <v>3600</v>
          </cell>
        </row>
        <row r="61">
          <cell r="C61">
            <v>4</v>
          </cell>
          <cell r="D61">
            <v>200</v>
          </cell>
          <cell r="E61">
            <v>481</v>
          </cell>
          <cell r="F61"/>
          <cell r="G61">
            <v>200</v>
          </cell>
        </row>
        <row r="62">
          <cell r="C62">
            <v>3</v>
          </cell>
          <cell r="D62">
            <v>660</v>
          </cell>
          <cell r="E62">
            <v>478</v>
          </cell>
          <cell r="F62"/>
          <cell r="G62">
            <v>660</v>
          </cell>
        </row>
        <row r="63">
          <cell r="C63">
            <v>3</v>
          </cell>
          <cell r="D63"/>
          <cell r="E63" t="str">
            <v>A3</v>
          </cell>
          <cell r="G63">
            <v>-2345</v>
          </cell>
        </row>
        <row r="64">
          <cell r="C64">
            <v>3</v>
          </cell>
          <cell r="D64">
            <v>11725</v>
          </cell>
          <cell r="E64">
            <v>476</v>
          </cell>
          <cell r="G64">
            <v>2345</v>
          </cell>
        </row>
        <row r="65">
          <cell r="C65">
            <v>3</v>
          </cell>
          <cell r="D65"/>
          <cell r="E65">
            <v>475</v>
          </cell>
          <cell r="G65">
            <v>2345</v>
          </cell>
        </row>
        <row r="66">
          <cell r="C66">
            <v>3</v>
          </cell>
          <cell r="D66">
            <v>460</v>
          </cell>
          <cell r="E66">
            <v>483</v>
          </cell>
          <cell r="F66"/>
          <cell r="G66">
            <v>460</v>
          </cell>
        </row>
        <row r="67">
          <cell r="C67">
            <v>3</v>
          </cell>
          <cell r="D67">
            <v>4600</v>
          </cell>
          <cell r="E67">
            <v>480</v>
          </cell>
          <cell r="F67"/>
          <cell r="G67">
            <v>4600</v>
          </cell>
        </row>
        <row r="68">
          <cell r="C68">
            <v>3</v>
          </cell>
          <cell r="D68">
            <v>150</v>
          </cell>
          <cell r="E68">
            <v>479</v>
          </cell>
          <cell r="F68"/>
          <cell r="G68">
            <v>150</v>
          </cell>
        </row>
      </sheetData>
      <sheetData sheetId="5"/>
      <sheetData sheetId="6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 COMPT"/>
      <sheetName val="LISTE DES JO"/>
      <sheetName val="TRESO 2018"/>
      <sheetName val="emprunts"/>
      <sheetName val="EXTBQ01"/>
      <sheetName val="EXTBQ02"/>
      <sheetName val="EXTBQ03"/>
      <sheetName val="EXTBQ04"/>
      <sheetName val="EXTBQ05"/>
      <sheetName val="EXTBQ06"/>
      <sheetName val="EXTBQ07"/>
      <sheetName val="EXTBQ08"/>
      <sheetName val="EXTBQ09"/>
      <sheetName val="EXTBQ10"/>
      <sheetName val="EXTBQ11"/>
      <sheetName val="EXTBQ12"/>
      <sheetName val="immo"/>
    </sheetNames>
    <sheetDataSet>
      <sheetData sheetId="0"/>
      <sheetData sheetId="1"/>
      <sheetData sheetId="2">
        <row r="28">
          <cell r="C28">
            <v>-33570.620000000003</v>
          </cell>
          <cell r="D28">
            <v>-33570.620000000003</v>
          </cell>
          <cell r="E28">
            <v>-24472.799999999996</v>
          </cell>
          <cell r="F28">
            <v>-24472.799999999996</v>
          </cell>
          <cell r="G28">
            <v>-40827.919999999998</v>
          </cell>
          <cell r="H28">
            <v>-40827.919999999998</v>
          </cell>
          <cell r="I28">
            <v>39096.539999999994</v>
          </cell>
          <cell r="J28">
            <v>39096.539999999994</v>
          </cell>
          <cell r="K28">
            <v>10388.869999999984</v>
          </cell>
          <cell r="L28">
            <v>10388.869999999984</v>
          </cell>
          <cell r="M28">
            <v>-17117.500000000015</v>
          </cell>
          <cell r="N28">
            <v>-17117.500000000015</v>
          </cell>
          <cell r="O28">
            <v>-13331.55000000001</v>
          </cell>
          <cell r="P28">
            <v>-13331.55000000001</v>
          </cell>
          <cell r="Q28">
            <v>-8459.4700000000084</v>
          </cell>
          <cell r="R28">
            <v>-8459.4700000000084</v>
          </cell>
          <cell r="S28">
            <v>26078.769999999997</v>
          </cell>
          <cell r="T28">
            <v>26078.769999999997</v>
          </cell>
          <cell r="U28">
            <v>26300.769999999997</v>
          </cell>
          <cell r="V28">
            <v>26078.769999999997</v>
          </cell>
          <cell r="W28">
            <v>-11629.230000000003</v>
          </cell>
          <cell r="X28">
            <v>26078.769999999997</v>
          </cell>
          <cell r="Y28">
            <v>-29919.230000000003</v>
          </cell>
          <cell r="Z28">
            <v>26078.769999999997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</sheetNames>
    <sheetDataSet>
      <sheetData sheetId="0">
        <row r="28">
          <cell r="J28">
            <v>35026</v>
          </cell>
          <cell r="K28">
            <v>81000</v>
          </cell>
          <cell r="L28">
            <v>106000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D1:U37"/>
  <sheetViews>
    <sheetView showGridLines="0" topLeftCell="A73" workbookViewId="0">
      <selection activeCell="T74" sqref="T74"/>
    </sheetView>
  </sheetViews>
  <sheetFormatPr baseColWidth="10" defaultColWidth="9.140625" defaultRowHeight="15" x14ac:dyDescent="0.25"/>
  <cols>
    <col min="1" max="13" width="9.140625" style="39"/>
    <col min="14" max="14" width="10.85546875" style="39" customWidth="1"/>
    <col min="15" max="16384" width="9.140625" style="39"/>
  </cols>
  <sheetData>
    <row r="1" spans="7:14" x14ac:dyDescent="0.25">
      <c r="J1" s="39" t="s">
        <v>13</v>
      </c>
    </row>
    <row r="5" spans="7:14" ht="34.5" customHeight="1" x14ac:dyDescent="0.25">
      <c r="G5" s="55"/>
      <c r="H5" s="55"/>
      <c r="I5" s="55"/>
      <c r="J5" s="55"/>
      <c r="K5" s="55"/>
      <c r="L5" s="55"/>
      <c r="M5" s="55"/>
    </row>
    <row r="6" spans="7:14" ht="21" x14ac:dyDescent="0.25">
      <c r="G6" s="40"/>
      <c r="H6" s="40"/>
      <c r="I6" s="40"/>
      <c r="J6" s="40"/>
      <c r="K6" s="40"/>
      <c r="L6" s="40"/>
      <c r="M6" s="40"/>
    </row>
    <row r="7" spans="7:14" ht="21" x14ac:dyDescent="0.25">
      <c r="H7" s="40"/>
      <c r="I7" s="40"/>
      <c r="J7" s="40"/>
      <c r="K7" s="40"/>
      <c r="L7" s="40"/>
      <c r="M7" s="40"/>
    </row>
    <row r="8" spans="7:14" ht="21" x14ac:dyDescent="0.25">
      <c r="G8" s="40"/>
      <c r="H8" s="40"/>
      <c r="I8" s="40"/>
      <c r="J8" s="40"/>
      <c r="K8" s="40"/>
      <c r="L8" s="40"/>
    </row>
    <row r="9" spans="7:14" ht="31.5" x14ac:dyDescent="0.25">
      <c r="G9" s="40"/>
      <c r="H9" s="40"/>
      <c r="I9" s="40"/>
      <c r="J9" s="40"/>
      <c r="K9" s="40"/>
      <c r="L9" s="40"/>
      <c r="M9" s="40"/>
      <c r="N9" s="41"/>
    </row>
    <row r="10" spans="7:14" ht="21" x14ac:dyDescent="0.25">
      <c r="G10" s="40"/>
      <c r="H10" s="40"/>
      <c r="I10" s="40"/>
      <c r="J10" s="40"/>
      <c r="K10" s="40"/>
      <c r="L10" s="40"/>
      <c r="M10" s="40"/>
    </row>
    <row r="11" spans="7:14" ht="21" x14ac:dyDescent="0.25">
      <c r="G11" s="40"/>
      <c r="H11" s="40"/>
      <c r="I11" s="40"/>
      <c r="J11" s="40"/>
      <c r="K11" s="40"/>
      <c r="L11" s="40"/>
    </row>
    <row r="12" spans="7:14" ht="21" x14ac:dyDescent="0.25">
      <c r="G12" s="40"/>
      <c r="H12" s="40"/>
      <c r="I12" s="40"/>
      <c r="J12" s="40"/>
      <c r="K12" s="40"/>
      <c r="L12" s="40"/>
      <c r="M12" s="40"/>
    </row>
    <row r="13" spans="7:14" ht="21" x14ac:dyDescent="0.25">
      <c r="G13" s="40"/>
      <c r="H13" s="40"/>
      <c r="I13" s="40"/>
      <c r="J13" s="40"/>
      <c r="K13" s="40"/>
      <c r="L13" s="40"/>
      <c r="M13" s="40"/>
    </row>
    <row r="14" spans="7:14" ht="21" x14ac:dyDescent="0.25">
      <c r="G14" s="40"/>
      <c r="H14" s="40"/>
      <c r="I14" s="40"/>
      <c r="J14" s="40"/>
      <c r="K14" s="40"/>
      <c r="L14" s="40"/>
      <c r="M14" s="40"/>
    </row>
    <row r="15" spans="7:14" ht="21" x14ac:dyDescent="0.25">
      <c r="G15" s="40"/>
      <c r="H15" s="40"/>
      <c r="I15" s="40"/>
      <c r="J15" s="40"/>
      <c r="K15" s="40"/>
      <c r="L15" s="40"/>
      <c r="M15" s="40"/>
    </row>
    <row r="16" spans="7:14" ht="21" x14ac:dyDescent="0.25">
      <c r="G16" s="40"/>
      <c r="H16" s="40"/>
      <c r="I16" s="40"/>
      <c r="J16" s="40"/>
      <c r="K16" s="40"/>
      <c r="L16" s="40"/>
      <c r="M16" s="40"/>
    </row>
    <row r="17" spans="4:21" ht="21" x14ac:dyDescent="0.25">
      <c r="G17" s="40"/>
      <c r="H17" s="40"/>
      <c r="I17" s="40"/>
      <c r="J17" s="40"/>
      <c r="K17" s="40"/>
      <c r="L17" s="40"/>
      <c r="M17" s="40"/>
    </row>
    <row r="18" spans="4:21" ht="21" x14ac:dyDescent="0.25">
      <c r="G18" s="40"/>
      <c r="H18" s="40"/>
      <c r="I18" s="40"/>
      <c r="J18" s="40"/>
      <c r="K18" s="40"/>
      <c r="L18" s="40"/>
      <c r="M18" s="40"/>
    </row>
    <row r="19" spans="4:21" ht="21" x14ac:dyDescent="0.25">
      <c r="G19" s="40"/>
      <c r="H19" s="40"/>
      <c r="I19" s="40"/>
      <c r="J19" s="40"/>
      <c r="K19" s="40"/>
      <c r="L19" s="40"/>
      <c r="M19" s="40"/>
    </row>
    <row r="20" spans="4:21" ht="28.5" x14ac:dyDescent="0.45">
      <c r="D20" s="42" t="str">
        <f ca="1">TEXT(TODAY()-20,"mmm  aa")</f>
        <v>oct 18</v>
      </c>
      <c r="G20" s="40"/>
      <c r="H20" s="40"/>
      <c r="J20" s="42" t="str">
        <f ca="1">TEXT(TODAY(),"mmm  aa")</f>
        <v>nov 18</v>
      </c>
      <c r="K20" s="40"/>
      <c r="L20" s="40"/>
      <c r="M20" s="40"/>
    </row>
    <row r="21" spans="4:21" ht="21" x14ac:dyDescent="0.25">
      <c r="G21" s="40"/>
      <c r="H21" s="40"/>
      <c r="I21" s="40"/>
      <c r="J21" s="40"/>
      <c r="K21" s="40"/>
      <c r="L21" s="40"/>
      <c r="M21" s="40"/>
    </row>
    <row r="22" spans="4:21" ht="29.25" thickBot="1" x14ac:dyDescent="0.5">
      <c r="G22" s="40"/>
      <c r="H22" s="40"/>
      <c r="I22" s="40"/>
      <c r="J22" s="40"/>
      <c r="K22" s="40"/>
      <c r="L22" s="40"/>
      <c r="M22" s="42" t="str">
        <f ca="1">TEXT(TODAY()+20,"mmm  aa")</f>
        <v>nov 18</v>
      </c>
      <c r="O22" s="42" t="str">
        <f ca="1">TEXT(TODAY()+50,"mmm  aa")</f>
        <v>déc 18</v>
      </c>
    </row>
    <row r="23" spans="4:21" ht="44.25" x14ac:dyDescent="0.55000000000000004">
      <c r="D23" s="43" t="s">
        <v>42</v>
      </c>
      <c r="G23" s="40"/>
      <c r="H23" s="43" t="s">
        <v>42</v>
      </c>
      <c r="L23" s="40"/>
      <c r="M23" s="43" t="s">
        <v>42</v>
      </c>
      <c r="O23" s="43" t="s">
        <v>42</v>
      </c>
      <c r="U23" s="44"/>
    </row>
    <row r="24" spans="4:21" ht="44.25" x14ac:dyDescent="0.55000000000000004">
      <c r="D24" s="45" t="s">
        <v>42</v>
      </c>
      <c r="G24" s="40"/>
      <c r="H24" s="45" t="s">
        <v>42</v>
      </c>
      <c r="J24" s="40"/>
      <c r="K24" s="40"/>
      <c r="L24" s="40"/>
      <c r="M24" s="45" t="s">
        <v>42</v>
      </c>
      <c r="O24" s="45" t="s">
        <v>42</v>
      </c>
    </row>
    <row r="25" spans="4:21" ht="45" thickBot="1" x14ac:dyDescent="0.6">
      <c r="D25" s="46" t="s">
        <v>42</v>
      </c>
      <c r="G25" s="40"/>
      <c r="H25" s="46" t="s">
        <v>42</v>
      </c>
      <c r="J25" s="40"/>
      <c r="K25" s="40"/>
      <c r="L25" s="40"/>
      <c r="M25" s="46" t="s">
        <v>42</v>
      </c>
      <c r="O25" s="46" t="s">
        <v>42</v>
      </c>
    </row>
    <row r="26" spans="4:21" ht="21" x14ac:dyDescent="0.25">
      <c r="G26" s="40"/>
      <c r="H26" s="40"/>
      <c r="J26" s="40"/>
      <c r="K26" s="40"/>
      <c r="L26" s="40"/>
    </row>
    <row r="27" spans="4:21" ht="21" x14ac:dyDescent="0.25">
      <c r="G27" s="40"/>
      <c r="H27" s="40"/>
      <c r="J27" s="40"/>
      <c r="K27" s="40"/>
      <c r="L27" s="40"/>
    </row>
    <row r="28" spans="4:21" ht="21" x14ac:dyDescent="0.25">
      <c r="G28" s="40"/>
      <c r="H28" s="40"/>
      <c r="I28" s="40"/>
      <c r="J28" s="40"/>
      <c r="K28" s="40"/>
      <c r="L28" s="40"/>
      <c r="M28" s="40"/>
    </row>
    <row r="29" spans="4:21" x14ac:dyDescent="0.25">
      <c r="G29" s="47"/>
      <c r="H29" s="47"/>
      <c r="I29" s="47"/>
      <c r="J29" s="47"/>
      <c r="K29" s="47"/>
      <c r="L29" s="47"/>
      <c r="M29" s="47"/>
    </row>
    <row r="30" spans="4:21" x14ac:dyDescent="0.25">
      <c r="G30" s="47"/>
      <c r="H30" s="47"/>
      <c r="I30" s="47"/>
      <c r="J30" s="47"/>
      <c r="K30" s="47"/>
      <c r="L30" s="47"/>
      <c r="M30" s="47"/>
    </row>
    <row r="31" spans="4:21" x14ac:dyDescent="0.25">
      <c r="G31" s="47"/>
      <c r="H31" s="47"/>
      <c r="I31" s="47"/>
      <c r="J31" s="47"/>
      <c r="K31" s="47"/>
      <c r="L31" s="47"/>
      <c r="M31" s="47"/>
    </row>
    <row r="32" spans="4:21" x14ac:dyDescent="0.25">
      <c r="G32" s="47"/>
      <c r="H32" s="47"/>
      <c r="I32" s="47"/>
      <c r="J32" s="47"/>
      <c r="K32" s="47"/>
      <c r="L32" s="47"/>
      <c r="M32" s="47"/>
    </row>
    <row r="33" spans="7:13" x14ac:dyDescent="0.25">
      <c r="G33" s="47"/>
      <c r="H33" s="47"/>
      <c r="I33" s="47"/>
      <c r="J33" s="47"/>
      <c r="K33" s="47"/>
      <c r="L33" s="47"/>
      <c r="M33" s="47"/>
    </row>
    <row r="34" spans="7:13" x14ac:dyDescent="0.25">
      <c r="G34" s="47"/>
      <c r="H34" s="47"/>
      <c r="I34" s="47"/>
      <c r="J34" s="47"/>
      <c r="K34" s="47"/>
      <c r="L34" s="47"/>
      <c r="M34" s="47"/>
    </row>
    <row r="35" spans="7:13" x14ac:dyDescent="0.25">
      <c r="G35" s="47"/>
      <c r="H35" s="47"/>
      <c r="I35" s="47"/>
      <c r="J35" s="47"/>
      <c r="K35" s="47"/>
      <c r="L35" s="47"/>
      <c r="M35" s="47"/>
    </row>
    <row r="36" spans="7:13" x14ac:dyDescent="0.25">
      <c r="G36" s="47"/>
      <c r="H36" s="47"/>
      <c r="I36" s="47"/>
      <c r="J36" s="47"/>
      <c r="K36" s="47"/>
      <c r="L36" s="47"/>
      <c r="M36" s="47"/>
    </row>
    <row r="37" spans="7:13" x14ac:dyDescent="0.25">
      <c r="G37" s="47"/>
      <c r="H37" s="47"/>
      <c r="I37" s="47"/>
      <c r="J37" s="47"/>
      <c r="K37" s="47"/>
      <c r="L37" s="47"/>
      <c r="M37" s="47"/>
    </row>
  </sheetData>
  <mergeCells count="1">
    <mergeCell ref="G5:M5"/>
  </mergeCell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3" id="{D3EC5C5F-8701-4391-8E87-E6C55795A0C4}">
            <xm:f>Feuil2!$H$12&lt;=Feuil2!$E$12</xm:f>
            <x14:dxf>
              <font>
                <b/>
                <i val="0"/>
                <color rgb="FFFF0000"/>
              </font>
            </x14:dxf>
          </x14:cfRule>
          <x14:cfRule type="expression" priority="28" id="{104068FE-2B5A-4B94-8654-3CA1ABB0541C}">
            <xm:f>Feuil2!$D$5&lt;=1</xm:f>
            <x14:dxf>
              <font>
                <b/>
                <i val="0"/>
                <color rgb="FFFF0000"/>
              </font>
            </x14:dxf>
          </x14:cfRule>
          <xm:sqref>M23</xm:sqref>
        </x14:conditionalFormatting>
        <x14:conditionalFormatting xmlns:xm="http://schemas.microsoft.com/office/excel/2006/main">
          <x14:cfRule type="expression" priority="11" id="{428D85A3-1359-4BB7-8C77-17AAD6254E19}">
            <xm:f>Feuil2!$I$12&lt;=Feuil2!$E$12</xm:f>
            <x14:dxf>
              <font>
                <b/>
                <i val="0"/>
                <color rgb="FFFF0000"/>
              </font>
            </x14:dxf>
          </x14:cfRule>
          <x14:cfRule type="expression" priority="25" id="{14F212D4-70EC-41C4-A9D1-EDB1AA876607}">
            <xm:f>Feuil2!$D$5&lt;=1</xm:f>
            <x14:dxf>
              <font>
                <b/>
                <i val="0"/>
                <color rgb="FFFF0000"/>
              </font>
            </x14:dxf>
          </x14:cfRule>
          <xm:sqref>O23</xm:sqref>
        </x14:conditionalFormatting>
        <x14:conditionalFormatting xmlns:xm="http://schemas.microsoft.com/office/excel/2006/main">
          <x14:cfRule type="expression" priority="22" id="{EDF5EAA1-7B68-45CC-A963-B876F57A5355}">
            <xm:f>Feuil2!$F$12&gt;0</xm:f>
            <x14:dxf>
              <font>
                <b/>
                <i val="0"/>
                <color theme="9"/>
              </font>
            </x14:dxf>
          </x14:cfRule>
          <xm:sqref>D25</xm:sqref>
        </x14:conditionalFormatting>
        <x14:conditionalFormatting xmlns:xm="http://schemas.microsoft.com/office/excel/2006/main">
          <x14:cfRule type="expression" priority="20" id="{2F250DA0-83E0-4A67-9F2E-5B0A9276A235}">
            <xm:f>AND(Feuil2!$F$12&gt;Feuil2!$E$12,Feuil2!$F$12&lt;0)</xm:f>
            <x14:dxf>
              <font>
                <b/>
                <i val="0"/>
                <color theme="7"/>
              </font>
            </x14:dxf>
          </x14:cfRule>
          <xm:sqref>D24</xm:sqref>
        </x14:conditionalFormatting>
        <x14:conditionalFormatting xmlns:xm="http://schemas.microsoft.com/office/excel/2006/main">
          <x14:cfRule type="expression" priority="16" id="{A33F16F2-4D9C-43B6-8392-424EAD5D4802}">
            <xm:f>Feuil2!$F$12&lt;=Feuil2!$E$12</xm:f>
            <x14:dxf>
              <font>
                <b/>
                <i val="0"/>
                <color rgb="FFFF0000"/>
              </font>
            </x14:dxf>
          </x14:cfRule>
          <xm:sqref>D23</xm:sqref>
        </x14:conditionalFormatting>
        <x14:conditionalFormatting xmlns:xm="http://schemas.microsoft.com/office/excel/2006/main">
          <x14:cfRule type="expression" priority="14" id="{3893AFE0-5BCE-4CB5-83D7-86CAC09E5F7B}">
            <xm:f>Feuil2!$G$12&lt;=Feuil2!$E$12</xm:f>
            <x14:dxf>
              <font>
                <b/>
                <i val="0"/>
                <color rgb="FFFF0000"/>
              </font>
            </x14:dxf>
          </x14:cfRule>
          <x14:cfRule type="expression" priority="17" id="{68AD4CE8-3802-43BA-8317-F9C13B485AB9}">
            <xm:f>Feuil2!$G$12&lt;=Feuil2!$E$12</xm:f>
            <x14:dxf>
              <font>
                <b/>
                <i val="0"/>
                <color rgb="FFFF0000"/>
              </font>
            </x14:dxf>
          </x14:cfRule>
          <xm:sqref>H23</xm:sqref>
        </x14:conditionalFormatting>
        <x14:conditionalFormatting xmlns:xm="http://schemas.microsoft.com/office/excel/2006/main">
          <x14:cfRule type="expression" priority="12" id="{5B6C6EF3-E090-417B-87EC-E0B3FD101DC7}">
            <xm:f>Feuil2!$H$12=Feuil2!$E$12</xm:f>
            <x14:dxf>
              <font>
                <b/>
                <i val="0"/>
                <color rgb="FFFF0000"/>
              </font>
            </x14:dxf>
          </x14:cfRule>
          <xm:sqref>P38</xm:sqref>
        </x14:conditionalFormatting>
        <x14:conditionalFormatting xmlns:xm="http://schemas.microsoft.com/office/excel/2006/main">
          <x14:cfRule type="expression" priority="5" id="{25ABF8C0-5117-4904-84CB-86FCDA902E37}">
            <xm:f>AND(Feuil2!$I$12&gt;=Feuil2!$E$12,Feuil2!$I$12&lt;0)</xm:f>
            <x14:dxf>
              <font>
                <b/>
                <i val="0"/>
                <color theme="7"/>
              </font>
            </x14:dxf>
          </x14:cfRule>
          <x14:cfRule type="expression" priority="8" id="{48A3A1B5-F686-4BA0-812F-171C3251F9FA}">
            <xm:f>AND(Feuil2!$I$12&gt;=Feuil2!$E$12,Feuil2!$I$12&lt;0)</xm:f>
            <x14:dxf>
              <font>
                <b/>
                <i val="0"/>
                <color theme="7"/>
              </font>
            </x14:dxf>
          </x14:cfRule>
          <xm:sqref>O24</xm:sqref>
        </x14:conditionalFormatting>
        <x14:conditionalFormatting xmlns:xm="http://schemas.microsoft.com/office/excel/2006/main">
          <x14:cfRule type="expression" priority="7" id="{664D9A38-B45F-40FA-A258-4EF209FD443C}">
            <xm:f>AND(Feuil2!$G$12&gt;=Feuil2!$G$12,Feuil2!$G$12&lt;0)</xm:f>
            <x14:dxf>
              <font>
                <b/>
                <i val="0"/>
                <color theme="7"/>
              </font>
            </x14:dxf>
          </x14:cfRule>
          <xm:sqref>H24</xm:sqref>
        </x14:conditionalFormatting>
        <x14:conditionalFormatting xmlns:xm="http://schemas.microsoft.com/office/excel/2006/main">
          <x14:cfRule type="expression" priority="6" id="{2D03C783-E212-4C82-82F4-A62C4C188BE4}">
            <xm:f>AND(Feuil2!$H$12&gt;=Feuil2!$E$12,Feuil2!$H$12&lt;0)</xm:f>
            <x14:dxf>
              <font>
                <b/>
                <i val="0"/>
                <color theme="7"/>
              </font>
            </x14:dxf>
          </x14:cfRule>
          <xm:sqref>M24</xm:sqref>
        </x14:conditionalFormatting>
        <x14:conditionalFormatting xmlns:xm="http://schemas.microsoft.com/office/excel/2006/main">
          <x14:cfRule type="expression" priority="4" id="{11927F66-73FE-4D6E-A26F-2FED845EA8E6}">
            <xm:f>Feuil2!$G$12&gt;0</xm:f>
            <x14:dxf>
              <font>
                <b/>
                <i val="0"/>
                <color theme="9"/>
              </font>
            </x14:dxf>
          </x14:cfRule>
          <xm:sqref>H25</xm:sqref>
        </x14:conditionalFormatting>
        <x14:conditionalFormatting xmlns:xm="http://schemas.microsoft.com/office/excel/2006/main">
          <x14:cfRule type="expression" priority="3" id="{3C10AB29-D54C-4647-BBC2-3E5838629508}">
            <xm:f>Feuil2!$H$12&gt;0</xm:f>
            <x14:dxf>
              <font>
                <b/>
                <i val="0"/>
                <color theme="9"/>
              </font>
            </x14:dxf>
          </x14:cfRule>
          <xm:sqref>M25</xm:sqref>
        </x14:conditionalFormatting>
        <x14:conditionalFormatting xmlns:xm="http://schemas.microsoft.com/office/excel/2006/main">
          <x14:cfRule type="expression" priority="2" id="{FEABF5DA-5638-423D-A263-410F27DAEA2E}">
            <xm:f>Feuil2!$I$12&gt;0</xm:f>
            <x14:dxf>
              <font>
                <b/>
                <i val="0"/>
                <color theme="9"/>
              </font>
            </x14:dxf>
          </x14:cfRule>
          <xm:sqref>O25</xm:sqref>
        </x14:conditionalFormatting>
        <x14:conditionalFormatting xmlns:xm="http://schemas.microsoft.com/office/excel/2006/main">
          <x14:cfRule type="expression" priority="1" id="{21ED5031-5A86-4FFA-9372-665F005A8194}">
            <xm:f>Feuil2!$H$12&lt;=Feuil2!$E$12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M23:M25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835388-C3EC-458D-984B-D8A34198B248}">
  <sheetPr codeName="Feuil2"/>
  <dimension ref="A1:G182"/>
  <sheetViews>
    <sheetView workbookViewId="0">
      <selection sqref="A1:C140"/>
    </sheetView>
  </sheetViews>
  <sheetFormatPr baseColWidth="10" defaultRowHeight="15" x14ac:dyDescent="0.25"/>
  <cols>
    <col min="1" max="1" width="11.42578125" style="30"/>
    <col min="2" max="2" width="34.28515625" bestFit="1" customWidth="1"/>
    <col min="3" max="3" width="46.28515625" customWidth="1"/>
    <col min="4" max="4" width="11.42578125" style="54"/>
  </cols>
  <sheetData>
    <row r="1" spans="1:6" x14ac:dyDescent="0.25">
      <c r="A1" s="25" t="s">
        <v>203</v>
      </c>
      <c r="B1" s="25" t="s">
        <v>52</v>
      </c>
      <c r="C1" s="50">
        <v>2018</v>
      </c>
      <c r="D1" s="52">
        <v>2017</v>
      </c>
      <c r="E1" s="29"/>
    </row>
    <row r="2" spans="1:6" x14ac:dyDescent="0.25">
      <c r="A2" s="51">
        <v>101300</v>
      </c>
      <c r="B2" s="25" t="s">
        <v>53</v>
      </c>
      <c r="C2" s="33">
        <v>-61200</v>
      </c>
      <c r="D2" s="53">
        <v>-61200</v>
      </c>
      <c r="E2" s="31"/>
      <c r="F2" s="36" t="str">
        <f>LEFT(A2,3)</f>
        <v>101</v>
      </c>
    </row>
    <row r="3" spans="1:6" x14ac:dyDescent="0.25">
      <c r="A3" s="51">
        <v>106100</v>
      </c>
      <c r="B3" s="25" t="s">
        <v>54</v>
      </c>
      <c r="C3" s="33">
        <v>-1000</v>
      </c>
      <c r="D3" s="53">
        <v>-1000</v>
      </c>
      <c r="E3" s="31"/>
      <c r="F3" s="36" t="str">
        <f t="shared" ref="F3:F66" si="0">LEFT(A3,3)</f>
        <v>106</v>
      </c>
    </row>
    <row r="4" spans="1:6" x14ac:dyDescent="0.25">
      <c r="A4" s="51">
        <v>106800</v>
      </c>
      <c r="B4" s="25" t="s">
        <v>55</v>
      </c>
      <c r="C4" s="33">
        <v>-2944.77</v>
      </c>
      <c r="D4" s="53">
        <v>-2944.77</v>
      </c>
      <c r="E4" s="31"/>
      <c r="F4" s="36" t="str">
        <f t="shared" si="0"/>
        <v>106</v>
      </c>
    </row>
    <row r="5" spans="1:6" x14ac:dyDescent="0.25">
      <c r="A5" s="51">
        <v>119000</v>
      </c>
      <c r="B5" s="25" t="s">
        <v>56</v>
      </c>
      <c r="C5" s="33">
        <v>19411.63</v>
      </c>
      <c r="D5" s="53">
        <v>19411.63</v>
      </c>
      <c r="E5" s="31"/>
      <c r="F5" s="36" t="str">
        <f t="shared" si="0"/>
        <v>119</v>
      </c>
    </row>
    <row r="6" spans="1:6" x14ac:dyDescent="0.25">
      <c r="A6" s="51">
        <v>120000</v>
      </c>
      <c r="B6" s="25" t="s">
        <v>204</v>
      </c>
      <c r="C6" s="33">
        <v>-17372.13</v>
      </c>
      <c r="D6" s="53">
        <v>0</v>
      </c>
      <c r="E6" s="31"/>
      <c r="F6" s="36" t="str">
        <f t="shared" si="0"/>
        <v>120</v>
      </c>
    </row>
    <row r="7" spans="1:6" x14ac:dyDescent="0.25">
      <c r="A7" s="51">
        <v>129000</v>
      </c>
      <c r="B7" s="25" t="s">
        <v>205</v>
      </c>
      <c r="C7" s="33">
        <v>0</v>
      </c>
      <c r="D7" s="53">
        <v>0</v>
      </c>
      <c r="E7" s="31"/>
      <c r="F7" s="36" t="str">
        <f t="shared" si="0"/>
        <v>129</v>
      </c>
    </row>
    <row r="8" spans="1:6" x14ac:dyDescent="0.25">
      <c r="A8" s="51">
        <v>164000</v>
      </c>
      <c r="B8" s="25" t="s">
        <v>206</v>
      </c>
      <c r="C8" s="33">
        <v>-557.20000000000005</v>
      </c>
      <c r="D8" s="53">
        <v>0</v>
      </c>
      <c r="E8" s="31"/>
      <c r="F8" s="36" t="str">
        <f t="shared" si="0"/>
        <v>164</v>
      </c>
    </row>
    <row r="9" spans="1:6" x14ac:dyDescent="0.25">
      <c r="A9" s="51">
        <v>164100</v>
      </c>
      <c r="B9" s="25" t="s">
        <v>207</v>
      </c>
      <c r="C9" s="33">
        <v>557.20000000000005</v>
      </c>
      <c r="D9" s="53">
        <v>0</v>
      </c>
      <c r="E9" s="31"/>
      <c r="F9" s="36" t="str">
        <f t="shared" si="0"/>
        <v>164</v>
      </c>
    </row>
    <row r="10" spans="1:6" x14ac:dyDescent="0.25">
      <c r="A10" s="51">
        <v>164200</v>
      </c>
      <c r="B10" s="25" t="s">
        <v>57</v>
      </c>
      <c r="C10" s="33">
        <v>-14000</v>
      </c>
      <c r="D10" s="53">
        <v>-14000</v>
      </c>
      <c r="E10" s="31"/>
      <c r="F10" s="36" t="str">
        <f t="shared" si="0"/>
        <v>164</v>
      </c>
    </row>
    <row r="11" spans="1:6" x14ac:dyDescent="0.25">
      <c r="A11" s="51">
        <v>164300</v>
      </c>
      <c r="B11" s="25" t="s">
        <v>58</v>
      </c>
      <c r="C11" s="33">
        <v>704.07</v>
      </c>
      <c r="D11" s="53">
        <v>-1127.44</v>
      </c>
      <c r="E11" s="31"/>
      <c r="F11" s="36" t="str">
        <f t="shared" si="0"/>
        <v>164</v>
      </c>
    </row>
    <row r="12" spans="1:6" x14ac:dyDescent="0.25">
      <c r="A12" s="51">
        <v>164400</v>
      </c>
      <c r="B12" s="25" t="s">
        <v>59</v>
      </c>
      <c r="C12" s="33">
        <v>-3591.16</v>
      </c>
      <c r="D12" s="53">
        <v>-4938.88</v>
      </c>
      <c r="E12" s="31"/>
      <c r="F12" s="36" t="str">
        <f t="shared" si="0"/>
        <v>164</v>
      </c>
    </row>
    <row r="13" spans="1:6" x14ac:dyDescent="0.25">
      <c r="A13" s="51">
        <v>164500</v>
      </c>
      <c r="B13" s="25" t="s">
        <v>60</v>
      </c>
      <c r="C13" s="33">
        <v>-22540.720000000001</v>
      </c>
      <c r="D13" s="53">
        <v>-4000</v>
      </c>
      <c r="E13" s="31"/>
      <c r="F13" s="36" t="str">
        <f t="shared" si="0"/>
        <v>164</v>
      </c>
    </row>
    <row r="14" spans="1:6" x14ac:dyDescent="0.25">
      <c r="A14" s="51">
        <v>164600</v>
      </c>
      <c r="B14" s="25" t="s">
        <v>208</v>
      </c>
      <c r="C14" s="33">
        <v>-47463.58</v>
      </c>
      <c r="D14" s="53">
        <v>0</v>
      </c>
      <c r="E14" s="31"/>
      <c r="F14" s="36" t="str">
        <f t="shared" si="0"/>
        <v>164</v>
      </c>
    </row>
    <row r="15" spans="1:6" x14ac:dyDescent="0.25">
      <c r="A15" s="51">
        <v>167400</v>
      </c>
      <c r="B15" s="25" t="s">
        <v>61</v>
      </c>
      <c r="C15" s="33">
        <v>-23000</v>
      </c>
      <c r="D15" s="53">
        <v>-23000</v>
      </c>
      <c r="E15" s="31"/>
      <c r="F15" s="36" t="str">
        <f t="shared" si="0"/>
        <v>167</v>
      </c>
    </row>
    <row r="16" spans="1:6" x14ac:dyDescent="0.25">
      <c r="A16" s="51">
        <v>203000</v>
      </c>
      <c r="B16" s="25" t="s">
        <v>62</v>
      </c>
      <c r="C16" s="33">
        <v>28000</v>
      </c>
      <c r="D16" s="53">
        <v>28000</v>
      </c>
      <c r="E16" s="31"/>
      <c r="F16" s="36" t="str">
        <f t="shared" si="0"/>
        <v>203</v>
      </c>
    </row>
    <row r="17" spans="1:6" x14ac:dyDescent="0.25">
      <c r="A17" s="51">
        <v>203100</v>
      </c>
      <c r="B17" s="25" t="s">
        <v>63</v>
      </c>
      <c r="C17" s="33">
        <v>19952</v>
      </c>
      <c r="D17" s="53">
        <v>19952</v>
      </c>
      <c r="E17" s="31"/>
      <c r="F17" s="36" t="str">
        <f t="shared" si="0"/>
        <v>203</v>
      </c>
    </row>
    <row r="18" spans="1:6" x14ac:dyDescent="0.25">
      <c r="A18" s="51">
        <v>203200</v>
      </c>
      <c r="B18" s="25" t="s">
        <v>64</v>
      </c>
      <c r="C18" s="33">
        <v>4599</v>
      </c>
      <c r="D18" s="53">
        <v>4599</v>
      </c>
      <c r="E18" s="31"/>
      <c r="F18" s="36" t="str">
        <f t="shared" si="0"/>
        <v>203</v>
      </c>
    </row>
    <row r="19" spans="1:6" x14ac:dyDescent="0.25">
      <c r="A19" s="51">
        <v>203300</v>
      </c>
      <c r="B19" s="25" t="s">
        <v>65</v>
      </c>
      <c r="C19" s="33">
        <v>34992</v>
      </c>
      <c r="D19" s="53">
        <v>34992</v>
      </c>
      <c r="E19" s="31"/>
      <c r="F19" s="36" t="str">
        <f t="shared" si="0"/>
        <v>203</v>
      </c>
    </row>
    <row r="20" spans="1:6" x14ac:dyDescent="0.25">
      <c r="A20" s="51">
        <v>205000</v>
      </c>
      <c r="B20" s="25" t="s">
        <v>66</v>
      </c>
      <c r="C20" s="33">
        <v>188</v>
      </c>
      <c r="D20" s="53">
        <v>188</v>
      </c>
      <c r="E20" s="31"/>
      <c r="F20" s="36" t="str">
        <f t="shared" si="0"/>
        <v>205</v>
      </c>
    </row>
    <row r="21" spans="1:6" x14ac:dyDescent="0.25">
      <c r="A21" s="51">
        <v>215400</v>
      </c>
      <c r="B21" s="25" t="s">
        <v>67</v>
      </c>
      <c r="C21" s="33">
        <v>42406</v>
      </c>
      <c r="D21" s="53">
        <v>42106</v>
      </c>
      <c r="E21" s="31"/>
      <c r="F21" s="36" t="str">
        <f t="shared" si="0"/>
        <v>215</v>
      </c>
    </row>
    <row r="22" spans="1:6" x14ac:dyDescent="0.25">
      <c r="A22" s="51">
        <v>218100</v>
      </c>
      <c r="B22" s="25" t="s">
        <v>209</v>
      </c>
      <c r="C22" s="33">
        <v>8704.3700000000008</v>
      </c>
      <c r="D22" s="53">
        <v>0</v>
      </c>
      <c r="E22" s="31"/>
      <c r="F22" s="36" t="str">
        <f t="shared" si="0"/>
        <v>218</v>
      </c>
    </row>
    <row r="23" spans="1:6" x14ac:dyDescent="0.25">
      <c r="A23" s="51">
        <v>218200</v>
      </c>
      <c r="B23" s="25" t="s">
        <v>68</v>
      </c>
      <c r="C23" s="33">
        <v>197</v>
      </c>
      <c r="D23" s="53">
        <v>197</v>
      </c>
      <c r="E23" s="31"/>
      <c r="F23" s="36" t="str">
        <f t="shared" si="0"/>
        <v>218</v>
      </c>
    </row>
    <row r="24" spans="1:6" x14ac:dyDescent="0.25">
      <c r="A24" s="51">
        <v>218300</v>
      </c>
      <c r="B24" s="25" t="s">
        <v>69</v>
      </c>
      <c r="C24" s="33">
        <v>2674.53</v>
      </c>
      <c r="D24" s="53">
        <v>835</v>
      </c>
      <c r="E24" s="31"/>
      <c r="F24" s="36" t="str">
        <f t="shared" si="0"/>
        <v>218</v>
      </c>
    </row>
    <row r="25" spans="1:6" x14ac:dyDescent="0.25">
      <c r="A25" s="51">
        <v>231000</v>
      </c>
      <c r="B25" s="25" t="s">
        <v>70</v>
      </c>
      <c r="C25" s="33">
        <v>0</v>
      </c>
      <c r="D25" s="53">
        <v>0</v>
      </c>
      <c r="E25" s="31"/>
      <c r="F25" s="36" t="str">
        <f t="shared" si="0"/>
        <v>231</v>
      </c>
    </row>
    <row r="26" spans="1:6" x14ac:dyDescent="0.25">
      <c r="A26" s="51">
        <v>231100</v>
      </c>
      <c r="B26" s="25" t="s">
        <v>210</v>
      </c>
      <c r="C26" s="33">
        <v>0</v>
      </c>
      <c r="D26" s="53">
        <v>0</v>
      </c>
      <c r="E26" s="31"/>
      <c r="F26" s="36" t="str">
        <f t="shared" si="0"/>
        <v>231</v>
      </c>
    </row>
    <row r="27" spans="1:6" x14ac:dyDescent="0.25">
      <c r="A27" s="51">
        <v>231200</v>
      </c>
      <c r="B27" s="25" t="s">
        <v>71</v>
      </c>
      <c r="C27" s="33">
        <v>51868.05</v>
      </c>
      <c r="D27" s="53">
        <v>51868.05</v>
      </c>
      <c r="E27" s="31"/>
      <c r="F27" s="36" t="str">
        <f t="shared" si="0"/>
        <v>231</v>
      </c>
    </row>
    <row r="28" spans="1:6" x14ac:dyDescent="0.25">
      <c r="A28" s="51">
        <v>261000</v>
      </c>
      <c r="B28" s="25" t="s">
        <v>72</v>
      </c>
      <c r="C28" s="33">
        <v>202.5</v>
      </c>
      <c r="D28" s="53">
        <v>50</v>
      </c>
      <c r="E28" s="31"/>
      <c r="F28" s="36" t="str">
        <f t="shared" si="0"/>
        <v>261</v>
      </c>
    </row>
    <row r="29" spans="1:6" x14ac:dyDescent="0.25">
      <c r="A29" s="51">
        <v>275000</v>
      </c>
      <c r="B29" s="25" t="s">
        <v>73</v>
      </c>
      <c r="C29" s="33">
        <v>5149</v>
      </c>
      <c r="D29" s="53">
        <v>4699</v>
      </c>
      <c r="E29" s="31"/>
      <c r="F29" s="36" t="str">
        <f t="shared" si="0"/>
        <v>275</v>
      </c>
    </row>
    <row r="30" spans="1:6" x14ac:dyDescent="0.25">
      <c r="A30" s="51">
        <v>280300</v>
      </c>
      <c r="B30" s="25" t="s">
        <v>74</v>
      </c>
      <c r="C30" s="33">
        <v>-14000</v>
      </c>
      <c r="D30" s="53">
        <v>-14000</v>
      </c>
      <c r="E30" s="31"/>
      <c r="F30" s="36" t="str">
        <f t="shared" si="0"/>
        <v>280</v>
      </c>
    </row>
    <row r="31" spans="1:6" x14ac:dyDescent="0.25">
      <c r="A31" s="51">
        <v>280310</v>
      </c>
      <c r="B31" s="25" t="s">
        <v>75</v>
      </c>
      <c r="C31" s="33">
        <v>-7991.88</v>
      </c>
      <c r="D31" s="53">
        <v>-7991.88</v>
      </c>
      <c r="E31" s="31"/>
      <c r="F31" s="36" t="str">
        <f t="shared" si="0"/>
        <v>280</v>
      </c>
    </row>
    <row r="32" spans="1:6" x14ac:dyDescent="0.25">
      <c r="A32" s="51">
        <v>280320</v>
      </c>
      <c r="B32" s="25" t="s">
        <v>76</v>
      </c>
      <c r="C32" s="33">
        <v>-459.9</v>
      </c>
      <c r="D32" s="53">
        <v>-459.9</v>
      </c>
      <c r="E32" s="31"/>
      <c r="F32" s="36" t="str">
        <f t="shared" si="0"/>
        <v>280</v>
      </c>
    </row>
    <row r="33" spans="1:6" x14ac:dyDescent="0.25">
      <c r="A33" s="51">
        <v>280330</v>
      </c>
      <c r="B33" s="25" t="s">
        <v>77</v>
      </c>
      <c r="C33" s="33">
        <v>-1166.4000000000001</v>
      </c>
      <c r="D33" s="53">
        <v>-1166.4000000000001</v>
      </c>
      <c r="E33" s="31"/>
      <c r="F33" s="36" t="str">
        <f t="shared" si="0"/>
        <v>280</v>
      </c>
    </row>
    <row r="34" spans="1:6" x14ac:dyDescent="0.25">
      <c r="A34" s="51">
        <v>280500</v>
      </c>
      <c r="B34" s="25" t="s">
        <v>78</v>
      </c>
      <c r="C34" s="33">
        <v>-188</v>
      </c>
      <c r="D34" s="53">
        <v>-188</v>
      </c>
      <c r="E34" s="31"/>
      <c r="F34" s="36" t="str">
        <f t="shared" si="0"/>
        <v>280</v>
      </c>
    </row>
    <row r="35" spans="1:6" x14ac:dyDescent="0.25">
      <c r="A35" s="51">
        <v>281540</v>
      </c>
      <c r="B35" s="25" t="s">
        <v>79</v>
      </c>
      <c r="C35" s="33">
        <v>-28012.78</v>
      </c>
      <c r="D35" s="53">
        <v>-28012.78</v>
      </c>
      <c r="E35" s="31"/>
      <c r="F35" s="36" t="str">
        <f t="shared" si="0"/>
        <v>281</v>
      </c>
    </row>
    <row r="36" spans="1:6" x14ac:dyDescent="0.25">
      <c r="A36" s="51">
        <v>281820</v>
      </c>
      <c r="B36" s="25" t="s">
        <v>80</v>
      </c>
      <c r="C36" s="33">
        <v>-197</v>
      </c>
      <c r="D36" s="53">
        <v>-197</v>
      </c>
      <c r="E36" s="31"/>
      <c r="F36" s="36" t="str">
        <f t="shared" si="0"/>
        <v>281</v>
      </c>
    </row>
    <row r="37" spans="1:6" x14ac:dyDescent="0.25">
      <c r="A37" s="51">
        <v>281830</v>
      </c>
      <c r="B37" s="25" t="s">
        <v>81</v>
      </c>
      <c r="C37" s="33">
        <v>-836.8</v>
      </c>
      <c r="D37" s="53">
        <v>-836.8</v>
      </c>
      <c r="E37" s="31"/>
      <c r="F37" s="36" t="str">
        <f t="shared" si="0"/>
        <v>281</v>
      </c>
    </row>
    <row r="38" spans="1:6" x14ac:dyDescent="0.25">
      <c r="A38" s="51">
        <v>310000</v>
      </c>
      <c r="B38" s="25" t="s">
        <v>82</v>
      </c>
      <c r="C38" s="33">
        <v>0</v>
      </c>
      <c r="D38" s="53">
        <v>14667.82</v>
      </c>
      <c r="E38" s="31"/>
      <c r="F38" s="36" t="str">
        <f t="shared" si="0"/>
        <v>310</v>
      </c>
    </row>
    <row r="39" spans="1:6" x14ac:dyDescent="0.25">
      <c r="A39" s="51">
        <v>317000</v>
      </c>
      <c r="B39" s="25" t="s">
        <v>83</v>
      </c>
      <c r="C39" s="33">
        <v>0</v>
      </c>
      <c r="D39" s="53">
        <v>4023.84</v>
      </c>
      <c r="E39" s="31"/>
      <c r="F39" s="36" t="str">
        <f t="shared" si="0"/>
        <v>317</v>
      </c>
    </row>
    <row r="40" spans="1:6" x14ac:dyDescent="0.25">
      <c r="A40" s="51">
        <v>321000</v>
      </c>
      <c r="B40" s="25" t="s">
        <v>84</v>
      </c>
      <c r="C40" s="33">
        <v>0</v>
      </c>
      <c r="D40" s="53">
        <v>2658.4</v>
      </c>
      <c r="E40" s="31"/>
      <c r="F40" s="36" t="str">
        <f t="shared" si="0"/>
        <v>321</v>
      </c>
    </row>
    <row r="41" spans="1:6" x14ac:dyDescent="0.25">
      <c r="A41" s="51">
        <v>335000</v>
      </c>
      <c r="B41" s="25" t="s">
        <v>85</v>
      </c>
      <c r="C41" s="33">
        <v>0</v>
      </c>
      <c r="D41" s="53">
        <v>24580</v>
      </c>
      <c r="E41" s="31"/>
      <c r="F41" s="36" t="str">
        <f t="shared" si="0"/>
        <v>335</v>
      </c>
    </row>
    <row r="42" spans="1:6" x14ac:dyDescent="0.25">
      <c r="A42" s="51">
        <v>401000</v>
      </c>
      <c r="B42" s="25" t="s">
        <v>86</v>
      </c>
      <c r="C42" s="33">
        <v>-59921.22</v>
      </c>
      <c r="D42" s="53">
        <v>-55259.839999999997</v>
      </c>
      <c r="E42" s="31"/>
      <c r="F42" s="36" t="str">
        <f t="shared" si="0"/>
        <v>401</v>
      </c>
    </row>
    <row r="43" spans="1:6" x14ac:dyDescent="0.25">
      <c r="A43" s="51">
        <v>408100</v>
      </c>
      <c r="B43" s="25" t="s">
        <v>87</v>
      </c>
      <c r="C43" s="33">
        <v>0</v>
      </c>
      <c r="D43" s="53">
        <v>0</v>
      </c>
      <c r="E43" s="31"/>
      <c r="F43" s="36" t="str">
        <f t="shared" si="0"/>
        <v>408</v>
      </c>
    </row>
    <row r="44" spans="1:6" x14ac:dyDescent="0.25">
      <c r="A44" s="51">
        <v>411000</v>
      </c>
      <c r="B44" s="25" t="s">
        <v>88</v>
      </c>
      <c r="C44" s="33">
        <v>156047.76</v>
      </c>
      <c r="D44" s="53">
        <v>6906</v>
      </c>
      <c r="E44" s="31"/>
      <c r="F44" s="36" t="str">
        <f t="shared" si="0"/>
        <v>411</v>
      </c>
    </row>
    <row r="45" spans="1:6" x14ac:dyDescent="0.25">
      <c r="A45" s="51">
        <v>411300</v>
      </c>
      <c r="B45" s="25" t="s">
        <v>211</v>
      </c>
      <c r="C45" s="33">
        <v>-122057.76</v>
      </c>
      <c r="D45" s="53">
        <v>0</v>
      </c>
      <c r="E45" s="31"/>
      <c r="F45" s="36" t="str">
        <f t="shared" si="0"/>
        <v>411</v>
      </c>
    </row>
    <row r="46" spans="1:6" x14ac:dyDescent="0.25">
      <c r="A46" s="51">
        <v>418100</v>
      </c>
      <c r="B46" s="25" t="s">
        <v>212</v>
      </c>
      <c r="C46" s="33">
        <v>0</v>
      </c>
      <c r="D46" s="53">
        <v>0</v>
      </c>
      <c r="E46" s="31"/>
      <c r="F46" s="36" t="str">
        <f t="shared" si="0"/>
        <v>418</v>
      </c>
    </row>
    <row r="47" spans="1:6" x14ac:dyDescent="0.25">
      <c r="A47" s="51">
        <v>419100</v>
      </c>
      <c r="B47" s="25" t="s">
        <v>89</v>
      </c>
      <c r="C47" s="33">
        <v>-47699.1</v>
      </c>
      <c r="D47" s="53">
        <v>-2496</v>
      </c>
      <c r="E47" s="31"/>
      <c r="F47" s="36" t="str">
        <f t="shared" si="0"/>
        <v>419</v>
      </c>
    </row>
    <row r="48" spans="1:6" x14ac:dyDescent="0.25">
      <c r="A48" s="51">
        <v>421100</v>
      </c>
      <c r="B48" s="25" t="s">
        <v>90</v>
      </c>
      <c r="C48" s="33">
        <v>12060.8</v>
      </c>
      <c r="D48" s="53">
        <v>-2607.64</v>
      </c>
      <c r="E48" s="31"/>
      <c r="F48" s="36" t="str">
        <f t="shared" si="0"/>
        <v>421</v>
      </c>
    </row>
    <row r="49" spans="1:7" x14ac:dyDescent="0.25">
      <c r="A49" s="51">
        <v>428200</v>
      </c>
      <c r="B49" s="25" t="s">
        <v>91</v>
      </c>
      <c r="C49" s="33">
        <v>-1232</v>
      </c>
      <c r="D49" s="53">
        <v>-1232</v>
      </c>
      <c r="E49" s="31"/>
      <c r="F49" s="36" t="str">
        <f t="shared" si="0"/>
        <v>428</v>
      </c>
    </row>
    <row r="50" spans="1:7" x14ac:dyDescent="0.25">
      <c r="A50" s="51">
        <v>428600</v>
      </c>
      <c r="B50" s="25" t="s">
        <v>92</v>
      </c>
      <c r="C50" s="33">
        <v>-4484</v>
      </c>
      <c r="D50" s="53">
        <v>-4484</v>
      </c>
      <c r="E50" s="31"/>
      <c r="F50" s="36" t="str">
        <f t="shared" si="0"/>
        <v>428</v>
      </c>
    </row>
    <row r="51" spans="1:7" x14ac:dyDescent="0.25">
      <c r="A51" s="51">
        <v>431000</v>
      </c>
      <c r="B51" s="25" t="s">
        <v>93</v>
      </c>
      <c r="C51" s="33">
        <v>8225.1299999999992</v>
      </c>
      <c r="D51" s="53">
        <v>-4114.91</v>
      </c>
      <c r="E51" s="31"/>
      <c r="F51" s="36" t="str">
        <f t="shared" si="0"/>
        <v>431</v>
      </c>
    </row>
    <row r="52" spans="1:7" x14ac:dyDescent="0.25">
      <c r="A52" s="51">
        <v>437200</v>
      </c>
      <c r="B52" s="25" t="s">
        <v>94</v>
      </c>
      <c r="C52" s="33">
        <v>0</v>
      </c>
      <c r="D52" s="53">
        <v>-1025.56</v>
      </c>
      <c r="E52" s="31"/>
      <c r="F52" s="36" t="str">
        <f t="shared" si="0"/>
        <v>437</v>
      </c>
    </row>
    <row r="53" spans="1:7" x14ac:dyDescent="0.25">
      <c r="A53" s="51">
        <v>437800</v>
      </c>
      <c r="B53" s="25" t="s">
        <v>95</v>
      </c>
      <c r="C53" s="33">
        <v>0</v>
      </c>
      <c r="D53" s="53">
        <v>-128.46</v>
      </c>
      <c r="E53" s="31"/>
      <c r="F53" s="36" t="str">
        <f t="shared" si="0"/>
        <v>437</v>
      </c>
    </row>
    <row r="54" spans="1:7" x14ac:dyDescent="0.25">
      <c r="A54" s="51">
        <v>438200</v>
      </c>
      <c r="B54" s="25" t="s">
        <v>96</v>
      </c>
      <c r="C54" s="33">
        <v>-307</v>
      </c>
      <c r="D54" s="53">
        <v>-307</v>
      </c>
      <c r="E54" s="31"/>
      <c r="F54" s="36" t="str">
        <f t="shared" si="0"/>
        <v>438</v>
      </c>
    </row>
    <row r="55" spans="1:7" x14ac:dyDescent="0.25">
      <c r="A55" s="51">
        <v>444000</v>
      </c>
      <c r="B55" s="25" t="s">
        <v>97</v>
      </c>
      <c r="C55" s="33">
        <v>655</v>
      </c>
      <c r="D55" s="53">
        <v>8521</v>
      </c>
      <c r="E55" s="31"/>
      <c r="F55" s="36" t="str">
        <f t="shared" si="0"/>
        <v>444</v>
      </c>
    </row>
    <row r="56" spans="1:7" x14ac:dyDescent="0.25">
      <c r="A56" s="51">
        <v>445510</v>
      </c>
      <c r="B56" s="25" t="s">
        <v>98</v>
      </c>
      <c r="C56" s="33">
        <v>0</v>
      </c>
      <c r="D56" s="53">
        <v>-2073</v>
      </c>
      <c r="E56" s="31"/>
      <c r="F56" s="36" t="str">
        <f t="shared" si="0"/>
        <v>445</v>
      </c>
    </row>
    <row r="57" spans="1:7" x14ac:dyDescent="0.25">
      <c r="A57" s="51">
        <v>445620</v>
      </c>
      <c r="B57" s="25" t="s">
        <v>99</v>
      </c>
      <c r="C57" s="33">
        <v>0.56000000000000005</v>
      </c>
      <c r="D57" s="53">
        <v>5066.68</v>
      </c>
      <c r="E57" s="31"/>
      <c r="F57" s="36" t="str">
        <f t="shared" si="0"/>
        <v>445</v>
      </c>
    </row>
    <row r="58" spans="1:7" x14ac:dyDescent="0.25">
      <c r="A58" s="51">
        <v>445660</v>
      </c>
      <c r="B58" s="25" t="s">
        <v>100</v>
      </c>
      <c r="C58" s="33">
        <v>4040.98</v>
      </c>
      <c r="D58" s="53">
        <v>215.45</v>
      </c>
      <c r="E58" s="31"/>
      <c r="F58" s="36" t="str">
        <f t="shared" si="0"/>
        <v>445</v>
      </c>
    </row>
    <row r="59" spans="1:7" x14ac:dyDescent="0.25">
      <c r="A59" s="51">
        <v>445670</v>
      </c>
      <c r="B59" s="25" t="s">
        <v>101</v>
      </c>
      <c r="C59" s="33">
        <v>3315</v>
      </c>
      <c r="D59" s="53">
        <v>1798</v>
      </c>
      <c r="E59" s="31"/>
      <c r="F59" s="36" t="str">
        <f t="shared" si="0"/>
        <v>445</v>
      </c>
    </row>
    <row r="60" spans="1:7" x14ac:dyDescent="0.25">
      <c r="A60" s="51">
        <v>445720</v>
      </c>
      <c r="B60" s="25" t="s">
        <v>102</v>
      </c>
      <c r="C60" s="33">
        <v>-23474.67</v>
      </c>
      <c r="D60" s="53">
        <v>-4203.2700000000004</v>
      </c>
      <c r="E60" s="31"/>
      <c r="F60" s="36" t="str">
        <f t="shared" si="0"/>
        <v>445</v>
      </c>
    </row>
    <row r="61" spans="1:7" x14ac:dyDescent="0.25">
      <c r="A61" s="51">
        <v>445730</v>
      </c>
      <c r="B61" s="25" t="s">
        <v>103</v>
      </c>
      <c r="C61" s="33">
        <v>-0.6</v>
      </c>
      <c r="D61" s="53">
        <v>-0.6</v>
      </c>
      <c r="E61" s="31"/>
      <c r="F61" s="36" t="str">
        <f t="shared" si="0"/>
        <v>445</v>
      </c>
    </row>
    <row r="62" spans="1:7" x14ac:dyDescent="0.25">
      <c r="A62" s="51">
        <v>445860</v>
      </c>
      <c r="B62" s="25" t="s">
        <v>104</v>
      </c>
      <c r="C62" s="33">
        <v>0</v>
      </c>
      <c r="D62" s="53">
        <v>0</v>
      </c>
      <c r="E62" s="31"/>
      <c r="F62" s="36" t="str">
        <f t="shared" si="0"/>
        <v>445</v>
      </c>
      <c r="G62" s="34"/>
    </row>
    <row r="63" spans="1:7" x14ac:dyDescent="0.25">
      <c r="A63" s="51">
        <v>448600</v>
      </c>
      <c r="B63" s="25" t="s">
        <v>105</v>
      </c>
      <c r="C63" s="33">
        <v>-504.36</v>
      </c>
      <c r="D63" s="53">
        <v>-418.55</v>
      </c>
      <c r="E63" s="31"/>
      <c r="F63" s="36" t="str">
        <f t="shared" si="0"/>
        <v>448</v>
      </c>
    </row>
    <row r="64" spans="1:7" x14ac:dyDescent="0.25">
      <c r="A64" s="51">
        <v>455000</v>
      </c>
      <c r="B64" s="25" t="s">
        <v>106</v>
      </c>
      <c r="C64" s="33">
        <v>-43948.51</v>
      </c>
      <c r="D64" s="53">
        <v>-2754.31</v>
      </c>
      <c r="E64" s="31"/>
      <c r="F64" s="36" t="str">
        <f t="shared" si="0"/>
        <v>455</v>
      </c>
    </row>
    <row r="65" spans="1:6" x14ac:dyDescent="0.25">
      <c r="A65" s="51">
        <v>455100</v>
      </c>
      <c r="B65" s="25" t="s">
        <v>107</v>
      </c>
      <c r="C65" s="33">
        <v>-321</v>
      </c>
      <c r="D65" s="53">
        <v>-4321</v>
      </c>
      <c r="E65" s="31"/>
      <c r="F65" s="36" t="str">
        <f t="shared" si="0"/>
        <v>455</v>
      </c>
    </row>
    <row r="66" spans="1:6" x14ac:dyDescent="0.25">
      <c r="A66" s="51">
        <v>455200</v>
      </c>
      <c r="B66" s="25" t="s">
        <v>108</v>
      </c>
      <c r="C66" s="33">
        <v>-1398.91</v>
      </c>
      <c r="D66" s="53">
        <v>-1321</v>
      </c>
      <c r="E66" s="31"/>
      <c r="F66" s="36" t="str">
        <f t="shared" si="0"/>
        <v>455</v>
      </c>
    </row>
    <row r="67" spans="1:6" x14ac:dyDescent="0.25">
      <c r="A67" s="51">
        <v>467000</v>
      </c>
      <c r="B67" s="25" t="s">
        <v>109</v>
      </c>
      <c r="C67" s="33">
        <v>2000</v>
      </c>
      <c r="D67" s="53">
        <v>2000</v>
      </c>
      <c r="E67" s="31"/>
      <c r="F67" s="36" t="str">
        <f t="shared" ref="F67:F130" si="1">LEFT(A67,3)</f>
        <v>467</v>
      </c>
    </row>
    <row r="68" spans="1:6" x14ac:dyDescent="0.25">
      <c r="A68" s="51">
        <v>467001</v>
      </c>
      <c r="B68" s="25" t="s">
        <v>213</v>
      </c>
      <c r="C68" s="33">
        <v>12205.77</v>
      </c>
      <c r="D68" s="53">
        <v>0</v>
      </c>
      <c r="E68" s="31"/>
      <c r="F68" s="36" t="str">
        <f t="shared" si="1"/>
        <v>467</v>
      </c>
    </row>
    <row r="69" spans="1:6" x14ac:dyDescent="0.25">
      <c r="A69" s="51">
        <v>467100</v>
      </c>
      <c r="B69" s="25" t="s">
        <v>214</v>
      </c>
      <c r="C69" s="33">
        <v>10303.209999999999</v>
      </c>
      <c r="D69" s="53">
        <v>0</v>
      </c>
      <c r="E69" s="31"/>
      <c r="F69" s="36" t="str">
        <f t="shared" si="1"/>
        <v>467</v>
      </c>
    </row>
    <row r="70" spans="1:6" x14ac:dyDescent="0.25">
      <c r="A70" s="51">
        <v>468700</v>
      </c>
      <c r="B70" s="25" t="s">
        <v>110</v>
      </c>
      <c r="C70" s="33">
        <v>0</v>
      </c>
      <c r="D70" s="53">
        <v>667</v>
      </c>
      <c r="E70" s="31"/>
      <c r="F70" s="36" t="str">
        <f t="shared" si="1"/>
        <v>468</v>
      </c>
    </row>
    <row r="71" spans="1:6" x14ac:dyDescent="0.25">
      <c r="A71" s="51">
        <v>471000</v>
      </c>
      <c r="B71" s="25" t="s">
        <v>215</v>
      </c>
      <c r="C71" s="33">
        <v>1986.46</v>
      </c>
      <c r="D71" s="53">
        <v>0</v>
      </c>
      <c r="E71" s="31"/>
      <c r="F71" s="36" t="str">
        <f t="shared" si="1"/>
        <v>471</v>
      </c>
    </row>
    <row r="72" spans="1:6" x14ac:dyDescent="0.25">
      <c r="A72" s="51">
        <v>486000</v>
      </c>
      <c r="B72" s="25" t="s">
        <v>111</v>
      </c>
      <c r="C72" s="33">
        <v>0</v>
      </c>
      <c r="D72" s="53">
        <v>1000</v>
      </c>
      <c r="E72" s="31"/>
      <c r="F72" s="36" t="str">
        <f t="shared" si="1"/>
        <v>486</v>
      </c>
    </row>
    <row r="73" spans="1:6" x14ac:dyDescent="0.25">
      <c r="A73" s="51">
        <v>486100</v>
      </c>
      <c r="B73" s="25" t="s">
        <v>112</v>
      </c>
      <c r="C73" s="33">
        <v>2937</v>
      </c>
      <c r="D73" s="53">
        <v>2937</v>
      </c>
      <c r="E73" s="31"/>
      <c r="F73" s="36" t="str">
        <f t="shared" si="1"/>
        <v>486</v>
      </c>
    </row>
    <row r="74" spans="1:6" x14ac:dyDescent="0.25">
      <c r="A74" s="51">
        <v>508000</v>
      </c>
      <c r="B74" s="25" t="s">
        <v>113</v>
      </c>
      <c r="C74" s="33">
        <v>661.02</v>
      </c>
      <c r="D74" s="53">
        <v>1006.33</v>
      </c>
      <c r="E74" s="31"/>
      <c r="F74" s="36" t="str">
        <f t="shared" si="1"/>
        <v>508</v>
      </c>
    </row>
    <row r="75" spans="1:6" x14ac:dyDescent="0.25">
      <c r="A75" s="51">
        <v>512000</v>
      </c>
      <c r="B75" s="25" t="s">
        <v>114</v>
      </c>
      <c r="C75" s="33">
        <v>-6573.56</v>
      </c>
      <c r="D75" s="53">
        <v>-7757.71</v>
      </c>
      <c r="E75" s="31"/>
      <c r="F75" s="36" t="str">
        <f t="shared" si="1"/>
        <v>512</v>
      </c>
    </row>
    <row r="76" spans="1:6" x14ac:dyDescent="0.25">
      <c r="A76" s="51">
        <v>512100</v>
      </c>
      <c r="B76" s="25" t="s">
        <v>115</v>
      </c>
      <c r="C76" s="33">
        <v>-10484.290000000001</v>
      </c>
      <c r="D76" s="53">
        <v>-17092.060000000001</v>
      </c>
      <c r="E76" s="31"/>
      <c r="F76" s="36" t="str">
        <f t="shared" si="1"/>
        <v>512</v>
      </c>
    </row>
    <row r="77" spans="1:6" x14ac:dyDescent="0.25">
      <c r="A77" s="51">
        <v>512200</v>
      </c>
      <c r="B77" s="25" t="s">
        <v>116</v>
      </c>
      <c r="C77" s="33">
        <v>1952.59</v>
      </c>
      <c r="D77" s="53">
        <v>2732.37</v>
      </c>
      <c r="E77" s="31"/>
      <c r="F77" s="36" t="str">
        <f t="shared" si="1"/>
        <v>512</v>
      </c>
    </row>
    <row r="78" spans="1:6" x14ac:dyDescent="0.25">
      <c r="A78" s="51">
        <v>512300</v>
      </c>
      <c r="B78" s="25" t="s">
        <v>216</v>
      </c>
      <c r="C78" s="33">
        <v>38094.97</v>
      </c>
      <c r="D78" s="53">
        <v>0</v>
      </c>
      <c r="E78" s="31"/>
      <c r="F78" s="36" t="str">
        <f t="shared" si="1"/>
        <v>512</v>
      </c>
    </row>
    <row r="79" spans="1:6" x14ac:dyDescent="0.25">
      <c r="A79" s="51">
        <v>517100</v>
      </c>
      <c r="B79" s="25" t="s">
        <v>117</v>
      </c>
      <c r="C79" s="33">
        <v>0</v>
      </c>
      <c r="D79" s="53">
        <v>8355.32</v>
      </c>
      <c r="E79" s="31"/>
      <c r="F79" s="36" t="str">
        <f t="shared" si="1"/>
        <v>517</v>
      </c>
    </row>
    <row r="80" spans="1:6" x14ac:dyDescent="0.25">
      <c r="A80" s="51">
        <v>517200</v>
      </c>
      <c r="B80" s="25" t="s">
        <v>217</v>
      </c>
      <c r="C80" s="33">
        <v>-451.1</v>
      </c>
      <c r="D80" s="53">
        <v>0</v>
      </c>
      <c r="E80" s="31"/>
      <c r="F80" s="36" t="str">
        <f t="shared" si="1"/>
        <v>517</v>
      </c>
    </row>
    <row r="81" spans="1:6" x14ac:dyDescent="0.25">
      <c r="A81" s="51">
        <v>580000</v>
      </c>
      <c r="B81" s="25" t="s">
        <v>218</v>
      </c>
      <c r="C81" s="33">
        <v>26800</v>
      </c>
      <c r="D81" s="53">
        <v>0</v>
      </c>
      <c r="E81" s="31"/>
      <c r="F81" s="36" t="str">
        <f t="shared" si="1"/>
        <v>580</v>
      </c>
    </row>
    <row r="82" spans="1:6" x14ac:dyDescent="0.25">
      <c r="A82" s="51">
        <v>580100</v>
      </c>
      <c r="B82" s="25" t="s">
        <v>219</v>
      </c>
      <c r="C82" s="33">
        <v>0</v>
      </c>
      <c r="D82" s="53">
        <v>0</v>
      </c>
      <c r="E82" s="31"/>
      <c r="F82" s="36" t="str">
        <f t="shared" si="1"/>
        <v>580</v>
      </c>
    </row>
    <row r="83" spans="1:6" x14ac:dyDescent="0.25">
      <c r="A83" s="51">
        <v>580200</v>
      </c>
      <c r="B83" s="25" t="s">
        <v>220</v>
      </c>
      <c r="C83" s="33">
        <v>0</v>
      </c>
      <c r="D83" s="53">
        <v>0</v>
      </c>
      <c r="E83" s="31"/>
      <c r="F83" s="36" t="str">
        <f t="shared" si="1"/>
        <v>580</v>
      </c>
    </row>
    <row r="84" spans="1:6" x14ac:dyDescent="0.25">
      <c r="A84" s="51">
        <v>601200</v>
      </c>
      <c r="B84" s="25" t="s">
        <v>118</v>
      </c>
      <c r="C84" s="33">
        <v>0</v>
      </c>
      <c r="D84" s="53">
        <v>314.47000000000003</v>
      </c>
      <c r="E84" s="31"/>
      <c r="F84" s="36" t="str">
        <f t="shared" si="1"/>
        <v>601</v>
      </c>
    </row>
    <row r="85" spans="1:6" x14ac:dyDescent="0.25">
      <c r="A85" s="51">
        <v>601900</v>
      </c>
      <c r="B85" s="25" t="s">
        <v>221</v>
      </c>
      <c r="C85" s="33">
        <v>19.5</v>
      </c>
      <c r="D85" s="53">
        <v>0</v>
      </c>
      <c r="E85" s="31"/>
      <c r="F85" s="36" t="str">
        <f t="shared" si="1"/>
        <v>601</v>
      </c>
    </row>
    <row r="86" spans="1:6" x14ac:dyDescent="0.25">
      <c r="A86" s="51">
        <v>602000</v>
      </c>
      <c r="B86" s="25" t="s">
        <v>119</v>
      </c>
      <c r="C86" s="33">
        <v>28472.86</v>
      </c>
      <c r="D86" s="53">
        <v>13056.07</v>
      </c>
      <c r="E86" s="31"/>
      <c r="F86" s="36" t="str">
        <f t="shared" si="1"/>
        <v>602</v>
      </c>
    </row>
    <row r="87" spans="1:6" x14ac:dyDescent="0.25">
      <c r="A87" s="51">
        <v>602001</v>
      </c>
      <c r="B87" s="25" t="s">
        <v>120</v>
      </c>
      <c r="C87" s="33">
        <v>49038.44</v>
      </c>
      <c r="D87" s="53">
        <v>69491.58</v>
      </c>
      <c r="E87" s="31"/>
      <c r="F87" s="36" t="str">
        <f t="shared" si="1"/>
        <v>602</v>
      </c>
    </row>
    <row r="88" spans="1:6" x14ac:dyDescent="0.25">
      <c r="A88" s="51">
        <v>602002</v>
      </c>
      <c r="B88" s="25" t="s">
        <v>121</v>
      </c>
      <c r="C88" s="33">
        <v>13035.05</v>
      </c>
      <c r="D88" s="53">
        <v>6959.4</v>
      </c>
      <c r="E88" s="31"/>
      <c r="F88" s="36" t="str">
        <f t="shared" si="1"/>
        <v>602</v>
      </c>
    </row>
    <row r="89" spans="1:6" x14ac:dyDescent="0.25">
      <c r="A89" s="51">
        <v>602100</v>
      </c>
      <c r="B89" s="25" t="s">
        <v>122</v>
      </c>
      <c r="C89" s="33">
        <v>13651.06</v>
      </c>
      <c r="D89" s="53">
        <v>1975.72</v>
      </c>
      <c r="E89" s="31"/>
      <c r="F89" s="36" t="str">
        <f t="shared" si="1"/>
        <v>602</v>
      </c>
    </row>
    <row r="90" spans="1:6" x14ac:dyDescent="0.25">
      <c r="A90" s="51">
        <v>602200</v>
      </c>
      <c r="B90" s="25" t="s">
        <v>123</v>
      </c>
      <c r="C90" s="33">
        <v>745.03</v>
      </c>
      <c r="D90" s="53">
        <v>42.3</v>
      </c>
      <c r="E90" s="31"/>
      <c r="F90" s="36" t="str">
        <f t="shared" si="1"/>
        <v>602</v>
      </c>
    </row>
    <row r="91" spans="1:6" x14ac:dyDescent="0.25">
      <c r="A91" s="51">
        <v>603100</v>
      </c>
      <c r="B91" s="25" t="s">
        <v>124</v>
      </c>
      <c r="C91" s="33">
        <v>4023.84</v>
      </c>
      <c r="D91" s="53">
        <v>3556.16</v>
      </c>
      <c r="E91" s="31"/>
      <c r="F91" s="36" t="str">
        <f t="shared" si="1"/>
        <v>603</v>
      </c>
    </row>
    <row r="92" spans="1:6" x14ac:dyDescent="0.25">
      <c r="A92" s="51">
        <v>603110</v>
      </c>
      <c r="B92" s="25" t="s">
        <v>125</v>
      </c>
      <c r="C92" s="33">
        <v>17326.22</v>
      </c>
      <c r="D92" s="53">
        <v>1111.78</v>
      </c>
      <c r="E92" s="31"/>
      <c r="F92" s="36" t="str">
        <f t="shared" si="1"/>
        <v>603</v>
      </c>
    </row>
    <row r="93" spans="1:6" x14ac:dyDescent="0.25">
      <c r="A93" s="51">
        <v>604000</v>
      </c>
      <c r="B93" s="25" t="s">
        <v>222</v>
      </c>
      <c r="C93" s="33">
        <v>6202.51</v>
      </c>
      <c r="D93" s="53">
        <v>0</v>
      </c>
      <c r="E93" s="31"/>
      <c r="F93" s="36" t="str">
        <f t="shared" si="1"/>
        <v>604</v>
      </c>
    </row>
    <row r="94" spans="1:6" x14ac:dyDescent="0.25">
      <c r="A94" s="51">
        <v>604100</v>
      </c>
      <c r="B94" s="25" t="s">
        <v>126</v>
      </c>
      <c r="C94" s="33">
        <v>6764.16</v>
      </c>
      <c r="D94" s="53">
        <v>0</v>
      </c>
      <c r="E94" s="31"/>
      <c r="F94" s="36" t="str">
        <f t="shared" si="1"/>
        <v>604</v>
      </c>
    </row>
    <row r="95" spans="1:6" x14ac:dyDescent="0.25">
      <c r="A95" s="51">
        <v>604101</v>
      </c>
      <c r="B95" s="25" t="s">
        <v>127</v>
      </c>
      <c r="C95" s="33">
        <v>5615.31</v>
      </c>
      <c r="D95" s="53">
        <v>8062.2</v>
      </c>
      <c r="E95" s="31"/>
      <c r="F95" s="36" t="str">
        <f t="shared" si="1"/>
        <v>604</v>
      </c>
    </row>
    <row r="96" spans="1:6" x14ac:dyDescent="0.25">
      <c r="A96" s="51">
        <v>604102</v>
      </c>
      <c r="B96" s="25" t="s">
        <v>128</v>
      </c>
      <c r="C96" s="33">
        <v>789.43</v>
      </c>
      <c r="D96" s="53">
        <v>3864.31</v>
      </c>
      <c r="E96" s="31"/>
      <c r="F96" s="36" t="str">
        <f t="shared" si="1"/>
        <v>604</v>
      </c>
    </row>
    <row r="97" spans="1:6" x14ac:dyDescent="0.25">
      <c r="A97" s="51">
        <v>606100</v>
      </c>
      <c r="B97" s="25" t="s">
        <v>129</v>
      </c>
      <c r="C97" s="33">
        <v>1716.6</v>
      </c>
      <c r="D97" s="53">
        <v>1402.76</v>
      </c>
      <c r="E97" s="31"/>
      <c r="F97" s="36" t="str">
        <f t="shared" si="1"/>
        <v>606</v>
      </c>
    </row>
    <row r="98" spans="1:6" x14ac:dyDescent="0.25">
      <c r="A98" s="51">
        <v>606110</v>
      </c>
      <c r="B98" s="25" t="s">
        <v>223</v>
      </c>
      <c r="C98" s="33">
        <v>180.13</v>
      </c>
      <c r="D98" s="53">
        <v>0</v>
      </c>
      <c r="E98" s="31"/>
      <c r="F98" s="36" t="str">
        <f t="shared" si="1"/>
        <v>606</v>
      </c>
    </row>
    <row r="99" spans="1:6" x14ac:dyDescent="0.25">
      <c r="A99" s="51">
        <v>606120</v>
      </c>
      <c r="B99" s="25" t="s">
        <v>130</v>
      </c>
      <c r="C99" s="33">
        <v>1866.68</v>
      </c>
      <c r="D99" s="53">
        <v>2314.58</v>
      </c>
      <c r="E99" s="31"/>
      <c r="F99" s="36" t="str">
        <f t="shared" si="1"/>
        <v>606</v>
      </c>
    </row>
    <row r="100" spans="1:6" x14ac:dyDescent="0.25">
      <c r="A100" s="51">
        <v>606140</v>
      </c>
      <c r="B100" s="25" t="s">
        <v>131</v>
      </c>
      <c r="C100" s="33">
        <v>5730.81</v>
      </c>
      <c r="D100" s="53">
        <v>4889.37</v>
      </c>
      <c r="E100" s="31"/>
      <c r="F100" s="36" t="str">
        <f t="shared" si="1"/>
        <v>606</v>
      </c>
    </row>
    <row r="101" spans="1:6" x14ac:dyDescent="0.25">
      <c r="A101" s="51">
        <v>606300</v>
      </c>
      <c r="B101" s="25" t="s">
        <v>132</v>
      </c>
      <c r="C101" s="33">
        <v>4638.66</v>
      </c>
      <c r="D101" s="53">
        <v>4041.82</v>
      </c>
      <c r="E101" s="31"/>
      <c r="F101" s="36" t="str">
        <f t="shared" si="1"/>
        <v>606</v>
      </c>
    </row>
    <row r="102" spans="1:6" x14ac:dyDescent="0.25">
      <c r="A102" s="51">
        <v>606310</v>
      </c>
      <c r="B102" s="25" t="s">
        <v>133</v>
      </c>
      <c r="C102" s="33">
        <v>0</v>
      </c>
      <c r="D102" s="53">
        <v>25.9</v>
      </c>
      <c r="E102" s="31"/>
      <c r="F102" s="36" t="str">
        <f t="shared" si="1"/>
        <v>606</v>
      </c>
    </row>
    <row r="103" spans="1:6" x14ac:dyDescent="0.25">
      <c r="A103" s="51">
        <v>606400</v>
      </c>
      <c r="B103" s="25" t="s">
        <v>134</v>
      </c>
      <c r="C103" s="33">
        <v>1227.22</v>
      </c>
      <c r="D103" s="53">
        <v>697.53</v>
      </c>
      <c r="E103" s="31"/>
      <c r="F103" s="36" t="str">
        <f t="shared" si="1"/>
        <v>606</v>
      </c>
    </row>
    <row r="104" spans="1:6" x14ac:dyDescent="0.25">
      <c r="A104" s="51">
        <v>606800</v>
      </c>
      <c r="B104" s="25" t="s">
        <v>135</v>
      </c>
      <c r="C104" s="33">
        <v>0</v>
      </c>
      <c r="D104" s="53">
        <v>122.3</v>
      </c>
      <c r="E104" s="31"/>
      <c r="F104" s="36" t="str">
        <f t="shared" si="1"/>
        <v>606</v>
      </c>
    </row>
    <row r="105" spans="1:6" x14ac:dyDescent="0.25">
      <c r="A105" s="51">
        <v>612201</v>
      </c>
      <c r="B105" s="25" t="s">
        <v>136</v>
      </c>
      <c r="C105" s="33">
        <v>3905.37</v>
      </c>
      <c r="D105" s="53">
        <v>3841.59</v>
      </c>
      <c r="E105" s="31"/>
      <c r="F105" s="36" t="str">
        <f t="shared" si="1"/>
        <v>612</v>
      </c>
    </row>
    <row r="106" spans="1:6" x14ac:dyDescent="0.25">
      <c r="A106" s="51">
        <v>612220</v>
      </c>
      <c r="B106" s="25" t="s">
        <v>224</v>
      </c>
      <c r="C106" s="33">
        <v>1572.9</v>
      </c>
      <c r="D106" s="53">
        <v>0</v>
      </c>
      <c r="E106" s="31"/>
      <c r="F106" s="36" t="str">
        <f t="shared" si="1"/>
        <v>612</v>
      </c>
    </row>
    <row r="107" spans="1:6" x14ac:dyDescent="0.25">
      <c r="A107" s="51">
        <v>613000</v>
      </c>
      <c r="B107" s="25" t="s">
        <v>137</v>
      </c>
      <c r="C107" s="33">
        <v>0</v>
      </c>
      <c r="D107" s="53">
        <v>568.79999999999995</v>
      </c>
      <c r="E107" s="31"/>
      <c r="F107" s="36" t="str">
        <f t="shared" si="1"/>
        <v>613</v>
      </c>
    </row>
    <row r="108" spans="1:6" x14ac:dyDescent="0.25">
      <c r="A108" s="51">
        <v>613200</v>
      </c>
      <c r="B108" s="25" t="s">
        <v>138</v>
      </c>
      <c r="C108" s="33">
        <v>16230</v>
      </c>
      <c r="D108" s="53">
        <v>10890</v>
      </c>
      <c r="E108" s="31"/>
      <c r="F108" s="36" t="str">
        <f t="shared" si="1"/>
        <v>613</v>
      </c>
    </row>
    <row r="109" spans="1:6" x14ac:dyDescent="0.25">
      <c r="A109" s="51">
        <v>613500</v>
      </c>
      <c r="B109" s="25" t="s">
        <v>139</v>
      </c>
      <c r="C109" s="33">
        <v>0</v>
      </c>
      <c r="D109" s="53">
        <v>2707.66</v>
      </c>
      <c r="E109" s="31"/>
      <c r="F109" s="36" t="str">
        <f t="shared" si="1"/>
        <v>613</v>
      </c>
    </row>
    <row r="110" spans="1:6" x14ac:dyDescent="0.25">
      <c r="A110" s="51">
        <v>613510</v>
      </c>
      <c r="B110" s="25" t="s">
        <v>225</v>
      </c>
      <c r="C110" s="33">
        <v>4149.9799999999996</v>
      </c>
      <c r="D110" s="53">
        <v>0</v>
      </c>
      <c r="E110" s="31"/>
      <c r="F110" s="36" t="str">
        <f t="shared" si="1"/>
        <v>613</v>
      </c>
    </row>
    <row r="111" spans="1:6" x14ac:dyDescent="0.25">
      <c r="A111" s="51">
        <v>613520</v>
      </c>
      <c r="B111" s="25" t="s">
        <v>140</v>
      </c>
      <c r="C111" s="33">
        <v>1791.94</v>
      </c>
      <c r="D111" s="53">
        <v>382.5</v>
      </c>
      <c r="E111" s="31"/>
      <c r="F111" s="36" t="str">
        <f t="shared" si="1"/>
        <v>613</v>
      </c>
    </row>
    <row r="112" spans="1:6" x14ac:dyDescent="0.25">
      <c r="A112" s="51">
        <v>613530</v>
      </c>
      <c r="B112" s="25" t="s">
        <v>141</v>
      </c>
      <c r="C112" s="33">
        <v>0</v>
      </c>
      <c r="D112" s="53">
        <v>563.33000000000004</v>
      </c>
      <c r="E112" s="31"/>
      <c r="F112" s="36" t="str">
        <f t="shared" si="1"/>
        <v>613</v>
      </c>
    </row>
    <row r="113" spans="1:6" x14ac:dyDescent="0.25">
      <c r="A113" s="51">
        <v>613560</v>
      </c>
      <c r="B113" s="25" t="s">
        <v>142</v>
      </c>
      <c r="C113" s="33">
        <v>0</v>
      </c>
      <c r="D113" s="53">
        <v>480</v>
      </c>
      <c r="E113" s="31"/>
      <c r="F113" s="36" t="str">
        <f t="shared" si="1"/>
        <v>613</v>
      </c>
    </row>
    <row r="114" spans="1:6" x14ac:dyDescent="0.25">
      <c r="A114" s="51">
        <v>614000</v>
      </c>
      <c r="B114" s="25" t="s">
        <v>143</v>
      </c>
      <c r="C114" s="33">
        <v>3000</v>
      </c>
      <c r="D114" s="53">
        <v>457.17</v>
      </c>
      <c r="E114" s="31"/>
      <c r="F114" s="36" t="str">
        <f t="shared" si="1"/>
        <v>614</v>
      </c>
    </row>
    <row r="115" spans="1:6" x14ac:dyDescent="0.25">
      <c r="A115" s="51">
        <v>615000</v>
      </c>
      <c r="B115" s="25" t="s">
        <v>144</v>
      </c>
      <c r="C115" s="33">
        <v>776.73</v>
      </c>
      <c r="D115" s="53">
        <v>60</v>
      </c>
      <c r="E115" s="31"/>
      <c r="F115" s="36" t="str">
        <f t="shared" si="1"/>
        <v>615</v>
      </c>
    </row>
    <row r="116" spans="1:6" x14ac:dyDescent="0.25">
      <c r="A116" s="51">
        <v>615500</v>
      </c>
      <c r="B116" s="25" t="s">
        <v>145</v>
      </c>
      <c r="C116" s="33">
        <v>0</v>
      </c>
      <c r="D116" s="53">
        <v>20.28</v>
      </c>
      <c r="E116" s="31"/>
      <c r="F116" s="36" t="str">
        <f t="shared" si="1"/>
        <v>615</v>
      </c>
    </row>
    <row r="117" spans="1:6" x14ac:dyDescent="0.25">
      <c r="A117" s="51">
        <v>615510</v>
      </c>
      <c r="B117" s="25" t="s">
        <v>146</v>
      </c>
      <c r="C117" s="33">
        <v>424.48</v>
      </c>
      <c r="D117" s="53">
        <v>1462.07</v>
      </c>
      <c r="E117" s="31"/>
      <c r="F117" s="36" t="str">
        <f t="shared" si="1"/>
        <v>615</v>
      </c>
    </row>
    <row r="118" spans="1:6" x14ac:dyDescent="0.25">
      <c r="A118" s="51">
        <v>615600</v>
      </c>
      <c r="B118" s="25" t="s">
        <v>147</v>
      </c>
      <c r="C118" s="33">
        <v>564</v>
      </c>
      <c r="D118" s="53">
        <v>460.26</v>
      </c>
      <c r="E118" s="31"/>
      <c r="F118" s="36" t="str">
        <f t="shared" si="1"/>
        <v>615</v>
      </c>
    </row>
    <row r="119" spans="1:6" x14ac:dyDescent="0.25">
      <c r="A119" s="51">
        <v>616000</v>
      </c>
      <c r="B119" s="25" t="s">
        <v>148</v>
      </c>
      <c r="C119" s="33">
        <v>3395.7</v>
      </c>
      <c r="D119" s="53">
        <v>2349.3200000000002</v>
      </c>
      <c r="E119" s="31"/>
      <c r="F119" s="36" t="str">
        <f t="shared" si="1"/>
        <v>616</v>
      </c>
    </row>
    <row r="120" spans="1:6" x14ac:dyDescent="0.25">
      <c r="A120" s="51">
        <v>616100</v>
      </c>
      <c r="B120" s="25" t="s">
        <v>149</v>
      </c>
      <c r="C120" s="33">
        <v>103.99</v>
      </c>
      <c r="D120" s="53">
        <v>75.31</v>
      </c>
      <c r="E120" s="31"/>
      <c r="F120" s="36" t="str">
        <f t="shared" si="1"/>
        <v>616</v>
      </c>
    </row>
    <row r="121" spans="1:6" x14ac:dyDescent="0.25">
      <c r="A121" s="51">
        <v>618100</v>
      </c>
      <c r="B121" s="25" t="s">
        <v>150</v>
      </c>
      <c r="C121" s="33">
        <v>26.55</v>
      </c>
      <c r="D121" s="53">
        <v>127.46</v>
      </c>
      <c r="E121" s="31"/>
      <c r="F121" s="36" t="str">
        <f t="shared" si="1"/>
        <v>618</v>
      </c>
    </row>
    <row r="122" spans="1:6" x14ac:dyDescent="0.25">
      <c r="A122" s="51">
        <v>618500</v>
      </c>
      <c r="B122" s="25" t="s">
        <v>151</v>
      </c>
      <c r="C122" s="33">
        <v>2635</v>
      </c>
      <c r="D122" s="53">
        <v>3600</v>
      </c>
      <c r="E122" s="31"/>
      <c r="F122" s="36" t="str">
        <f t="shared" si="1"/>
        <v>618</v>
      </c>
    </row>
    <row r="123" spans="1:6" x14ac:dyDescent="0.25">
      <c r="A123" s="51">
        <v>621100</v>
      </c>
      <c r="B123" s="25" t="s">
        <v>152</v>
      </c>
      <c r="C123" s="33">
        <v>6417.36</v>
      </c>
      <c r="D123" s="53">
        <v>0</v>
      </c>
      <c r="E123" s="31"/>
      <c r="F123" s="36" t="str">
        <f t="shared" si="1"/>
        <v>621</v>
      </c>
    </row>
    <row r="124" spans="1:6" x14ac:dyDescent="0.25">
      <c r="A124" s="51">
        <v>622600</v>
      </c>
      <c r="B124" s="25" t="s">
        <v>153</v>
      </c>
      <c r="C124" s="33">
        <v>10193.51</v>
      </c>
      <c r="D124" s="53">
        <v>18152.25</v>
      </c>
      <c r="E124" s="31"/>
      <c r="F124" s="36" t="str">
        <f t="shared" si="1"/>
        <v>622</v>
      </c>
    </row>
    <row r="125" spans="1:6" x14ac:dyDescent="0.25">
      <c r="A125" s="51">
        <v>622610</v>
      </c>
      <c r="B125" s="25" t="s">
        <v>154</v>
      </c>
      <c r="C125" s="33">
        <v>1350</v>
      </c>
      <c r="D125" s="53">
        <v>560</v>
      </c>
      <c r="E125" s="31"/>
      <c r="F125" s="36" t="str">
        <f t="shared" si="1"/>
        <v>622</v>
      </c>
    </row>
    <row r="126" spans="1:6" x14ac:dyDescent="0.25">
      <c r="A126" s="51">
        <v>622700</v>
      </c>
      <c r="B126" s="25" t="s">
        <v>155</v>
      </c>
      <c r="C126" s="33">
        <v>940.93</v>
      </c>
      <c r="D126" s="53">
        <v>65.739999999999995</v>
      </c>
      <c r="E126" s="31"/>
      <c r="F126" s="36" t="str">
        <f t="shared" si="1"/>
        <v>622</v>
      </c>
    </row>
    <row r="127" spans="1:6" x14ac:dyDescent="0.25">
      <c r="A127" s="51">
        <v>623000</v>
      </c>
      <c r="B127" s="25" t="s">
        <v>156</v>
      </c>
      <c r="C127" s="33">
        <v>1002</v>
      </c>
      <c r="D127" s="53">
        <v>1271.06</v>
      </c>
      <c r="E127" s="32"/>
      <c r="F127" s="36" t="str">
        <f t="shared" si="1"/>
        <v>623</v>
      </c>
    </row>
    <row r="128" spans="1:6" x14ac:dyDescent="0.25">
      <c r="A128" s="51">
        <v>623400</v>
      </c>
      <c r="B128" s="25" t="s">
        <v>157</v>
      </c>
      <c r="C128" s="33">
        <v>0</v>
      </c>
      <c r="D128" s="53">
        <v>64.45</v>
      </c>
      <c r="E128" s="31"/>
      <c r="F128" s="36" t="str">
        <f t="shared" si="1"/>
        <v>623</v>
      </c>
    </row>
    <row r="129" spans="1:6" x14ac:dyDescent="0.25">
      <c r="A129" s="51">
        <v>624100</v>
      </c>
      <c r="B129" s="25" t="s">
        <v>158</v>
      </c>
      <c r="C129" s="33">
        <v>395</v>
      </c>
      <c r="D129" s="53">
        <v>100</v>
      </c>
      <c r="E129" s="31"/>
      <c r="F129" s="36" t="str">
        <f t="shared" si="1"/>
        <v>624</v>
      </c>
    </row>
    <row r="130" spans="1:6" x14ac:dyDescent="0.25">
      <c r="A130" s="51">
        <v>625100</v>
      </c>
      <c r="B130" s="25" t="s">
        <v>159</v>
      </c>
      <c r="C130" s="33">
        <v>3793.37</v>
      </c>
      <c r="D130" s="53">
        <v>6009.23</v>
      </c>
      <c r="E130" s="31"/>
      <c r="F130" s="36" t="str">
        <f t="shared" si="1"/>
        <v>625</v>
      </c>
    </row>
    <row r="131" spans="1:6" x14ac:dyDescent="0.25">
      <c r="A131" s="51">
        <v>625700</v>
      </c>
      <c r="B131" s="25" t="s">
        <v>160</v>
      </c>
      <c r="C131" s="33">
        <v>3017.2</v>
      </c>
      <c r="D131" s="53">
        <v>2484.9299999999998</v>
      </c>
      <c r="E131" s="31"/>
      <c r="F131" s="36" t="str">
        <f t="shared" ref="F131:F177" si="2">LEFT(A131,3)</f>
        <v>625</v>
      </c>
    </row>
    <row r="132" spans="1:6" x14ac:dyDescent="0.25">
      <c r="A132" s="51">
        <v>626100</v>
      </c>
      <c r="B132" s="25" t="s">
        <v>161</v>
      </c>
      <c r="C132" s="33">
        <v>316.55</v>
      </c>
      <c r="D132" s="53">
        <v>152.5</v>
      </c>
      <c r="E132" s="31"/>
      <c r="F132" s="36" t="str">
        <f t="shared" si="2"/>
        <v>626</v>
      </c>
    </row>
    <row r="133" spans="1:6" x14ac:dyDescent="0.25">
      <c r="A133" s="51">
        <v>626200</v>
      </c>
      <c r="B133" s="25" t="s">
        <v>162</v>
      </c>
      <c r="C133" s="33">
        <v>1429.89</v>
      </c>
      <c r="D133" s="53">
        <v>1095.5899999999999</v>
      </c>
      <c r="E133" s="31"/>
      <c r="F133" s="36" t="str">
        <f t="shared" si="2"/>
        <v>626</v>
      </c>
    </row>
    <row r="134" spans="1:6" x14ac:dyDescent="0.25">
      <c r="A134" s="51">
        <v>627200</v>
      </c>
      <c r="B134" s="25" t="s">
        <v>163</v>
      </c>
      <c r="C134" s="33">
        <v>0</v>
      </c>
      <c r="D134" s="53">
        <v>1587.91</v>
      </c>
      <c r="E134" s="31"/>
      <c r="F134" s="36" t="str">
        <f t="shared" si="2"/>
        <v>627</v>
      </c>
    </row>
    <row r="135" spans="1:6" x14ac:dyDescent="0.25">
      <c r="A135" s="51">
        <v>627800</v>
      </c>
      <c r="B135" s="25" t="s">
        <v>164</v>
      </c>
      <c r="C135" s="33">
        <v>3153.08</v>
      </c>
      <c r="D135" s="53">
        <v>5548.69</v>
      </c>
      <c r="E135" s="31"/>
      <c r="F135" s="36" t="str">
        <f t="shared" si="2"/>
        <v>627</v>
      </c>
    </row>
    <row r="136" spans="1:6" x14ac:dyDescent="0.25">
      <c r="A136" s="51">
        <v>627810</v>
      </c>
      <c r="B136" s="25" t="s">
        <v>165</v>
      </c>
      <c r="C136" s="33">
        <v>6539.24</v>
      </c>
      <c r="D136" s="53">
        <v>2835.89</v>
      </c>
      <c r="E136" s="31"/>
      <c r="F136" s="36" t="str">
        <f t="shared" si="2"/>
        <v>627</v>
      </c>
    </row>
    <row r="137" spans="1:6" x14ac:dyDescent="0.25">
      <c r="A137" s="51">
        <v>628100</v>
      </c>
      <c r="B137" s="25" t="s">
        <v>166</v>
      </c>
      <c r="C137" s="33">
        <v>0</v>
      </c>
      <c r="D137" s="53">
        <v>800</v>
      </c>
      <c r="E137" s="31"/>
      <c r="F137" s="36" t="str">
        <f t="shared" si="2"/>
        <v>628</v>
      </c>
    </row>
    <row r="138" spans="1:6" x14ac:dyDescent="0.25">
      <c r="A138" s="51">
        <v>633300</v>
      </c>
      <c r="B138" s="25" t="s">
        <v>167</v>
      </c>
      <c r="C138" s="33">
        <v>271.02999999999997</v>
      </c>
      <c r="D138" s="53">
        <v>187.55</v>
      </c>
      <c r="E138" s="31"/>
      <c r="F138" s="36" t="str">
        <f t="shared" si="2"/>
        <v>633</v>
      </c>
    </row>
    <row r="139" spans="1:6" x14ac:dyDescent="0.25">
      <c r="A139" s="51">
        <v>633500</v>
      </c>
      <c r="B139" s="25" t="s">
        <v>168</v>
      </c>
      <c r="C139" s="33">
        <v>269.17</v>
      </c>
      <c r="D139" s="53">
        <v>254.19</v>
      </c>
      <c r="E139" s="31"/>
      <c r="F139" s="36" t="str">
        <f t="shared" si="2"/>
        <v>633</v>
      </c>
    </row>
    <row r="140" spans="1:6" x14ac:dyDescent="0.25">
      <c r="A140" s="51">
        <v>635110</v>
      </c>
      <c r="B140" s="25" t="s">
        <v>169</v>
      </c>
      <c r="C140" s="33">
        <v>160</v>
      </c>
      <c r="D140" s="53">
        <v>1476</v>
      </c>
      <c r="E140" s="31"/>
      <c r="F140" s="36" t="str">
        <f t="shared" si="2"/>
        <v>635</v>
      </c>
    </row>
    <row r="141" spans="1:6" x14ac:dyDescent="0.25">
      <c r="A141" s="51">
        <v>635120</v>
      </c>
      <c r="B141" s="25" t="s">
        <v>170</v>
      </c>
      <c r="C141" s="33">
        <v>0</v>
      </c>
      <c r="D141" s="53">
        <v>1600</v>
      </c>
      <c r="E141" s="31"/>
      <c r="F141" s="36" t="str">
        <f t="shared" si="2"/>
        <v>635</v>
      </c>
    </row>
    <row r="142" spans="1:6" x14ac:dyDescent="0.25">
      <c r="A142" s="51">
        <v>635300</v>
      </c>
      <c r="B142" s="25" t="s">
        <v>226</v>
      </c>
      <c r="C142" s="33">
        <v>0</v>
      </c>
      <c r="D142" s="53">
        <v>0</v>
      </c>
      <c r="E142" s="31"/>
      <c r="F142" s="36" t="str">
        <f t="shared" si="2"/>
        <v>635</v>
      </c>
    </row>
    <row r="143" spans="1:6" x14ac:dyDescent="0.25">
      <c r="A143" s="51">
        <v>635800</v>
      </c>
      <c r="B143" s="25" t="s">
        <v>171</v>
      </c>
      <c r="C143" s="33">
        <v>0</v>
      </c>
      <c r="D143" s="53">
        <v>273</v>
      </c>
      <c r="E143" s="31"/>
      <c r="F143" s="36" t="str">
        <f t="shared" si="2"/>
        <v>635</v>
      </c>
    </row>
    <row r="144" spans="1:6" x14ac:dyDescent="0.25">
      <c r="A144" s="51">
        <v>641000</v>
      </c>
      <c r="B144" s="25" t="s">
        <v>227</v>
      </c>
      <c r="C144" s="33">
        <v>8050</v>
      </c>
      <c r="D144" s="53">
        <v>0</v>
      </c>
      <c r="E144" s="31"/>
      <c r="F144" s="36" t="str">
        <f t="shared" si="2"/>
        <v>641</v>
      </c>
    </row>
    <row r="145" spans="1:6" x14ac:dyDescent="0.25">
      <c r="A145" s="51">
        <v>641100</v>
      </c>
      <c r="B145" s="25" t="s">
        <v>172</v>
      </c>
      <c r="C145" s="33">
        <v>38337.97</v>
      </c>
      <c r="D145" s="53">
        <v>34561.949999999997</v>
      </c>
      <c r="E145" s="31"/>
      <c r="F145" s="36" t="str">
        <f t="shared" si="2"/>
        <v>641</v>
      </c>
    </row>
    <row r="146" spans="1:6" x14ac:dyDescent="0.25">
      <c r="A146" s="51">
        <v>641150</v>
      </c>
      <c r="B146" s="25" t="s">
        <v>173</v>
      </c>
      <c r="C146" s="33">
        <v>-15800</v>
      </c>
      <c r="D146" s="53">
        <v>21900</v>
      </c>
      <c r="E146" s="31"/>
      <c r="F146" s="36" t="str">
        <f t="shared" si="2"/>
        <v>641</v>
      </c>
    </row>
    <row r="147" spans="1:6" x14ac:dyDescent="0.25">
      <c r="A147" s="51">
        <v>641200</v>
      </c>
      <c r="B147" s="25" t="s">
        <v>174</v>
      </c>
      <c r="C147" s="33">
        <v>1248.6199999999999</v>
      </c>
      <c r="D147" s="53">
        <v>993.44</v>
      </c>
      <c r="E147" s="31"/>
      <c r="F147" s="36" t="str">
        <f t="shared" si="2"/>
        <v>641</v>
      </c>
    </row>
    <row r="148" spans="1:6" x14ac:dyDescent="0.25">
      <c r="A148" s="51">
        <v>641400</v>
      </c>
      <c r="B148" s="25" t="s">
        <v>228</v>
      </c>
      <c r="C148" s="33">
        <v>40.56</v>
      </c>
      <c r="D148" s="53">
        <v>0</v>
      </c>
      <c r="E148" s="31"/>
      <c r="F148" s="36" t="str">
        <f t="shared" si="2"/>
        <v>641</v>
      </c>
    </row>
    <row r="149" spans="1:6" x14ac:dyDescent="0.25">
      <c r="A149" s="51">
        <v>641500</v>
      </c>
      <c r="B149" s="25" t="s">
        <v>175</v>
      </c>
      <c r="C149" s="33">
        <v>637.26</v>
      </c>
      <c r="D149" s="53">
        <v>629.64</v>
      </c>
      <c r="E149" s="31"/>
      <c r="F149" s="36" t="str">
        <f t="shared" si="2"/>
        <v>641</v>
      </c>
    </row>
    <row r="150" spans="1:6" x14ac:dyDescent="0.25">
      <c r="A150" s="51">
        <v>641510</v>
      </c>
      <c r="B150" s="25" t="s">
        <v>180</v>
      </c>
      <c r="C150" s="33">
        <v>844.92</v>
      </c>
      <c r="D150" s="53">
        <v>0</v>
      </c>
      <c r="E150" s="31"/>
      <c r="F150" s="36" t="str">
        <f t="shared" si="2"/>
        <v>641</v>
      </c>
    </row>
    <row r="151" spans="1:6" x14ac:dyDescent="0.25">
      <c r="A151" s="51">
        <v>641600</v>
      </c>
      <c r="B151" s="25" t="s">
        <v>176</v>
      </c>
      <c r="C151" s="33">
        <v>11380.8</v>
      </c>
      <c r="D151" s="53">
        <v>11539.4</v>
      </c>
      <c r="E151" s="31"/>
      <c r="F151" s="36" t="str">
        <f t="shared" si="2"/>
        <v>641</v>
      </c>
    </row>
    <row r="152" spans="1:6" x14ac:dyDescent="0.25">
      <c r="A152" s="51">
        <v>645100</v>
      </c>
      <c r="B152" s="25" t="s">
        <v>177</v>
      </c>
      <c r="C152" s="33">
        <v>11103.98</v>
      </c>
      <c r="D152" s="53">
        <v>6011.62</v>
      </c>
      <c r="E152" s="31"/>
      <c r="F152" s="36" t="str">
        <f t="shared" si="2"/>
        <v>645</v>
      </c>
    </row>
    <row r="153" spans="1:6" x14ac:dyDescent="0.25">
      <c r="A153" s="51">
        <v>645320</v>
      </c>
      <c r="B153" s="25" t="s">
        <v>178</v>
      </c>
      <c r="C153" s="33">
        <v>2315.83</v>
      </c>
      <c r="D153" s="53">
        <v>1983.74</v>
      </c>
      <c r="E153" s="31"/>
      <c r="F153" s="36" t="str">
        <f t="shared" si="2"/>
        <v>645</v>
      </c>
    </row>
    <row r="154" spans="1:6" x14ac:dyDescent="0.25">
      <c r="A154" s="51">
        <v>645330</v>
      </c>
      <c r="B154" s="25" t="s">
        <v>179</v>
      </c>
      <c r="C154" s="33">
        <v>318.14999999999998</v>
      </c>
      <c r="D154" s="53">
        <v>171.28</v>
      </c>
      <c r="E154" s="31"/>
      <c r="F154" s="36" t="str">
        <f t="shared" si="2"/>
        <v>645</v>
      </c>
    </row>
    <row r="155" spans="1:6" x14ac:dyDescent="0.25">
      <c r="A155" s="51">
        <v>646900</v>
      </c>
      <c r="B155" s="25" t="s">
        <v>180</v>
      </c>
      <c r="C155" s="33">
        <v>0</v>
      </c>
      <c r="D155" s="53">
        <v>1258.5</v>
      </c>
      <c r="E155" s="31"/>
      <c r="F155" s="36" t="str">
        <f t="shared" si="2"/>
        <v>646</v>
      </c>
    </row>
    <row r="156" spans="1:6" x14ac:dyDescent="0.25">
      <c r="A156" s="51">
        <v>647500</v>
      </c>
      <c r="B156" s="25" t="s">
        <v>181</v>
      </c>
      <c r="C156" s="33">
        <v>589.05999999999995</v>
      </c>
      <c r="D156" s="53">
        <v>114</v>
      </c>
      <c r="E156" s="31"/>
      <c r="F156" s="36" t="str">
        <f t="shared" si="2"/>
        <v>647</v>
      </c>
    </row>
    <row r="157" spans="1:6" x14ac:dyDescent="0.25">
      <c r="A157" s="51">
        <v>649000</v>
      </c>
      <c r="B157" s="25" t="s">
        <v>182</v>
      </c>
      <c r="C157" s="33">
        <v>0</v>
      </c>
      <c r="D157" s="53">
        <v>-2373</v>
      </c>
      <c r="F157" s="36" t="str">
        <f t="shared" si="2"/>
        <v>649</v>
      </c>
    </row>
    <row r="158" spans="1:6" x14ac:dyDescent="0.25">
      <c r="A158" s="51">
        <v>658000</v>
      </c>
      <c r="B158" s="25" t="s">
        <v>183</v>
      </c>
      <c r="C158" s="33">
        <v>3</v>
      </c>
      <c r="D158" s="53">
        <v>26.85</v>
      </c>
      <c r="F158" s="36" t="str">
        <f t="shared" si="2"/>
        <v>658</v>
      </c>
    </row>
    <row r="159" spans="1:6" x14ac:dyDescent="0.25">
      <c r="A159" s="51">
        <v>661100</v>
      </c>
      <c r="B159" s="25" t="s">
        <v>184</v>
      </c>
      <c r="C159" s="33">
        <v>417.34</v>
      </c>
      <c r="D159" s="53">
        <v>927.25</v>
      </c>
      <c r="F159" s="36" t="str">
        <f t="shared" si="2"/>
        <v>661</v>
      </c>
    </row>
    <row r="160" spans="1:6" x14ac:dyDescent="0.25">
      <c r="A160" s="51">
        <v>661600</v>
      </c>
      <c r="B160" s="25" t="s">
        <v>185</v>
      </c>
      <c r="C160" s="33">
        <v>778.44</v>
      </c>
      <c r="D160" s="53">
        <v>460.22</v>
      </c>
      <c r="F160" s="36" t="str">
        <f t="shared" si="2"/>
        <v>661</v>
      </c>
    </row>
    <row r="161" spans="1:6" x14ac:dyDescent="0.25">
      <c r="A161" s="51">
        <v>661610</v>
      </c>
      <c r="B161" s="25" t="s">
        <v>186</v>
      </c>
      <c r="C161" s="33">
        <v>615.97</v>
      </c>
      <c r="D161" s="53">
        <v>2846.49</v>
      </c>
      <c r="F161" s="36" t="str">
        <f t="shared" si="2"/>
        <v>661</v>
      </c>
    </row>
    <row r="162" spans="1:6" x14ac:dyDescent="0.25">
      <c r="A162" s="51">
        <v>671200</v>
      </c>
      <c r="B162" s="25" t="s">
        <v>187</v>
      </c>
      <c r="C162" s="33">
        <v>213</v>
      </c>
      <c r="D162" s="53">
        <v>427.5</v>
      </c>
      <c r="F162" s="36" t="str">
        <f t="shared" si="2"/>
        <v>671</v>
      </c>
    </row>
    <row r="163" spans="1:6" x14ac:dyDescent="0.25">
      <c r="A163" s="51">
        <v>672000</v>
      </c>
      <c r="B163" s="25" t="s">
        <v>188</v>
      </c>
      <c r="C163" s="33">
        <v>0</v>
      </c>
      <c r="D163" s="53">
        <v>400</v>
      </c>
      <c r="F163" s="36" t="str">
        <f t="shared" si="2"/>
        <v>672</v>
      </c>
    </row>
    <row r="164" spans="1:6" x14ac:dyDescent="0.25">
      <c r="A164" s="51">
        <v>681110</v>
      </c>
      <c r="B164" s="25" t="s">
        <v>189</v>
      </c>
      <c r="C164" s="33">
        <v>0</v>
      </c>
      <c r="D164" s="53">
        <v>11216.7</v>
      </c>
      <c r="F164" s="36" t="str">
        <f t="shared" si="2"/>
        <v>681</v>
      </c>
    </row>
    <row r="165" spans="1:6" x14ac:dyDescent="0.25">
      <c r="A165" s="51">
        <v>681120</v>
      </c>
      <c r="B165" s="25" t="s">
        <v>190</v>
      </c>
      <c r="C165" s="33">
        <v>0</v>
      </c>
      <c r="D165" s="53">
        <v>1239.19</v>
      </c>
      <c r="F165" s="36" t="str">
        <f t="shared" si="2"/>
        <v>681</v>
      </c>
    </row>
    <row r="166" spans="1:6" x14ac:dyDescent="0.25">
      <c r="A166" s="51">
        <v>699500</v>
      </c>
      <c r="B166" s="25" t="s">
        <v>191</v>
      </c>
      <c r="C166" s="33">
        <v>0</v>
      </c>
      <c r="D166" s="53">
        <v>-5424</v>
      </c>
      <c r="F166" s="36" t="str">
        <f t="shared" si="2"/>
        <v>699</v>
      </c>
    </row>
    <row r="167" spans="1:6" x14ac:dyDescent="0.25">
      <c r="A167" s="51">
        <v>699600</v>
      </c>
      <c r="B167" s="25" t="s">
        <v>192</v>
      </c>
      <c r="C167" s="33">
        <v>0</v>
      </c>
      <c r="D167" s="53">
        <v>-68</v>
      </c>
      <c r="F167" s="36" t="str">
        <f t="shared" si="2"/>
        <v>699</v>
      </c>
    </row>
    <row r="168" spans="1:6" x14ac:dyDescent="0.25">
      <c r="A168" s="51">
        <v>704201</v>
      </c>
      <c r="B168" s="25" t="s">
        <v>193</v>
      </c>
      <c r="C168" s="33">
        <v>-187879.9</v>
      </c>
      <c r="D168" s="53">
        <v>-204150.5</v>
      </c>
      <c r="F168" s="36" t="str">
        <f t="shared" si="2"/>
        <v>704</v>
      </c>
    </row>
    <row r="169" spans="1:6" x14ac:dyDescent="0.25">
      <c r="A169" s="51">
        <v>704202</v>
      </c>
      <c r="B169" s="25" t="s">
        <v>194</v>
      </c>
      <c r="C169" s="33">
        <v>-55290.400000000001</v>
      </c>
      <c r="D169" s="53">
        <v>-50321.5</v>
      </c>
      <c r="F169" s="36" t="str">
        <f t="shared" si="2"/>
        <v>704</v>
      </c>
    </row>
    <row r="170" spans="1:6" x14ac:dyDescent="0.25">
      <c r="A170" s="51">
        <v>708800</v>
      </c>
      <c r="B170" s="25" t="s">
        <v>195</v>
      </c>
      <c r="C170" s="33">
        <v>0</v>
      </c>
      <c r="D170" s="53">
        <v>-1104.51</v>
      </c>
      <c r="F170" s="36" t="str">
        <f t="shared" si="2"/>
        <v>708</v>
      </c>
    </row>
    <row r="171" spans="1:6" x14ac:dyDescent="0.25">
      <c r="A171" s="51">
        <v>713350</v>
      </c>
      <c r="B171" s="25" t="s">
        <v>196</v>
      </c>
      <c r="C171" s="33">
        <v>24580</v>
      </c>
      <c r="D171" s="53">
        <v>-12200</v>
      </c>
      <c r="F171" s="36" t="str">
        <f t="shared" si="2"/>
        <v>713</v>
      </c>
    </row>
    <row r="172" spans="1:6" x14ac:dyDescent="0.25">
      <c r="A172" s="51">
        <v>720000</v>
      </c>
      <c r="B172" s="25" t="s">
        <v>197</v>
      </c>
      <c r="C172" s="33">
        <v>0</v>
      </c>
      <c r="D172" s="53">
        <v>-26000</v>
      </c>
      <c r="F172" s="36" t="str">
        <f t="shared" si="2"/>
        <v>720</v>
      </c>
    </row>
    <row r="173" spans="1:6" x14ac:dyDescent="0.25">
      <c r="A173" s="51">
        <v>740000</v>
      </c>
      <c r="B173" s="25" t="s">
        <v>198</v>
      </c>
      <c r="C173" s="33">
        <v>0</v>
      </c>
      <c r="D173" s="53">
        <v>-2640</v>
      </c>
      <c r="F173" s="36" t="str">
        <f t="shared" si="2"/>
        <v>740</v>
      </c>
    </row>
    <row r="174" spans="1:6" x14ac:dyDescent="0.25">
      <c r="A174" s="51">
        <v>758000</v>
      </c>
      <c r="B174" s="25" t="s">
        <v>199</v>
      </c>
      <c r="C174" s="33">
        <v>-62.39</v>
      </c>
      <c r="D174" s="53">
        <v>-48.37</v>
      </c>
      <c r="F174" s="36" t="str">
        <f t="shared" si="2"/>
        <v>758</v>
      </c>
    </row>
    <row r="175" spans="1:6" x14ac:dyDescent="0.25">
      <c r="A175" s="51">
        <v>775000</v>
      </c>
      <c r="B175" s="25" t="s">
        <v>200</v>
      </c>
      <c r="C175" s="33">
        <v>-12000</v>
      </c>
      <c r="D175" s="53">
        <v>0</v>
      </c>
      <c r="F175" s="36" t="str">
        <f t="shared" si="2"/>
        <v>775</v>
      </c>
    </row>
    <row r="176" spans="1:6" x14ac:dyDescent="0.25">
      <c r="A176" s="51">
        <v>791000</v>
      </c>
      <c r="B176" s="25" t="s">
        <v>201</v>
      </c>
      <c r="C176" s="33">
        <v>-821.89</v>
      </c>
      <c r="D176" s="53">
        <v>-4243</v>
      </c>
      <c r="F176" s="36" t="str">
        <f t="shared" si="2"/>
        <v>791</v>
      </c>
    </row>
    <row r="177" spans="1:6" x14ac:dyDescent="0.25">
      <c r="A177" s="51">
        <v>890000</v>
      </c>
      <c r="B177" s="25" t="s">
        <v>229</v>
      </c>
      <c r="C177" s="33">
        <v>0</v>
      </c>
      <c r="D177" s="53">
        <v>0</v>
      </c>
      <c r="F177" s="36" t="str">
        <f t="shared" si="2"/>
        <v>890</v>
      </c>
    </row>
    <row r="178" spans="1:6" x14ac:dyDescent="0.25">
      <c r="F178" s="35"/>
    </row>
    <row r="179" spans="1:6" x14ac:dyDescent="0.25">
      <c r="F179" s="35"/>
    </row>
    <row r="180" spans="1:6" x14ac:dyDescent="0.25">
      <c r="F180" s="35"/>
    </row>
    <row r="181" spans="1:6" x14ac:dyDescent="0.25">
      <c r="F181" s="35"/>
    </row>
    <row r="182" spans="1:6" x14ac:dyDescent="0.25">
      <c r="F182" s="35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1B9CE3-58B4-4440-92AC-162484CEBBA3}">
  <dimension ref="A1:N31"/>
  <sheetViews>
    <sheetView tabSelected="1" topLeftCell="A18" workbookViewId="0">
      <selection activeCell="B27" sqref="B27:M27"/>
    </sheetView>
  </sheetViews>
  <sheetFormatPr baseColWidth="10" defaultRowHeight="15" x14ac:dyDescent="0.25"/>
  <sheetData>
    <row r="1" spans="1:14" x14ac:dyDescent="0.25">
      <c r="A1" t="s">
        <v>234</v>
      </c>
    </row>
    <row r="2" spans="1:14" x14ac:dyDescent="0.25">
      <c r="A2" t="s">
        <v>236</v>
      </c>
      <c r="B2">
        <v>1</v>
      </c>
      <c r="C2">
        <v>2</v>
      </c>
      <c r="D2">
        <v>3</v>
      </c>
      <c r="E2">
        <v>4</v>
      </c>
      <c r="F2">
        <v>5</v>
      </c>
      <c r="G2">
        <v>6</v>
      </c>
      <c r="H2">
        <v>7</v>
      </c>
      <c r="I2">
        <v>8</v>
      </c>
      <c r="J2">
        <v>9</v>
      </c>
      <c r="K2">
        <v>10</v>
      </c>
      <c r="L2">
        <v>11</v>
      </c>
      <c r="M2">
        <v>12</v>
      </c>
    </row>
    <row r="3" spans="1:14" x14ac:dyDescent="0.25">
      <c r="A3">
        <v>2017</v>
      </c>
      <c r="B3">
        <f ca="1">SUMIF([1]CONVERT!$A$1:$O$113,70,[1]CONVERT!$D$1:$D$96)</f>
        <v>13540</v>
      </c>
      <c r="C3">
        <f ca="1">SUMIF([1]CONVERT!$A$1:$O$113,70,[1]CONVERT!$E$1:$E$96)</f>
        <v>26302</v>
      </c>
      <c r="D3">
        <f ca="1">SUMIF([1]CONVERT!$A$1:$O$113,70,[1]CONVERT!$F$1:$F$96)</f>
        <v>6154</v>
      </c>
      <c r="E3">
        <f ca="1">SUMIF([1]CONVERT!$A$1:$O$113,70,[1]CONVERT!$G$1:$G$96)</f>
        <v>23985</v>
      </c>
      <c r="F3">
        <f ca="1">SUMIF([1]CONVERT!$A$1:$O$113,70,[1]CONVERT!$H$1:$H$96)</f>
        <v>53958</v>
      </c>
      <c r="G3">
        <f ca="1">SUMIF([1]CONVERT!$A$1:$O$113,70,[1]CONVERT!$I$1:$I$96)</f>
        <v>40790</v>
      </c>
      <c r="H3">
        <f ca="1">SUMIF([1]CONVERT!$A$1:$O$113,70,[1]CONVERT!$J$1:$J$96)</f>
        <v>10818</v>
      </c>
      <c r="I3">
        <f ca="1">SUMIF([1]CONVERT!$A$1:$O$113,70,[1]CONVERT!$K$1:$K$96)</f>
        <v>40987</v>
      </c>
      <c r="J3">
        <f ca="1">SUMIF([1]CONVERT!$A$1:$O$113,70,[1]CONVERT!$L$1:$L$96)</f>
        <v>13897</v>
      </c>
      <c r="K3">
        <f ca="1">SUMIF([1]CONVERT!$A$1:$O$113,70,[1]CONVERT!$M$1:$M$96)</f>
        <v>10123</v>
      </c>
      <c r="L3">
        <f ca="1">SUMIF([1]CONVERT!$A$1:$O$113,70,[1]CONVERT!$N$1:$N$96)</f>
        <v>4058</v>
      </c>
      <c r="M3">
        <f ca="1">SUMIF([1]CONVERT!$A$1:$O$113,70,[1]CONVERT!$O$1:$O$96)</f>
        <v>10965</v>
      </c>
      <c r="N3">
        <f ca="1">SUM(A3:M3)</f>
        <v>257594</v>
      </c>
    </row>
    <row r="4" spans="1:14" x14ac:dyDescent="0.25">
      <c r="A4">
        <v>2018</v>
      </c>
      <c r="B4">
        <f ca="1">SUMIF([2]CONVERT!$A$1:$O$113,70,[2]CONVERT!$D$1:$D$96)</f>
        <v>3951</v>
      </c>
      <c r="C4">
        <f ca="1">SUMIF([2]CONVERT!$A$1:$O$113,70,[2]CONVERT!$E$1:$E$96)</f>
        <v>557</v>
      </c>
      <c r="D4">
        <f ca="1">SUMIF([2]CONVERT!$A$1:$O$113,70,[2]CONVERT!$F$1:$F$96)</f>
        <v>6626</v>
      </c>
      <c r="E4">
        <f ca="1">SUMIF([2]CONVERT!$A$1:$O$113,70,[2]CONVERT!$G$1:$G$96)</f>
        <v>6484</v>
      </c>
      <c r="F4">
        <f ca="1">SUMIF([2]CONVERT!$A$1:$O$113,70,[2]CONVERT!$H$1:$H$96)</f>
        <v>20031</v>
      </c>
      <c r="G4">
        <f ca="1">SUMIF([2]CONVERT!$A$1:$O$113,70,[2]CONVERT!$I$1:$I$96)</f>
        <v>52949</v>
      </c>
      <c r="H4">
        <f ca="1">SUMIF([2]CONVERT!$A$1:$O$113,70,[2]CONVERT!$J$1:$J$96)</f>
        <v>40872</v>
      </c>
      <c r="I4">
        <f ca="1">SUMIF([2]CONVERT!$A$1:$O$113,70,[2]CONVERT!$K$1:$K$96)</f>
        <v>60682</v>
      </c>
      <c r="J4">
        <f ca="1">SUMIF([2]CONVERT!$A$1:$O$113,70,[2]CONVERT!$L$1:$L$96)</f>
        <v>51216</v>
      </c>
      <c r="K4">
        <f ca="1">SUMIF([2]CONVERT!$A$1:$O$113,70,[2]CONVERT!$M$1:$M$96)</f>
        <v>0</v>
      </c>
      <c r="L4">
        <f ca="1">SUMIF([2]CONVERT!$A$1:$O$113,70,[2]CONVERT!$N$1:$N$96)</f>
        <v>0</v>
      </c>
      <c r="M4">
        <f ca="1">SUMIF([2]CONVERT!$A$1:$O$113,70,[2]CONVERT!$O$1:$O$96)</f>
        <v>0</v>
      </c>
      <c r="N4">
        <f ca="1">SUM(B4:M4)</f>
        <v>243368</v>
      </c>
    </row>
    <row r="5" spans="1:14" x14ac:dyDescent="0.25">
      <c r="A5" t="s">
        <v>235</v>
      </c>
      <c r="B5">
        <f>'[3]DATA UO'!$B$51*62*1.5</f>
        <v>0</v>
      </c>
      <c r="C5">
        <f>'[3]DATA UO'!$C$51*62*1.5</f>
        <v>0</v>
      </c>
      <c r="D5">
        <f>'[3]DATA UO'!$D$51*62*1.5</f>
        <v>0</v>
      </c>
      <c r="E5">
        <f>'[3]DATA UO'!$E$51*62*1.5</f>
        <v>0</v>
      </c>
      <c r="F5">
        <f>'[3]DATA UO'!$F$51*62*1.5</f>
        <v>0</v>
      </c>
      <c r="G5">
        <f>'[3]DATA UO'!$G$51*62*1.5</f>
        <v>0</v>
      </c>
      <c r="H5">
        <f>'[3]DATA UO'!$H$51*62*1.5</f>
        <v>0</v>
      </c>
      <c r="I5">
        <f>'[3]DATA UO'!$I$51*62*1.5</f>
        <v>0</v>
      </c>
      <c r="J5">
        <f>'[3]DATA UO'!$J$51*62*1.5</f>
        <v>0</v>
      </c>
      <c r="K5">
        <f>'[3]DATA UO'!$K$51*62*1.5</f>
        <v>0</v>
      </c>
      <c r="L5">
        <f>'[3]DATA UO'!$L$51*62*1.5</f>
        <v>0</v>
      </c>
      <c r="M5">
        <f>'[3]DATA UO'!$M51*1.5*62</f>
        <v>0</v>
      </c>
      <c r="N5">
        <f>SUM(B5:M5)</f>
        <v>0</v>
      </c>
    </row>
    <row r="7" spans="1:14" x14ac:dyDescent="0.25">
      <c r="A7" t="s">
        <v>237</v>
      </c>
      <c r="B7">
        <f>B2</f>
        <v>1</v>
      </c>
      <c r="C7">
        <f t="shared" ref="C7:M7" si="0">C2</f>
        <v>2</v>
      </c>
      <c r="D7">
        <f t="shared" si="0"/>
        <v>3</v>
      </c>
      <c r="E7">
        <f t="shared" si="0"/>
        <v>4</v>
      </c>
      <c r="F7">
        <f t="shared" si="0"/>
        <v>5</v>
      </c>
      <c r="G7">
        <f t="shared" si="0"/>
        <v>6</v>
      </c>
      <c r="H7">
        <f t="shared" si="0"/>
        <v>7</v>
      </c>
      <c r="I7">
        <f t="shared" si="0"/>
        <v>8</v>
      </c>
      <c r="J7">
        <f t="shared" si="0"/>
        <v>9</v>
      </c>
      <c r="K7">
        <f t="shared" si="0"/>
        <v>10</v>
      </c>
      <c r="L7">
        <f t="shared" si="0"/>
        <v>11</v>
      </c>
      <c r="M7">
        <f t="shared" si="0"/>
        <v>12</v>
      </c>
    </row>
    <row r="8" spans="1:14" x14ac:dyDescent="0.25">
      <c r="A8">
        <v>2017</v>
      </c>
      <c r="B8">
        <f ca="1">B3</f>
        <v>13540</v>
      </c>
      <c r="C8">
        <f ca="1">B8+C3</f>
        <v>39842</v>
      </c>
      <c r="D8">
        <f t="shared" ref="D8:M8" ca="1" si="1">C8+D3</f>
        <v>45996</v>
      </c>
      <c r="E8">
        <f t="shared" ca="1" si="1"/>
        <v>69981</v>
      </c>
      <c r="F8">
        <f t="shared" ca="1" si="1"/>
        <v>123939</v>
      </c>
      <c r="G8">
        <f t="shared" ca="1" si="1"/>
        <v>164729</v>
      </c>
      <c r="H8">
        <f t="shared" ca="1" si="1"/>
        <v>175547</v>
      </c>
      <c r="I8">
        <f t="shared" ca="1" si="1"/>
        <v>216534</v>
      </c>
      <c r="J8">
        <f t="shared" ca="1" si="1"/>
        <v>230431</v>
      </c>
      <c r="K8">
        <f t="shared" ca="1" si="1"/>
        <v>240554</v>
      </c>
      <c r="L8">
        <f t="shared" ca="1" si="1"/>
        <v>244612</v>
      </c>
      <c r="M8">
        <f t="shared" ca="1" si="1"/>
        <v>255577</v>
      </c>
    </row>
    <row r="9" spans="1:14" x14ac:dyDescent="0.25">
      <c r="A9">
        <v>2018</v>
      </c>
      <c r="B9">
        <f t="shared" ref="B9:B10" ca="1" si="2">B4</f>
        <v>3951</v>
      </c>
      <c r="C9">
        <f t="shared" ref="C9:M10" ca="1" si="3">B9+C4</f>
        <v>4508</v>
      </c>
      <c r="D9">
        <f t="shared" ca="1" si="3"/>
        <v>11134</v>
      </c>
      <c r="E9">
        <f t="shared" ca="1" si="3"/>
        <v>17618</v>
      </c>
      <c r="F9">
        <f t="shared" ca="1" si="3"/>
        <v>37649</v>
      </c>
      <c r="G9">
        <f t="shared" ca="1" si="3"/>
        <v>90598</v>
      </c>
      <c r="H9">
        <f t="shared" ca="1" si="3"/>
        <v>131470</v>
      </c>
      <c r="I9">
        <f t="shared" ca="1" si="3"/>
        <v>192152</v>
      </c>
      <c r="J9">
        <f t="shared" ca="1" si="3"/>
        <v>243368</v>
      </c>
      <c r="K9">
        <f t="shared" ca="1" si="3"/>
        <v>243368</v>
      </c>
      <c r="L9">
        <f t="shared" ca="1" si="3"/>
        <v>243368</v>
      </c>
      <c r="M9">
        <f t="shared" ca="1" si="3"/>
        <v>243368</v>
      </c>
    </row>
    <row r="10" spans="1:14" x14ac:dyDescent="0.25">
      <c r="A10" t="s">
        <v>235</v>
      </c>
      <c r="B10">
        <f t="shared" si="2"/>
        <v>0</v>
      </c>
      <c r="C10">
        <f t="shared" si="3"/>
        <v>0</v>
      </c>
      <c r="D10">
        <f t="shared" si="3"/>
        <v>0</v>
      </c>
      <c r="E10">
        <f t="shared" si="3"/>
        <v>0</v>
      </c>
      <c r="F10">
        <f t="shared" si="3"/>
        <v>0</v>
      </c>
      <c r="G10">
        <f t="shared" si="3"/>
        <v>0</v>
      </c>
      <c r="H10">
        <f t="shared" si="3"/>
        <v>0</v>
      </c>
      <c r="I10">
        <f t="shared" si="3"/>
        <v>0</v>
      </c>
      <c r="J10">
        <f t="shared" si="3"/>
        <v>0</v>
      </c>
      <c r="K10">
        <f t="shared" si="3"/>
        <v>0</v>
      </c>
      <c r="L10">
        <f t="shared" si="3"/>
        <v>0</v>
      </c>
      <c r="M10">
        <f t="shared" si="3"/>
        <v>0</v>
      </c>
    </row>
    <row r="14" spans="1:14" x14ac:dyDescent="0.25">
      <c r="A14" t="s">
        <v>238</v>
      </c>
      <c r="B14">
        <f>B2</f>
        <v>1</v>
      </c>
      <c r="C14">
        <f t="shared" ref="C14:M14" si="4">C2</f>
        <v>2</v>
      </c>
      <c r="D14">
        <f t="shared" si="4"/>
        <v>3</v>
      </c>
      <c r="E14">
        <f t="shared" si="4"/>
        <v>4</v>
      </c>
      <c r="F14">
        <f t="shared" si="4"/>
        <v>5</v>
      </c>
      <c r="G14">
        <f t="shared" si="4"/>
        <v>6</v>
      </c>
      <c r="H14">
        <f t="shared" si="4"/>
        <v>7</v>
      </c>
      <c r="I14">
        <f t="shared" si="4"/>
        <v>8</v>
      </c>
      <c r="J14">
        <f t="shared" si="4"/>
        <v>9</v>
      </c>
      <c r="K14">
        <f t="shared" si="4"/>
        <v>10</v>
      </c>
      <c r="L14">
        <f t="shared" si="4"/>
        <v>11</v>
      </c>
      <c r="M14">
        <f t="shared" si="4"/>
        <v>12</v>
      </c>
    </row>
    <row r="15" spans="1:14" x14ac:dyDescent="0.25">
      <c r="A15">
        <v>2017</v>
      </c>
      <c r="B15">
        <f ca="1">B3-B22</f>
        <v>8352</v>
      </c>
      <c r="C15">
        <f t="shared" ref="C15:M15" ca="1" si="5">C3-C22</f>
        <v>3992</v>
      </c>
      <c r="D15">
        <f t="shared" ca="1" si="5"/>
        <v>15638</v>
      </c>
      <c r="E15">
        <f t="shared" ca="1" si="5"/>
        <v>1395</v>
      </c>
      <c r="F15">
        <f t="shared" ca="1" si="5"/>
        <v>35995</v>
      </c>
      <c r="G15">
        <f t="shared" ca="1" si="5"/>
        <v>25483</v>
      </c>
      <c r="H15">
        <f t="shared" ca="1" si="5"/>
        <v>-10129</v>
      </c>
      <c r="I15">
        <f t="shared" ca="1" si="5"/>
        <v>34430</v>
      </c>
      <c r="J15">
        <f t="shared" ca="1" si="5"/>
        <v>801</v>
      </c>
      <c r="K15">
        <f t="shared" ca="1" si="5"/>
        <v>8045</v>
      </c>
      <c r="L15">
        <f t="shared" ca="1" si="5"/>
        <v>-313</v>
      </c>
      <c r="M15">
        <f t="shared" ca="1" si="5"/>
        <v>27568</v>
      </c>
    </row>
    <row r="16" spans="1:14" x14ac:dyDescent="0.25">
      <c r="A16">
        <v>2018</v>
      </c>
      <c r="B16">
        <f ca="1">B4-B23</f>
        <v>-15795</v>
      </c>
      <c r="C16">
        <f t="shared" ref="C16:M16" ca="1" si="6">C4-C23</f>
        <v>-4550</v>
      </c>
      <c r="D16">
        <f t="shared" ca="1" si="6"/>
        <v>-1766</v>
      </c>
      <c r="E16">
        <f t="shared" ca="1" si="6"/>
        <v>-18187</v>
      </c>
      <c r="F16">
        <f t="shared" ca="1" si="6"/>
        <v>10533</v>
      </c>
      <c r="G16">
        <f t="shared" ca="1" si="6"/>
        <v>36007</v>
      </c>
      <c r="H16">
        <f t="shared" ca="1" si="6"/>
        <v>24047</v>
      </c>
      <c r="I16">
        <f t="shared" ca="1" si="6"/>
        <v>30710</v>
      </c>
      <c r="J16">
        <f t="shared" ca="1" si="6"/>
        <v>44775</v>
      </c>
      <c r="K16">
        <f t="shared" ca="1" si="6"/>
        <v>-3234</v>
      </c>
      <c r="L16">
        <f t="shared" ca="1" si="6"/>
        <v>0</v>
      </c>
      <c r="M16">
        <f t="shared" ca="1" si="6"/>
        <v>0</v>
      </c>
    </row>
    <row r="18" spans="1:13" x14ac:dyDescent="0.25">
      <c r="B18">
        <f>B14</f>
        <v>1</v>
      </c>
      <c r="C18">
        <f t="shared" ref="C18:M18" si="7">C14</f>
        <v>2</v>
      </c>
      <c r="D18">
        <f t="shared" si="7"/>
        <v>3</v>
      </c>
      <c r="E18">
        <f t="shared" si="7"/>
        <v>4</v>
      </c>
      <c r="F18">
        <f t="shared" si="7"/>
        <v>5</v>
      </c>
      <c r="G18">
        <f t="shared" si="7"/>
        <v>6</v>
      </c>
      <c r="H18">
        <f t="shared" si="7"/>
        <v>7</v>
      </c>
      <c r="I18">
        <f t="shared" si="7"/>
        <v>8</v>
      </c>
      <c r="J18">
        <f t="shared" si="7"/>
        <v>9</v>
      </c>
      <c r="K18">
        <f t="shared" si="7"/>
        <v>10</v>
      </c>
      <c r="L18">
        <f t="shared" si="7"/>
        <v>11</v>
      </c>
      <c r="M18">
        <f t="shared" si="7"/>
        <v>12</v>
      </c>
    </row>
    <row r="19" spans="1:13" x14ac:dyDescent="0.25">
      <c r="A19">
        <v>2017</v>
      </c>
      <c r="B19">
        <f ca="1">B15</f>
        <v>8352</v>
      </c>
      <c r="C19">
        <f ca="1">C15+B19</f>
        <v>12344</v>
      </c>
      <c r="D19">
        <f t="shared" ref="D19:M19" ca="1" si="8">D15+C19</f>
        <v>27982</v>
      </c>
      <c r="E19">
        <f t="shared" ca="1" si="8"/>
        <v>29377</v>
      </c>
      <c r="F19">
        <f t="shared" ca="1" si="8"/>
        <v>65372</v>
      </c>
      <c r="G19">
        <f t="shared" ca="1" si="8"/>
        <v>90855</v>
      </c>
      <c r="H19">
        <f t="shared" ca="1" si="8"/>
        <v>80726</v>
      </c>
      <c r="I19">
        <f t="shared" ca="1" si="8"/>
        <v>115156</v>
      </c>
      <c r="J19">
        <f t="shared" ca="1" si="8"/>
        <v>115957</v>
      </c>
      <c r="K19">
        <f t="shared" ca="1" si="8"/>
        <v>124002</v>
      </c>
      <c r="L19">
        <f t="shared" ca="1" si="8"/>
        <v>123689</v>
      </c>
      <c r="M19">
        <f t="shared" ca="1" si="8"/>
        <v>151257</v>
      </c>
    </row>
    <row r="20" spans="1:13" x14ac:dyDescent="0.25">
      <c r="A20">
        <v>2018</v>
      </c>
      <c r="B20">
        <f ca="1">B16</f>
        <v>-15795</v>
      </c>
      <c r="C20">
        <f ca="1">C16+B16</f>
        <v>-20345</v>
      </c>
      <c r="D20">
        <f t="shared" ref="D20:M20" ca="1" si="9">D16+C16</f>
        <v>-6316</v>
      </c>
      <c r="E20">
        <f t="shared" ca="1" si="9"/>
        <v>-19953</v>
      </c>
      <c r="F20">
        <f t="shared" ca="1" si="9"/>
        <v>-7654</v>
      </c>
      <c r="G20">
        <f t="shared" ca="1" si="9"/>
        <v>46540</v>
      </c>
      <c r="H20">
        <f t="shared" ca="1" si="9"/>
        <v>60054</v>
      </c>
      <c r="I20">
        <f t="shared" ca="1" si="9"/>
        <v>54757</v>
      </c>
      <c r="J20">
        <f t="shared" ca="1" si="9"/>
        <v>75485</v>
      </c>
      <c r="K20">
        <f t="shared" ca="1" si="9"/>
        <v>41541</v>
      </c>
      <c r="L20">
        <f t="shared" ca="1" si="9"/>
        <v>-3234</v>
      </c>
      <c r="M20">
        <f t="shared" ca="1" si="9"/>
        <v>0</v>
      </c>
    </row>
    <row r="22" spans="1:13" x14ac:dyDescent="0.25">
      <c r="A22" t="s">
        <v>239</v>
      </c>
      <c r="B22">
        <f ca="1">SUMIF([1]CONVERT!$A$1:$O$103,60,[1]CONVERT!$D$1:$D$95)</f>
        <v>5188</v>
      </c>
      <c r="C22">
        <f ca="1">SUMIF([1]CONVERT!$A$1:$O$103,60,[1]CONVERT!$E$1:$E$95)</f>
        <v>22310</v>
      </c>
      <c r="D22">
        <f ca="1">SUMIF([1]CONVERT!$A$1:$O$103,60,[1]CONVERT!$F$1:$F$95)</f>
        <v>-9484</v>
      </c>
      <c r="E22">
        <f ca="1">SUMIF([1]CONVERT!$A$1:$O$103,60,[1]CONVERT!$G$1:$G$95)</f>
        <v>22590</v>
      </c>
      <c r="F22">
        <f ca="1">SUMIF([1]CONVERT!$A$1:$O$103,60,[1]CONVERT!$H$1:$H$95)</f>
        <v>17963</v>
      </c>
      <c r="G22">
        <f ca="1">SUMIF([1]CONVERT!$A$1:$O$103,60,[1]CONVERT!$I$1:$I$95)</f>
        <v>15307</v>
      </c>
      <c r="H22">
        <f ca="1">SUMIF([1]CONVERT!$A$1:$O$103,60,[1]CONVERT!$J$1:$J$95)</f>
        <v>20947</v>
      </c>
      <c r="I22">
        <f ca="1">SUMIF([1]CONVERT!$A$1:$O$103,60,[1]CONVERT!$K$1:$K$95)</f>
        <v>6557</v>
      </c>
      <c r="J22">
        <f ca="1">SUMIF([1]CONVERT!$A$1:$O$103,60,[1]CONVERT!$L$1:$L$95)</f>
        <v>13096</v>
      </c>
      <c r="K22">
        <f ca="1">SUMIF([1]CONVERT!$A$1:$O$103,60,[1]CONVERT!$M$1:$M$95)</f>
        <v>2078</v>
      </c>
      <c r="L22">
        <f ca="1">SUMIF([1]CONVERT!$A$1:$O$103,60,[1]CONVERT!$N$1:$N$95)</f>
        <v>4371</v>
      </c>
      <c r="M22">
        <f ca="1">SUMIF([1]CONVERT!$A$1:$O$103,60,[1]CONVERT!$O$1:$O$95)</f>
        <v>-16603</v>
      </c>
    </row>
    <row r="23" spans="1:13" x14ac:dyDescent="0.25">
      <c r="B23">
        <f ca="1">SUMIF([2]CONVERT!$A$1:$O$103,60,[2]CONVERT!$D$1:$D$95)</f>
        <v>19746</v>
      </c>
      <c r="C23">
        <f ca="1">SUMIF([2]CONVERT!$A$1:$O$103,60,[2]CONVERT!$E$1:$E$95)</f>
        <v>5107</v>
      </c>
      <c r="D23">
        <f ca="1">SUMIF([2]CONVERT!$A$1:$O$103,60,[2]CONVERT!$F$1:$F$95)</f>
        <v>8392</v>
      </c>
      <c r="E23">
        <f ca="1">SUMIF([2]CONVERT!$A$1:$O$103,60,[2]CONVERT!$G$1:$G$95)</f>
        <v>24671</v>
      </c>
      <c r="F23">
        <f ca="1">SUMIF([2]CONVERT!$A$1:$O$103,60,[2]CONVERT!$H$1:$H$95)</f>
        <v>9498</v>
      </c>
      <c r="G23">
        <f ca="1">SUMIF([2]CONVERT!$A$1:$O$103,60,[2]CONVERT!$I$1:$I$95)</f>
        <v>16942</v>
      </c>
      <c r="H23">
        <f ca="1">SUMIF([2]CONVERT!$A$1:$O$103,60,[2]CONVERT!$J$1:$J$95)</f>
        <v>16825</v>
      </c>
      <c r="I23">
        <f ca="1">SUMIF([2]CONVERT!$A$1:$O$103,60,[2]CONVERT!$K$1:$K$95)</f>
        <v>29972</v>
      </c>
      <c r="J23">
        <f ca="1">SUMIF([2]CONVERT!$A$1:$O$103,60,[2]CONVERT!$L$1:$L$95)</f>
        <v>6441</v>
      </c>
      <c r="K23">
        <f ca="1">SUMIF([2]CONVERT!$A$1:$O$103,60,[2]CONVERT!$M$1:$M$95)</f>
        <v>3234</v>
      </c>
      <c r="L23">
        <f ca="1">SUMIF([2]CONVERT!$A$1:$O$103,60,[2]CONVERT!$N$1:$N$95)</f>
        <v>0</v>
      </c>
      <c r="M23">
        <f ca="1">SUMIF([2]CONVERT!$A$1:$O$103,60,[2]CONVERT!$O$1:$O$95)</f>
        <v>0</v>
      </c>
    </row>
    <row r="25" spans="1:13" x14ac:dyDescent="0.25">
      <c r="A25" t="s">
        <v>240</v>
      </c>
      <c r="B25">
        <f>B18</f>
        <v>1</v>
      </c>
      <c r="C25">
        <f t="shared" ref="C25:L25" si="10">C18</f>
        <v>2</v>
      </c>
      <c r="D25">
        <f t="shared" si="10"/>
        <v>3</v>
      </c>
      <c r="E25">
        <f t="shared" si="10"/>
        <v>4</v>
      </c>
      <c r="F25">
        <f t="shared" si="10"/>
        <v>5</v>
      </c>
      <c r="G25">
        <f t="shared" si="10"/>
        <v>6</v>
      </c>
      <c r="H25">
        <f t="shared" si="10"/>
        <v>7</v>
      </c>
      <c r="I25">
        <f t="shared" si="10"/>
        <v>8</v>
      </c>
      <c r="J25">
        <f t="shared" si="10"/>
        <v>9</v>
      </c>
      <c r="K25">
        <f t="shared" si="10"/>
        <v>10</v>
      </c>
      <c r="L25">
        <f t="shared" si="10"/>
        <v>11</v>
      </c>
      <c r="M25">
        <f>M18</f>
        <v>12</v>
      </c>
    </row>
    <row r="26" spans="1:13" x14ac:dyDescent="0.25">
      <c r="A26">
        <v>2017</v>
      </c>
      <c r="B26">
        <f ca="1">SUMIF([1]CONVERT!$A$1:$O$294,64,[1]CONVERT!$D$1:$D$94)</f>
        <v>5082</v>
      </c>
      <c r="C26">
        <f ca="1">SUMIF([1]CONVERT!$A$1:$O$294,64,[1]CONVERT!$E$1:$E$94)</f>
        <v>4601</v>
      </c>
      <c r="D26">
        <f ca="1">SUMIF([1]CONVERT!$A$1:$O$294,64,[1]CONVERT!$F$1:$F$94)</f>
        <v>5842</v>
      </c>
      <c r="E26">
        <f ca="1">SUMIF([1]CONVERT!$A$1:$O$294,64,[1]CONVERT!$G$1:$G$94)</f>
        <v>6640</v>
      </c>
      <c r="F26">
        <f ca="1">SUMIF([1]CONVERT!$A$1:$O$294,64,[1]CONVERT!$H$1:$H$94)</f>
        <v>7240</v>
      </c>
      <c r="G26">
        <f ca="1">SUMIF([1]CONVERT!$A$1:$O$294,64,[1]CONVERT!$I$1:$I$94)</f>
        <v>6441</v>
      </c>
      <c r="H26">
        <f ca="1">SUMIF([1]CONVERT!$A$1:$O$294,64,[1]CONVERT!$J$1:$J$94)</f>
        <v>8270</v>
      </c>
      <c r="I26">
        <f ca="1">SUMIF([1]CONVERT!$A$1:$O$294,64,[1]CONVERT!$K$1:$K$94)</f>
        <v>6927</v>
      </c>
      <c r="J26">
        <f ca="1">SUMIF([1]CONVERT!$A$1:$O$294,64,[1]CONVERT!$L$1:$L$94)</f>
        <v>5356</v>
      </c>
      <c r="K26">
        <f ca="1">SUMIF([1]CONVERT!$A$1:$O$294,64,[1]CONVERT!$M$1:$M$94)</f>
        <v>6545</v>
      </c>
      <c r="L26">
        <f ca="1">SUMIF([1]CONVERT!$A$1:$O$294,64,[1]CONVERT!$N$1:$N$94)</f>
        <v>7945</v>
      </c>
      <c r="M26">
        <f ca="1">SUMIF([1]CONVERT!$A$1:$O$294,64,[1]CONVERT!$O$1:$O$94)</f>
        <v>10647</v>
      </c>
    </row>
    <row r="27" spans="1:13" x14ac:dyDescent="0.25">
      <c r="A27">
        <v>2018</v>
      </c>
      <c r="B27">
        <f ca="1">SUMIF([2]CONVERT!$A$1:$O$294,64,[2]CONVERT!$D$1:$D$94)</f>
        <v>11017</v>
      </c>
      <c r="C27">
        <f ca="1">SUMIF([2]CONVERT!$A$1:$O$294,64,[2]CONVERT!$E$1:$E$94)</f>
        <v>12865</v>
      </c>
      <c r="D27">
        <f ca="1">SUMIF([2]CONVERT!$A$1:$O$294,64,[2]CONVERT!$F$1:$F$94)</f>
        <v>10799</v>
      </c>
      <c r="E27">
        <f ca="1">SUMIF([2]CONVERT!$A$1:$O$294,64,[2]CONVERT!$G$1:$G$94)</f>
        <v>10221</v>
      </c>
      <c r="F27">
        <f ca="1">SUMIF([2]CONVERT!$A$1:$O$294,64,[2]CONVERT!$H$1:$H$94)</f>
        <v>12317</v>
      </c>
      <c r="G27">
        <f ca="1">SUMIF([2]CONVERT!$A$1:$O$294,64,[2]CONVERT!$I$1:$I$94)</f>
        <v>17445</v>
      </c>
      <c r="H27">
        <f ca="1">SUMIF([2]CONVERT!$A$1:$O$294,64,[2]CONVERT!$J$1:$J$94)</f>
        <v>12841</v>
      </c>
      <c r="I27">
        <f ca="1">SUMIF([2]CONVERT!$A$1:$O$294,64,[2]CONVERT!$K$1:$K$94)</f>
        <v>16043</v>
      </c>
      <c r="J27">
        <f ca="1">SUMIF([2]CONVERT!$A$1:$O$294,64,[2]CONVERT!$L$1:$L$94)</f>
        <v>17762</v>
      </c>
      <c r="K27">
        <f ca="1">SUMIF([2]CONVERT!$A$1:$O$294,64,[2]CONVERT!$M$1:$M$94)</f>
        <v>0</v>
      </c>
      <c r="L27">
        <f ca="1">SUMIF([2]CONVERT!$A$1:$O$294,64,[2]CONVERT!$N$1:$N$94)</f>
        <v>0</v>
      </c>
      <c r="M27">
        <f ca="1">SUMIF([2]CONVERT!$A$1:$O$294,64,[2]CONVERT!$O$1:$O$94)</f>
        <v>0</v>
      </c>
    </row>
    <row r="29" spans="1:13" x14ac:dyDescent="0.25">
      <c r="B29">
        <v>1</v>
      </c>
      <c r="C29">
        <v>2</v>
      </c>
      <c r="D29">
        <v>3</v>
      </c>
      <c r="E29">
        <v>4</v>
      </c>
      <c r="F29">
        <v>5</v>
      </c>
      <c r="G29">
        <v>6</v>
      </c>
      <c r="H29">
        <v>7</v>
      </c>
      <c r="I29">
        <v>8</v>
      </c>
      <c r="J29">
        <v>9</v>
      </c>
      <c r="K29">
        <v>10</v>
      </c>
      <c r="L29">
        <v>11</v>
      </c>
      <c r="M29">
        <v>12</v>
      </c>
    </row>
    <row r="30" spans="1:13" x14ac:dyDescent="0.25">
      <c r="A30">
        <v>2017</v>
      </c>
      <c r="B30">
        <f ca="1">B26</f>
        <v>5082</v>
      </c>
      <c r="C30">
        <f ca="1">B30+C26</f>
        <v>9683</v>
      </c>
      <c r="D30">
        <f t="shared" ref="D30:M30" ca="1" si="11">C30+D26</f>
        <v>15525</v>
      </c>
      <c r="E30">
        <f t="shared" ca="1" si="11"/>
        <v>22165</v>
      </c>
      <c r="F30">
        <f t="shared" ca="1" si="11"/>
        <v>29405</v>
      </c>
      <c r="G30">
        <f t="shared" ca="1" si="11"/>
        <v>35846</v>
      </c>
      <c r="H30">
        <f t="shared" ca="1" si="11"/>
        <v>44116</v>
      </c>
      <c r="I30">
        <f t="shared" ca="1" si="11"/>
        <v>51043</v>
      </c>
      <c r="J30">
        <f t="shared" ca="1" si="11"/>
        <v>56399</v>
      </c>
      <c r="K30">
        <f t="shared" ca="1" si="11"/>
        <v>62944</v>
      </c>
      <c r="L30">
        <f t="shared" ca="1" si="11"/>
        <v>70889</v>
      </c>
      <c r="M30">
        <f t="shared" ca="1" si="11"/>
        <v>81536</v>
      </c>
    </row>
    <row r="31" spans="1:13" x14ac:dyDescent="0.25">
      <c r="A31">
        <v>2018</v>
      </c>
      <c r="B31">
        <f ca="1">B27</f>
        <v>11017</v>
      </c>
      <c r="C31">
        <f ca="1">C27+B31</f>
        <v>23882</v>
      </c>
      <c r="D31">
        <f t="shared" ref="D31:M31" ca="1" si="12">D27+C31</f>
        <v>34681</v>
      </c>
      <c r="E31">
        <f t="shared" ca="1" si="12"/>
        <v>44902</v>
      </c>
      <c r="F31">
        <f t="shared" ca="1" si="12"/>
        <v>57219</v>
      </c>
      <c r="G31">
        <f t="shared" ca="1" si="12"/>
        <v>74664</v>
      </c>
      <c r="H31">
        <f t="shared" ca="1" si="12"/>
        <v>87505</v>
      </c>
      <c r="I31">
        <f t="shared" ca="1" si="12"/>
        <v>103548</v>
      </c>
      <c r="J31">
        <f t="shared" ca="1" si="12"/>
        <v>121310</v>
      </c>
      <c r="K31">
        <f t="shared" ca="1" si="12"/>
        <v>121310</v>
      </c>
      <c r="L31">
        <f t="shared" ca="1" si="12"/>
        <v>121310</v>
      </c>
      <c r="M31">
        <f t="shared" ca="1" si="12"/>
        <v>121310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0BAEE5-4FCF-4236-8EF7-AFF61ADA347B}">
  <sheetPr codeName="Feuil3"/>
  <dimension ref="A1:AF29"/>
  <sheetViews>
    <sheetView workbookViewId="0">
      <selection activeCell="I9" sqref="I9"/>
    </sheetView>
  </sheetViews>
  <sheetFormatPr baseColWidth="10" defaultRowHeight="15" x14ac:dyDescent="0.25"/>
  <cols>
    <col min="3" max="3" width="17.85546875" bestFit="1" customWidth="1"/>
    <col min="4" max="4" width="41.5703125" bestFit="1" customWidth="1"/>
    <col min="6" max="6" width="11.85546875" bestFit="1" customWidth="1"/>
    <col min="7" max="7" width="12.5703125" bestFit="1" customWidth="1"/>
    <col min="11" max="11" width="12.85546875" bestFit="1" customWidth="1"/>
  </cols>
  <sheetData>
    <row r="1" spans="1:32" x14ac:dyDescent="0.25">
      <c r="A1" s="28"/>
    </row>
    <row r="2" spans="1:32" ht="21.75" thickBot="1" x14ac:dyDescent="0.4">
      <c r="C2" t="s">
        <v>10</v>
      </c>
      <c r="D2" s="11" t="str">
        <f ca="1">"CARNET de CDES la date du : "&amp;TEXT(TODAY(),"jj  mmm  aa")</f>
        <v>CARNET de CDES la date du : 08 nov 18</v>
      </c>
      <c r="G2" s="13"/>
      <c r="H2" s="14" t="s">
        <v>8</v>
      </c>
    </row>
    <row r="3" spans="1:32" ht="27" thickBot="1" x14ac:dyDescent="0.45">
      <c r="A3" s="17"/>
      <c r="C3" t="s">
        <v>0</v>
      </c>
      <c r="D3" s="21">
        <f>-'[4]DATA FACTURATIONS'!$G$2+'[4]DATA DEVIS SUITE CDES'!$E$2-'[4]DATA FACTURATIONS'!$F$2</f>
        <v>475832</v>
      </c>
      <c r="G3" s="13" t="s">
        <v>7</v>
      </c>
      <c r="H3" s="14">
        <v>1.5</v>
      </c>
      <c r="J3" s="56" t="s">
        <v>1</v>
      </c>
      <c r="K3" s="57"/>
      <c r="L3" s="57"/>
      <c r="M3" s="57"/>
      <c r="N3" s="58"/>
    </row>
    <row r="4" spans="1:32" ht="30.75" thickBot="1" x14ac:dyDescent="0.4">
      <c r="A4" s="17"/>
      <c r="C4" t="s">
        <v>11</v>
      </c>
      <c r="D4" s="11" t="str">
        <f>"CARNET CDE en mois"</f>
        <v>CARNET CDE en mois</v>
      </c>
      <c r="J4" s="1" t="s">
        <v>2</v>
      </c>
      <c r="K4" s="2"/>
      <c r="L4" s="3" t="s">
        <v>3</v>
      </c>
      <c r="M4" s="2" t="s">
        <v>4</v>
      </c>
      <c r="N4" s="4" t="s">
        <v>5</v>
      </c>
    </row>
    <row r="5" spans="1:32" ht="27" thickBot="1" x14ac:dyDescent="0.45">
      <c r="A5" s="23"/>
      <c r="C5" t="s">
        <v>6</v>
      </c>
      <c r="D5" s="22">
        <f ca="1">D3/N5</f>
        <v>11.66679538998876</v>
      </c>
      <c r="J5" s="6">
        <f ca="1">HLOOKUP(H7,[3]EFFECTIFS!$C$14:$N$30,17,FALSE)</f>
        <v>4</v>
      </c>
      <c r="K5" s="7"/>
      <c r="L5" s="8">
        <f ca="1">HLOOKUP(H7,[3]EFFECTIFS!$C$14:$N$28,15,FALSE)</f>
        <v>438.54999999999995</v>
      </c>
      <c r="M5" s="9">
        <v>62</v>
      </c>
      <c r="N5" s="10">
        <f ca="1">L5*M5*1.5</f>
        <v>40785.149999999994</v>
      </c>
    </row>
    <row r="6" spans="1:32" x14ac:dyDescent="0.25">
      <c r="A6" s="17"/>
      <c r="H6" s="12">
        <f ca="1">TODAY()</f>
        <v>43412</v>
      </c>
      <c r="J6" s="15"/>
      <c r="K6" s="16"/>
      <c r="L6" s="5"/>
      <c r="M6" s="15"/>
      <c r="N6" s="15"/>
    </row>
    <row r="7" spans="1:32" ht="21.75" thickBot="1" x14ac:dyDescent="0.4">
      <c r="C7" t="s">
        <v>12</v>
      </c>
      <c r="D7" s="11" t="s">
        <v>27</v>
      </c>
      <c r="H7" s="13">
        <f ca="1">MONTH(H6)</f>
        <v>11</v>
      </c>
      <c r="I7" s="25" t="str">
        <f ca="1">TEXT(TODAY(),"mmmmmmm")</f>
        <v>novembre</v>
      </c>
      <c r="J7" s="15"/>
      <c r="K7" s="16">
        <f ca="1">H7+1</f>
        <v>12</v>
      </c>
      <c r="L7" s="5">
        <f ca="1">K7+1</f>
        <v>13</v>
      </c>
      <c r="M7" s="5">
        <f ca="1">H7+3-12</f>
        <v>2</v>
      </c>
      <c r="N7" s="5">
        <f t="shared" ref="N7:X7" ca="1" si="0">M7+1</f>
        <v>3</v>
      </c>
      <c r="O7" s="5">
        <f t="shared" ca="1" si="0"/>
        <v>4</v>
      </c>
      <c r="P7" s="5">
        <f t="shared" ca="1" si="0"/>
        <v>5</v>
      </c>
      <c r="Q7" s="5">
        <f t="shared" ca="1" si="0"/>
        <v>6</v>
      </c>
      <c r="R7" s="5">
        <f t="shared" ca="1" si="0"/>
        <v>7</v>
      </c>
      <c r="S7" s="5">
        <f t="shared" ca="1" si="0"/>
        <v>8</v>
      </c>
      <c r="T7" s="5">
        <f t="shared" ca="1" si="0"/>
        <v>9</v>
      </c>
      <c r="U7" s="5">
        <f t="shared" ca="1" si="0"/>
        <v>10</v>
      </c>
      <c r="V7" s="5">
        <f t="shared" ca="1" si="0"/>
        <v>11</v>
      </c>
      <c r="W7" s="5">
        <f t="shared" ca="1" si="0"/>
        <v>12</v>
      </c>
      <c r="X7" s="5">
        <f t="shared" ca="1" si="0"/>
        <v>13</v>
      </c>
      <c r="Y7" s="5"/>
      <c r="Z7" s="5"/>
      <c r="AA7" s="5"/>
      <c r="AB7" s="5"/>
      <c r="AC7" s="5"/>
      <c r="AD7" s="5"/>
      <c r="AE7" s="5"/>
      <c r="AF7" s="5"/>
    </row>
    <row r="8" spans="1:32" ht="21.75" thickBot="1" x14ac:dyDescent="0.4">
      <c r="D8" s="11"/>
      <c r="I8">
        <v>2018</v>
      </c>
      <c r="J8" s="15">
        <v>2017</v>
      </c>
      <c r="K8" s="27" t="str">
        <f ca="1">TEXT(TODAY()+30,"mmmmmmm")</f>
        <v>décembre</v>
      </c>
      <c r="L8" s="27" t="str">
        <f ca="1">TEXT(TODAY()+60,"mmmmmmm")</f>
        <v>janvier</v>
      </c>
      <c r="M8" s="15"/>
      <c r="N8" s="15"/>
    </row>
    <row r="9" spans="1:32" ht="26.25" x14ac:dyDescent="0.4">
      <c r="C9" t="s">
        <v>9</v>
      </c>
      <c r="D9" s="20">
        <f ca="1">H6+D5*30-H3*30</f>
        <v>43717.003861699661</v>
      </c>
      <c r="H9" s="25" t="s">
        <v>202</v>
      </c>
      <c r="I9" s="33">
        <f>SUMIF(bal!$F$2:$F$172,512,bal!$C$2:$C$174)</f>
        <v>22989.71</v>
      </c>
      <c r="J9" s="33">
        <f>SUMIF(bal!$F$2:$F$172,512,bal!$D$2:$D$174)</f>
        <v>-22117.4</v>
      </c>
      <c r="K9" s="26"/>
      <c r="L9" s="5"/>
      <c r="M9" s="15"/>
      <c r="N9" s="15"/>
    </row>
    <row r="10" spans="1:32" ht="15.75" x14ac:dyDescent="0.25">
      <c r="J10" s="15"/>
      <c r="K10" s="26"/>
      <c r="L10" s="5"/>
      <c r="M10" s="15"/>
      <c r="N10" s="15"/>
    </row>
    <row r="11" spans="1:32" ht="15.75" x14ac:dyDescent="0.25">
      <c r="F11">
        <v>9</v>
      </c>
      <c r="G11">
        <v>10</v>
      </c>
      <c r="H11">
        <v>11</v>
      </c>
      <c r="I11">
        <v>12</v>
      </c>
      <c r="J11" s="15"/>
      <c r="K11" s="26"/>
      <c r="L11" s="5"/>
      <c r="M11" s="15"/>
      <c r="N11" s="15"/>
    </row>
    <row r="12" spans="1:32" ht="15.75" x14ac:dyDescent="0.25">
      <c r="C12" s="25" t="s">
        <v>50</v>
      </c>
      <c r="D12" s="25" t="s">
        <v>51</v>
      </c>
      <c r="E12" s="25">
        <f>-12000-4000</f>
        <v>-16000</v>
      </c>
      <c r="F12" s="23">
        <f>'[5]TRESO 2018'!$T$28</f>
        <v>26078.769999999997</v>
      </c>
      <c r="G12" s="23">
        <f>'[5]TRESO 2018'!$U$28</f>
        <v>26300.769999999997</v>
      </c>
      <c r="H12" s="23">
        <f>'[5]TRESO 2018'!$W$28</f>
        <v>-11629.230000000003</v>
      </c>
      <c r="I12" s="23">
        <f>'[5]TRESO 2018'!$Y$28</f>
        <v>-29919.230000000003</v>
      </c>
      <c r="J12" s="15"/>
      <c r="K12" s="26"/>
      <c r="L12" s="5"/>
      <c r="M12" s="48"/>
      <c r="N12" s="15"/>
    </row>
    <row r="13" spans="1:32" ht="15.75" x14ac:dyDescent="0.25">
      <c r="J13" s="15"/>
      <c r="K13" s="26"/>
      <c r="L13" s="5"/>
      <c r="M13" s="15"/>
      <c r="N13" s="15"/>
    </row>
    <row r="14" spans="1:32" ht="15.75" x14ac:dyDescent="0.25">
      <c r="K14" s="26"/>
    </row>
    <row r="15" spans="1:32" x14ac:dyDescent="0.25">
      <c r="B15" t="s">
        <v>14</v>
      </c>
      <c r="C15" t="s">
        <v>15</v>
      </c>
      <c r="D15" t="s">
        <v>16</v>
      </c>
      <c r="E15" t="s">
        <v>17</v>
      </c>
      <c r="F15" t="s">
        <v>241</v>
      </c>
      <c r="G15" t="s">
        <v>14</v>
      </c>
      <c r="H15" t="s">
        <v>15</v>
      </c>
      <c r="I15" t="s">
        <v>16</v>
      </c>
      <c r="J15" t="s">
        <v>17</v>
      </c>
      <c r="K15" t="s">
        <v>241</v>
      </c>
    </row>
    <row r="16" spans="1:32" x14ac:dyDescent="0.25">
      <c r="B16">
        <v>1</v>
      </c>
      <c r="C16" s="17" t="e">
        <f>SUMIF('[4]DATA FACTURATIONS'!$C$3:$G$68,1,'[4]DATA FACTURATIONS'!$F$3:$F$68)</f>
        <v>#VALUE!</v>
      </c>
      <c r="D16" s="17" t="e">
        <f>SUMIF('[4]DATA FACTURATIONS'!$C$3:$G$68,1,'[4]DATA FACTURATIONS'!$G$3:$G$68)</f>
        <v>#VALUE!</v>
      </c>
      <c r="E16">
        <f>'[3]DATA UO'!$B$59*62*1.5</f>
        <v>28830</v>
      </c>
      <c r="G16">
        <v>1</v>
      </c>
      <c r="H16" s="17" t="e">
        <f>C16</f>
        <v>#VALUE!</v>
      </c>
      <c r="I16" s="17" t="e">
        <f t="shared" ref="I16:J16" si="1">D16</f>
        <v>#VALUE!</v>
      </c>
      <c r="J16" s="17">
        <f t="shared" si="1"/>
        <v>28830</v>
      </c>
    </row>
    <row r="17" spans="2:12" x14ac:dyDescent="0.25">
      <c r="B17">
        <v>2</v>
      </c>
      <c r="C17" s="17" t="e">
        <f>SUMIF('[4]DATA FACTURATIONS'!$C$3:$G$68,2,'[4]DATA FACTURATIONS'!$F$3:$F$68)</f>
        <v>#VALUE!</v>
      </c>
      <c r="D17" s="17" t="e">
        <f>SUMIF('[4]DATA FACTURATIONS'!$C$3:$G$68,2,'[4]DATA FACTURATIONS'!$G$3:$G$68)</f>
        <v>#VALUE!</v>
      </c>
      <c r="E17">
        <f>'[3]DATA UO'!$C$59*62*1.5</f>
        <v>29760</v>
      </c>
      <c r="G17">
        <v>2</v>
      </c>
      <c r="H17" s="17" t="e">
        <f t="shared" ref="H17:J18" si="2">H16+C17</f>
        <v>#VALUE!</v>
      </c>
      <c r="I17" s="17" t="e">
        <f t="shared" si="2"/>
        <v>#VALUE!</v>
      </c>
      <c r="J17" s="17">
        <f t="shared" si="2"/>
        <v>58590</v>
      </c>
    </row>
    <row r="18" spans="2:12" x14ac:dyDescent="0.25">
      <c r="B18">
        <v>3</v>
      </c>
      <c r="C18" s="17" t="e">
        <f>SUMIF('[4]DATA FACTURATIONS'!$C$3:$G$68,3,'[4]DATA FACTURATIONS'!$F$3:$F$68)</f>
        <v>#VALUE!</v>
      </c>
      <c r="D18" s="17" t="e">
        <f>SUMIF('[4]DATA FACTURATIONS'!$C$3:$G$68,3,'[4]DATA FACTURATIONS'!$G$3:$G$68)</f>
        <v>#VALUE!</v>
      </c>
      <c r="E18">
        <f>'[3]DATA UO'!$D$59*62*1.5</f>
        <v>32550</v>
      </c>
      <c r="G18">
        <v>3</v>
      </c>
      <c r="H18" s="17" t="e">
        <f t="shared" si="2"/>
        <v>#VALUE!</v>
      </c>
      <c r="I18" s="17" t="e">
        <f t="shared" si="2"/>
        <v>#VALUE!</v>
      </c>
      <c r="J18" s="17">
        <f t="shared" si="2"/>
        <v>91140</v>
      </c>
    </row>
    <row r="19" spans="2:12" x14ac:dyDescent="0.25">
      <c r="B19">
        <v>4</v>
      </c>
      <c r="C19" s="17" t="e">
        <f>SUMIF('[4]DATA FACTURATIONS'!$C$3:$G$68,4,'[4]DATA FACTURATIONS'!$F$3:$F$68)</f>
        <v>#VALUE!</v>
      </c>
      <c r="D19" s="17" t="e">
        <f>SUMIF('[4]DATA FACTURATIONS'!$C$3:$G$68,4,'[4]DATA FACTURATIONS'!$G$3:$G$68)</f>
        <v>#VALUE!</v>
      </c>
      <c r="E19">
        <f>'[3]DATA UO'!$E$59*62*1.5</f>
        <v>41850</v>
      </c>
      <c r="G19">
        <v>4</v>
      </c>
      <c r="H19" s="17" t="e">
        <f t="shared" ref="H19:H27" si="3">H18+C19</f>
        <v>#VALUE!</v>
      </c>
      <c r="I19" s="17" t="e">
        <f t="shared" ref="I19:I27" si="4">I18+D19</f>
        <v>#VALUE!</v>
      </c>
      <c r="J19" s="17">
        <f t="shared" ref="J19:J27" si="5">J18+E19</f>
        <v>132990</v>
      </c>
    </row>
    <row r="20" spans="2:12" x14ac:dyDescent="0.25">
      <c r="B20">
        <v>5</v>
      </c>
      <c r="C20" s="17" t="e">
        <f>SUMIF('[4]DATA FACTURATIONS'!$C$3:$G$68,5,'[4]DATA FACTURATIONS'!$F$3:$F$68)</f>
        <v>#VALUE!</v>
      </c>
      <c r="D20" s="17" t="e">
        <f>SUMIF('[4]DATA FACTURATIONS'!$C$3:$G$68,5,'[4]DATA FACTURATIONS'!$G$3:$G$68)</f>
        <v>#VALUE!</v>
      </c>
      <c r="E20">
        <f>'[3]DATA UO'!$F$59*62*1.5</f>
        <v>41850</v>
      </c>
      <c r="G20">
        <v>5</v>
      </c>
      <c r="H20" s="17" t="e">
        <f t="shared" si="3"/>
        <v>#VALUE!</v>
      </c>
      <c r="I20" s="17" t="e">
        <f t="shared" si="4"/>
        <v>#VALUE!</v>
      </c>
      <c r="J20" s="17">
        <f t="shared" si="5"/>
        <v>174840</v>
      </c>
    </row>
    <row r="21" spans="2:12" x14ac:dyDescent="0.25">
      <c r="B21">
        <v>6</v>
      </c>
      <c r="C21" s="17" t="e">
        <f>SUMIF('[4]DATA FACTURATIONS'!$C$3:$G$68,6,'[4]DATA FACTURATIONS'!$F$3:$F$68)</f>
        <v>#VALUE!</v>
      </c>
      <c r="D21" s="17" t="e">
        <f>SUMIF('[4]DATA FACTURATIONS'!$C$3:$G$68,6,'[4]DATA FACTURATIONS'!$G$3:$G$68)</f>
        <v>#VALUE!</v>
      </c>
      <c r="E21">
        <f>'[3]DATA UO'!$G$59*62*1.5</f>
        <v>41850</v>
      </c>
      <c r="G21">
        <v>6</v>
      </c>
      <c r="H21" s="17" t="e">
        <f t="shared" si="3"/>
        <v>#VALUE!</v>
      </c>
      <c r="I21" s="17" t="e">
        <f t="shared" si="4"/>
        <v>#VALUE!</v>
      </c>
      <c r="J21" s="17">
        <f t="shared" si="5"/>
        <v>216690</v>
      </c>
    </row>
    <row r="22" spans="2:12" x14ac:dyDescent="0.25">
      <c r="B22">
        <v>7</v>
      </c>
      <c r="C22" s="17" t="e">
        <f>SUMIF('[4]DATA FACTURATIONS'!$C$3:$G$68,7,'[4]DATA FACTURATIONS'!$F$3:$F$68)</f>
        <v>#VALUE!</v>
      </c>
      <c r="D22" s="17" t="e">
        <f>SUMIF('[4]DATA FACTURATIONS'!$C$3:$G$68,7,'[4]DATA FACTURATIONS'!$G$3:$G$68)</f>
        <v>#VALUE!</v>
      </c>
      <c r="E22">
        <f>'[3]DATA UO'!$H$59*62*1.5</f>
        <v>32550</v>
      </c>
      <c r="G22">
        <v>7</v>
      </c>
      <c r="H22" s="17" t="e">
        <f t="shared" si="3"/>
        <v>#VALUE!</v>
      </c>
      <c r="I22" s="17" t="e">
        <f t="shared" si="4"/>
        <v>#VALUE!</v>
      </c>
      <c r="J22" s="17">
        <f t="shared" si="5"/>
        <v>249240</v>
      </c>
    </row>
    <row r="23" spans="2:12" x14ac:dyDescent="0.25">
      <c r="B23">
        <v>8</v>
      </c>
      <c r="C23" s="17" t="e">
        <f>SUMIF('[4]DATA FACTURATIONS'!$C$3:$G$68,8,'[4]DATA FACTURATIONS'!$F$3:$F$68)</f>
        <v>#VALUE!</v>
      </c>
      <c r="D23" s="17" t="e">
        <f>SUMIF('[4]DATA FACTURATIONS'!$C$3:$G$68,8,'[4]DATA FACTURATIONS'!$G$3:$G$68)</f>
        <v>#VALUE!</v>
      </c>
      <c r="E23">
        <f>'[3]DATA UO'!$I$59*62*1.5</f>
        <v>32550</v>
      </c>
      <c r="G23">
        <v>8</v>
      </c>
      <c r="H23" s="17" t="e">
        <f t="shared" si="3"/>
        <v>#VALUE!</v>
      </c>
      <c r="I23" s="17" t="e">
        <f t="shared" si="4"/>
        <v>#VALUE!</v>
      </c>
      <c r="J23" s="17">
        <f t="shared" si="5"/>
        <v>281790</v>
      </c>
    </row>
    <row r="24" spans="2:12" x14ac:dyDescent="0.25">
      <c r="B24">
        <v>9</v>
      </c>
      <c r="C24" s="17" t="e">
        <f>SUMIF('[4]DATA FACTURATIONS'!$C$3:$G$68,9,'[4]DATA FACTURATIONS'!$F$3:$F$68)</f>
        <v>#VALUE!</v>
      </c>
      <c r="D24" s="17" t="e">
        <f>SUMIF('[4]DATA FACTURATIONS'!$C$3:$G$68,9,'[4]DATA FACTURATIONS'!$G$3:$G$68)</f>
        <v>#VALUE!</v>
      </c>
      <c r="E24">
        <f>'[3]DATA UO'!$J$59*62*1.5</f>
        <v>41850</v>
      </c>
      <c r="G24">
        <v>9</v>
      </c>
      <c r="H24" s="17" t="e">
        <f t="shared" si="3"/>
        <v>#VALUE!</v>
      </c>
      <c r="I24" s="17" t="e">
        <f t="shared" si="4"/>
        <v>#VALUE!</v>
      </c>
      <c r="J24" s="17">
        <f t="shared" si="5"/>
        <v>323640</v>
      </c>
    </row>
    <row r="25" spans="2:12" x14ac:dyDescent="0.25">
      <c r="B25">
        <v>10</v>
      </c>
      <c r="C25" s="17" t="e">
        <f>SUMIF('[4]DATA FACTURATIONS'!$C$3:$G$68,10,'[4]DATA FACTURATIONS'!$F$3:$F$68)</f>
        <v>#VALUE!</v>
      </c>
      <c r="D25" s="17" t="e">
        <f>SUMIF('[4]DATA FACTURATIONS'!$C$3:$G$68,10,'[4]DATA FACTURATIONS'!$G$3:$G$68)</f>
        <v>#VALUE!</v>
      </c>
      <c r="E25">
        <f>'[3]DATA UO'!$K$59*62*1.5</f>
        <v>41850</v>
      </c>
      <c r="F25" s="49">
        <f>[6]Feuil1!$J$28</f>
        <v>35026</v>
      </c>
      <c r="G25">
        <v>10</v>
      </c>
      <c r="H25" s="17" t="e">
        <f t="shared" si="3"/>
        <v>#VALUE!</v>
      </c>
      <c r="I25" s="17" t="e">
        <f t="shared" si="4"/>
        <v>#VALUE!</v>
      </c>
      <c r="J25" s="17">
        <f t="shared" si="5"/>
        <v>365490</v>
      </c>
      <c r="K25" s="49">
        <f>F25</f>
        <v>35026</v>
      </c>
    </row>
    <row r="26" spans="2:12" x14ac:dyDescent="0.25">
      <c r="B26">
        <v>11</v>
      </c>
      <c r="C26" s="17" t="e">
        <f>SUMIF('[4]DATA FACTURATIONS'!$C$3:$G$68,11,'[4]DATA FACTURATIONS'!$F$3:$F$68)</f>
        <v>#VALUE!</v>
      </c>
      <c r="D26" s="17" t="e">
        <f>SUMIF('[4]DATA FACTURATIONS'!$C$3:$G$68,11,'[4]DATA FACTURATIONS'!$G$3:$G$68)</f>
        <v>#VALUE!</v>
      </c>
      <c r="E26">
        <f>'[3]DATA UO'!$L$59*62*1.5</f>
        <v>27900</v>
      </c>
      <c r="F26" s="49">
        <f>[6]Feuil1!$K$28</f>
        <v>81000</v>
      </c>
      <c r="G26">
        <v>11</v>
      </c>
      <c r="H26" s="17" t="e">
        <f t="shared" si="3"/>
        <v>#VALUE!</v>
      </c>
      <c r="I26" s="17" t="e">
        <f t="shared" si="4"/>
        <v>#VALUE!</v>
      </c>
      <c r="J26" s="17">
        <f t="shared" si="5"/>
        <v>393390</v>
      </c>
      <c r="K26" s="49">
        <f>K25+F26</f>
        <v>116026</v>
      </c>
    </row>
    <row r="27" spans="2:12" x14ac:dyDescent="0.25">
      <c r="B27">
        <v>12</v>
      </c>
      <c r="C27" s="17" t="e">
        <f>SUMIF('[4]DATA FACTURATIONS'!$C$3:$G$68,12,'[4]DATA FACTURATIONS'!$F$3:$F$68)</f>
        <v>#VALUE!</v>
      </c>
      <c r="D27" s="17" t="e">
        <f>SUMIF('[4]DATA FACTURATIONS'!$C$3:$G$68,12,'[4]DATA FACTURATIONS'!$G$3:$G$68)</f>
        <v>#VALUE!</v>
      </c>
      <c r="E27">
        <f>'[3]DATA UO'!$M59*1.5*62</f>
        <v>23994</v>
      </c>
      <c r="F27" s="49">
        <f>[6]Feuil1!$L$28</f>
        <v>106000</v>
      </c>
      <c r="G27">
        <v>12</v>
      </c>
      <c r="H27" s="17" t="e">
        <f t="shared" si="3"/>
        <v>#VALUE!</v>
      </c>
      <c r="I27" s="17" t="e">
        <f t="shared" si="4"/>
        <v>#VALUE!</v>
      </c>
      <c r="J27" s="17">
        <f t="shared" si="5"/>
        <v>417384</v>
      </c>
      <c r="K27" s="49">
        <f>K26+F27</f>
        <v>222026</v>
      </c>
      <c r="L27">
        <f>J27*1.2</f>
        <v>500860.8</v>
      </c>
    </row>
    <row r="28" spans="2:12" x14ac:dyDescent="0.25">
      <c r="L28">
        <v>336000</v>
      </c>
    </row>
    <row r="29" spans="2:12" x14ac:dyDescent="0.25">
      <c r="C29" s="17" t="e">
        <f>SUM(C16:C28)</f>
        <v>#VALUE!</v>
      </c>
      <c r="D29" s="17" t="e">
        <f t="shared" ref="D29:E29" si="6">SUM(D16:D28)</f>
        <v>#VALUE!</v>
      </c>
      <c r="E29" s="17">
        <f t="shared" si="6"/>
        <v>417384</v>
      </c>
      <c r="L29">
        <f>L27-L28</f>
        <v>164860.79999999999</v>
      </c>
    </row>
  </sheetData>
  <mergeCells count="1">
    <mergeCell ref="J3:N3"/>
  </mergeCells>
  <conditionalFormatting sqref="D3">
    <cfRule type="expression" dxfId="7" priority="2">
      <formula>$D$3&gt;=0</formula>
    </cfRule>
    <cfRule type="expression" dxfId="6" priority="3">
      <formula>$D$3&lt;0</formula>
    </cfRule>
    <cfRule type="cellIs" dxfId="5" priority="5" operator="lessThan">
      <formula>80000</formula>
    </cfRule>
  </conditionalFormatting>
  <conditionalFormatting sqref="D5">
    <cfRule type="cellIs" dxfId="4" priority="4" operator="lessThan">
      <formula>$H$3</formula>
    </cfRule>
  </conditionalFormatting>
  <conditionalFormatting sqref="I9:J9">
    <cfRule type="expression" dxfId="3" priority="1">
      <formula>$I$9&lt;0</formula>
    </cfRule>
  </conditionalFormatting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41038D-3737-44EB-838E-2CE8686116A0}">
  <sheetPr codeName="Feuil4"/>
  <dimension ref="C3:D16"/>
  <sheetViews>
    <sheetView workbookViewId="0">
      <selection activeCell="S12" sqref="S12"/>
    </sheetView>
  </sheetViews>
  <sheetFormatPr baseColWidth="10" defaultRowHeight="15" x14ac:dyDescent="0.25"/>
  <sheetData>
    <row r="3" spans="3:4" x14ac:dyDescent="0.25">
      <c r="C3" t="s">
        <v>18</v>
      </c>
      <c r="D3" s="17" t="e">
        <f>Feuil2!H24</f>
        <v>#VALUE!</v>
      </c>
    </row>
    <row r="4" spans="3:4" x14ac:dyDescent="0.25">
      <c r="C4" t="s">
        <v>19</v>
      </c>
      <c r="D4" s="17">
        <f>Feuil2!J24</f>
        <v>323640</v>
      </c>
    </row>
    <row r="7" spans="3:4" x14ac:dyDescent="0.25">
      <c r="C7" t="s">
        <v>20</v>
      </c>
      <c r="D7" s="18">
        <v>0.33</v>
      </c>
    </row>
    <row r="8" spans="3:4" x14ac:dyDescent="0.25">
      <c r="C8" t="s">
        <v>21</v>
      </c>
      <c r="D8" s="18">
        <v>0.33</v>
      </c>
    </row>
    <row r="9" spans="3:4" x14ac:dyDescent="0.25">
      <c r="C9" t="s">
        <v>22</v>
      </c>
      <c r="D9" s="18">
        <v>0.33</v>
      </c>
    </row>
    <row r="10" spans="3:4" x14ac:dyDescent="0.25">
      <c r="C10" t="s">
        <v>23</v>
      </c>
      <c r="D10" s="18">
        <v>1</v>
      </c>
    </row>
    <row r="13" spans="3:4" x14ac:dyDescent="0.25">
      <c r="C13" t="s">
        <v>24</v>
      </c>
      <c r="D13" s="19" t="e">
        <f>D3/D4</f>
        <v>#VALUE!</v>
      </c>
    </row>
    <row r="14" spans="3:4" x14ac:dyDescent="0.25">
      <c r="C14" t="s">
        <v>25</v>
      </c>
      <c r="D14" s="18">
        <v>0.01</v>
      </c>
    </row>
    <row r="15" spans="3:4" x14ac:dyDescent="0.25">
      <c r="C15" t="s">
        <v>26</v>
      </c>
      <c r="D15" s="18" t="e">
        <f>D16-D13-D14</f>
        <v>#VALUE!</v>
      </c>
    </row>
    <row r="16" spans="3:4" x14ac:dyDescent="0.25">
      <c r="C16" t="s">
        <v>23</v>
      </c>
      <c r="D16" s="18">
        <v>1</v>
      </c>
    </row>
  </sheetData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3D828C-D377-4914-B72D-57F487765924}">
  <sheetPr codeName="Feuil5"/>
  <dimension ref="C2:AB15"/>
  <sheetViews>
    <sheetView workbookViewId="0">
      <selection activeCell="AB14" sqref="AB14"/>
    </sheetView>
  </sheetViews>
  <sheetFormatPr baseColWidth="10" defaultRowHeight="15" x14ac:dyDescent="0.25"/>
  <cols>
    <col min="6" max="6" width="14.140625" bestFit="1" customWidth="1"/>
  </cols>
  <sheetData>
    <row r="2" spans="3:28" x14ac:dyDescent="0.25">
      <c r="E2" t="s">
        <v>28</v>
      </c>
      <c r="F2" t="s">
        <v>29</v>
      </c>
      <c r="G2" t="s">
        <v>30</v>
      </c>
      <c r="H2" t="s">
        <v>31</v>
      </c>
      <c r="I2" t="s">
        <v>32</v>
      </c>
      <c r="J2" t="s">
        <v>33</v>
      </c>
      <c r="K2" t="s">
        <v>34</v>
      </c>
      <c r="L2" t="s">
        <v>35</v>
      </c>
      <c r="M2" t="s">
        <v>36</v>
      </c>
      <c r="N2" t="s">
        <v>37</v>
      </c>
      <c r="O2" t="s">
        <v>38</v>
      </c>
      <c r="P2" t="s">
        <v>39</v>
      </c>
    </row>
    <row r="3" spans="3:28" x14ac:dyDescent="0.25">
      <c r="C3" t="s">
        <v>41</v>
      </c>
      <c r="E3" s="23">
        <f>'[5]TRESO 2018'!$D$28</f>
        <v>-33570.620000000003</v>
      </c>
      <c r="F3" s="23">
        <f>'[5]TRESO 2018'!$F$28</f>
        <v>-24472.799999999996</v>
      </c>
      <c r="G3" s="23">
        <f>'[5]TRESO 2018'!$H$28</f>
        <v>-40827.919999999998</v>
      </c>
      <c r="H3" s="23">
        <f>'[5]TRESO 2018'!$J$28</f>
        <v>39096.539999999994</v>
      </c>
      <c r="I3" s="23">
        <f>'[5]TRESO 2018'!$L$28</f>
        <v>10388.869999999984</v>
      </c>
      <c r="J3" s="23">
        <f>'[5]TRESO 2018'!$N$28</f>
        <v>-17117.500000000015</v>
      </c>
      <c r="K3" s="23">
        <f>'[5]TRESO 2018'!$P$28</f>
        <v>-13331.55000000001</v>
      </c>
      <c r="L3" s="23">
        <f>'[5]TRESO 2018'!$R$28</f>
        <v>-8459.4700000000084</v>
      </c>
      <c r="M3" s="23">
        <f>'[5]TRESO 2018'!$T$28</f>
        <v>26078.769999999997</v>
      </c>
      <c r="N3" s="23">
        <f>'[5]TRESO 2018'!$V$28</f>
        <v>26078.769999999997</v>
      </c>
      <c r="O3" s="23">
        <f>'[5]TRESO 2018'!$X$28</f>
        <v>26078.769999999997</v>
      </c>
      <c r="P3" s="23">
        <f>'[5]TRESO 2018'!$Z$28</f>
        <v>26078.769999999997</v>
      </c>
    </row>
    <row r="4" spans="3:28" x14ac:dyDescent="0.25">
      <c r="C4" t="s">
        <v>40</v>
      </c>
      <c r="E4" s="23">
        <f>'[5]TRESO 2018'!$C$28</f>
        <v>-33570.620000000003</v>
      </c>
      <c r="F4" s="23">
        <f>'[5]TRESO 2018'!$E$28</f>
        <v>-24472.799999999996</v>
      </c>
      <c r="G4" s="23">
        <f>'[5]TRESO 2018'!$G$28</f>
        <v>-40827.919999999998</v>
      </c>
      <c r="H4" s="23">
        <f>'[5]TRESO 2018'!$I$28</f>
        <v>39096.539999999994</v>
      </c>
      <c r="I4" s="23">
        <f>'[5]TRESO 2018'!$K$28</f>
        <v>10388.869999999984</v>
      </c>
      <c r="J4" s="23">
        <f>'[5]TRESO 2018'!$M$28</f>
        <v>-17117.500000000015</v>
      </c>
      <c r="K4" s="23">
        <f>'[5]TRESO 2018'!$O$28</f>
        <v>-13331.55000000001</v>
      </c>
      <c r="L4" s="23">
        <f>'[5]TRESO 2018'!$Q$28</f>
        <v>-8459.4700000000084</v>
      </c>
      <c r="M4" s="23">
        <f>'[5]TRESO 2018'!$S$28</f>
        <v>26078.769999999997</v>
      </c>
      <c r="N4" s="23">
        <f>'[5]TRESO 2018'!$U$28</f>
        <v>26300.769999999997</v>
      </c>
      <c r="O4" s="23">
        <f>'[5]TRESO 2018'!$W$28</f>
        <v>-11629.230000000003</v>
      </c>
      <c r="P4" s="23">
        <f>'[5]TRESO 2018'!$Y$28</f>
        <v>-29919.230000000003</v>
      </c>
    </row>
    <row r="6" spans="3:28" x14ac:dyDescent="0.25">
      <c r="D6" s="23">
        <v>1</v>
      </c>
      <c r="E6" s="23">
        <v>2</v>
      </c>
      <c r="F6" s="23">
        <v>3</v>
      </c>
      <c r="G6" s="23">
        <v>4</v>
      </c>
      <c r="H6" s="23">
        <v>5</v>
      </c>
      <c r="I6" s="23">
        <v>6</v>
      </c>
      <c r="J6" s="23">
        <v>7</v>
      </c>
      <c r="K6" s="23">
        <v>8</v>
      </c>
      <c r="L6" s="23">
        <v>9</v>
      </c>
      <c r="M6" s="23">
        <v>10</v>
      </c>
      <c r="N6" s="23">
        <v>11</v>
      </c>
      <c r="O6" s="23">
        <v>12</v>
      </c>
      <c r="Q6">
        <v>1</v>
      </c>
      <c r="R6">
        <v>2</v>
      </c>
      <c r="S6">
        <v>3</v>
      </c>
      <c r="T6">
        <v>4</v>
      </c>
      <c r="U6">
        <v>5</v>
      </c>
      <c r="V6">
        <v>6</v>
      </c>
      <c r="W6">
        <v>7</v>
      </c>
      <c r="X6">
        <v>8</v>
      </c>
      <c r="Y6">
        <v>9</v>
      </c>
      <c r="Z6">
        <v>10</v>
      </c>
      <c r="AA6">
        <v>11</v>
      </c>
      <c r="AB6">
        <v>12</v>
      </c>
    </row>
    <row r="7" spans="3:28" x14ac:dyDescent="0.25">
      <c r="C7" t="s">
        <v>230</v>
      </c>
      <c r="D7" s="37">
        <f>'[3]DATA UO'!K1</f>
        <v>0</v>
      </c>
      <c r="E7" s="37">
        <f>'[3]DATA UO'!L1</f>
        <v>0</v>
      </c>
      <c r="F7" s="37">
        <f>'[3]DATA UO'!M1</f>
        <v>0</v>
      </c>
      <c r="G7" s="37">
        <f>'[3]DATA UO'!N1</f>
        <v>0</v>
      </c>
      <c r="H7" s="37">
        <f>'[3]DATA UO'!O1</f>
        <v>0</v>
      </c>
      <c r="I7" s="37">
        <f>'[3]DATA UO'!P1</f>
        <v>0</v>
      </c>
      <c r="J7" s="37">
        <f>'[3]DATA UO'!Q1</f>
        <v>0</v>
      </c>
      <c r="K7" s="37">
        <f>'[3]DATA UO'!R1</f>
        <v>0</v>
      </c>
      <c r="L7" s="37">
        <f>'[3]DATA UO'!S1</f>
        <v>0</v>
      </c>
      <c r="M7" s="37">
        <f>'[3]DATA UO'!T1</f>
        <v>200</v>
      </c>
      <c r="N7" s="37">
        <f>'[3]DATA UO'!U1</f>
        <v>450</v>
      </c>
      <c r="O7" s="37">
        <f>'[3]DATA UO'!V1</f>
        <v>464</v>
      </c>
      <c r="P7" s="37"/>
      <c r="Q7" s="37">
        <f>'[3]DATA UO'!W1</f>
        <v>150</v>
      </c>
      <c r="R7" s="37">
        <f>'[3]DATA UO'!X1</f>
        <v>121</v>
      </c>
      <c r="S7" s="37">
        <f>'[3]DATA UO'!Y1</f>
        <v>148</v>
      </c>
      <c r="T7" s="37">
        <f>'[3]DATA UO'!Z1</f>
        <v>86</v>
      </c>
      <c r="U7" s="37">
        <f>'[3]DATA UO'!AA1</f>
        <v>0</v>
      </c>
      <c r="V7" s="37">
        <f>'[3]DATA UO'!AB1</f>
        <v>196</v>
      </c>
      <c r="W7" s="37">
        <f>'[3]DATA UO'!AC1</f>
        <v>0</v>
      </c>
      <c r="X7" s="37">
        <f>'[3]DATA UO'!AD1</f>
        <v>0</v>
      </c>
      <c r="Y7" s="37">
        <f>'[3]DATA UO'!AE1</f>
        <v>0</v>
      </c>
      <c r="Z7" s="37">
        <f>'[3]DATA UO'!AF1</f>
        <v>0</v>
      </c>
      <c r="AA7" s="37">
        <f>'[3]DATA UO'!AG1</f>
        <v>0</v>
      </c>
      <c r="AB7" s="37">
        <f>'[3]DATA UO'!AH1</f>
        <v>0</v>
      </c>
    </row>
    <row r="8" spans="3:28" x14ac:dyDescent="0.25">
      <c r="C8" t="s">
        <v>231</v>
      </c>
      <c r="D8" s="23">
        <f>[3]EFFECTIFS!C28</f>
        <v>325.32499999999999</v>
      </c>
      <c r="E8" s="23">
        <f>[3]EFFECTIFS!D28</f>
        <v>324.10000000000002</v>
      </c>
      <c r="F8" s="23">
        <f>[3]EFFECTIFS!E28</f>
        <v>331.1</v>
      </c>
      <c r="G8" s="23">
        <f>[3]EFFECTIFS!F28</f>
        <v>324.10000000000002</v>
      </c>
      <c r="H8" s="23">
        <f>[3]EFFECTIFS!G28</f>
        <v>524.28748344370865</v>
      </c>
      <c r="I8" s="23">
        <f>[3]EFFECTIFS!H28</f>
        <v>528.57000000000005</v>
      </c>
      <c r="J8" s="23">
        <f>[3]EFFECTIFS!I28</f>
        <v>331.1</v>
      </c>
      <c r="K8" s="23">
        <f>[3]EFFECTIFS!J28</f>
        <v>458.15</v>
      </c>
      <c r="L8" s="23">
        <f>[3]EFFECTIFS!K28</f>
        <v>485.79999999999995</v>
      </c>
      <c r="M8" s="23">
        <f>[3]EFFECTIFS!L28</f>
        <v>413.14</v>
      </c>
      <c r="N8" s="23">
        <f>[3]EFFECTIFS!M28</f>
        <v>438.54999999999995</v>
      </c>
      <c r="O8" s="23">
        <f>[3]EFFECTIFS!N28</f>
        <v>452.54999999999995</v>
      </c>
      <c r="P8" s="23"/>
      <c r="Q8" s="23">
        <f>[3]EFFECTIFS!P28</f>
        <v>469.70000000000005</v>
      </c>
      <c r="R8" s="23">
        <f>[3]EFFECTIFS!Q28</f>
        <v>464.79999999999995</v>
      </c>
      <c r="S8" s="23">
        <f>[3]EFFECTIFS!R28</f>
        <v>467.25</v>
      </c>
      <c r="T8" s="23">
        <f>[3]EFFECTIFS!S28</f>
        <v>467.25</v>
      </c>
      <c r="U8" s="23">
        <f>[3]EFFECTIFS!T28</f>
        <v>464.79999999999995</v>
      </c>
      <c r="V8" s="23">
        <f>[3]EFFECTIFS!U28</f>
        <v>462.35</v>
      </c>
      <c r="W8" s="23">
        <f>[3]EFFECTIFS!V28</f>
        <v>472.15</v>
      </c>
      <c r="X8" s="23">
        <f>[3]EFFECTIFS!W28</f>
        <v>430.5</v>
      </c>
      <c r="Y8" s="23">
        <f>[3]EFFECTIFS!X28</f>
        <v>467.25</v>
      </c>
      <c r="Z8" s="23">
        <f>[3]EFFECTIFS!Y28</f>
        <v>472.15</v>
      </c>
      <c r="AA8" s="23">
        <f>[3]EFFECTIFS!Z28</f>
        <v>462.35</v>
      </c>
      <c r="AB8" s="23">
        <f>[3]EFFECTIFS!AA28</f>
        <v>455</v>
      </c>
    </row>
    <row r="9" spans="3:28" x14ac:dyDescent="0.25">
      <c r="C9" t="s">
        <v>232</v>
      </c>
      <c r="D9">
        <v>310</v>
      </c>
      <c r="E9">
        <v>320</v>
      </c>
      <c r="F9">
        <v>350</v>
      </c>
      <c r="G9">
        <v>450</v>
      </c>
      <c r="H9">
        <v>450</v>
      </c>
      <c r="I9">
        <v>450</v>
      </c>
      <c r="J9">
        <v>350</v>
      </c>
      <c r="K9">
        <v>350</v>
      </c>
      <c r="L9">
        <v>450</v>
      </c>
      <c r="M9">
        <v>450</v>
      </c>
      <c r="N9">
        <v>300</v>
      </c>
      <c r="O9">
        <v>258</v>
      </c>
      <c r="Q9">
        <v>608</v>
      </c>
      <c r="R9">
        <v>608</v>
      </c>
      <c r="S9">
        <v>608</v>
      </c>
      <c r="T9">
        <v>608</v>
      </c>
      <c r="U9">
        <v>608</v>
      </c>
      <c r="V9">
        <v>608</v>
      </c>
      <c r="W9">
        <v>608</v>
      </c>
      <c r="X9">
        <v>425.59999999999997</v>
      </c>
      <c r="Y9">
        <v>608</v>
      </c>
      <c r="Z9">
        <v>608</v>
      </c>
      <c r="AA9">
        <v>608</v>
      </c>
      <c r="AB9">
        <v>486.40000000000003</v>
      </c>
    </row>
    <row r="10" spans="3:28" x14ac:dyDescent="0.25">
      <c r="C10" t="s">
        <v>233</v>
      </c>
      <c r="D10" s="23">
        <f>D8-D7</f>
        <v>325.32499999999999</v>
      </c>
      <c r="E10" s="23">
        <f t="shared" ref="E10:AB10" si="0">E8-E7</f>
        <v>324.10000000000002</v>
      </c>
      <c r="F10" s="23">
        <f t="shared" si="0"/>
        <v>331.1</v>
      </c>
      <c r="G10" s="23">
        <f t="shared" si="0"/>
        <v>324.10000000000002</v>
      </c>
      <c r="H10" s="23">
        <f t="shared" si="0"/>
        <v>524.28748344370865</v>
      </c>
      <c r="I10" s="23">
        <f t="shared" si="0"/>
        <v>528.57000000000005</v>
      </c>
      <c r="J10" s="23">
        <f t="shared" si="0"/>
        <v>331.1</v>
      </c>
      <c r="K10" s="23">
        <f t="shared" si="0"/>
        <v>458.15</v>
      </c>
      <c r="L10" s="23">
        <f t="shared" si="0"/>
        <v>485.79999999999995</v>
      </c>
      <c r="M10" s="23">
        <f t="shared" si="0"/>
        <v>213.14</v>
      </c>
      <c r="N10" s="23">
        <f t="shared" si="0"/>
        <v>-11.450000000000045</v>
      </c>
      <c r="O10" s="23">
        <f t="shared" si="0"/>
        <v>-11.450000000000045</v>
      </c>
      <c r="P10" s="23"/>
      <c r="Q10" s="23">
        <f t="shared" si="0"/>
        <v>319.70000000000005</v>
      </c>
      <c r="R10" s="23">
        <f t="shared" si="0"/>
        <v>343.79999999999995</v>
      </c>
      <c r="S10" s="23">
        <f t="shared" si="0"/>
        <v>319.25</v>
      </c>
      <c r="T10" s="23">
        <f t="shared" si="0"/>
        <v>381.25</v>
      </c>
      <c r="U10" s="23">
        <f t="shared" si="0"/>
        <v>464.79999999999995</v>
      </c>
      <c r="V10" s="23">
        <f t="shared" si="0"/>
        <v>266.35000000000002</v>
      </c>
      <c r="W10" s="23">
        <f t="shared" si="0"/>
        <v>472.15</v>
      </c>
      <c r="X10" s="23">
        <f t="shared" si="0"/>
        <v>430.5</v>
      </c>
      <c r="Y10" s="23">
        <f t="shared" si="0"/>
        <v>467.25</v>
      </c>
      <c r="Z10" s="23">
        <f t="shared" si="0"/>
        <v>472.15</v>
      </c>
      <c r="AA10" s="23">
        <f t="shared" si="0"/>
        <v>462.35</v>
      </c>
      <c r="AB10" s="23">
        <f t="shared" si="0"/>
        <v>455</v>
      </c>
    </row>
    <row r="12" spans="3:28" ht="44.25" x14ac:dyDescent="0.25">
      <c r="D12">
        <v>3</v>
      </c>
      <c r="F12" s="24" t="s">
        <v>43</v>
      </c>
      <c r="G12" t="s">
        <v>44</v>
      </c>
      <c r="H12" t="s">
        <v>45</v>
      </c>
      <c r="M12" s="38">
        <f ca="1">HLOOKUP(Feuil2!$H$7,Feuil4!$D$6:$O$10,5)</f>
        <v>-11.450000000000045</v>
      </c>
      <c r="N12" s="38">
        <f ca="1">HLOOKUP(Feuil2!$H$7+1,Feuil4!$D$6:$O$10,5)</f>
        <v>-11.450000000000045</v>
      </c>
      <c r="O12" s="38">
        <f ca="1">HLOOKUP(Feuil2!$H$7+2,Feuil4!$D$6:$O$10,5)</f>
        <v>-11.450000000000045</v>
      </c>
      <c r="Q12" s="38">
        <f ca="1">HLOOKUP(Feuil2!$H$7+3-12,Feuil4!$Q$6:$AB10,5)</f>
        <v>343.79999999999995</v>
      </c>
      <c r="R12" s="38">
        <f ca="1">HLOOKUP(Feuil2!$H$7+4-12,Feuil4!$Q$6:$AB10,5)</f>
        <v>319.25</v>
      </c>
      <c r="S12" s="38">
        <f ca="1">HLOOKUP(Feuil2!$H$7+5-12,Feuil4!$Q$6:$AB10,5)</f>
        <v>381.25</v>
      </c>
      <c r="T12" s="38">
        <f ca="1">HLOOKUP(Feuil2!$H$7+6-12,Feuil4!$Q$6:$AB10,5)</f>
        <v>464.79999999999995</v>
      </c>
      <c r="U12" s="38">
        <f ca="1">HLOOKUP(Feuil2!$H$7+7-12,Feuil4!$Q$6:$AB10,5)</f>
        <v>266.35000000000002</v>
      </c>
      <c r="V12" s="38">
        <f ca="1">HLOOKUP(Feuil2!$H$7+8-12,Feuil4!$Q$6:$AB10,5)</f>
        <v>472.15</v>
      </c>
      <c r="W12" s="38">
        <f ca="1">HLOOKUP(Feuil2!$H$7+9-12,Feuil4!$Q$6:$AB10,5)</f>
        <v>430.5</v>
      </c>
      <c r="X12" s="38">
        <f ca="1">HLOOKUP(Feuil2!$H$7+10-12,Feuil4!$Q$6:$AB10,5)</f>
        <v>467.25</v>
      </c>
      <c r="Y12" s="38">
        <f ca="1">HLOOKUP(Feuil2!$H$7+11-12,Feuil4!$Q$6:$AB10,5)</f>
        <v>472.15</v>
      </c>
      <c r="Z12" s="38">
        <f ca="1">HLOOKUP(Feuil2!$H$7+12-12,Feuil4!$Q$6:$AB10,5)</f>
        <v>462.35</v>
      </c>
      <c r="AA12" s="38">
        <f ca="1">HLOOKUP(Feuil2!$H$7+13-12,Feuil4!$Q$6:$AB10,5)</f>
        <v>455</v>
      </c>
      <c r="AB12" s="38">
        <f ca="1">HLOOKUP(Feuil2!$H$7+14-12,Feuil4!$Q$6:$AB10,5)</f>
        <v>455</v>
      </c>
    </row>
    <row r="13" spans="3:28" ht="44.25" x14ac:dyDescent="0.25">
      <c r="F13" s="24" t="s">
        <v>43</v>
      </c>
      <c r="G13" t="s">
        <v>47</v>
      </c>
      <c r="H13" t="s">
        <v>46</v>
      </c>
      <c r="L13" s="37"/>
      <c r="N13" s="37"/>
      <c r="V13" s="30">
        <f ca="1">T12+U12+V12</f>
        <v>1203.3</v>
      </c>
      <c r="Y13" s="30">
        <f ca="1">W12+X12+Y12</f>
        <v>1369.9</v>
      </c>
      <c r="AB13" s="30">
        <f ca="1">Z12+AA12+AB12</f>
        <v>1372.35</v>
      </c>
    </row>
    <row r="14" spans="3:28" ht="44.25" x14ac:dyDescent="0.25">
      <c r="F14" s="24" t="s">
        <v>43</v>
      </c>
      <c r="G14" t="s">
        <v>48</v>
      </c>
      <c r="H14" t="s">
        <v>49</v>
      </c>
    </row>
    <row r="15" spans="3:28" ht="44.25" x14ac:dyDescent="0.25">
      <c r="F15" s="24"/>
    </row>
  </sheetData>
  <conditionalFormatting sqref="D7:AB8">
    <cfRule type="dataBar" priority="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{8227F20D-CDC6-46C6-B914-5B2470229512}</x14:id>
        </ext>
      </extLst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8227F20D-CDC6-46C6-B914-5B2470229512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D7:AB8</xm:sqref>
        </x14:conditionalFormatting>
        <x14:conditionalFormatting xmlns:xm="http://schemas.microsoft.com/office/excel/2006/main">
          <x14:cfRule type="expression" priority="4" id="{3A61CC0B-C9CB-430C-A926-1F16B1E059BB}">
            <xm:f>Feuil2!$D$5&lt;=1</xm:f>
            <x14:dxf>
              <font>
                <b/>
                <i val="0"/>
                <color rgb="FFFF0000"/>
              </font>
            </x14:dxf>
          </x14:cfRule>
          <xm:sqref>F12</xm:sqref>
        </x14:conditionalFormatting>
        <x14:conditionalFormatting xmlns:xm="http://schemas.microsoft.com/office/excel/2006/main">
          <x14:cfRule type="expression" priority="3" id="{12A1CB51-D9C7-4F2A-9F69-F7B1BFD5192C}">
            <xm:f>AND(Feuil2!$D$5&gt;1,Feuil2!$D$5&lt;1.5)</xm:f>
            <x14:dxf>
              <font>
                <b/>
                <i val="0"/>
                <color theme="7"/>
              </font>
            </x14:dxf>
          </x14:cfRule>
          <xm:sqref>F13</xm:sqref>
        </x14:conditionalFormatting>
        <x14:conditionalFormatting xmlns:xm="http://schemas.microsoft.com/office/excel/2006/main">
          <x14:cfRule type="expression" priority="2" id="{B3D9C203-95D1-4656-9BD1-6756E87DA3C9}">
            <xm:f>Feuil2!$D$5&gt;=1.5</xm:f>
            <x14:dxf>
              <font>
                <b/>
                <i val="0"/>
                <color rgb="FF00B050"/>
              </font>
            </x14:dxf>
          </x14:cfRule>
          <xm:sqref>F14</xm:sqref>
        </x14:conditionalFormatting>
      </x14:conditionalFormatting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512D635-C95A-49CF-A42E-4AB9FE53A6F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TB</vt:lpstr>
      <vt:lpstr>bal</vt:lpstr>
      <vt:lpstr>bal mens </vt:lpstr>
      <vt:lpstr>Feuil2</vt:lpstr>
      <vt:lpstr>Feuil3</vt:lpstr>
      <vt:lpstr>Feuil4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2018-11-08T07:41:27Z</dcterms:modified>
</cp:coreProperties>
</file>